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5" yWindow="1920" windowWidth="12120" windowHeight="6225" tabRatio="881"/>
  </bookViews>
  <sheets>
    <sheet name="St of Net Pos - GA" sheetId="16" r:id="rId1"/>
    <sheet name="St of Act - GA Rev" sheetId="15" r:id="rId2"/>
    <sheet name="St of Activities - GA Exp" sheetId="17" r:id="rId3"/>
    <sheet name="Gen Fd BS" sheetId="14" r:id="rId4"/>
    <sheet name="Gen Fd Rev" sheetId="1" r:id="rId5"/>
    <sheet name="Gen Fd Exp" sheetId="2" r:id="rId6"/>
    <sheet name="Gov Fd BS" sheetId="26" r:id="rId7"/>
    <sheet name="Gov Fd Rev" sheetId="22" r:id="rId8"/>
    <sheet name="Gov Fd Exp" sheetId="25" r:id="rId9"/>
    <sheet name="Long Term Liab - GA" sheetId="10" r:id="rId10"/>
  </sheets>
  <definedNames>
    <definedName name="_xlnm.Print_Area" localSheetId="3">'Gen Fd BS'!$A$1:$AJ$632</definedName>
    <definedName name="_xlnm.Print_Area" localSheetId="5">'Gen Fd Exp'!$A$1:$BV$632</definedName>
    <definedName name="_xlnm.Print_Area" localSheetId="4">'Gen Fd Rev'!$A$1:$AM$632</definedName>
    <definedName name="_xlnm.Print_Area" localSheetId="6">'Gov Fd BS'!$A$1:$AJ$632</definedName>
    <definedName name="_xlnm.Print_Area" localSheetId="8">'Gov Fd Exp'!$A$1:$BV$632</definedName>
    <definedName name="_xlnm.Print_Area" localSheetId="7">'Gov Fd Rev'!$A$1:$AQ$632</definedName>
    <definedName name="_xlnm.Print_Area" localSheetId="9">'Long Term Liab - GA'!$A$1:$U$632</definedName>
    <definedName name="_xlnm.Print_Area" localSheetId="1">'St of Act - GA Rev'!$A$1:$AI$632</definedName>
    <definedName name="_xlnm.Print_Area" localSheetId="2">'St of Activities - GA Exp'!$A$1:$BE$632</definedName>
    <definedName name="_xlnm.Print_Titles" localSheetId="3">'Gen Fd BS'!$1:$12</definedName>
    <definedName name="_xlnm.Print_Titles" localSheetId="5">'Gen Fd Exp'!$1:$12</definedName>
    <definedName name="_xlnm.Print_Titles" localSheetId="4">'Gen Fd Rev'!$1:$12</definedName>
    <definedName name="_xlnm.Print_Titles" localSheetId="6">'Gov Fd BS'!$1:$12</definedName>
    <definedName name="_xlnm.Print_Titles" localSheetId="8">'Gov Fd Exp'!$1:$12</definedName>
    <definedName name="_xlnm.Print_Titles" localSheetId="7">'Gov Fd Rev'!$1:$12</definedName>
    <definedName name="_xlnm.Print_Titles" localSheetId="9">'Long Term Liab - GA'!$1:$12</definedName>
    <definedName name="_xlnm.Print_Titles" localSheetId="1">'St of Act - GA Rev'!$1:$12</definedName>
    <definedName name="_xlnm.Print_Titles" localSheetId="2">'St of Activities - GA Exp'!$1:$12</definedName>
    <definedName name="_xlnm.Print_Titles" localSheetId="0">'St of Net Pos - GA'!$1:$12</definedName>
  </definedNames>
  <calcPr calcId="145621"/>
</workbook>
</file>

<file path=xl/calcChain.xml><?xml version="1.0" encoding="utf-8"?>
<calcChain xmlns="http://schemas.openxmlformats.org/spreadsheetml/2006/main">
  <c r="M16" i="26" l="1"/>
  <c r="U231" i="14"/>
  <c r="U231" i="26"/>
  <c r="U286" i="26"/>
  <c r="U286" i="14"/>
  <c r="O139" i="22" l="1"/>
  <c r="O139" i="1"/>
  <c r="U139" i="26"/>
  <c r="U139" i="14"/>
  <c r="O139" i="15"/>
  <c r="I139" i="16"/>
  <c r="S139" i="16"/>
  <c r="AK632" i="25" l="1"/>
  <c r="AK632" i="2"/>
  <c r="O632" i="22"/>
  <c r="O632" i="1"/>
  <c r="AE632" i="26"/>
  <c r="AA632" i="26"/>
  <c r="Y632" i="26"/>
  <c r="G632" i="26"/>
  <c r="AE632" i="14"/>
  <c r="Y632" i="14"/>
  <c r="AO632" i="17"/>
  <c r="O632" i="15"/>
  <c r="W632" i="16"/>
  <c r="I632" i="16"/>
  <c r="S632" i="16"/>
  <c r="O631" i="25"/>
  <c r="O631" i="2"/>
  <c r="O631" i="22"/>
  <c r="O631" i="1"/>
  <c r="O631" i="17"/>
  <c r="AA631" i="15"/>
  <c r="O631" i="15"/>
  <c r="W631" i="16"/>
  <c r="I631" i="16"/>
  <c r="S631" i="16"/>
  <c r="G631" i="10"/>
  <c r="AX630" i="25"/>
  <c r="AE630" i="22"/>
  <c r="O630" i="22"/>
  <c r="O630" i="1"/>
  <c r="G630" i="26"/>
  <c r="O630" i="15"/>
  <c r="W630" i="16"/>
  <c r="M630" i="16"/>
  <c r="I630" i="16"/>
  <c r="S630" i="16"/>
  <c r="O629" i="22"/>
  <c r="O629" i="1"/>
  <c r="O629" i="15"/>
  <c r="W629" i="16"/>
  <c r="I629" i="16"/>
  <c r="S629" i="16"/>
  <c r="G629" i="10"/>
  <c r="AO628" i="22"/>
  <c r="K628" i="22"/>
  <c r="O628" i="22"/>
  <c r="K628" i="1"/>
  <c r="O628" i="1"/>
  <c r="AE628" i="26"/>
  <c r="AA628" i="26"/>
  <c r="G628" i="26"/>
  <c r="AE628" i="14"/>
  <c r="O628" i="15"/>
  <c r="W628" i="16"/>
  <c r="S628" i="16"/>
  <c r="G628" i="10"/>
  <c r="K628" i="10"/>
  <c r="AX627" i="25"/>
  <c r="AX627" i="2"/>
  <c r="AE627" i="22"/>
  <c r="O627" i="22"/>
  <c r="O627" i="1"/>
  <c r="U627" i="26"/>
  <c r="U627" i="14"/>
  <c r="O627" i="15"/>
  <c r="I627" i="16"/>
  <c r="S627" i="16"/>
  <c r="K626" i="22"/>
  <c r="O626" i="22"/>
  <c r="K626" i="1"/>
  <c r="O626" i="1"/>
  <c r="AE626" i="26"/>
  <c r="AC626" i="26"/>
  <c r="AA626" i="26"/>
  <c r="Y626" i="26"/>
  <c r="G626" i="26"/>
  <c r="AE626" i="14"/>
  <c r="AC626" i="14"/>
  <c r="O626" i="15"/>
  <c r="W626" i="16"/>
  <c r="M626" i="16"/>
  <c r="S626" i="16"/>
  <c r="G626" i="10"/>
  <c r="AX625" i="25"/>
  <c r="AE625" i="22"/>
  <c r="O625" i="22"/>
  <c r="O625" i="1"/>
  <c r="AC625" i="26"/>
  <c r="AA625" i="26"/>
  <c r="O625" i="15"/>
  <c r="W625" i="16"/>
  <c r="M625" i="16"/>
  <c r="I625" i="16"/>
  <c r="S625" i="16"/>
  <c r="G625" i="10"/>
  <c r="O624" i="25"/>
  <c r="O624" i="2"/>
  <c r="O624" i="22"/>
  <c r="O624" i="1"/>
  <c r="U624" i="26"/>
  <c r="U624" i="14"/>
  <c r="AS624" i="17"/>
  <c r="O624" i="17"/>
  <c r="O624" i="15"/>
  <c r="I624" i="16"/>
  <c r="S624" i="16"/>
  <c r="G624" i="10"/>
  <c r="O623" i="22" l="1"/>
  <c r="O623" i="1"/>
  <c r="G623" i="26"/>
  <c r="G623" i="14"/>
  <c r="O623" i="15"/>
  <c r="W623" i="16"/>
  <c r="S623" i="16"/>
  <c r="M623" i="10"/>
  <c r="K622" i="22"/>
  <c r="O622" i="22"/>
  <c r="O622" i="1"/>
  <c r="AE622" i="26"/>
  <c r="AA622" i="26"/>
  <c r="Y622" i="26"/>
  <c r="AE622" i="14"/>
  <c r="AA622" i="14"/>
  <c r="Y622" i="14"/>
  <c r="S622" i="15"/>
  <c r="O622" i="15"/>
  <c r="W622" i="16"/>
  <c r="S622" i="16"/>
  <c r="O621" i="22"/>
  <c r="G621" i="26"/>
  <c r="O621" i="15"/>
  <c r="W621" i="16"/>
  <c r="M621" i="16"/>
  <c r="I621" i="16"/>
  <c r="S621" i="16"/>
  <c r="G621" i="10"/>
  <c r="O620" i="22"/>
  <c r="O620" i="1"/>
  <c r="U620" i="26"/>
  <c r="U620" i="14"/>
  <c r="O620" i="15"/>
  <c r="I620" i="16"/>
  <c r="S620" i="16"/>
  <c r="K619" i="22"/>
  <c r="O619" i="22"/>
  <c r="K619" i="1"/>
  <c r="AA619" i="26"/>
  <c r="AE619" i="26"/>
  <c r="G619" i="26"/>
  <c r="G619" i="14"/>
  <c r="AE619" i="14"/>
  <c r="O619" i="15"/>
  <c r="W619" i="16"/>
  <c r="S619" i="16"/>
  <c r="O618" i="22"/>
  <c r="AO627" i="22"/>
  <c r="Y627" i="22"/>
  <c r="Y628" i="22"/>
  <c r="O618" i="1"/>
  <c r="Y628" i="1"/>
  <c r="U618" i="26"/>
  <c r="U618" i="14"/>
  <c r="AG628" i="15"/>
  <c r="M628" i="15"/>
  <c r="O618" i="15"/>
  <c r="I618" i="16"/>
  <c r="S618" i="16"/>
  <c r="O617" i="25" l="1"/>
  <c r="O617" i="2"/>
  <c r="O617" i="22"/>
  <c r="O617" i="1"/>
  <c r="U617" i="26"/>
  <c r="G617" i="26"/>
  <c r="U617" i="14"/>
  <c r="O617" i="17"/>
  <c r="O617" i="15"/>
  <c r="I617" i="16"/>
  <c r="S617" i="16"/>
  <c r="G617" i="10"/>
  <c r="K617" i="10"/>
  <c r="Q617" i="10"/>
  <c r="AR615" i="25"/>
  <c r="AE615" i="22"/>
  <c r="K615" i="22"/>
  <c r="O615" i="22"/>
  <c r="K615" i="1"/>
  <c r="O615" i="1"/>
  <c r="AE615" i="26"/>
  <c r="AA615" i="26"/>
  <c r="Y615" i="26"/>
  <c r="AE615" i="14"/>
  <c r="Y615" i="14"/>
  <c r="O615" i="15"/>
  <c r="W615" i="16"/>
  <c r="M615" i="16"/>
  <c r="S615" i="16"/>
  <c r="G615" i="10"/>
  <c r="O613" i="22"/>
  <c r="K613" i="22"/>
  <c r="K613" i="1"/>
  <c r="AE613" i="26"/>
  <c r="AA613" i="26"/>
  <c r="G613" i="26"/>
  <c r="AE613" i="14"/>
  <c r="O613" i="15"/>
  <c r="W613" i="16"/>
  <c r="I613" i="16"/>
  <c r="S613" i="16"/>
  <c r="G613" i="10"/>
  <c r="AE612" i="22"/>
  <c r="O612" i="22"/>
  <c r="O612" i="1"/>
  <c r="O612" i="15"/>
  <c r="W612" i="16"/>
  <c r="M612" i="16"/>
  <c r="I612" i="16"/>
  <c r="S612" i="16"/>
  <c r="G612" i="10"/>
  <c r="M612" i="10"/>
  <c r="K611" i="22"/>
  <c r="O611" i="22"/>
  <c r="K611" i="1"/>
  <c r="O611" i="1"/>
  <c r="AE611" i="26"/>
  <c r="AA611" i="26"/>
  <c r="AE611" i="14"/>
  <c r="O611" i="15"/>
  <c r="W611" i="16"/>
  <c r="M611" i="16"/>
  <c r="S611" i="16"/>
  <c r="O610" i="22"/>
  <c r="O610" i="1"/>
  <c r="AE610" i="26"/>
  <c r="AA610" i="26"/>
  <c r="AE610" i="14"/>
  <c r="O610" i="15"/>
  <c r="W610" i="16"/>
  <c r="I610" i="16"/>
  <c r="AI610" i="14"/>
  <c r="S610" i="16"/>
  <c r="G610" i="10"/>
  <c r="AX609" i="25"/>
  <c r="AE609" i="22"/>
  <c r="K609" i="22"/>
  <c r="O609" i="22"/>
  <c r="K609" i="1"/>
  <c r="O609" i="1"/>
  <c r="AE609" i="26"/>
  <c r="AA609" i="26"/>
  <c r="Y609" i="26"/>
  <c r="AE609" i="14"/>
  <c r="Y609" i="14"/>
  <c r="O609" i="15"/>
  <c r="W609" i="16"/>
  <c r="M609" i="16"/>
  <c r="S609" i="16"/>
  <c r="G609" i="10"/>
  <c r="O608" i="22"/>
  <c r="O608" i="1"/>
  <c r="O608" i="15"/>
  <c r="W608" i="16"/>
  <c r="I608" i="16"/>
  <c r="S608" i="16"/>
  <c r="K607" i="22"/>
  <c r="O607" i="22"/>
  <c r="K607" i="1"/>
  <c r="O607" i="1"/>
  <c r="AE607" i="26"/>
  <c r="AA607" i="26"/>
  <c r="Y607" i="26"/>
  <c r="AE607" i="14"/>
  <c r="O607" i="15"/>
  <c r="W607" i="16"/>
  <c r="M607" i="16"/>
  <c r="S607" i="16"/>
  <c r="G607" i="10"/>
  <c r="AO608" i="22"/>
  <c r="O606" i="22"/>
  <c r="O606" i="1"/>
  <c r="G606" i="26"/>
  <c r="G606" i="14"/>
  <c r="O606" i="15"/>
  <c r="W606" i="16"/>
  <c r="I606" i="16"/>
  <c r="S606" i="16"/>
  <c r="G606" i="10"/>
  <c r="O605" i="22"/>
  <c r="O605" i="1"/>
  <c r="G605" i="26"/>
  <c r="O605" i="15"/>
  <c r="W605" i="16"/>
  <c r="M605" i="16"/>
  <c r="I605" i="16"/>
  <c r="S605" i="16"/>
  <c r="G605" i="10"/>
  <c r="AX604" i="25"/>
  <c r="BJ604" i="25"/>
  <c r="AX604" i="2"/>
  <c r="AE604" i="22"/>
  <c r="O604" i="22"/>
  <c r="O604" i="1"/>
  <c r="G604" i="26"/>
  <c r="I604" i="17"/>
  <c r="AA604" i="15"/>
  <c r="O604" i="15"/>
  <c r="W604" i="16"/>
  <c r="M604" i="16"/>
  <c r="I604" i="16"/>
  <c r="S604" i="16"/>
  <c r="O602" i="25"/>
  <c r="O602" i="22"/>
  <c r="O602" i="1"/>
  <c r="U602" i="26"/>
  <c r="U602" i="14"/>
  <c r="O602" i="17"/>
  <c r="O602" i="15"/>
  <c r="I602" i="16"/>
  <c r="S602" i="16"/>
  <c r="G602" i="10"/>
  <c r="O601" i="25"/>
  <c r="O601" i="2"/>
  <c r="O601" i="22"/>
  <c r="O601" i="1"/>
  <c r="U601" i="26"/>
  <c r="U601" i="14"/>
  <c r="O601" i="17"/>
  <c r="O601" i="15"/>
  <c r="I601" i="16"/>
  <c r="S601" i="16"/>
  <c r="AX600" i="25"/>
  <c r="AE600" i="22"/>
  <c r="O600" i="22"/>
  <c r="O600" i="1"/>
  <c r="O600" i="15"/>
  <c r="W600" i="16"/>
  <c r="I600" i="16"/>
  <c r="S600" i="16"/>
  <c r="K599" i="22"/>
  <c r="O599" i="22"/>
  <c r="K599" i="1"/>
  <c r="O599" i="1"/>
  <c r="AE599" i="26"/>
  <c r="AA599" i="26"/>
  <c r="Y599" i="26"/>
  <c r="AE599" i="14"/>
  <c r="O599" i="15"/>
  <c r="W599" i="16"/>
  <c r="S599" i="16"/>
  <c r="K598" i="22"/>
  <c r="O598" i="22"/>
  <c r="K598" i="1"/>
  <c r="O598" i="1"/>
  <c r="AE598" i="26"/>
  <c r="AC598" i="26"/>
  <c r="AA598" i="26"/>
  <c r="Y598" i="26"/>
  <c r="AE598" i="14"/>
  <c r="O598" i="15"/>
  <c r="W598" i="16"/>
  <c r="M598" i="16"/>
  <c r="S598" i="16"/>
  <c r="G598" i="10"/>
  <c r="K597" i="22"/>
  <c r="O597" i="22"/>
  <c r="O597" i="1"/>
  <c r="AE597" i="26"/>
  <c r="AC597" i="26"/>
  <c r="AA597" i="26"/>
  <c r="Y597" i="26"/>
  <c r="AE597" i="14"/>
  <c r="O597" i="15"/>
  <c r="W597" i="16"/>
  <c r="M597" i="16"/>
  <c r="S597" i="16"/>
  <c r="G597" i="10"/>
  <c r="AK596" i="22"/>
  <c r="O596" i="22"/>
  <c r="AG596" i="1"/>
  <c r="O596" i="1"/>
  <c r="I596" i="26"/>
  <c r="AA596" i="15"/>
  <c r="O596" i="15"/>
  <c r="W596" i="16"/>
  <c r="M596" i="16"/>
  <c r="I596" i="16"/>
  <c r="S596" i="16"/>
  <c r="AX595" i="25"/>
  <c r="AX595" i="2"/>
  <c r="AE595" i="22"/>
  <c r="O595" i="22"/>
  <c r="O595" i="1"/>
  <c r="O595" i="15"/>
  <c r="W595" i="16"/>
  <c r="S595" i="16"/>
  <c r="AX594" i="25"/>
  <c r="AV594" i="25"/>
  <c r="AE594" i="22"/>
  <c r="K594" i="22"/>
  <c r="O594" i="22"/>
  <c r="O594" i="1"/>
  <c r="AE594" i="26"/>
  <c r="AA594" i="26"/>
  <c r="Y594" i="26"/>
  <c r="G594" i="26"/>
  <c r="AE594" i="14"/>
  <c r="G594" i="14"/>
  <c r="S594" i="15"/>
  <c r="O594" i="15"/>
  <c r="W594" i="16"/>
  <c r="M594" i="16"/>
  <c r="S594" i="16"/>
  <c r="G594" i="10"/>
  <c r="O590" i="22" l="1"/>
  <c r="O590" i="1"/>
  <c r="S590" i="15"/>
  <c r="O590" i="15"/>
  <c r="W590" i="16"/>
  <c r="M590" i="16"/>
  <c r="I590" i="16"/>
  <c r="S590" i="16"/>
  <c r="G590" i="10"/>
  <c r="O589" i="22"/>
  <c r="K589" i="22"/>
  <c r="O589" i="1"/>
  <c r="O589" i="15"/>
  <c r="W589" i="16"/>
  <c r="M589" i="16"/>
  <c r="S589" i="16"/>
  <c r="G589" i="10"/>
  <c r="K588" i="22" l="1"/>
  <c r="O588" i="22"/>
  <c r="K588" i="1"/>
  <c r="O588" i="1"/>
  <c r="AE588" i="26"/>
  <c r="AC588" i="26"/>
  <c r="AA588" i="26"/>
  <c r="G588" i="26"/>
  <c r="AE588" i="14"/>
  <c r="O588" i="15"/>
  <c r="W588" i="16"/>
  <c r="M588" i="16"/>
  <c r="S588" i="16"/>
  <c r="G588" i="10"/>
  <c r="K588" i="10"/>
  <c r="O587" i="22"/>
  <c r="O587" i="1"/>
  <c r="O587" i="15"/>
  <c r="W587" i="16"/>
  <c r="I587" i="16"/>
  <c r="S587" i="16"/>
  <c r="AX586" i="25" l="1"/>
  <c r="AE586" i="22"/>
  <c r="K586" i="22"/>
  <c r="O586" i="22"/>
  <c r="K586" i="1"/>
  <c r="O586" i="1"/>
  <c r="AE586" i="26"/>
  <c r="AA586" i="26"/>
  <c r="Y586" i="26"/>
  <c r="G586" i="26"/>
  <c r="AE586" i="14"/>
  <c r="Y586" i="14"/>
  <c r="G586" i="14"/>
  <c r="O586" i="15"/>
  <c r="W586" i="16"/>
  <c r="S586" i="16"/>
  <c r="G586" i="10"/>
  <c r="W585" i="25" l="1"/>
  <c r="W585" i="2"/>
  <c r="O585" i="22"/>
  <c r="O585" i="1"/>
  <c r="G585" i="26"/>
  <c r="G585" i="14"/>
  <c r="W585" i="17"/>
  <c r="O585" i="15"/>
  <c r="W585" i="16"/>
  <c r="I585" i="16"/>
  <c r="S585" i="16"/>
  <c r="G585" i="10"/>
  <c r="O584" i="22"/>
  <c r="O584" i="1"/>
  <c r="O584" i="15"/>
  <c r="W584" i="16"/>
  <c r="M584" i="16"/>
  <c r="I584" i="16"/>
  <c r="S584" i="16"/>
  <c r="G583" i="26"/>
  <c r="W583" i="16"/>
  <c r="I583" i="16"/>
  <c r="S583" i="16"/>
  <c r="K582" i="22"/>
  <c r="O582" i="22"/>
  <c r="K582" i="1"/>
  <c r="O582" i="1"/>
  <c r="O582" i="15"/>
  <c r="W582" i="16"/>
  <c r="M582" i="16"/>
  <c r="S582" i="16"/>
  <c r="G582" i="10"/>
  <c r="K578" i="22"/>
  <c r="O578" i="22"/>
  <c r="K578" i="1"/>
  <c r="W578" i="1"/>
  <c r="O578" i="1"/>
  <c r="AE578" i="26"/>
  <c r="AC578" i="26"/>
  <c r="AA578" i="26"/>
  <c r="G578" i="26"/>
  <c r="AE578" i="14"/>
  <c r="AC578" i="14"/>
  <c r="G578" i="14"/>
  <c r="S578" i="15"/>
  <c r="O578" i="15"/>
  <c r="W578" i="16" l="1"/>
  <c r="M578" i="16"/>
  <c r="S578" i="16"/>
  <c r="AX577" i="25" l="1"/>
  <c r="O577" i="25"/>
  <c r="AX577" i="2"/>
  <c r="AE577" i="22"/>
  <c r="O577" i="22"/>
  <c r="AE577" i="1"/>
  <c r="O577" i="1"/>
  <c r="G577" i="26"/>
  <c r="AW577" i="17"/>
  <c r="O577" i="17"/>
  <c r="AA577" i="15"/>
  <c r="O577" i="15"/>
  <c r="W577" i="16"/>
  <c r="I577" i="16"/>
  <c r="S577" i="16"/>
  <c r="AE575" i="22"/>
  <c r="AX575" i="25"/>
  <c r="O575" i="22"/>
  <c r="O575" i="1"/>
  <c r="G575" i="26"/>
  <c r="AY576" i="17"/>
  <c r="O575" i="15"/>
  <c r="W575" i="16"/>
  <c r="M575" i="16"/>
  <c r="I575" i="16"/>
  <c r="S575" i="16"/>
  <c r="G575" i="10"/>
  <c r="K573" i="22"/>
  <c r="O573" i="22"/>
  <c r="O573" i="1"/>
  <c r="AE573" i="26"/>
  <c r="AA573" i="26"/>
  <c r="Y573" i="26"/>
  <c r="AE573" i="14"/>
  <c r="O573" i="15"/>
  <c r="W573" i="16"/>
  <c r="S573" i="16"/>
  <c r="G573" i="10"/>
  <c r="O571" i="22" l="1"/>
  <c r="O571" i="1"/>
  <c r="O571" i="15"/>
  <c r="W571" i="16"/>
  <c r="M571" i="16"/>
  <c r="I571" i="16"/>
  <c r="S571" i="16"/>
  <c r="K570" i="22"/>
  <c r="O570" i="22"/>
  <c r="O570" i="1"/>
  <c r="AE570" i="26"/>
  <c r="AC570" i="26"/>
  <c r="AA570" i="26"/>
  <c r="Y570" i="26"/>
  <c r="G570" i="26"/>
  <c r="AE570" i="14"/>
  <c r="Y570" i="14"/>
  <c r="O570" i="15"/>
  <c r="W570" i="16"/>
  <c r="S570" i="16"/>
  <c r="AE565" i="22"/>
  <c r="O565" i="22"/>
  <c r="K565" i="22"/>
  <c r="O565" i="1"/>
  <c r="AA565" i="26"/>
  <c r="W565" i="16"/>
  <c r="M565" i="16"/>
  <c r="I565" i="16"/>
  <c r="S565" i="16"/>
  <c r="G565" i="10"/>
  <c r="K564" i="22" l="1"/>
  <c r="O564" i="22"/>
  <c r="K564" i="1"/>
  <c r="O564" i="1"/>
  <c r="AE564" i="26"/>
  <c r="AC564" i="26"/>
  <c r="AA564" i="26"/>
  <c r="Y564" i="26"/>
  <c r="AE564" i="14"/>
  <c r="O564" i="15" l="1"/>
  <c r="W564" i="16"/>
  <c r="S564" i="16"/>
  <c r="O563" i="22"/>
  <c r="O563" i="1"/>
  <c r="O563" i="15"/>
  <c r="W563" i="16"/>
  <c r="M563" i="16"/>
  <c r="I563" i="16"/>
  <c r="S563" i="16"/>
  <c r="O562" i="22"/>
  <c r="O562" i="1"/>
  <c r="AA562" i="26"/>
  <c r="O562" i="15"/>
  <c r="W562" i="16"/>
  <c r="I562" i="16"/>
  <c r="S562" i="16"/>
  <c r="O561" i="25"/>
  <c r="O561" i="2"/>
  <c r="O561" i="22"/>
  <c r="O561" i="1"/>
  <c r="G561" i="26"/>
  <c r="O561" i="17"/>
  <c r="O561" i="15"/>
  <c r="W561" i="16"/>
  <c r="S561" i="16"/>
  <c r="AX559" i="25"/>
  <c r="O559" i="22"/>
  <c r="O559" i="1"/>
  <c r="O559" i="15"/>
  <c r="W559" i="16"/>
  <c r="M559" i="16"/>
  <c r="I559" i="16"/>
  <c r="S559" i="16"/>
  <c r="G559" i="10"/>
  <c r="K558" i="22"/>
  <c r="O558" i="22"/>
  <c r="K558" i="1"/>
  <c r="O558" i="1"/>
  <c r="AE558" i="26"/>
  <c r="AA558" i="26"/>
  <c r="Y558" i="26"/>
  <c r="AE558" i="14"/>
  <c r="Y558" i="14"/>
  <c r="O558" i="15"/>
  <c r="W558" i="16"/>
  <c r="S558" i="16"/>
  <c r="G558" i="10"/>
  <c r="AX557" i="25" l="1"/>
  <c r="O557" i="25"/>
  <c r="O557" i="2"/>
  <c r="AK557" i="22"/>
  <c r="AE557" i="22"/>
  <c r="O557" i="22"/>
  <c r="O557" i="17"/>
  <c r="O557" i="15"/>
  <c r="W557" i="16"/>
  <c r="M557" i="16"/>
  <c r="I557" i="16"/>
  <c r="S557" i="16"/>
  <c r="G557" i="10"/>
  <c r="O556" i="22"/>
  <c r="O556" i="1"/>
  <c r="U556" i="26"/>
  <c r="G556" i="26"/>
  <c r="U556" i="14"/>
  <c r="O556" i="15"/>
  <c r="I556" i="16"/>
  <c r="S556" i="16"/>
  <c r="O553" i="25"/>
  <c r="O553" i="2"/>
  <c r="O553" i="22"/>
  <c r="U553" i="26"/>
  <c r="U553" i="14"/>
  <c r="O553" i="17"/>
  <c r="O553" i="15"/>
  <c r="I553" i="16"/>
  <c r="S553" i="16"/>
  <c r="O552" i="22"/>
  <c r="O552" i="1"/>
  <c r="U552" i="26"/>
  <c r="G552" i="26"/>
  <c r="U552" i="14"/>
  <c r="I552" i="16"/>
  <c r="AA552" i="15"/>
  <c r="O552" i="15"/>
  <c r="W552" i="16"/>
  <c r="S552" i="16"/>
  <c r="O551" i="22"/>
  <c r="O551" i="1"/>
  <c r="O551" i="15"/>
  <c r="W551" i="16"/>
  <c r="I551" i="16"/>
  <c r="S551" i="16"/>
  <c r="K550" i="22"/>
  <c r="O550" i="22"/>
  <c r="O550" i="1"/>
  <c r="AE550" i="26"/>
  <c r="AA550" i="26"/>
  <c r="Y550" i="26"/>
  <c r="AE550" i="14"/>
  <c r="O550" i="15"/>
  <c r="W550" i="16"/>
  <c r="M550" i="16"/>
  <c r="S550" i="16"/>
  <c r="K550" i="10"/>
  <c r="G550" i="10"/>
  <c r="M550" i="10"/>
  <c r="O549" i="25"/>
  <c r="O549" i="2"/>
  <c r="O549" i="22"/>
  <c r="O549" i="1"/>
  <c r="O549" i="17"/>
  <c r="AA549" i="15"/>
  <c r="O549" i="15"/>
  <c r="W549" i="16"/>
  <c r="I549" i="16"/>
  <c r="S549" i="16"/>
  <c r="AE547" i="22"/>
  <c r="K547" i="22"/>
  <c r="O547" i="22"/>
  <c r="K547" i="1"/>
  <c r="O547" i="1"/>
  <c r="G547" i="26"/>
  <c r="O547" i="15"/>
  <c r="W547" i="16"/>
  <c r="M547" i="16"/>
  <c r="I547" i="16"/>
  <c r="S547" i="16"/>
  <c r="AK546" i="25"/>
  <c r="K546" i="22"/>
  <c r="O546" i="22"/>
  <c r="K546" i="1"/>
  <c r="O546" i="1"/>
  <c r="O546" i="15"/>
  <c r="W546" i="16"/>
  <c r="M546" i="16"/>
  <c r="I546" i="16"/>
  <c r="S546" i="16"/>
  <c r="K545" i="22"/>
  <c r="O545" i="22"/>
  <c r="O545" i="1"/>
  <c r="AE545" i="26"/>
  <c r="AA545" i="26"/>
  <c r="Y545" i="26"/>
  <c r="G545" i="26"/>
  <c r="AE545" i="14"/>
  <c r="AA545" i="15"/>
  <c r="O545" i="15"/>
  <c r="W545" i="16"/>
  <c r="M545" i="16"/>
  <c r="S545" i="16"/>
  <c r="G545" i="10"/>
  <c r="O544" i="22" l="1"/>
  <c r="O544" i="1"/>
  <c r="U544" i="26"/>
  <c r="U544" i="14"/>
  <c r="O544" i="15"/>
  <c r="I544" i="16"/>
  <c r="S544" i="16"/>
  <c r="BJ543" i="25"/>
  <c r="AX543" i="25"/>
  <c r="O543" i="25"/>
  <c r="O543" i="2"/>
  <c r="AK543" i="22"/>
  <c r="O543" i="22"/>
  <c r="AG543" i="1"/>
  <c r="O543" i="1"/>
  <c r="G543" i="26"/>
  <c r="AW543" i="17"/>
  <c r="O543" i="17"/>
  <c r="O543" i="15"/>
  <c r="W543" i="16"/>
  <c r="M543" i="16"/>
  <c r="I543" i="16"/>
  <c r="S543" i="16"/>
  <c r="G543" i="10"/>
  <c r="K542" i="22"/>
  <c r="O542" i="22"/>
  <c r="O542" i="1"/>
  <c r="K542" i="1"/>
  <c r="AE542" i="26"/>
  <c r="AC542" i="26"/>
  <c r="AA542" i="26"/>
  <c r="Y542" i="26"/>
  <c r="AE542" i="14"/>
  <c r="Y542" i="14"/>
  <c r="Q542" i="15"/>
  <c r="O542" i="15"/>
  <c r="W542" i="16"/>
  <c r="M542" i="16"/>
  <c r="S542" i="16"/>
  <c r="G542" i="10"/>
  <c r="O541" i="22"/>
  <c r="O541" i="1"/>
  <c r="AE541" i="26"/>
  <c r="AA541" i="26"/>
  <c r="G541" i="26"/>
  <c r="AE541" i="14"/>
  <c r="G541" i="14"/>
  <c r="O541" i="15"/>
  <c r="W541" i="16"/>
  <c r="I541" i="16"/>
  <c r="S541" i="16"/>
  <c r="AX540" i="25"/>
  <c r="O540" i="22"/>
  <c r="U540" i="26"/>
  <c r="G540" i="26"/>
  <c r="U540" i="14"/>
  <c r="O540" i="15"/>
  <c r="I540" i="16"/>
  <c r="S540" i="16"/>
  <c r="G540" i="10"/>
  <c r="O539" i="22" l="1"/>
  <c r="AA539" i="15"/>
  <c r="O539" i="15"/>
  <c r="W539" i="16"/>
  <c r="I539" i="16"/>
  <c r="S539" i="16"/>
  <c r="K538" i="22"/>
  <c r="O538" i="22"/>
  <c r="O538" i="1"/>
  <c r="AA538" i="26"/>
  <c r="O538" i="15"/>
  <c r="W538" i="16"/>
  <c r="M538" i="16"/>
  <c r="S538" i="16"/>
  <c r="G538" i="10"/>
  <c r="AX537" i="25"/>
  <c r="AK537" i="22"/>
  <c r="O537" i="22"/>
  <c r="O537" i="1"/>
  <c r="U537" i="26"/>
  <c r="G537" i="26"/>
  <c r="G537" i="14"/>
  <c r="U537" i="14"/>
  <c r="O537" i="15"/>
  <c r="I537" i="16"/>
  <c r="S537" i="16"/>
  <c r="AX536" i="25"/>
  <c r="AV536" i="25"/>
  <c r="AE536" i="22"/>
  <c r="AK536" i="22"/>
  <c r="O536" i="22"/>
  <c r="AG536" i="1"/>
  <c r="O536" i="1"/>
  <c r="AA536" i="26"/>
  <c r="Y536" i="26"/>
  <c r="G536" i="26"/>
  <c r="Y536" i="14"/>
  <c r="O536" i="15"/>
  <c r="W536" i="16"/>
  <c r="I536" i="16"/>
  <c r="S536" i="16"/>
  <c r="G536" i="10"/>
  <c r="AX535" i="25"/>
  <c r="O535" i="22"/>
  <c r="O535" i="1"/>
  <c r="G535" i="26"/>
  <c r="G535" i="14"/>
  <c r="O535" i="15"/>
  <c r="W535" i="16"/>
  <c r="M535" i="16"/>
  <c r="I535" i="16"/>
  <c r="S535" i="16"/>
  <c r="O533" i="22" l="1"/>
  <c r="O533" i="1"/>
  <c r="O533" i="15"/>
  <c r="W533" i="16"/>
  <c r="M533" i="16"/>
  <c r="I533" i="16"/>
  <c r="S533" i="16"/>
  <c r="G533" i="10"/>
  <c r="AK532" i="22"/>
  <c r="O532" i="22"/>
  <c r="O532" i="1"/>
  <c r="O532" i="15"/>
  <c r="W532" i="16"/>
  <c r="I532" i="16"/>
  <c r="S532" i="16"/>
  <c r="G532" i="10"/>
  <c r="O531" i="25"/>
  <c r="O531" i="2"/>
  <c r="O531" i="22"/>
  <c r="O531" i="1"/>
  <c r="U531" i="26"/>
  <c r="U531" i="14"/>
  <c r="AO531" i="17"/>
  <c r="O531" i="17"/>
  <c r="O531" i="15"/>
  <c r="I531" i="16"/>
  <c r="S531" i="16"/>
  <c r="K529" i="22"/>
  <c r="O529" i="22"/>
  <c r="O529" i="1"/>
  <c r="K529" i="1"/>
  <c r="AE529" i="26"/>
  <c r="AC529" i="26"/>
  <c r="AA529" i="26"/>
  <c r="Y529" i="26"/>
  <c r="AE529" i="14"/>
  <c r="AC529" i="14"/>
  <c r="Y529" i="14"/>
  <c r="O529" i="15"/>
  <c r="W529" i="16"/>
  <c r="S529" i="16"/>
  <c r="G529" i="10"/>
  <c r="AX528" i="25" l="1"/>
  <c r="O528" i="22"/>
  <c r="O528" i="1"/>
  <c r="AA528" i="26"/>
  <c r="Y528" i="26"/>
  <c r="I528" i="26"/>
  <c r="O528" i="15"/>
  <c r="W528" i="16"/>
  <c r="I528" i="16"/>
  <c r="S528" i="16"/>
  <c r="O525" i="22"/>
  <c r="O525" i="1"/>
  <c r="AA525" i="26"/>
  <c r="Y525" i="26"/>
  <c r="G525" i="26"/>
  <c r="Y525" i="14"/>
  <c r="G525" i="14"/>
  <c r="O525" i="15"/>
  <c r="W525" i="16"/>
  <c r="S525" i="16"/>
  <c r="I525" i="16"/>
  <c r="O524" i="22"/>
  <c r="O524" i="1"/>
  <c r="U524" i="26"/>
  <c r="U524" i="14"/>
  <c r="O524" i="16"/>
  <c r="I524" i="16"/>
  <c r="S524" i="16"/>
  <c r="U523" i="26"/>
  <c r="U523" i="14"/>
  <c r="O523" i="22"/>
  <c r="O523" i="1"/>
  <c r="G523" i="26"/>
  <c r="O523" i="15"/>
  <c r="I523" i="16"/>
  <c r="S523" i="16"/>
  <c r="K522" i="22"/>
  <c r="O522" i="22"/>
  <c r="O522" i="1"/>
  <c r="K522" i="1"/>
  <c r="AE522" i="26"/>
  <c r="AC522" i="26"/>
  <c r="AA522" i="26"/>
  <c r="Y522" i="26"/>
  <c r="AE522" i="14"/>
  <c r="O522" i="15"/>
  <c r="W522" i="16"/>
  <c r="S522" i="16"/>
  <c r="K521" i="22"/>
  <c r="O521" i="22"/>
  <c r="O521" i="1"/>
  <c r="K521" i="1"/>
  <c r="AE521" i="26"/>
  <c r="AC521" i="26"/>
  <c r="AA521" i="26"/>
  <c r="Y521" i="26"/>
  <c r="AE521" i="14"/>
  <c r="AC521" i="14"/>
  <c r="O521" i="15"/>
  <c r="M521" i="16"/>
  <c r="W521" i="16"/>
  <c r="S521" i="16"/>
  <c r="O520" i="22"/>
  <c r="O520" i="1"/>
  <c r="O520" i="15"/>
  <c r="W520" i="16"/>
  <c r="M520" i="16"/>
  <c r="I520" i="16"/>
  <c r="S520" i="16"/>
  <c r="G520" i="10"/>
  <c r="AX519" i="25"/>
  <c r="W519" i="22"/>
  <c r="O519" i="22"/>
  <c r="W519" i="1"/>
  <c r="O519" i="1"/>
  <c r="I519" i="26"/>
  <c r="O519" i="15"/>
  <c r="W519" i="16"/>
  <c r="M519" i="16"/>
  <c r="I519" i="16"/>
  <c r="S519" i="16"/>
  <c r="G519" i="10"/>
  <c r="AZ517" i="25" l="1"/>
  <c r="AK517" i="25"/>
  <c r="AE517" i="22"/>
  <c r="K517" i="22"/>
  <c r="AK517" i="2"/>
  <c r="K517" i="1"/>
  <c r="G517" i="26"/>
  <c r="S517" i="15"/>
  <c r="O517" i="15"/>
  <c r="W517" i="16"/>
  <c r="G517" i="10"/>
  <c r="W516" i="25" l="1"/>
  <c r="O516" i="22"/>
  <c r="W516" i="2"/>
  <c r="O516" i="1"/>
  <c r="G516" i="26"/>
  <c r="W516" i="17"/>
  <c r="O516" i="15"/>
  <c r="I516" i="16"/>
  <c r="W514" i="22"/>
  <c r="O514" i="22"/>
  <c r="W514" i="1"/>
  <c r="O514" i="1"/>
  <c r="AA514" i="15"/>
  <c r="O514" i="15"/>
  <c r="W514" i="16"/>
  <c r="I514" i="16"/>
  <c r="O512" i="25"/>
  <c r="AK512" i="22"/>
  <c r="AE512" i="22"/>
  <c r="O512" i="22"/>
  <c r="O512" i="2"/>
  <c r="G512" i="26"/>
  <c r="O512" i="17"/>
  <c r="AA512" i="15"/>
  <c r="O512" i="15"/>
  <c r="I512" i="16"/>
  <c r="G512" i="10"/>
  <c r="O511" i="22" l="1"/>
  <c r="K511" i="22"/>
  <c r="O511" i="1"/>
  <c r="AA511" i="26"/>
  <c r="Y511" i="26"/>
  <c r="O511" i="15"/>
  <c r="W511" i="16"/>
  <c r="M511" i="16"/>
  <c r="M511" i="10"/>
  <c r="G511" i="10"/>
  <c r="O510" i="22" l="1"/>
  <c r="O510" i="1"/>
  <c r="O510" i="15"/>
  <c r="W510" i="16"/>
  <c r="I510" i="16"/>
  <c r="AK509" i="22"/>
  <c r="O509" i="22"/>
  <c r="AG509" i="1"/>
  <c r="G509" i="26"/>
  <c r="O509" i="15"/>
  <c r="I509" i="16"/>
  <c r="G509" i="10"/>
  <c r="O508" i="22"/>
  <c r="O508" i="1"/>
  <c r="O508" i="15"/>
  <c r="W508" i="16"/>
  <c r="I508" i="16"/>
  <c r="O507" i="25"/>
  <c r="AK507" i="22"/>
  <c r="O507" i="22"/>
  <c r="O507" i="2"/>
  <c r="AG507" i="1"/>
  <c r="O507" i="1"/>
  <c r="O507" i="17"/>
  <c r="AA507" i="15"/>
  <c r="O507" i="15"/>
  <c r="I507" i="16"/>
  <c r="O506" i="22" l="1"/>
  <c r="K506" i="22"/>
  <c r="O506" i="1"/>
  <c r="AA506" i="26"/>
  <c r="AA506" i="15"/>
  <c r="O506" i="15"/>
  <c r="W506" i="16"/>
  <c r="AP505" i="25"/>
  <c r="O505" i="25"/>
  <c r="AE505" i="22"/>
  <c r="O505" i="22"/>
  <c r="O505" i="2"/>
  <c r="O505" i="1"/>
  <c r="G505" i="26"/>
  <c r="AQ505" i="17"/>
  <c r="O505" i="17"/>
  <c r="AA505" i="15"/>
  <c r="W505" i="16"/>
  <c r="M505" i="16"/>
  <c r="I505" i="16"/>
  <c r="G505" i="10"/>
  <c r="O504" i="22"/>
  <c r="O504" i="1"/>
  <c r="O504" i="15"/>
  <c r="W504" i="16"/>
  <c r="M504" i="16"/>
  <c r="I504" i="16"/>
  <c r="O503" i="22" l="1"/>
  <c r="K503" i="22"/>
  <c r="O503" i="1"/>
  <c r="AE503" i="26"/>
  <c r="AA503" i="26"/>
  <c r="AE503" i="14"/>
  <c r="O503" i="15"/>
  <c r="W503" i="16"/>
  <c r="M503" i="16"/>
  <c r="G503" i="10"/>
  <c r="AR502" i="25"/>
  <c r="AK502" i="22"/>
  <c r="AE502" i="22"/>
  <c r="O502" i="22"/>
  <c r="K502" i="22"/>
  <c r="AR502" i="2"/>
  <c r="AG502" i="1"/>
  <c r="O502" i="1"/>
  <c r="AE502" i="26"/>
  <c r="AA502" i="26"/>
  <c r="AE502" i="14"/>
  <c r="AA502" i="15"/>
  <c r="O502" i="15"/>
  <c r="W502" i="16"/>
  <c r="M502" i="16"/>
  <c r="G502" i="10"/>
  <c r="O500" i="22" l="1"/>
  <c r="K500" i="22"/>
  <c r="O500" i="1"/>
  <c r="K500" i="1"/>
  <c r="AE500" i="26"/>
  <c r="AC500" i="26"/>
  <c r="AA500" i="26"/>
  <c r="Y500" i="26"/>
  <c r="G500" i="26"/>
  <c r="AE500" i="14"/>
  <c r="AC500" i="14"/>
  <c r="Y500" i="14"/>
  <c r="G500" i="14"/>
  <c r="O500" i="15"/>
  <c r="W500" i="16"/>
  <c r="G500" i="10"/>
  <c r="O499" i="22" l="1"/>
  <c r="O499" i="15"/>
  <c r="W499" i="16"/>
  <c r="I499" i="16"/>
  <c r="G499" i="16" s="1"/>
  <c r="G499" i="10"/>
  <c r="M499" i="15"/>
  <c r="O499" i="16"/>
  <c r="O497" i="25"/>
  <c r="AE497" i="22"/>
  <c r="O497" i="22"/>
  <c r="O497" i="1"/>
  <c r="G497" i="26"/>
  <c r="G497" i="14"/>
  <c r="O497" i="17"/>
  <c r="O497" i="15"/>
  <c r="I497" i="16"/>
  <c r="O496" i="22" l="1"/>
  <c r="O496" i="1" l="1"/>
  <c r="AA496" i="26"/>
  <c r="Y496" i="26"/>
  <c r="G496" i="26"/>
  <c r="Y496" i="14"/>
  <c r="G496" i="14"/>
  <c r="O496" i="15"/>
  <c r="W496" i="16"/>
  <c r="I496" i="16"/>
  <c r="AE495" i="22" l="1"/>
  <c r="O495" i="22"/>
  <c r="K495" i="22"/>
  <c r="O495" i="1"/>
  <c r="K495" i="1"/>
  <c r="AE495" i="26"/>
  <c r="AC495" i="26"/>
  <c r="AA495" i="26"/>
  <c r="Y495" i="26"/>
  <c r="G495" i="26"/>
  <c r="AE495" i="14"/>
  <c r="Y495" i="14"/>
  <c r="O495" i="15"/>
  <c r="W495" i="16"/>
  <c r="M495" i="16"/>
  <c r="G495" i="10"/>
  <c r="O494" i="22"/>
  <c r="O494" i="15"/>
  <c r="W494" i="16"/>
  <c r="M494" i="16"/>
  <c r="I494" i="16"/>
  <c r="O493" i="22" l="1"/>
  <c r="O493" i="1"/>
  <c r="G493" i="26"/>
  <c r="AA493" i="15"/>
  <c r="O493" i="15"/>
  <c r="W493" i="16"/>
  <c r="I493" i="16"/>
  <c r="AE492" i="22"/>
  <c r="O492" i="22"/>
  <c r="K492" i="22"/>
  <c r="O492" i="1"/>
  <c r="K492" i="1"/>
  <c r="AE492" i="26"/>
  <c r="AA492" i="26"/>
  <c r="Y492" i="26"/>
  <c r="G492" i="26"/>
  <c r="AE492" i="14"/>
  <c r="O492" i="15"/>
  <c r="W492" i="16"/>
  <c r="M492" i="16"/>
  <c r="G492" i="10"/>
  <c r="W491" i="25" l="1"/>
  <c r="O491" i="22"/>
  <c r="W491" i="2"/>
  <c r="O491" i="1"/>
  <c r="W491" i="17"/>
  <c r="O491" i="15"/>
  <c r="I491" i="16"/>
  <c r="O490" i="22"/>
  <c r="K490" i="22"/>
  <c r="O490" i="1"/>
  <c r="K490" i="1"/>
  <c r="AE490" i="26"/>
  <c r="AC490" i="26"/>
  <c r="AA490" i="26"/>
  <c r="Y490" i="26"/>
  <c r="AE490" i="14"/>
  <c r="O490" i="15"/>
  <c r="W490" i="16"/>
  <c r="G490" i="10"/>
  <c r="O489" i="22" l="1"/>
  <c r="G489" i="26"/>
  <c r="O489" i="15"/>
  <c r="W489" i="16"/>
  <c r="M489" i="16"/>
  <c r="G489" i="10"/>
  <c r="O488" i="22" l="1"/>
  <c r="W488" i="16"/>
  <c r="I488" i="16"/>
  <c r="O487" i="22"/>
  <c r="O487" i="1"/>
  <c r="G487" i="26"/>
  <c r="O487" i="15"/>
  <c r="I487" i="16"/>
  <c r="G487" i="10"/>
  <c r="O486" i="25"/>
  <c r="O486" i="22"/>
  <c r="O486" i="2"/>
  <c r="O486" i="1"/>
  <c r="O486" i="17"/>
  <c r="O486" i="15"/>
  <c r="I486" i="16"/>
  <c r="O485" i="22"/>
  <c r="O485" i="1"/>
  <c r="AE485" i="26"/>
  <c r="AA485" i="26"/>
  <c r="Y485" i="26"/>
  <c r="AE485" i="14"/>
  <c r="Y485" i="14"/>
  <c r="O485" i="15"/>
  <c r="W485" i="16"/>
  <c r="I485" i="16"/>
  <c r="O484" i="22"/>
  <c r="K484" i="22"/>
  <c r="O484" i="1"/>
  <c r="K484" i="1"/>
  <c r="AE484" i="26"/>
  <c r="AC484" i="26"/>
  <c r="AA484" i="26"/>
  <c r="Y484" i="26"/>
  <c r="AE484" i="14"/>
  <c r="Y484" i="14"/>
  <c r="AA484" i="15"/>
  <c r="O484" i="15"/>
  <c r="W484" i="16"/>
  <c r="G484" i="10"/>
  <c r="O483" i="22"/>
  <c r="O483" i="15"/>
  <c r="W483" i="16"/>
  <c r="I483" i="16"/>
  <c r="O482" i="22"/>
  <c r="K482" i="22"/>
  <c r="O482" i="1"/>
  <c r="AE482" i="26"/>
  <c r="AA482" i="26"/>
  <c r="AE482" i="14"/>
  <c r="O482" i="15"/>
  <c r="W482" i="16"/>
  <c r="M482" i="16"/>
  <c r="G482" i="10"/>
  <c r="AK481" i="22"/>
  <c r="O481" i="22"/>
  <c r="O481" i="1"/>
  <c r="G481" i="26"/>
  <c r="AA481" i="15"/>
  <c r="O481" i="15"/>
  <c r="W481" i="16"/>
  <c r="I481" i="16"/>
  <c r="AK479" i="22"/>
  <c r="O479" i="22"/>
  <c r="AG479" i="1"/>
  <c r="O479" i="1"/>
  <c r="O479" i="15"/>
  <c r="I479" i="16"/>
  <c r="O478" i="22"/>
  <c r="O478" i="1"/>
  <c r="G478" i="26"/>
  <c r="O478" i="15"/>
  <c r="W478" i="16"/>
  <c r="M478" i="16"/>
  <c r="I478" i="16"/>
  <c r="O475" i="22" l="1"/>
  <c r="K475" i="22"/>
  <c r="O475" i="1"/>
  <c r="K475" i="1"/>
  <c r="AE475" i="26"/>
  <c r="AC475" i="26"/>
  <c r="AA475" i="26"/>
  <c r="AE475" i="14"/>
  <c r="O475" i="15"/>
  <c r="W475" i="16"/>
  <c r="M475" i="16"/>
  <c r="G475" i="10"/>
  <c r="O473" i="25"/>
  <c r="O473" i="22"/>
  <c r="O473" i="2"/>
  <c r="O473" i="1"/>
  <c r="O473" i="17"/>
  <c r="I473" i="16"/>
  <c r="O472" i="22"/>
  <c r="O472" i="1"/>
  <c r="O472" i="15"/>
  <c r="W472" i="16"/>
  <c r="I472" i="16"/>
  <c r="O470" i="25"/>
  <c r="AK470" i="22"/>
  <c r="O470" i="22"/>
  <c r="O470" i="2"/>
  <c r="AG470" i="1"/>
  <c r="O470" i="1"/>
  <c r="G470" i="26"/>
  <c r="G470" i="14"/>
  <c r="O470" i="17"/>
  <c r="AA470" i="15"/>
  <c r="O470" i="15"/>
  <c r="I470" i="16"/>
  <c r="O469" i="22"/>
  <c r="O469" i="1"/>
  <c r="AE469" i="26"/>
  <c r="AA469" i="26"/>
  <c r="AE469" i="14"/>
  <c r="W469" i="16"/>
  <c r="I469" i="16"/>
  <c r="AR468" i="25"/>
  <c r="AE468" i="22"/>
  <c r="O468" i="22"/>
  <c r="K468" i="22"/>
  <c r="O468" i="1"/>
  <c r="K468" i="1"/>
  <c r="AA468" i="26"/>
  <c r="G468" i="26"/>
  <c r="G468" i="14"/>
  <c r="O468" i="15"/>
  <c r="W468" i="16"/>
  <c r="M468" i="16"/>
  <c r="W465" i="25"/>
  <c r="AE465" i="22"/>
  <c r="O465" i="22"/>
  <c r="W465" i="2"/>
  <c r="O465" i="1"/>
  <c r="W465" i="17"/>
  <c r="O465" i="15"/>
  <c r="I465" i="16"/>
  <c r="G465" i="10"/>
  <c r="AK463" i="22"/>
  <c r="O463" i="22"/>
  <c r="O463" i="1"/>
  <c r="AA463" i="15"/>
  <c r="O463" i="15"/>
  <c r="W463" i="16"/>
  <c r="M463" i="16"/>
  <c r="I463" i="16"/>
  <c r="AK461" i="22" l="1"/>
  <c r="O461" i="22"/>
  <c r="AG461" i="1" l="1"/>
  <c r="O461" i="1"/>
  <c r="O461" i="15"/>
  <c r="W461" i="16"/>
  <c r="M461" i="16"/>
  <c r="I461" i="16"/>
  <c r="G461" i="10"/>
  <c r="O460" i="22"/>
  <c r="K460" i="22"/>
  <c r="O460" i="1"/>
  <c r="AE460" i="26"/>
  <c r="AA460" i="26"/>
  <c r="Y460" i="26"/>
  <c r="G460" i="26"/>
  <c r="AE460" i="14"/>
  <c r="Y460" i="14"/>
  <c r="O460" i="15"/>
  <c r="W460" i="16"/>
  <c r="M460" i="16"/>
  <c r="M460" i="10"/>
  <c r="G460" i="10"/>
  <c r="O459" i="22"/>
  <c r="O459" i="1"/>
  <c r="O459" i="15"/>
  <c r="W459" i="16"/>
  <c r="I459" i="16"/>
  <c r="G459" i="10"/>
  <c r="W458" i="22" l="1"/>
  <c r="O458" i="22"/>
  <c r="K458" i="22"/>
  <c r="O458" i="1"/>
  <c r="K458" i="1"/>
  <c r="AE458" i="26"/>
  <c r="AA458" i="26"/>
  <c r="Y458" i="26"/>
  <c r="AE458" i="14"/>
  <c r="Y458" i="14"/>
  <c r="O458" i="15"/>
  <c r="W458" i="16"/>
  <c r="M458" i="16"/>
  <c r="G458" i="10"/>
  <c r="O457" i="22"/>
  <c r="W457" i="22"/>
  <c r="K457" i="22"/>
  <c r="O457" i="1"/>
  <c r="K457" i="1"/>
  <c r="O457" i="15"/>
  <c r="W457" i="16"/>
  <c r="M457" i="16"/>
  <c r="I457" i="16"/>
  <c r="G457" i="10"/>
  <c r="AR455" i="25" l="1"/>
  <c r="O455" i="22"/>
  <c r="K455" i="22"/>
  <c r="AR455" i="2"/>
  <c r="O455" i="1"/>
  <c r="K455" i="1"/>
  <c r="AE455" i="26"/>
  <c r="AA455" i="26"/>
  <c r="Y455" i="26"/>
  <c r="G455" i="26"/>
  <c r="AE455" i="14"/>
  <c r="O455" i="15"/>
  <c r="W455" i="16"/>
  <c r="M455" i="16"/>
  <c r="G455" i="10"/>
  <c r="O453" i="22" l="1"/>
  <c r="K453" i="22"/>
  <c r="O453" i="1"/>
  <c r="O453" i="15"/>
  <c r="W453" i="16"/>
  <c r="M453" i="16"/>
  <c r="G453" i="10"/>
  <c r="O452" i="22"/>
  <c r="O452" i="1"/>
  <c r="O452" i="15"/>
  <c r="W452" i="16"/>
  <c r="O451" i="22"/>
  <c r="O451" i="1"/>
  <c r="O451" i="15"/>
  <c r="W451" i="16"/>
  <c r="I451" i="16"/>
  <c r="O449" i="22"/>
  <c r="K449" i="22"/>
  <c r="O449" i="1"/>
  <c r="K449" i="1"/>
  <c r="AE449" i="26"/>
  <c r="AA449" i="26"/>
  <c r="Y449" i="26"/>
  <c r="G449" i="26"/>
  <c r="AE449" i="14"/>
  <c r="Y449" i="14"/>
  <c r="O449" i="15"/>
  <c r="W449" i="16"/>
  <c r="M449" i="10"/>
  <c r="O447" i="25" l="1"/>
  <c r="AK447" i="22"/>
  <c r="O447" i="22"/>
  <c r="AG447" i="1"/>
  <c r="O447" i="1"/>
  <c r="O447" i="17"/>
  <c r="AA447" i="15"/>
  <c r="O447" i="15"/>
  <c r="I447" i="16"/>
  <c r="G447" i="10"/>
  <c r="O446" i="22"/>
  <c r="O446" i="1"/>
  <c r="O446" i="15"/>
  <c r="W446" i="16"/>
  <c r="I446" i="16"/>
  <c r="K446" i="10"/>
  <c r="I446" i="10"/>
  <c r="G446" i="10"/>
  <c r="O443" i="22"/>
  <c r="O443" i="1"/>
  <c r="O443" i="15"/>
  <c r="W443" i="16"/>
  <c r="I443" i="16"/>
  <c r="G443" i="10"/>
  <c r="AK438" i="22"/>
  <c r="O438" i="22"/>
  <c r="K438" i="22"/>
  <c r="AG438" i="1"/>
  <c r="O438" i="1"/>
  <c r="G438" i="26"/>
  <c r="G438" i="14"/>
  <c r="O438" i="15"/>
  <c r="W438" i="16"/>
  <c r="I438" i="16"/>
  <c r="O437" i="22"/>
  <c r="I437" i="26"/>
  <c r="O437" i="15"/>
  <c r="W437" i="16"/>
  <c r="M437" i="16"/>
  <c r="I437" i="16"/>
  <c r="AK434" i="22"/>
  <c r="AE434" i="22"/>
  <c r="O434" i="22"/>
  <c r="K434" i="22"/>
  <c r="O434" i="1"/>
  <c r="K434" i="1"/>
  <c r="AE434" i="26"/>
  <c r="AA434" i="26"/>
  <c r="Y434" i="26"/>
  <c r="AE434" i="14"/>
  <c r="O434" i="15"/>
  <c r="W434" i="16"/>
  <c r="M434" i="16"/>
  <c r="G434" i="10"/>
  <c r="O433" i="22"/>
  <c r="M433" i="22"/>
  <c r="K433" i="22"/>
  <c r="M433" i="1"/>
  <c r="O433" i="1"/>
  <c r="AE433" i="26"/>
  <c r="AC433" i="26"/>
  <c r="AA433" i="26"/>
  <c r="Y433" i="26"/>
  <c r="G433" i="26"/>
  <c r="AE433" i="14"/>
  <c r="Y433" i="14"/>
  <c r="U433" i="15"/>
  <c r="O433" i="15"/>
  <c r="W433" i="16"/>
  <c r="M433" i="16"/>
  <c r="G433" i="10"/>
  <c r="O432" i="22"/>
  <c r="K432" i="22"/>
  <c r="O432" i="1"/>
  <c r="K432" i="1"/>
  <c r="AE432" i="26"/>
  <c r="AA432" i="26"/>
  <c r="Y432" i="26"/>
  <c r="AE432" i="14"/>
  <c r="Y432" i="14"/>
  <c r="O432" i="15"/>
  <c r="W432" i="16"/>
  <c r="M432" i="16"/>
  <c r="G432" i="10" l="1"/>
  <c r="O431" i="22"/>
  <c r="O431" i="1"/>
  <c r="O431" i="15"/>
  <c r="W431" i="16"/>
  <c r="M431" i="16"/>
  <c r="I431" i="16"/>
  <c r="G431" i="10"/>
  <c r="AE430" i="22"/>
  <c r="O430" i="22"/>
  <c r="O430" i="1"/>
  <c r="O430" i="15"/>
  <c r="W430" i="16"/>
  <c r="M430" i="16"/>
  <c r="I430" i="16"/>
  <c r="O428" i="22"/>
  <c r="O428" i="1"/>
  <c r="O428" i="15"/>
  <c r="W428" i="16"/>
  <c r="I428" i="16"/>
  <c r="O427" i="22"/>
  <c r="O427" i="1"/>
  <c r="G427" i="26"/>
  <c r="G427" i="14"/>
  <c r="AO427" i="17"/>
  <c r="O427" i="15"/>
  <c r="M427" i="16"/>
  <c r="W427" i="16"/>
  <c r="I427" i="16"/>
  <c r="G427" i="10"/>
  <c r="W426" i="25"/>
  <c r="O426" i="22"/>
  <c r="W426" i="2"/>
  <c r="O426" i="1"/>
  <c r="W426" i="17"/>
  <c r="O426" i="15"/>
  <c r="I426" i="16"/>
  <c r="W424" i="25"/>
  <c r="O424" i="22"/>
  <c r="W424" i="2"/>
  <c r="O424" i="1"/>
  <c r="W424" i="17"/>
  <c r="I424" i="16"/>
  <c r="O422" i="25"/>
  <c r="O422" i="22"/>
  <c r="O422" i="2"/>
  <c r="O422" i="1"/>
  <c r="O422" i="17"/>
  <c r="O422" i="15"/>
  <c r="I422" i="16"/>
  <c r="AK421" i="22"/>
  <c r="O421" i="22"/>
  <c r="AG421" i="1"/>
  <c r="O421" i="1"/>
  <c r="O421" i="15"/>
  <c r="W421" i="16"/>
  <c r="O418" i="22"/>
  <c r="O418" i="1"/>
  <c r="I418" i="26"/>
  <c r="AA418" i="15"/>
  <c r="O418" i="15"/>
  <c r="W418" i="16"/>
  <c r="I418" i="16"/>
  <c r="G418" i="10"/>
  <c r="O417" i="22" l="1"/>
  <c r="K417" i="22"/>
  <c r="O417" i="1"/>
  <c r="K417" i="1"/>
  <c r="AE417" i="26"/>
  <c r="AA417" i="26"/>
  <c r="Y417" i="26"/>
  <c r="G417" i="26"/>
  <c r="AE417" i="14"/>
  <c r="Y417" i="14"/>
  <c r="O417" i="15"/>
  <c r="W417" i="16"/>
  <c r="M417" i="16"/>
  <c r="G417" i="10"/>
  <c r="O416" i="22"/>
  <c r="O416" i="1"/>
  <c r="AA416" i="15"/>
  <c r="O416" i="15"/>
  <c r="W416" i="16"/>
  <c r="I416" i="16"/>
  <c r="G416" i="10"/>
  <c r="O415" i="22"/>
  <c r="AE415" i="22"/>
  <c r="O415" i="1"/>
  <c r="O415" i="15"/>
  <c r="W415" i="16"/>
  <c r="I415" i="16"/>
  <c r="AO414" i="22" l="1"/>
  <c r="O414" i="22"/>
  <c r="O414" i="1"/>
  <c r="I414" i="26"/>
  <c r="G414" i="26"/>
  <c r="I414" i="14"/>
  <c r="AA414" i="15"/>
  <c r="O414" i="15"/>
  <c r="W414" i="16"/>
  <c r="M414" i="16"/>
  <c r="I414" i="16"/>
  <c r="O413" i="22"/>
  <c r="O413" i="1"/>
  <c r="G413" i="26"/>
  <c r="AA413" i="15"/>
  <c r="O413" i="15"/>
  <c r="W413" i="16"/>
  <c r="M413" i="16"/>
  <c r="I413" i="16"/>
  <c r="O412" i="22"/>
  <c r="K412" i="22"/>
  <c r="O412" i="1"/>
  <c r="K412" i="1"/>
  <c r="AE412" i="26"/>
  <c r="AC412" i="26"/>
  <c r="AA412" i="26"/>
  <c r="Y412" i="26"/>
  <c r="G412" i="26"/>
  <c r="AE412" i="14"/>
  <c r="AC412" i="14"/>
  <c r="Y412" i="14"/>
  <c r="U412" i="15"/>
  <c r="O412" i="15"/>
  <c r="W412" i="16"/>
  <c r="G412" i="10"/>
  <c r="W411" i="25"/>
  <c r="AK411" i="22"/>
  <c r="O411" i="22"/>
  <c r="W411" i="2"/>
  <c r="AG411" i="1"/>
  <c r="O411" i="1"/>
  <c r="W411" i="17"/>
  <c r="O411" i="15"/>
  <c r="I411" i="16"/>
  <c r="O408" i="25"/>
  <c r="O408" i="22"/>
  <c r="O408" i="2"/>
  <c r="O408" i="1"/>
  <c r="G408" i="26"/>
  <c r="O408" i="17"/>
  <c r="AA408" i="15"/>
  <c r="W408" i="16"/>
  <c r="O407" i="22"/>
  <c r="O407" i="1"/>
  <c r="G407" i="26"/>
  <c r="O407" i="15"/>
  <c r="W407" i="16"/>
  <c r="M407" i="16"/>
  <c r="I407" i="16"/>
  <c r="O406" i="22"/>
  <c r="O406" i="1"/>
  <c r="O406" i="15"/>
  <c r="W406" i="16"/>
  <c r="M406" i="16"/>
  <c r="I406" i="16"/>
  <c r="O405" i="22"/>
  <c r="O405" i="1"/>
  <c r="O405" i="15"/>
  <c r="W405" i="16"/>
  <c r="I405" i="16"/>
  <c r="O404" i="22" l="1"/>
  <c r="O404" i="1"/>
  <c r="O404" i="15"/>
  <c r="W404" i="16"/>
  <c r="I404" i="16"/>
  <c r="G404" i="10"/>
  <c r="AR403" i="25" l="1"/>
  <c r="O403" i="22"/>
  <c r="K403" i="22"/>
  <c r="AR403" i="2"/>
  <c r="O403" i="1"/>
  <c r="K403" i="1"/>
  <c r="AE403" i="26"/>
  <c r="AA403" i="26"/>
  <c r="AE403" i="14"/>
  <c r="O403" i="15"/>
  <c r="W403" i="16"/>
  <c r="M403" i="16"/>
  <c r="G403" i="10"/>
  <c r="O402" i="22"/>
  <c r="O402" i="1"/>
  <c r="O402" i="15"/>
  <c r="W402" i="16"/>
  <c r="G402" i="10"/>
  <c r="O400" i="22" l="1"/>
  <c r="K400" i="22"/>
  <c r="O400" i="1"/>
  <c r="K400" i="1"/>
  <c r="AE400" i="26"/>
  <c r="AA400" i="26"/>
  <c r="AE400" i="14"/>
  <c r="O400" i="15"/>
  <c r="W400" i="16"/>
  <c r="M400" i="16"/>
  <c r="G400" i="10"/>
  <c r="O398" i="22"/>
  <c r="O398" i="15"/>
  <c r="I398" i="16"/>
  <c r="G398" i="10"/>
  <c r="O397" i="22"/>
  <c r="O397" i="1"/>
  <c r="AA397" i="15"/>
  <c r="O397" i="15"/>
  <c r="W397" i="16"/>
  <c r="I397" i="16"/>
  <c r="AE396" i="22"/>
  <c r="O396" i="22"/>
  <c r="O396" i="1"/>
  <c r="W396" i="16"/>
  <c r="I396" i="16"/>
  <c r="O395" i="22"/>
  <c r="O395" i="1"/>
  <c r="O395" i="15"/>
  <c r="W395" i="16"/>
  <c r="M395" i="16"/>
  <c r="I395" i="16"/>
  <c r="G395" i="10" l="1"/>
  <c r="O393" i="22"/>
  <c r="O393" i="1"/>
  <c r="O393" i="15"/>
  <c r="W393" i="16"/>
  <c r="M393" i="16"/>
  <c r="I393" i="16"/>
  <c r="AR392" i="25"/>
  <c r="O392" i="22"/>
  <c r="K392" i="22"/>
  <c r="AR392" i="2"/>
  <c r="O392" i="1"/>
  <c r="AE392" i="26"/>
  <c r="AA392" i="26"/>
  <c r="Y392" i="26"/>
  <c r="AE392" i="14"/>
  <c r="O392" i="15"/>
  <c r="W392" i="16"/>
  <c r="M392" i="16"/>
  <c r="M392" i="10"/>
  <c r="G392" i="10"/>
  <c r="O390" i="22"/>
  <c r="K390" i="22"/>
  <c r="O390" i="1"/>
  <c r="K390" i="1"/>
  <c r="AE390" i="26"/>
  <c r="AA390" i="26"/>
  <c r="Y390" i="26"/>
  <c r="AE390" i="14"/>
  <c r="AA390" i="15"/>
  <c r="O390" i="15"/>
  <c r="M390" i="16"/>
  <c r="W390" i="16"/>
  <c r="G390" i="10"/>
  <c r="O387" i="22"/>
  <c r="AA387" i="26"/>
  <c r="Y387" i="26"/>
  <c r="Y387" i="14"/>
  <c r="O387" i="15"/>
  <c r="I387" i="16"/>
  <c r="G387" i="10"/>
  <c r="I388" i="16"/>
  <c r="O386" i="22"/>
  <c r="O386" i="15"/>
  <c r="I386" i="16"/>
  <c r="M386" i="10"/>
  <c r="G386" i="10"/>
  <c r="O385" i="22" l="1"/>
  <c r="O385" i="1"/>
  <c r="O385" i="15"/>
  <c r="W385" i="16"/>
  <c r="M385" i="16"/>
  <c r="I385" i="16"/>
  <c r="W383" i="25"/>
  <c r="O383" i="22"/>
  <c r="W383" i="2"/>
  <c r="W383" i="17"/>
  <c r="O383" i="15"/>
  <c r="I383" i="16"/>
  <c r="O381" i="22"/>
  <c r="O381" i="15"/>
  <c r="W381" i="16"/>
  <c r="M381" i="16"/>
  <c r="I381" i="16"/>
  <c r="O380" i="22"/>
  <c r="O380" i="1"/>
  <c r="O380" i="15"/>
  <c r="W380" i="16"/>
  <c r="I380" i="16"/>
  <c r="G380" i="10"/>
  <c r="AZ379" i="25"/>
  <c r="W379" i="25"/>
  <c r="AE379" i="22"/>
  <c r="O379" i="22"/>
  <c r="K379" i="22"/>
  <c r="W379" i="2"/>
  <c r="K379" i="1"/>
  <c r="AE379" i="26"/>
  <c r="AA379" i="26"/>
  <c r="AE379" i="14"/>
  <c r="W379" i="17"/>
  <c r="O379" i="15"/>
  <c r="W379" i="16"/>
  <c r="M379" i="16"/>
  <c r="I379" i="16"/>
  <c r="G379" i="10"/>
  <c r="O378" i="22" l="1"/>
  <c r="K378" i="22"/>
  <c r="G378" i="26"/>
  <c r="G378" i="14"/>
  <c r="O378" i="15"/>
  <c r="W378" i="16"/>
  <c r="G378" i="10"/>
  <c r="AK376" i="22"/>
  <c r="AE376" i="22"/>
  <c r="O376" i="22"/>
  <c r="M376" i="22"/>
  <c r="O376" i="1"/>
  <c r="G376" i="26"/>
  <c r="G376" i="14"/>
  <c r="AA376" i="15"/>
  <c r="O376" i="15"/>
  <c r="W376" i="16" l="1"/>
  <c r="I376" i="16"/>
  <c r="I376" i="10"/>
  <c r="G376" i="10"/>
  <c r="S377" i="10"/>
  <c r="W377" i="10"/>
  <c r="W375" i="25" l="1"/>
  <c r="O375" i="22"/>
  <c r="W375" i="2"/>
  <c r="O375" i="1"/>
  <c r="W375" i="17"/>
  <c r="O375" i="15"/>
  <c r="I375" i="16"/>
  <c r="W373" i="25"/>
  <c r="O373" i="22"/>
  <c r="W373" i="2"/>
  <c r="W373" i="17"/>
  <c r="O373" i="15"/>
  <c r="AK372" i="22"/>
  <c r="O372" i="22"/>
  <c r="AG372" i="1"/>
  <c r="O372" i="1"/>
  <c r="AA372" i="15"/>
  <c r="O372" i="15"/>
  <c r="W372" i="16"/>
  <c r="M372" i="16"/>
  <c r="I372" i="16"/>
  <c r="G372" i="10"/>
  <c r="AE370" i="22" l="1"/>
  <c r="O370" i="22"/>
  <c r="K370" i="22"/>
  <c r="O370" i="1"/>
  <c r="K370" i="1"/>
  <c r="AE370" i="26"/>
  <c r="AA370" i="26"/>
  <c r="Y370" i="26"/>
  <c r="AE370" i="14"/>
  <c r="Y370" i="14"/>
  <c r="O370" i="15"/>
  <c r="W370" i="16"/>
  <c r="G370" i="10"/>
  <c r="O369" i="22"/>
  <c r="O369" i="1"/>
  <c r="O369" i="15"/>
  <c r="W369" i="16"/>
  <c r="I369" i="16"/>
  <c r="G369" i="10"/>
  <c r="O367" i="25"/>
  <c r="O367" i="22"/>
  <c r="O367" i="2"/>
  <c r="G367" i="26"/>
  <c r="O367" i="17"/>
  <c r="O367" i="15"/>
  <c r="I367" i="16"/>
  <c r="G367" i="10"/>
  <c r="O365" i="22" l="1"/>
  <c r="O365" i="15"/>
  <c r="W365" i="16"/>
  <c r="M365" i="16"/>
  <c r="I365" i="16"/>
  <c r="O364" i="22"/>
  <c r="O364" i="1"/>
  <c r="O364" i="15"/>
  <c r="W364" i="16"/>
  <c r="M364" i="16"/>
  <c r="I364" i="16"/>
  <c r="G364" i="10"/>
  <c r="AK363" i="22"/>
  <c r="O363" i="22"/>
  <c r="O363" i="1"/>
  <c r="O363" i="15"/>
  <c r="I363" i="16"/>
  <c r="W359" i="25"/>
  <c r="O359" i="22"/>
  <c r="W359" i="2"/>
  <c r="O359" i="1"/>
  <c r="W359" i="17"/>
  <c r="O359" i="15"/>
  <c r="I359" i="16"/>
  <c r="G359" i="10"/>
  <c r="AZ358" i="25"/>
  <c r="AR358" i="25"/>
  <c r="AP358" i="25"/>
  <c r="AK358" i="22"/>
  <c r="AE358" i="22"/>
  <c r="AP358" i="2"/>
  <c r="AG358" i="1"/>
  <c r="G358" i="26"/>
  <c r="O358" i="15"/>
  <c r="I358" i="16"/>
  <c r="G358" i="10"/>
  <c r="O357" i="25"/>
  <c r="O357" i="22"/>
  <c r="O357" i="2"/>
  <c r="O357" i="1"/>
  <c r="O357" i="17"/>
  <c r="O357" i="15"/>
  <c r="W357" i="16"/>
  <c r="M357" i="16"/>
  <c r="I357" i="16"/>
  <c r="K357" i="10"/>
  <c r="G357" i="10"/>
  <c r="O355" i="25"/>
  <c r="AK355" i="22"/>
  <c r="O355" i="22"/>
  <c r="O355" i="2"/>
  <c r="AG355" i="1"/>
  <c r="O355" i="1"/>
  <c r="AO355" i="17"/>
  <c r="O355" i="17"/>
  <c r="O355" i="15"/>
  <c r="W355" i="16"/>
  <c r="I355" i="16"/>
  <c r="W354" i="25"/>
  <c r="AE354" i="22"/>
  <c r="O354" i="22"/>
  <c r="W354" i="2"/>
  <c r="O354" i="1"/>
  <c r="G354" i="26"/>
  <c r="G354" i="14"/>
  <c r="W354" i="17"/>
  <c r="O354" i="15"/>
  <c r="I354" i="16"/>
  <c r="O353" i="22"/>
  <c r="K353" i="22"/>
  <c r="O353" i="1"/>
  <c r="K353" i="1"/>
  <c r="AE353" i="26"/>
  <c r="AA353" i="26"/>
  <c r="Y353" i="26"/>
  <c r="G353" i="26"/>
  <c r="AE353" i="14"/>
  <c r="Y353" i="14"/>
  <c r="O353" i="15"/>
  <c r="M353" i="16"/>
  <c r="W353" i="16"/>
  <c r="G353" i="10"/>
  <c r="O352" i="22" l="1"/>
  <c r="O352" i="1"/>
  <c r="O352" i="15"/>
  <c r="W352" i="16"/>
  <c r="I352" i="16"/>
  <c r="O351" i="25" l="1"/>
  <c r="AK351" i="22"/>
  <c r="O351" i="22"/>
  <c r="O351" i="2"/>
  <c r="AG351" i="1"/>
  <c r="O351" i="1"/>
  <c r="O351" i="17"/>
  <c r="AA351" i="15"/>
  <c r="O351" i="15"/>
  <c r="I351" i="16"/>
  <c r="K351" i="10"/>
  <c r="G351" i="10"/>
  <c r="AK350" i="22" l="1"/>
  <c r="AE350" i="22"/>
  <c r="O350" i="22"/>
  <c r="AG350" i="1"/>
  <c r="O350" i="1"/>
  <c r="G350" i="26"/>
  <c r="G350" i="14"/>
  <c r="O350" i="15"/>
  <c r="AA350" i="15"/>
  <c r="W350" i="16"/>
  <c r="M350" i="16"/>
  <c r="I350" i="16"/>
  <c r="G350" i="10"/>
  <c r="AE349" i="22"/>
  <c r="O349" i="22"/>
  <c r="K349" i="22"/>
  <c r="O349" i="1"/>
  <c r="K349" i="1"/>
  <c r="AE349" i="26"/>
  <c r="AA349" i="26"/>
  <c r="Y349" i="26"/>
  <c r="G349" i="26"/>
  <c r="AE349" i="14"/>
  <c r="Y349" i="14"/>
  <c r="O349" i="15"/>
  <c r="W349" i="16"/>
  <c r="M349" i="16"/>
  <c r="G349" i="10"/>
  <c r="O348" i="22"/>
  <c r="O348" i="1"/>
  <c r="O348" i="15"/>
  <c r="W348" i="16"/>
  <c r="M348" i="16"/>
  <c r="I348" i="16"/>
  <c r="AK346" i="22"/>
  <c r="O346" i="22"/>
  <c r="AG346" i="1"/>
  <c r="O346" i="1"/>
  <c r="G346" i="26"/>
  <c r="O346" i="15"/>
  <c r="W346" i="16"/>
  <c r="M346" i="16"/>
  <c r="I346" i="16"/>
  <c r="K345" i="25"/>
  <c r="O345" i="22"/>
  <c r="O345" i="1"/>
  <c r="K345" i="17"/>
  <c r="O345" i="15"/>
  <c r="W345" i="16"/>
  <c r="M345" i="16"/>
  <c r="I345" i="16"/>
  <c r="G345" i="10"/>
  <c r="W343" i="22"/>
  <c r="O343" i="22"/>
  <c r="W343" i="1"/>
  <c r="O343" i="1"/>
  <c r="AA343" i="15"/>
  <c r="O343" i="15"/>
  <c r="W343" i="16"/>
  <c r="I343" i="16"/>
  <c r="AK342" i="25"/>
  <c r="O342" i="25"/>
  <c r="AK342" i="22"/>
  <c r="O342" i="22"/>
  <c r="O342" i="2"/>
  <c r="AG342" i="1"/>
  <c r="O342" i="1"/>
  <c r="G342" i="26"/>
  <c r="AO342" i="17"/>
  <c r="O342" i="17"/>
  <c r="O342" i="15"/>
  <c r="I342" i="16"/>
  <c r="W341" i="25"/>
  <c r="AE341" i="22"/>
  <c r="O341" i="22"/>
  <c r="W341" i="2"/>
  <c r="O341" i="1"/>
  <c r="W341" i="17"/>
  <c r="O341" i="15"/>
  <c r="I341" i="16"/>
  <c r="AK340" i="22"/>
  <c r="AE340" i="22"/>
  <c r="O340" i="22"/>
  <c r="K340" i="22"/>
  <c r="O340" i="1"/>
  <c r="K340" i="1"/>
  <c r="AA340" i="26"/>
  <c r="Y340" i="26"/>
  <c r="G340" i="26"/>
  <c r="O340" i="15"/>
  <c r="W340" i="16"/>
  <c r="M340" i="16"/>
  <c r="AK339" i="22"/>
  <c r="O339" i="22"/>
  <c r="AG339" i="1"/>
  <c r="O339" i="1"/>
  <c r="AA339" i="26"/>
  <c r="AA339" i="15"/>
  <c r="O339" i="15"/>
  <c r="W339" i="16"/>
  <c r="M339" i="16"/>
  <c r="I339" i="16"/>
  <c r="O338" i="22"/>
  <c r="O338" i="1"/>
  <c r="O338" i="15"/>
  <c r="W338" i="16"/>
  <c r="I338" i="16"/>
  <c r="O336" i="22"/>
  <c r="K336" i="22"/>
  <c r="O336" i="1"/>
  <c r="K336" i="1"/>
  <c r="O336" i="15"/>
  <c r="W336" i="16"/>
  <c r="M336" i="16"/>
  <c r="I336" i="16"/>
  <c r="W334" i="25"/>
  <c r="O334" i="22"/>
  <c r="W334" i="2"/>
  <c r="O334" i="1"/>
  <c r="W334" i="17"/>
  <c r="O334" i="15"/>
  <c r="W334" i="16"/>
  <c r="I334" i="16"/>
  <c r="G334" i="10"/>
  <c r="O332" i="22" l="1"/>
  <c r="O332" i="1"/>
  <c r="O332" i="15"/>
  <c r="W332" i="16"/>
  <c r="M332" i="16"/>
  <c r="I332" i="16"/>
  <c r="G332" i="10"/>
  <c r="O333" i="22"/>
  <c r="K333" i="22"/>
  <c r="O333" i="1"/>
  <c r="K333" i="1"/>
  <c r="AE333" i="26"/>
  <c r="AA333" i="26"/>
  <c r="AE333" i="14"/>
  <c r="O333" i="15"/>
  <c r="W333" i="16"/>
  <c r="O331" i="22" l="1"/>
  <c r="K331" i="22"/>
  <c r="O331" i="1"/>
  <c r="AE331" i="26"/>
  <c r="AA331" i="26"/>
  <c r="Y331" i="26"/>
  <c r="G331" i="26"/>
  <c r="AE331" i="14"/>
  <c r="G331" i="14"/>
  <c r="O331" i="15"/>
  <c r="W331" i="16"/>
  <c r="M331" i="16"/>
  <c r="G331" i="10"/>
  <c r="AZ330" i="25"/>
  <c r="AE330" i="22"/>
  <c r="O330" i="22"/>
  <c r="O330" i="1"/>
  <c r="O330" i="15"/>
  <c r="W330" i="16"/>
  <c r="M330" i="16"/>
  <c r="I330" i="16"/>
  <c r="G330" i="10"/>
  <c r="AE329" i="22" l="1"/>
  <c r="O329" i="22"/>
  <c r="K329" i="22"/>
  <c r="O329" i="1"/>
  <c r="K329" i="1"/>
  <c r="AA329" i="26"/>
  <c r="Y329" i="26"/>
  <c r="Y329" i="14"/>
  <c r="O329" i="15"/>
  <c r="W329" i="16"/>
  <c r="M329" i="16"/>
  <c r="K329" i="10"/>
  <c r="G329" i="10"/>
  <c r="O327" i="22" l="1"/>
  <c r="O327" i="1"/>
  <c r="O327" i="15"/>
  <c r="W327" i="16"/>
  <c r="I327" i="16"/>
  <c r="AK326" i="22" l="1"/>
  <c r="O326" i="22"/>
  <c r="AG326" i="1"/>
  <c r="O326" i="15"/>
  <c r="I326" i="16"/>
  <c r="AR325" i="25"/>
  <c r="AK325" i="22"/>
  <c r="M325" i="22"/>
  <c r="O325" i="22"/>
  <c r="K325" i="22"/>
  <c r="AR325" i="2"/>
  <c r="AG325" i="1"/>
  <c r="M325" i="1"/>
  <c r="O325" i="1"/>
  <c r="K325" i="1"/>
  <c r="AE325" i="26"/>
  <c r="AA325" i="26"/>
  <c r="G325" i="26"/>
  <c r="AE325" i="14"/>
  <c r="U325" i="15"/>
  <c r="O325" i="15"/>
  <c r="W325" i="16"/>
  <c r="G325" i="10"/>
  <c r="W323" i="25"/>
  <c r="O323" i="22"/>
  <c r="W323" i="2"/>
  <c r="O323" i="1"/>
  <c r="W323" i="17" l="1"/>
  <c r="O323" i="15"/>
  <c r="I323" i="16"/>
  <c r="M323" i="10"/>
  <c r="G323" i="10"/>
  <c r="W322" i="25" l="1"/>
  <c r="O322" i="22"/>
  <c r="W322" i="2"/>
  <c r="O322" i="1"/>
  <c r="W322" i="17"/>
  <c r="O322" i="15"/>
  <c r="I322" i="16"/>
  <c r="W321" i="25"/>
  <c r="O321" i="22"/>
  <c r="W321" i="2"/>
  <c r="O321" i="1"/>
  <c r="W321" i="17"/>
  <c r="O321" i="15"/>
  <c r="I321" i="16"/>
  <c r="AK320" i="22" l="1"/>
  <c r="O320" i="22"/>
  <c r="AG320" i="1"/>
  <c r="O320" i="1"/>
  <c r="O320" i="15"/>
  <c r="W320" i="16"/>
  <c r="M320" i="16"/>
  <c r="I320" i="16"/>
  <c r="G320" i="10"/>
  <c r="O319" i="22"/>
  <c r="K319" i="22"/>
  <c r="O319" i="1"/>
  <c r="AE319" i="26"/>
  <c r="AC319" i="26"/>
  <c r="AA319" i="26"/>
  <c r="Y319" i="26"/>
  <c r="AE319" i="14"/>
  <c r="AC319" i="14"/>
  <c r="W319" i="16"/>
  <c r="O318" i="22"/>
  <c r="M318" i="22"/>
  <c r="K318" i="22"/>
  <c r="O318" i="1"/>
  <c r="M318" i="1"/>
  <c r="AE318" i="26"/>
  <c r="AC318" i="26"/>
  <c r="AA318" i="26"/>
  <c r="Y318" i="26"/>
  <c r="AE318" i="14"/>
  <c r="U318" i="15"/>
  <c r="O318" i="15"/>
  <c r="W318" i="16"/>
  <c r="M318" i="16"/>
  <c r="G318" i="10"/>
  <c r="W317" i="25" l="1"/>
  <c r="AE317" i="22"/>
  <c r="O317" i="22"/>
  <c r="W317" i="2"/>
  <c r="O317" i="1"/>
  <c r="W317" i="17"/>
  <c r="O317" i="15"/>
  <c r="I317" i="16"/>
  <c r="O316" i="22"/>
  <c r="O316" i="1"/>
  <c r="O316" i="15"/>
  <c r="W316" i="16"/>
  <c r="M316" i="16"/>
  <c r="I316" i="16"/>
  <c r="G316" i="10"/>
  <c r="AR315" i="25"/>
  <c r="O315" i="22"/>
  <c r="K315" i="22"/>
  <c r="AR315" i="2"/>
  <c r="O315" i="1"/>
  <c r="K315" i="1"/>
  <c r="AE315" i="26"/>
  <c r="AC315" i="26"/>
  <c r="AA315" i="26"/>
  <c r="Y315" i="26"/>
  <c r="AE315" i="14"/>
  <c r="AC315" i="14"/>
  <c r="Y315" i="14"/>
  <c r="O315" i="15"/>
  <c r="W315" i="16"/>
  <c r="O314" i="22"/>
  <c r="K314" i="22"/>
  <c r="O314" i="1"/>
  <c r="AA314" i="26"/>
  <c r="O314" i="15"/>
  <c r="W314" i="16"/>
  <c r="AK313" i="22" l="1"/>
  <c r="O313" i="22"/>
  <c r="AG313" i="1"/>
  <c r="O313" i="1"/>
  <c r="G313" i="26"/>
  <c r="G313" i="14"/>
  <c r="O313" i="15"/>
  <c r="I313" i="16"/>
  <c r="O312" i="22"/>
  <c r="O312" i="1"/>
  <c r="AE312" i="26"/>
  <c r="AA312" i="26"/>
  <c r="AE312" i="14"/>
  <c r="O312" i="15"/>
  <c r="W312" i="16"/>
  <c r="M312" i="16"/>
  <c r="I312" i="16"/>
  <c r="G312" i="10"/>
  <c r="O311" i="22"/>
  <c r="K311" i="22"/>
  <c r="O311" i="1"/>
  <c r="K311" i="1"/>
  <c r="O311" i="15"/>
  <c r="W311" i="16"/>
  <c r="M311" i="16"/>
  <c r="I311" i="16"/>
  <c r="O310" i="22"/>
  <c r="K310" i="22"/>
  <c r="O310" i="1"/>
  <c r="K310" i="1"/>
  <c r="AE310" i="26"/>
  <c r="AA310" i="26"/>
  <c r="Y310" i="26"/>
  <c r="G310" i="26"/>
  <c r="AE310" i="14"/>
  <c r="O310" i="15"/>
  <c r="W310" i="16"/>
  <c r="W308" i="25" l="1"/>
  <c r="O308" i="22"/>
  <c r="W308" i="2"/>
  <c r="O308" i="1"/>
  <c r="G308" i="26"/>
  <c r="W308" i="17"/>
  <c r="O308" i="15"/>
  <c r="I308" i="16"/>
  <c r="M308" i="10"/>
  <c r="O307" i="22"/>
  <c r="O307" i="1"/>
  <c r="O307" i="15"/>
  <c r="W307" i="16"/>
  <c r="G307" i="10"/>
  <c r="O306" i="22"/>
  <c r="K306" i="22"/>
  <c r="O306" i="1"/>
  <c r="K306" i="1"/>
  <c r="AE306" i="26"/>
  <c r="AA306" i="26"/>
  <c r="Y306" i="26"/>
  <c r="G306" i="26"/>
  <c r="AE306" i="14"/>
  <c r="O306" i="15"/>
  <c r="M306" i="16"/>
  <c r="G306" i="10"/>
  <c r="AK304" i="22"/>
  <c r="O304" i="22"/>
  <c r="AG304" i="1"/>
  <c r="AE304" i="26"/>
  <c r="AA304" i="26"/>
  <c r="AE304" i="14"/>
  <c r="O304" i="15"/>
  <c r="W304" i="16"/>
  <c r="I304" i="16"/>
  <c r="G304" i="10"/>
  <c r="AE303" i="22" l="1"/>
  <c r="AK303" i="22"/>
  <c r="O303" i="22"/>
  <c r="AG303" i="1"/>
  <c r="O303" i="1"/>
  <c r="AE303" i="26"/>
  <c r="AA303" i="26"/>
  <c r="G303" i="26"/>
  <c r="AE303" i="14"/>
  <c r="AA303" i="15"/>
  <c r="O303" i="15"/>
  <c r="W303" i="16"/>
  <c r="M303" i="16"/>
  <c r="I303" i="16"/>
  <c r="O302" i="25" l="1"/>
  <c r="AK302" i="22"/>
  <c r="O302" i="22"/>
  <c r="O302" i="2"/>
  <c r="AG302" i="1"/>
  <c r="G302" i="26"/>
  <c r="O302" i="17"/>
  <c r="AA302" i="15"/>
  <c r="O302" i="15"/>
  <c r="W302" i="16"/>
  <c r="M302" i="16"/>
  <c r="I302" i="16"/>
  <c r="O301" i="22"/>
  <c r="O301" i="1"/>
  <c r="G301" i="26"/>
  <c r="O301" i="15"/>
  <c r="W301" i="16"/>
  <c r="M301" i="16"/>
  <c r="I301" i="16"/>
  <c r="O300" i="25"/>
  <c r="AK300" i="22"/>
  <c r="O300" i="22"/>
  <c r="O300" i="2"/>
  <c r="O300" i="1"/>
  <c r="O300" i="17"/>
  <c r="AA300" i="15"/>
  <c r="O300" i="15"/>
  <c r="I300" i="16"/>
  <c r="G300" i="10"/>
  <c r="AX299" i="25"/>
  <c r="O299" i="22"/>
  <c r="O299" i="15"/>
  <c r="W299" i="16"/>
  <c r="M299" i="16"/>
  <c r="I299" i="16"/>
  <c r="O295" i="22"/>
  <c r="O295" i="1"/>
  <c r="W295" i="16"/>
  <c r="I295" i="16"/>
  <c r="AK293" i="22" l="1"/>
  <c r="AE293" i="22"/>
  <c r="O293" i="22"/>
  <c r="AG293" i="1"/>
  <c r="O293" i="1"/>
  <c r="G293" i="26"/>
  <c r="K293" i="26" s="1"/>
  <c r="AA293" i="15"/>
  <c r="O293" i="15"/>
  <c r="W293" i="16"/>
  <c r="O293" i="16" s="1"/>
  <c r="I293" i="16"/>
  <c r="G293" i="16" s="1"/>
  <c r="G293" i="10"/>
  <c r="K293" i="14"/>
  <c r="M293" i="15"/>
  <c r="Q293" i="26"/>
  <c r="Q293" i="14"/>
  <c r="W291" i="25"/>
  <c r="AE291" i="22"/>
  <c r="O291" i="22"/>
  <c r="W291" i="2"/>
  <c r="O291" i="1"/>
  <c r="W291" i="17"/>
  <c r="O291" i="15"/>
  <c r="I291" i="16"/>
  <c r="AK290" i="22"/>
  <c r="O290" i="22"/>
  <c r="K290" i="22"/>
  <c r="AG290" i="1"/>
  <c r="O290" i="1"/>
  <c r="K290" i="1"/>
  <c r="G290" i="26"/>
  <c r="G290" i="14"/>
  <c r="O290" i="15"/>
  <c r="W290" i="16"/>
  <c r="M290" i="16"/>
  <c r="G290" i="10"/>
  <c r="AE289" i="22"/>
  <c r="O289" i="22"/>
  <c r="K289" i="22"/>
  <c r="O289" i="1"/>
  <c r="K289" i="1"/>
  <c r="AE289" i="26"/>
  <c r="AA289" i="26"/>
  <c r="AE289" i="14"/>
  <c r="O289" i="15"/>
  <c r="W289" i="16"/>
  <c r="M289" i="16"/>
  <c r="G289" i="10"/>
  <c r="O288" i="22"/>
  <c r="O288" i="1"/>
  <c r="G288" i="26"/>
  <c r="O288" i="15"/>
  <c r="W288" i="16"/>
  <c r="I288" i="16"/>
  <c r="AE283" i="22" l="1"/>
  <c r="O283" i="22"/>
  <c r="O283" i="1"/>
  <c r="O283" i="17"/>
  <c r="O283" i="15"/>
  <c r="W283" i="16"/>
  <c r="M283" i="16"/>
  <c r="I283" i="16"/>
  <c r="AK282" i="25"/>
  <c r="AE282" i="22"/>
  <c r="W282" i="22"/>
  <c r="O282" i="22"/>
  <c r="M282" i="22"/>
  <c r="K282" i="22"/>
  <c r="AK282" i="2"/>
  <c r="W282" i="1"/>
  <c r="O282" i="1"/>
  <c r="M282" i="1"/>
  <c r="K282" i="1"/>
  <c r="AE282" i="26"/>
  <c r="AA282" i="26"/>
  <c r="Y282" i="26"/>
  <c r="G282" i="26"/>
  <c r="AE282" i="14"/>
  <c r="AO282" i="17"/>
  <c r="AA282" i="15"/>
  <c r="U282" i="15"/>
  <c r="O282" i="15"/>
  <c r="W282" i="16"/>
  <c r="M282" i="16"/>
  <c r="Q282" i="10"/>
  <c r="G282" i="10"/>
  <c r="AE281" i="22"/>
  <c r="M281" i="22"/>
  <c r="W281" i="22"/>
  <c r="O281" i="22"/>
  <c r="K281" i="22"/>
  <c r="M281" i="1"/>
  <c r="W281" i="1"/>
  <c r="O281" i="1"/>
  <c r="K281" i="1"/>
  <c r="G281" i="26"/>
  <c r="U281" i="15"/>
  <c r="O281" i="15"/>
  <c r="W281" i="16"/>
  <c r="M281" i="16"/>
  <c r="G281" i="10"/>
  <c r="AK279" i="25"/>
  <c r="O279" i="25"/>
  <c r="AE279" i="22"/>
  <c r="O279" i="22"/>
  <c r="AK279" i="2"/>
  <c r="O279" i="2"/>
  <c r="O279" i="1"/>
  <c r="G279" i="26"/>
  <c r="AO279" i="17"/>
  <c r="O279" i="17"/>
  <c r="O279" i="15"/>
  <c r="W279" i="16"/>
  <c r="M279" i="16"/>
  <c r="G279" i="10"/>
  <c r="AZ278" i="25"/>
  <c r="AK278" i="25"/>
  <c r="AE278" i="22"/>
  <c r="AK278" i="2"/>
  <c r="O278" i="15"/>
  <c r="W278" i="16"/>
  <c r="M278" i="16"/>
  <c r="I278" i="16"/>
  <c r="G278" i="10"/>
  <c r="K277" i="22"/>
  <c r="AE277" i="26"/>
  <c r="AE277" i="14"/>
  <c r="O277" i="15"/>
  <c r="W277" i="16"/>
  <c r="O275" i="22" l="1"/>
  <c r="O275" i="1"/>
  <c r="O275" i="15"/>
  <c r="W275" i="16"/>
  <c r="M275" i="16"/>
  <c r="I275" i="16"/>
  <c r="O274" i="22"/>
  <c r="K274" i="22"/>
  <c r="O274" i="1"/>
  <c r="AE274" i="26"/>
  <c r="AA274" i="26"/>
  <c r="AE274" i="14"/>
  <c r="O274" i="15"/>
  <c r="W274" i="16"/>
  <c r="M274" i="16"/>
  <c r="G274" i="10"/>
  <c r="O273" i="22"/>
  <c r="K273" i="22"/>
  <c r="O273" i="1"/>
  <c r="AE273" i="26"/>
  <c r="AA273" i="26"/>
  <c r="Y273" i="26"/>
  <c r="AE273" i="14"/>
  <c r="Y273" i="14"/>
  <c r="W273" i="16"/>
  <c r="O271" i="22"/>
  <c r="K271" i="22"/>
  <c r="AE271" i="26"/>
  <c r="AA271" i="26"/>
  <c r="Y271" i="26"/>
  <c r="AE271" i="14"/>
  <c r="Y271" i="14"/>
  <c r="O271" i="15"/>
  <c r="W271" i="16"/>
  <c r="AR270" i="25"/>
  <c r="AE270" i="22"/>
  <c r="O270" i="22"/>
  <c r="K270" i="22"/>
  <c r="AR270" i="2"/>
  <c r="O270" i="1"/>
  <c r="K270" i="1"/>
  <c r="AE270" i="26"/>
  <c r="AA270" i="26"/>
  <c r="Y270" i="26"/>
  <c r="AE270" i="14"/>
  <c r="O270" i="15"/>
  <c r="W270" i="16"/>
  <c r="M270" i="16"/>
  <c r="G270" i="10"/>
  <c r="AK269" i="22" l="1"/>
  <c r="AE269" i="22"/>
  <c r="O269" i="22"/>
  <c r="AA269" i="15"/>
  <c r="O269" i="15"/>
  <c r="W269" i="16"/>
  <c r="M269" i="16"/>
  <c r="I269" i="16"/>
  <c r="O268" i="22"/>
  <c r="K268" i="22"/>
  <c r="O268" i="1"/>
  <c r="K268" i="1"/>
  <c r="AE268" i="26"/>
  <c r="AA268" i="26"/>
  <c r="Y268" i="26"/>
  <c r="AE268" i="14"/>
  <c r="Y268" i="14"/>
  <c r="O268" i="15"/>
  <c r="W268" i="16"/>
  <c r="M268" i="16"/>
  <c r="G268" i="10"/>
  <c r="O267" i="22"/>
  <c r="K267" i="22"/>
  <c r="O267" i="1"/>
  <c r="K267" i="1"/>
  <c r="AE267" i="26"/>
  <c r="AA267" i="26"/>
  <c r="Y267" i="26"/>
  <c r="AE267" i="14"/>
  <c r="O267" i="15"/>
  <c r="W267" i="16"/>
  <c r="Q267" i="10"/>
  <c r="W266" i="22"/>
  <c r="O266" i="22"/>
  <c r="K266" i="22"/>
  <c r="O266" i="1"/>
  <c r="W266" i="1"/>
  <c r="K266" i="1"/>
  <c r="AE266" i="26"/>
  <c r="AA266" i="26"/>
  <c r="Y266" i="26"/>
  <c r="AE266" i="14"/>
  <c r="AC266" i="14"/>
  <c r="Y266" i="14"/>
  <c r="O266" i="15"/>
  <c r="W266" i="16"/>
  <c r="M266" i="16"/>
  <c r="G266" i="10"/>
  <c r="BJ263" i="25"/>
  <c r="AE263" i="22"/>
  <c r="O263" i="22"/>
  <c r="O263" i="1"/>
  <c r="I263" i="26"/>
  <c r="O263" i="15"/>
  <c r="W263" i="16"/>
  <c r="M263" i="16"/>
  <c r="I263" i="16"/>
  <c r="O262" i="22"/>
  <c r="O262" i="1"/>
  <c r="O262" i="15"/>
  <c r="I262" i="16"/>
  <c r="G262" i="10"/>
  <c r="O260" i="22"/>
  <c r="K260" i="22"/>
  <c r="O260" i="1"/>
  <c r="AE260" i="26"/>
  <c r="AA260" i="26"/>
  <c r="AE260" i="14"/>
  <c r="O260" i="15"/>
  <c r="W260" i="16"/>
  <c r="M260" i="16"/>
  <c r="G260" i="10"/>
  <c r="AE259" i="22" l="1"/>
  <c r="O259" i="22"/>
  <c r="O259" i="1"/>
  <c r="O259" i="15"/>
  <c r="W259" i="16"/>
  <c r="I259" i="16"/>
  <c r="O258" i="25"/>
  <c r="O258" i="22"/>
  <c r="O258" i="2"/>
  <c r="O258" i="1"/>
  <c r="O258" i="17"/>
  <c r="O258" i="15"/>
  <c r="I258" i="16"/>
  <c r="G257" i="10"/>
  <c r="O257" i="22"/>
  <c r="K257" i="22"/>
  <c r="O257" i="1"/>
  <c r="AE257" i="26"/>
  <c r="AA257" i="26"/>
  <c r="Y257" i="26"/>
  <c r="G257" i="26"/>
  <c r="AE257" i="14"/>
  <c r="G257" i="14"/>
  <c r="O257" i="15"/>
  <c r="W257" i="16"/>
  <c r="M257" i="16"/>
  <c r="O256" i="22"/>
  <c r="O256" i="1"/>
  <c r="AA256" i="15"/>
  <c r="O256" i="15"/>
  <c r="W256" i="16"/>
  <c r="G256" i="10"/>
  <c r="AE255" i="22"/>
  <c r="O255" i="22"/>
  <c r="K255" i="22"/>
  <c r="O255" i="1"/>
  <c r="AE255" i="26"/>
  <c r="AA255" i="26"/>
  <c r="AE255" i="14"/>
  <c r="O255" i="15"/>
  <c r="W255" i="16"/>
  <c r="M255" i="16"/>
  <c r="G255" i="10"/>
  <c r="W254" i="22"/>
  <c r="O254" i="22"/>
  <c r="K254" i="22"/>
  <c r="W254" i="1"/>
  <c r="O254" i="1"/>
  <c r="K254" i="1"/>
  <c r="G254" i="26"/>
  <c r="G254" i="14"/>
  <c r="O254" i="15"/>
  <c r="W254" i="16"/>
  <c r="I254" i="16"/>
  <c r="BJ253" i="25" l="1"/>
  <c r="AE253" i="22"/>
  <c r="O253" i="22"/>
  <c r="O253" i="1"/>
  <c r="O253" i="15"/>
  <c r="W253" i="16"/>
  <c r="M253" i="16"/>
  <c r="I253" i="16"/>
  <c r="O252" i="22"/>
  <c r="K252" i="22"/>
  <c r="O252" i="1"/>
  <c r="AE252" i="26"/>
  <c r="AA252" i="26"/>
  <c r="Y252" i="26"/>
  <c r="AE252" i="14"/>
  <c r="Y252" i="14"/>
  <c r="O252" i="15"/>
  <c r="W252" i="16"/>
  <c r="O250" i="22"/>
  <c r="O250" i="1"/>
  <c r="O250" i="15"/>
  <c r="W250" i="16"/>
  <c r="I250" i="16"/>
  <c r="O249" i="22"/>
  <c r="K249" i="22"/>
  <c r="O249" i="1"/>
  <c r="K249" i="1"/>
  <c r="AE249" i="26"/>
  <c r="AA249" i="26"/>
  <c r="Y249" i="26"/>
  <c r="AE249" i="14"/>
  <c r="Y249" i="14"/>
  <c r="O249" i="15"/>
  <c r="W249" i="16"/>
  <c r="O248" i="22"/>
  <c r="O248" i="1"/>
  <c r="O248" i="15"/>
  <c r="W248" i="16"/>
  <c r="M248" i="16"/>
  <c r="I248" i="16"/>
  <c r="AE247" i="22" l="1"/>
  <c r="AK247" i="22"/>
  <c r="W247" i="22"/>
  <c r="O247" i="22"/>
  <c r="K247" i="22"/>
  <c r="W247" i="1" l="1"/>
  <c r="O247" i="1"/>
  <c r="K247" i="1"/>
  <c r="G247" i="26"/>
  <c r="G247" i="14"/>
  <c r="O247" i="15"/>
  <c r="W247" i="16"/>
  <c r="M247" i="16"/>
  <c r="I247" i="16"/>
  <c r="K247" i="10"/>
  <c r="O246" i="22" l="1"/>
  <c r="O246" i="1"/>
  <c r="O246" i="15"/>
  <c r="W246" i="16"/>
  <c r="I246" i="16"/>
  <c r="O245" i="22" l="1"/>
  <c r="O245" i="1"/>
  <c r="G245" i="26"/>
  <c r="AA245" i="15"/>
  <c r="O245" i="15"/>
  <c r="W245" i="16"/>
  <c r="I245" i="16"/>
  <c r="W243" i="22"/>
  <c r="O243" i="22"/>
  <c r="K243" i="22"/>
  <c r="O243" i="1"/>
  <c r="G243" i="26"/>
  <c r="G243" i="14"/>
  <c r="O243" i="15"/>
  <c r="W243" i="16"/>
  <c r="M243" i="16"/>
  <c r="O241" i="25"/>
  <c r="O241" i="22"/>
  <c r="O241" i="2"/>
  <c r="O241" i="17"/>
  <c r="Q241" i="15"/>
  <c r="O241" i="15"/>
  <c r="W241" i="16"/>
  <c r="AE239" i="22"/>
  <c r="O239" i="22"/>
  <c r="AE239" i="26"/>
  <c r="AA239" i="26"/>
  <c r="AE239" i="14"/>
  <c r="O239" i="15"/>
  <c r="W239" i="16"/>
  <c r="M239" i="16"/>
  <c r="I239" i="16"/>
  <c r="O237" i="22" l="1"/>
  <c r="O237" i="1"/>
  <c r="AA237" i="26"/>
  <c r="G237" i="26"/>
  <c r="G237" i="14"/>
  <c r="W237" i="15"/>
  <c r="O237" i="15"/>
  <c r="W237" i="16"/>
  <c r="I237" i="16"/>
  <c r="O236" i="22"/>
  <c r="O236" i="1"/>
  <c r="G236" i="26"/>
  <c r="O236" i="15"/>
  <c r="W236" i="16"/>
  <c r="I236" i="16"/>
  <c r="W235" i="22"/>
  <c r="O235" i="22"/>
  <c r="M235" i="22"/>
  <c r="K235" i="22"/>
  <c r="O235" i="1"/>
  <c r="M235" i="1"/>
  <c r="K235" i="1"/>
  <c r="AE235" i="26"/>
  <c r="AA235" i="26"/>
  <c r="Y235" i="26"/>
  <c r="G235" i="26"/>
  <c r="AE235" i="14"/>
  <c r="U235" i="15"/>
  <c r="O235" i="15"/>
  <c r="W235" i="16"/>
  <c r="O234" i="22" l="1"/>
  <c r="O234" i="1"/>
  <c r="O234" i="15"/>
  <c r="W234" i="16"/>
  <c r="M234" i="16"/>
  <c r="I234" i="16"/>
  <c r="G234" i="10"/>
  <c r="AK233" i="22"/>
  <c r="O233" i="22"/>
  <c r="AG233" i="1"/>
  <c r="O233" i="1"/>
  <c r="G233" i="26"/>
  <c r="AA233" i="15"/>
  <c r="O233" i="15"/>
  <c r="W233" i="16"/>
  <c r="M233" i="16"/>
  <c r="I233" i="16"/>
  <c r="O231" i="25"/>
  <c r="AK231" i="22"/>
  <c r="O231" i="22"/>
  <c r="O231" i="2"/>
  <c r="O231" i="1"/>
  <c r="O231" i="17"/>
  <c r="O231" i="15"/>
  <c r="I231" i="16"/>
  <c r="Q231" i="10"/>
  <c r="O230" i="22"/>
  <c r="O230" i="1"/>
  <c r="W230" i="16" l="1"/>
  <c r="I230" i="16"/>
  <c r="O229" i="22" l="1"/>
  <c r="K228" i="22"/>
  <c r="O227" i="22"/>
  <c r="O225" i="22"/>
  <c r="O223" i="22"/>
  <c r="K223" i="22"/>
  <c r="O222" i="22"/>
  <c r="K222" i="22"/>
  <c r="O219" i="22"/>
  <c r="AA229" i="26"/>
  <c r="Q229" i="26"/>
  <c r="AC228" i="26"/>
  <c r="AA228" i="26"/>
  <c r="Q228" i="26"/>
  <c r="Q227" i="26"/>
  <c r="Q226" i="26"/>
  <c r="Q225" i="26"/>
  <c r="Q224" i="26"/>
  <c r="AE223" i="26"/>
  <c r="AA223" i="26"/>
  <c r="Y223" i="26"/>
  <c r="Q223" i="26"/>
  <c r="AE222" i="26"/>
  <c r="AA222" i="26"/>
  <c r="Y222" i="26"/>
  <c r="Q222" i="26"/>
  <c r="Q221" i="26"/>
  <c r="Q220" i="26"/>
  <c r="Q219" i="26"/>
  <c r="G229" i="26"/>
  <c r="G225" i="26"/>
  <c r="G219" i="26"/>
  <c r="O229" i="1"/>
  <c r="K228" i="1"/>
  <c r="O227" i="1"/>
  <c r="O225" i="1"/>
  <c r="O223" i="1"/>
  <c r="K223" i="1"/>
  <c r="O222" i="1"/>
  <c r="O219" i="1"/>
  <c r="Q229" i="14"/>
  <c r="Q228" i="14"/>
  <c r="Q227" i="14"/>
  <c r="Q226" i="14"/>
  <c r="Q225" i="14"/>
  <c r="Q224" i="14"/>
  <c r="AE223" i="14"/>
  <c r="Q223" i="14"/>
  <c r="AE222" i="14"/>
  <c r="Q222" i="14"/>
  <c r="Q221" i="14"/>
  <c r="Q220" i="14"/>
  <c r="Q219" i="14"/>
  <c r="O229" i="15"/>
  <c r="O228" i="15"/>
  <c r="O227" i="15"/>
  <c r="O225" i="15"/>
  <c r="O223" i="15"/>
  <c r="O222" i="15"/>
  <c r="AA219" i="15"/>
  <c r="O219" i="15"/>
  <c r="W229" i="16"/>
  <c r="S229" i="16"/>
  <c r="W228" i="16"/>
  <c r="S228" i="16"/>
  <c r="W227" i="16"/>
  <c r="S227" i="16"/>
  <c r="W225" i="16"/>
  <c r="S225" i="16"/>
  <c r="W223" i="16"/>
  <c r="S223" i="16"/>
  <c r="W222" i="16"/>
  <c r="S222" i="16"/>
  <c r="W219" i="16"/>
  <c r="S219" i="16"/>
  <c r="M229" i="16"/>
  <c r="I229" i="16"/>
  <c r="M227" i="16"/>
  <c r="I227" i="16"/>
  <c r="M225" i="16"/>
  <c r="I225" i="16"/>
  <c r="M223" i="16"/>
  <c r="M222" i="16"/>
  <c r="G228" i="10"/>
  <c r="G223" i="10"/>
  <c r="G222" i="10"/>
  <c r="O211" i="22" l="1"/>
  <c r="O211" i="1"/>
  <c r="G211" i="26"/>
  <c r="O211" i="15"/>
  <c r="W211" i="16"/>
  <c r="O171" i="22"/>
  <c r="O171" i="1"/>
  <c r="O171" i="15"/>
  <c r="W171" i="16"/>
  <c r="I171" i="16"/>
  <c r="AR212" i="25" l="1"/>
  <c r="O212" i="22"/>
  <c r="K212" i="22"/>
  <c r="AR212" i="2"/>
  <c r="O212" i="1"/>
  <c r="AE212" i="26"/>
  <c r="AA212" i="26"/>
  <c r="G212" i="26"/>
  <c r="AE212" i="14"/>
  <c r="O212" i="15"/>
  <c r="W212" i="16"/>
  <c r="M212" i="16"/>
  <c r="G212" i="10"/>
  <c r="AE208" i="22"/>
  <c r="O208" i="22"/>
  <c r="G208" i="26"/>
  <c r="O208" i="15"/>
  <c r="W208" i="16"/>
  <c r="M208" i="16"/>
  <c r="I208" i="16"/>
  <c r="O207" i="25"/>
  <c r="AK207" i="22"/>
  <c r="O207" i="22"/>
  <c r="O207" i="2"/>
  <c r="AG207" i="1"/>
  <c r="O207" i="1"/>
  <c r="O207" i="17"/>
  <c r="O207" i="15"/>
  <c r="W207" i="16"/>
  <c r="M207" i="16"/>
  <c r="I207" i="16"/>
  <c r="O204" i="22" l="1"/>
  <c r="O204" i="1"/>
  <c r="G204" i="26"/>
  <c r="O204" i="15"/>
  <c r="W204" i="16"/>
  <c r="M204" i="16"/>
  <c r="I204" i="16"/>
  <c r="O202" i="22"/>
  <c r="O202" i="15"/>
  <c r="I202" i="16"/>
  <c r="G202" i="10"/>
  <c r="M201" i="22"/>
  <c r="W201" i="22"/>
  <c r="O201" i="22"/>
  <c r="K201" i="22"/>
  <c r="M201" i="1"/>
  <c r="W201" i="1"/>
  <c r="O201" i="1"/>
  <c r="K201" i="1"/>
  <c r="AE201" i="26"/>
  <c r="AC201" i="26"/>
  <c r="AA201" i="26"/>
  <c r="Y201" i="26"/>
  <c r="AE201" i="14"/>
  <c r="AC201" i="14"/>
  <c r="U201" i="15"/>
  <c r="O201" i="15"/>
  <c r="W201" i="16"/>
  <c r="W200" i="25"/>
  <c r="AK200" i="22"/>
  <c r="O200" i="22"/>
  <c r="W200" i="2"/>
  <c r="O200" i="1"/>
  <c r="W200" i="17"/>
  <c r="O200" i="15"/>
  <c r="I200" i="16"/>
  <c r="W199" i="22"/>
  <c r="O199" i="22"/>
  <c r="M199" i="22"/>
  <c r="K199" i="22"/>
  <c r="W199" i="1"/>
  <c r="O199" i="1"/>
  <c r="M199" i="1"/>
  <c r="K199" i="1"/>
  <c r="AE199" i="26"/>
  <c r="AA199" i="26"/>
  <c r="Y199" i="26"/>
  <c r="G199" i="26"/>
  <c r="AE199" i="14"/>
  <c r="Y199" i="14"/>
  <c r="U199" i="15"/>
  <c r="O199" i="15"/>
  <c r="W199" i="16"/>
  <c r="G199" i="10"/>
  <c r="AE198" i="22"/>
  <c r="W198" i="22"/>
  <c r="O198" i="22"/>
  <c r="K198" i="22"/>
  <c r="W198" i="1"/>
  <c r="O198" i="1"/>
  <c r="K198" i="1"/>
  <c r="AE198" i="26"/>
  <c r="AA198" i="26"/>
  <c r="AE198" i="14"/>
  <c r="O198" i="15"/>
  <c r="W198" i="16"/>
  <c r="M198" i="16"/>
  <c r="G198" i="10"/>
  <c r="O197" i="22"/>
  <c r="O197" i="15"/>
  <c r="I197" i="16"/>
  <c r="O196" i="22" l="1"/>
  <c r="O196" i="1"/>
  <c r="G196" i="26"/>
  <c r="O196" i="15"/>
  <c r="W196" i="16"/>
  <c r="M196" i="16"/>
  <c r="I196" i="16"/>
  <c r="AO195" i="22"/>
  <c r="O195" i="22"/>
  <c r="O195" i="15"/>
  <c r="W195" i="16"/>
  <c r="M195" i="16"/>
  <c r="AE193" i="22"/>
  <c r="O193" i="22"/>
  <c r="K193" i="22"/>
  <c r="O193" i="1"/>
  <c r="K193" i="1"/>
  <c r="AE193" i="26"/>
  <c r="AA193" i="26"/>
  <c r="AE193" i="14"/>
  <c r="O193" i="15"/>
  <c r="W193" i="16"/>
  <c r="M193" i="16"/>
  <c r="G193" i="10"/>
  <c r="O191" i="22"/>
  <c r="K191" i="22"/>
  <c r="O191" i="1"/>
  <c r="AE191" i="26"/>
  <c r="AA191" i="26"/>
  <c r="Y191" i="26"/>
  <c r="AE191" i="14"/>
  <c r="O191" i="15"/>
  <c r="W191" i="16"/>
  <c r="M191" i="16"/>
  <c r="G191" i="10"/>
  <c r="O189" i="25"/>
  <c r="O189" i="22"/>
  <c r="O189" i="2"/>
  <c r="O189" i="1"/>
  <c r="AE189" i="26"/>
  <c r="AC189" i="26"/>
  <c r="AA189" i="26"/>
  <c r="Y189" i="26"/>
  <c r="AE189" i="14"/>
  <c r="AC189" i="14"/>
  <c r="Y189" i="14"/>
  <c r="O189" i="17"/>
  <c r="AA189" i="15"/>
  <c r="O189" i="15"/>
  <c r="W189" i="16"/>
  <c r="I189" i="16"/>
  <c r="O189" i="10"/>
  <c r="G189" i="10"/>
  <c r="AE188" i="22"/>
  <c r="O188" i="22"/>
  <c r="K188" i="22"/>
  <c r="O188" i="1"/>
  <c r="K188" i="1"/>
  <c r="AE188" i="26"/>
  <c r="AA188" i="26"/>
  <c r="G188" i="26"/>
  <c r="AE188" i="14"/>
  <c r="O188" i="15"/>
  <c r="W188" i="16"/>
  <c r="M188" i="16"/>
  <c r="G188" i="10"/>
  <c r="W187" i="22"/>
  <c r="O187" i="22"/>
  <c r="O187" i="1"/>
  <c r="O187" i="15"/>
  <c r="W187" i="16"/>
  <c r="M187" i="16"/>
  <c r="I187" i="16"/>
  <c r="G187" i="10"/>
  <c r="W186" i="25" l="1"/>
  <c r="AK186" i="22"/>
  <c r="O186" i="22"/>
  <c r="W186" i="2"/>
  <c r="AG186" i="1"/>
  <c r="O186" i="1"/>
  <c r="G186" i="26"/>
  <c r="G186" i="14"/>
  <c r="W186" i="17"/>
  <c r="O186" i="15"/>
  <c r="I186" i="16"/>
  <c r="W185" i="25"/>
  <c r="O185" i="22"/>
  <c r="W185" i="2"/>
  <c r="O185" i="1"/>
  <c r="W185" i="17"/>
  <c r="O185" i="15"/>
  <c r="I185" i="16"/>
  <c r="AE184" i="22"/>
  <c r="K184" i="22"/>
  <c r="W184" i="22"/>
  <c r="O184" i="22"/>
  <c r="W184" i="1"/>
  <c r="O184" i="1"/>
  <c r="K184" i="1"/>
  <c r="AE184" i="26"/>
  <c r="AA184" i="26"/>
  <c r="Y184" i="26"/>
  <c r="AE184" i="14"/>
  <c r="O184" i="15"/>
  <c r="W184" i="16"/>
  <c r="M184" i="16"/>
  <c r="G184" i="10"/>
  <c r="O182" i="22"/>
  <c r="O182" i="1"/>
  <c r="O182" i="15"/>
  <c r="W182" i="16"/>
  <c r="I182" i="16"/>
  <c r="K182" i="10"/>
  <c r="G182" i="10"/>
  <c r="O181" i="25"/>
  <c r="O181" i="22"/>
  <c r="O181" i="2"/>
  <c r="O181" i="1"/>
  <c r="G181" i="26"/>
  <c r="O181" i="17"/>
  <c r="AA181" i="15"/>
  <c r="O181" i="15"/>
  <c r="I181" i="16"/>
  <c r="O178" i="22" l="1"/>
  <c r="I178" i="26"/>
  <c r="G178" i="26"/>
  <c r="O178" i="15"/>
  <c r="W178" i="16"/>
  <c r="I178" i="16"/>
  <c r="W176" i="22" l="1"/>
  <c r="O176" i="22"/>
  <c r="K176" i="22"/>
  <c r="W176" i="1"/>
  <c r="O176" i="1"/>
  <c r="AE176" i="26"/>
  <c r="AA176" i="26"/>
  <c r="Y176" i="26"/>
  <c r="AE176" i="14"/>
  <c r="AA176" i="15"/>
  <c r="W176" i="16"/>
  <c r="O175" i="22"/>
  <c r="K175" i="22"/>
  <c r="O175" i="1"/>
  <c r="K175" i="1"/>
  <c r="AE175" i="26"/>
  <c r="AA175" i="26"/>
  <c r="Y175" i="26"/>
  <c r="AE175" i="14"/>
  <c r="Y175" i="14"/>
  <c r="O175" i="15"/>
  <c r="W175" i="16"/>
  <c r="AK174" i="22"/>
  <c r="W174" i="22"/>
  <c r="O174" i="22"/>
  <c r="M174" i="22"/>
  <c r="K174" i="22"/>
  <c r="AG174" i="1"/>
  <c r="O174" i="1"/>
  <c r="W174" i="1"/>
  <c r="K174" i="1"/>
  <c r="AE174" i="26"/>
  <c r="AA174" i="26"/>
  <c r="Y174" i="26"/>
  <c r="AE174" i="14"/>
  <c r="U174" i="15"/>
  <c r="O174" i="15"/>
  <c r="W174" i="16"/>
  <c r="M174" i="16"/>
  <c r="G174" i="10"/>
  <c r="O169" i="25" l="1"/>
  <c r="O169" i="22"/>
  <c r="O169" i="2"/>
  <c r="O169" i="1"/>
  <c r="O169" i="17"/>
  <c r="AA169" i="15"/>
  <c r="O169" i="15"/>
  <c r="I169" i="16"/>
  <c r="G169" i="10"/>
  <c r="AK168" i="22"/>
  <c r="O168" i="22"/>
  <c r="AG168" i="1"/>
  <c r="O168" i="1"/>
  <c r="AA168" i="15"/>
  <c r="O168" i="15"/>
  <c r="W168" i="16"/>
  <c r="I168" i="16"/>
  <c r="G168" i="10"/>
  <c r="O167" i="22"/>
  <c r="O167" i="1"/>
  <c r="G167" i="26"/>
  <c r="G167" i="14"/>
  <c r="O167" i="15"/>
  <c r="I167" i="16"/>
  <c r="O166" i="22"/>
  <c r="O166" i="1"/>
  <c r="AE166" i="26"/>
  <c r="AA166" i="26"/>
  <c r="Y166" i="26"/>
  <c r="G166" i="26"/>
  <c r="AE166" i="14"/>
  <c r="Y166" i="14"/>
  <c r="O166" i="15"/>
  <c r="W166" i="16"/>
  <c r="I166" i="16"/>
  <c r="O165" i="25"/>
  <c r="O165" i="22"/>
  <c r="O165" i="2"/>
  <c r="O165" i="1"/>
  <c r="G165" i="26"/>
  <c r="O165" i="17"/>
  <c r="O165" i="15"/>
  <c r="I165" i="16"/>
  <c r="O163" i="22"/>
  <c r="O163" i="1"/>
  <c r="O163" i="15"/>
  <c r="I163" i="16"/>
  <c r="AK162" i="22"/>
  <c r="O162" i="22"/>
  <c r="AG162" i="1"/>
  <c r="O162" i="1"/>
  <c r="AA162" i="26"/>
  <c r="O162" i="15"/>
  <c r="I162" i="16"/>
  <c r="G162" i="10"/>
  <c r="W161" i="22" l="1"/>
  <c r="O161" i="22"/>
  <c r="O161" i="1"/>
  <c r="AA161" i="15"/>
  <c r="O161" i="15"/>
  <c r="W161" i="16"/>
  <c r="M161" i="16"/>
  <c r="I161" i="16"/>
  <c r="G161" i="10"/>
  <c r="O160" i="22"/>
  <c r="O160" i="1"/>
  <c r="G160" i="26"/>
  <c r="G160" i="14"/>
  <c r="O160" i="15"/>
  <c r="W160" i="16"/>
  <c r="M160" i="16"/>
  <c r="I160" i="16"/>
  <c r="AR159" i="25" l="1"/>
  <c r="W159" i="25"/>
  <c r="AE159" i="22"/>
  <c r="W159" i="22"/>
  <c r="K159" i="22"/>
  <c r="W159" i="2"/>
  <c r="W159" i="1"/>
  <c r="AE159" i="26"/>
  <c r="AC159" i="26"/>
  <c r="AA159" i="26"/>
  <c r="AE159" i="14"/>
  <c r="W159" i="17"/>
  <c r="O159" i="15"/>
  <c r="W159" i="16"/>
  <c r="M159" i="16"/>
  <c r="I159" i="16"/>
  <c r="G159" i="10"/>
  <c r="O158" i="25"/>
  <c r="O158" i="22"/>
  <c r="O158" i="2"/>
  <c r="O158" i="17"/>
  <c r="O158" i="15"/>
  <c r="I158" i="16"/>
  <c r="O157" i="22"/>
  <c r="O157" i="1"/>
  <c r="O157" i="15"/>
  <c r="W157" i="16"/>
  <c r="I157" i="16"/>
  <c r="O156" i="25"/>
  <c r="AE156" i="22"/>
  <c r="W156" i="22"/>
  <c r="O156" i="22"/>
  <c r="O156" i="2"/>
  <c r="W156" i="1"/>
  <c r="O156" i="1"/>
  <c r="O156" i="17"/>
  <c r="O156" i="15"/>
  <c r="W156" i="16"/>
  <c r="M156" i="16"/>
  <c r="I156" i="16"/>
  <c r="W154" i="25" l="1"/>
  <c r="O154" i="22"/>
  <c r="W154" i="2"/>
  <c r="O154" i="1"/>
  <c r="W154" i="17"/>
  <c r="O154" i="15"/>
  <c r="I154" i="16"/>
  <c r="O153" i="22"/>
  <c r="AZ153" i="25"/>
  <c r="AE153" i="22"/>
  <c r="W153" i="22"/>
  <c r="W153" i="1"/>
  <c r="O153" i="1"/>
  <c r="G153" i="26"/>
  <c r="O153" i="15"/>
  <c r="W153" i="16"/>
  <c r="M153" i="16"/>
  <c r="I153" i="16"/>
  <c r="Q153" i="10"/>
  <c r="O152" i="22"/>
  <c r="O152" i="1"/>
  <c r="O152" i="15"/>
  <c r="W152" i="16"/>
  <c r="M152" i="16"/>
  <c r="I152" i="16"/>
  <c r="Q152" i="10"/>
  <c r="G152" i="10"/>
  <c r="O149" i="22" l="1"/>
  <c r="K149" i="22"/>
  <c r="O149" i="1"/>
  <c r="K149" i="1"/>
  <c r="AE149" i="26"/>
  <c r="AA149" i="26"/>
  <c r="G149" i="26"/>
  <c r="AE149" i="14"/>
  <c r="AA149" i="15"/>
  <c r="O149" i="15"/>
  <c r="W149" i="16"/>
  <c r="G149" i="10"/>
  <c r="AI213" i="26"/>
  <c r="AI214" i="26"/>
  <c r="AI215" i="26"/>
  <c r="AI216" i="26"/>
  <c r="AI217" i="26"/>
  <c r="AI218" i="26"/>
  <c r="K213" i="26"/>
  <c r="K214" i="26"/>
  <c r="K215" i="26"/>
  <c r="K216" i="26"/>
  <c r="K217" i="26"/>
  <c r="K218" i="26"/>
  <c r="AI213" i="14"/>
  <c r="AI214" i="14"/>
  <c r="AI215" i="14"/>
  <c r="AI216" i="14"/>
  <c r="AI217" i="14"/>
  <c r="AI218" i="14"/>
  <c r="K213" i="14"/>
  <c r="K214" i="14"/>
  <c r="K215" i="14"/>
  <c r="K216" i="14"/>
  <c r="K217" i="14"/>
  <c r="K218" i="14"/>
  <c r="AG213" i="15"/>
  <c r="AG214" i="15"/>
  <c r="AI214" i="15" s="1"/>
  <c r="AG215" i="15"/>
  <c r="AI215" i="15" s="1"/>
  <c r="AG216" i="15"/>
  <c r="AG217" i="15"/>
  <c r="AG218" i="15"/>
  <c r="AI218" i="15" s="1"/>
  <c r="M213" i="15"/>
  <c r="AI213" i="15" s="1"/>
  <c r="M214" i="15"/>
  <c r="M215" i="15"/>
  <c r="M216" i="15"/>
  <c r="AI216" i="15" s="1"/>
  <c r="M217" i="15"/>
  <c r="AI217" i="15" s="1"/>
  <c r="M218" i="15"/>
  <c r="AA213" i="16"/>
  <c r="AA214" i="16"/>
  <c r="AA215" i="16"/>
  <c r="AA216" i="16"/>
  <c r="AA217" i="16"/>
  <c r="AA218" i="16"/>
  <c r="O213" i="16"/>
  <c r="O214" i="16"/>
  <c r="O215" i="16"/>
  <c r="O216" i="16"/>
  <c r="O217" i="16"/>
  <c r="O218" i="16"/>
  <c r="G213" i="16"/>
  <c r="G214" i="16"/>
  <c r="G215" i="16"/>
  <c r="G216" i="16"/>
  <c r="G217" i="16"/>
  <c r="G218" i="16"/>
  <c r="W213" i="10"/>
  <c r="W214" i="10"/>
  <c r="W215" i="10"/>
  <c r="W216" i="10"/>
  <c r="W217" i="10"/>
  <c r="W218" i="10"/>
  <c r="W219" i="10"/>
  <c r="S213" i="10"/>
  <c r="S214" i="10"/>
  <c r="S215" i="10"/>
  <c r="S216" i="10"/>
  <c r="S217" i="10"/>
  <c r="S218" i="10"/>
  <c r="O148" i="22" l="1"/>
  <c r="O148" i="1"/>
  <c r="W148" i="16"/>
  <c r="I148" i="16"/>
  <c r="AR147" i="25"/>
  <c r="AK147" i="22"/>
  <c r="W147" i="22"/>
  <c r="O147" i="22"/>
  <c r="K147" i="22"/>
  <c r="AR147" i="2"/>
  <c r="AG147" i="1"/>
  <c r="W147" i="1"/>
  <c r="O147" i="1"/>
  <c r="K147" i="1"/>
  <c r="AE147" i="26"/>
  <c r="AC147" i="26"/>
  <c r="AA147" i="26"/>
  <c r="Y147" i="26"/>
  <c r="AE147" i="14"/>
  <c r="AC147" i="14"/>
  <c r="Y147" i="14"/>
  <c r="O147" i="15"/>
  <c r="W147" i="16"/>
  <c r="M147" i="16"/>
  <c r="G147" i="10"/>
  <c r="O146" i="22" l="1"/>
  <c r="K146" i="22"/>
  <c r="O146" i="1"/>
  <c r="K146" i="1"/>
  <c r="O146" i="15"/>
  <c r="W146" i="16"/>
  <c r="I146" i="16"/>
  <c r="O145" i="25"/>
  <c r="O145" i="22"/>
  <c r="O145" i="2"/>
  <c r="O145" i="1"/>
  <c r="G145" i="26"/>
  <c r="O145" i="17"/>
  <c r="O145" i="15"/>
  <c r="I145" i="16"/>
  <c r="W143" i="22"/>
  <c r="O143" i="22"/>
  <c r="K143" i="22"/>
  <c r="W143" i="1"/>
  <c r="O143" i="1"/>
  <c r="AE143" i="26"/>
  <c r="AA143" i="26"/>
  <c r="Y143" i="26"/>
  <c r="AE143" i="14"/>
  <c r="Y143" i="14"/>
  <c r="O143" i="15"/>
  <c r="W143" i="16"/>
  <c r="M143" i="16"/>
  <c r="O142" i="22"/>
  <c r="O142" i="1"/>
  <c r="O142" i="15"/>
  <c r="W142" i="16"/>
  <c r="I142" i="16"/>
  <c r="G142" i="10"/>
  <c r="O140" i="22"/>
  <c r="K140" i="22"/>
  <c r="O140" i="1"/>
  <c r="K140" i="1"/>
  <c r="AE140" i="26"/>
  <c r="AA140" i="26"/>
  <c r="Y140" i="26"/>
  <c r="AE140" i="14"/>
  <c r="AA140" i="16"/>
  <c r="W140" i="16"/>
  <c r="O140" i="16" s="1"/>
  <c r="G140" i="16"/>
  <c r="AG140" i="15"/>
  <c r="M140" i="15"/>
  <c r="AI140" i="15" l="1"/>
  <c r="W138" i="22"/>
  <c r="O138" i="22"/>
  <c r="K138" i="22"/>
  <c r="O138" i="1"/>
  <c r="AA138" i="15"/>
  <c r="O138" i="15"/>
  <c r="W138" i="16"/>
  <c r="I138" i="16"/>
  <c r="O137" i="22"/>
  <c r="O137" i="15"/>
  <c r="W137" i="16"/>
  <c r="I137" i="16"/>
  <c r="O136" i="22"/>
  <c r="M136" i="22"/>
  <c r="O136" i="1"/>
  <c r="M136" i="1"/>
  <c r="O136" i="15"/>
  <c r="U136" i="15"/>
  <c r="W136" i="16"/>
  <c r="O134" i="22"/>
  <c r="K134" i="22"/>
  <c r="AE134" i="26"/>
  <c r="AA134" i="26"/>
  <c r="Y134" i="26"/>
  <c r="AE134" i="14"/>
  <c r="O134" i="15"/>
  <c r="W134" i="16"/>
  <c r="O133" i="22"/>
  <c r="O133" i="15"/>
  <c r="W133" i="16"/>
  <c r="M133" i="16"/>
  <c r="I133" i="16"/>
  <c r="M131" i="25"/>
  <c r="AK131" i="22"/>
  <c r="AE131" i="22"/>
  <c r="O131" i="22"/>
  <c r="O131" i="1" l="1"/>
  <c r="I131" i="26"/>
  <c r="G131" i="26"/>
  <c r="M131" i="17"/>
  <c r="AA131" i="15"/>
  <c r="O131" i="15"/>
  <c r="W131" i="16"/>
  <c r="M131" i="16"/>
  <c r="I131" i="16"/>
  <c r="G131" i="10"/>
  <c r="O130" i="22"/>
  <c r="O130" i="1"/>
  <c r="G130" i="26"/>
  <c r="G130" i="14"/>
  <c r="O130" i="15"/>
  <c r="W130" i="16"/>
  <c r="M130" i="16"/>
  <c r="I130" i="16"/>
  <c r="G130" i="10"/>
  <c r="AR129" i="25"/>
  <c r="O129" i="22"/>
  <c r="K129" i="22"/>
  <c r="O129" i="1"/>
  <c r="AA129" i="26"/>
  <c r="G129" i="26"/>
  <c r="O129" i="15"/>
  <c r="W129" i="16"/>
  <c r="G129" i="10"/>
  <c r="AR128" i="25"/>
  <c r="O128" i="22"/>
  <c r="W128" i="22"/>
  <c r="K128" i="22"/>
  <c r="AR128" i="2"/>
  <c r="W128" i="1"/>
  <c r="O128" i="1"/>
  <c r="K128" i="1"/>
  <c r="AC128" i="26"/>
  <c r="AE128" i="26"/>
  <c r="AA128" i="26"/>
  <c r="AE128" i="14"/>
  <c r="O128" i="15"/>
  <c r="W128" i="16"/>
  <c r="M128" i="16"/>
  <c r="G128" i="10"/>
  <c r="O125" i="22"/>
  <c r="K125" i="22"/>
  <c r="O125" i="1"/>
  <c r="AE125" i="26"/>
  <c r="AA125" i="26"/>
  <c r="Y125" i="26"/>
  <c r="AE125" i="14"/>
  <c r="O125" i="15"/>
  <c r="W125" i="16"/>
  <c r="M125" i="16"/>
  <c r="G125" i="10"/>
  <c r="K124" i="22"/>
  <c r="W124" i="22"/>
  <c r="O124" i="22"/>
  <c r="O124" i="1"/>
  <c r="K124" i="1"/>
  <c r="AE124" i="26"/>
  <c r="AA124" i="26"/>
  <c r="Y124" i="26"/>
  <c r="G124" i="26"/>
  <c r="AE124" i="14"/>
  <c r="Y124" i="14"/>
  <c r="G124" i="14"/>
  <c r="AA124" i="15"/>
  <c r="O124" i="15"/>
  <c r="W124" i="16"/>
  <c r="Q124" i="10"/>
  <c r="W123" i="25"/>
  <c r="AK123" i="22"/>
  <c r="AE123" i="22"/>
  <c r="O123" i="22"/>
  <c r="W123" i="2"/>
  <c r="AG123" i="1"/>
  <c r="AE123" i="1"/>
  <c r="O123" i="1"/>
  <c r="W123" i="17"/>
  <c r="O123" i="15"/>
  <c r="I123" i="16"/>
  <c r="AK121" i="25"/>
  <c r="AE121" i="22"/>
  <c r="O121" i="22"/>
  <c r="AK121" i="2"/>
  <c r="O121" i="1"/>
  <c r="AO121" i="17"/>
  <c r="O121" i="15"/>
  <c r="I121" i="16"/>
  <c r="G121" i="10"/>
  <c r="AE122" i="22"/>
  <c r="W122" i="22"/>
  <c r="K122" i="22"/>
  <c r="W122" i="1"/>
  <c r="K122" i="1"/>
  <c r="G122" i="26"/>
  <c r="O122" i="15"/>
  <c r="W122" i="16"/>
  <c r="I122" i="16"/>
  <c r="U122" i="10"/>
  <c r="G122" i="10"/>
  <c r="O120" i="22"/>
  <c r="AK120" i="2"/>
  <c r="AO120" i="17"/>
  <c r="O120" i="15"/>
  <c r="I120" i="16"/>
  <c r="O118" i="22" l="1"/>
  <c r="W118" i="22"/>
  <c r="K118" i="22"/>
  <c r="W118" i="1"/>
  <c r="O118" i="1"/>
  <c r="AE118" i="26"/>
  <c r="AA118" i="26"/>
  <c r="Y118" i="26"/>
  <c r="G118" i="26"/>
  <c r="AE118" i="14"/>
  <c r="Y118" i="14"/>
  <c r="G118" i="14"/>
  <c r="O118" i="15"/>
  <c r="W118" i="16"/>
  <c r="M118" i="16"/>
  <c r="G118" i="10"/>
  <c r="O117" i="22"/>
  <c r="K117" i="22"/>
  <c r="O117" i="1"/>
  <c r="K117" i="1"/>
  <c r="AE117" i="26"/>
  <c r="AA117" i="26"/>
  <c r="Y117" i="26"/>
  <c r="AE117" i="14"/>
  <c r="O117" i="15"/>
  <c r="W117" i="16"/>
  <c r="M117" i="16"/>
  <c r="G117" i="10"/>
  <c r="O116" i="22"/>
  <c r="G116" i="26"/>
  <c r="O116" i="15"/>
  <c r="W116" i="16"/>
  <c r="I116" i="16"/>
  <c r="O115" i="22"/>
  <c r="O115" i="1"/>
  <c r="O115" i="15"/>
  <c r="W115" i="16"/>
  <c r="I115" i="16"/>
  <c r="AR114" i="25" l="1"/>
  <c r="W114" i="22"/>
  <c r="O114" i="22"/>
  <c r="K114" i="22"/>
  <c r="AR114" i="2"/>
  <c r="W114" i="1"/>
  <c r="O114" i="1"/>
  <c r="K114" i="1"/>
  <c r="AE114" i="26"/>
  <c r="AC114" i="26"/>
  <c r="AA114" i="26"/>
  <c r="Y114" i="26"/>
  <c r="G114" i="26"/>
  <c r="AE114" i="14"/>
  <c r="AC114" i="14"/>
  <c r="Y114" i="14"/>
  <c r="O114" i="15"/>
  <c r="W114" i="16"/>
  <c r="G114" i="10"/>
  <c r="W113" i="22"/>
  <c r="K113" i="22"/>
  <c r="K113" i="1"/>
  <c r="G113" i="26"/>
  <c r="O113" i="15"/>
  <c r="W113" i="16"/>
  <c r="M113" i="16"/>
  <c r="I113" i="16"/>
  <c r="O112" i="22"/>
  <c r="K112" i="22"/>
  <c r="O112" i="1"/>
  <c r="K112" i="1"/>
  <c r="AE112" i="26"/>
  <c r="AA112" i="26"/>
  <c r="Y112" i="26"/>
  <c r="AE112" i="14"/>
  <c r="O112" i="15"/>
  <c r="W112" i="16"/>
  <c r="W111" i="22"/>
  <c r="O111" i="22"/>
  <c r="W111" i="1"/>
  <c r="O111" i="1"/>
  <c r="AE111" i="26"/>
  <c r="AC111" i="26"/>
  <c r="AA111" i="26"/>
  <c r="G111" i="26"/>
  <c r="AE111" i="14"/>
  <c r="AA111" i="15"/>
  <c r="O111" i="15"/>
  <c r="W111" i="16"/>
  <c r="I111" i="16"/>
  <c r="O110" i="22"/>
  <c r="O110" i="15"/>
  <c r="W110" i="16"/>
  <c r="M110" i="16"/>
  <c r="I110" i="16"/>
  <c r="Q110" i="10"/>
  <c r="AR108" i="25"/>
  <c r="W108" i="22"/>
  <c r="O108" i="22"/>
  <c r="K108" i="22"/>
  <c r="AR108" i="2"/>
  <c r="W108" i="1"/>
  <c r="O108" i="1"/>
  <c r="AE108" i="26"/>
  <c r="AA108" i="26"/>
  <c r="Y108" i="26"/>
  <c r="AE108" i="14"/>
  <c r="Y108" i="14"/>
  <c r="O108" i="15"/>
  <c r="W108" i="16"/>
  <c r="G108" i="10"/>
  <c r="AE107" i="22"/>
  <c r="O107" i="22"/>
  <c r="O107" i="1"/>
  <c r="O107" i="15"/>
  <c r="I107" i="16"/>
  <c r="W105" i="25"/>
  <c r="AE105" i="22"/>
  <c r="O105" i="22"/>
  <c r="W105" i="2"/>
  <c r="W105" i="17"/>
  <c r="O105" i="15"/>
  <c r="I105" i="16"/>
  <c r="O102" i="25" l="1"/>
  <c r="O102" i="22"/>
  <c r="O102" i="2"/>
  <c r="O102" i="1"/>
  <c r="G102" i="26"/>
  <c r="O102" i="17"/>
  <c r="O102" i="15"/>
  <c r="I102" i="16"/>
  <c r="G102" i="10"/>
  <c r="AK101" i="25"/>
  <c r="O101" i="25"/>
  <c r="AK101" i="22"/>
  <c r="O101" i="22"/>
  <c r="O101" i="2"/>
  <c r="AG101" i="1"/>
  <c r="O101" i="1"/>
  <c r="AO101" i="17"/>
  <c r="O101" i="17"/>
  <c r="I101" i="16"/>
  <c r="O100" i="25"/>
  <c r="O100" i="22"/>
  <c r="O100" i="2"/>
  <c r="O100" i="1"/>
  <c r="O100" i="15"/>
  <c r="W100" i="16"/>
  <c r="I100" i="16"/>
  <c r="W98" i="22" l="1"/>
  <c r="O98" i="22"/>
  <c r="K98" i="22"/>
  <c r="W98" i="1"/>
  <c r="K98" i="1"/>
  <c r="AE98" i="26"/>
  <c r="AA98" i="26"/>
  <c r="Y98" i="26"/>
  <c r="AE98" i="14"/>
  <c r="O98" i="15"/>
  <c r="W98" i="16"/>
  <c r="O97" i="22"/>
  <c r="O97" i="1"/>
  <c r="O97" i="15"/>
  <c r="W97" i="16"/>
  <c r="M97" i="16"/>
  <c r="I97" i="16"/>
  <c r="G97" i="10"/>
  <c r="O96" i="22"/>
  <c r="K96" i="22"/>
  <c r="O96" i="1"/>
  <c r="K96" i="1"/>
  <c r="AE96" i="26"/>
  <c r="AA96" i="26"/>
  <c r="Y96" i="26"/>
  <c r="AE96" i="14"/>
  <c r="O96" i="15"/>
  <c r="W96" i="16"/>
  <c r="K96" i="10"/>
  <c r="AE95" i="22"/>
  <c r="M95" i="22"/>
  <c r="O95" i="22"/>
  <c r="K95" i="22"/>
  <c r="O95" i="1"/>
  <c r="K95" i="1"/>
  <c r="I95" i="26"/>
  <c r="O94" i="22"/>
  <c r="O94" i="1"/>
  <c r="O94" i="15"/>
  <c r="W94" i="16"/>
  <c r="I94" i="16"/>
  <c r="AR93" i="25"/>
  <c r="AK93" i="22"/>
  <c r="AE93" i="22"/>
  <c r="O93" i="22"/>
  <c r="K93" i="22"/>
  <c r="AG93" i="1"/>
  <c r="O93" i="1"/>
  <c r="K93" i="1"/>
  <c r="AE93" i="26"/>
  <c r="AA93" i="26"/>
  <c r="G93" i="26"/>
  <c r="AE93" i="14"/>
  <c r="AA93" i="15"/>
  <c r="O93" i="15"/>
  <c r="W93" i="16"/>
  <c r="M93" i="16"/>
  <c r="G93" i="10"/>
  <c r="W92" i="22"/>
  <c r="O92" i="22"/>
  <c r="W92" i="1"/>
  <c r="O92" i="1"/>
  <c r="AA92" i="15"/>
  <c r="O92" i="15"/>
  <c r="W92" i="16"/>
  <c r="I92" i="16"/>
  <c r="W91" i="22"/>
  <c r="O91" i="22"/>
  <c r="O91" i="1"/>
  <c r="AE91" i="26"/>
  <c r="AC91" i="26"/>
  <c r="AA91" i="26"/>
  <c r="Y91" i="26"/>
  <c r="G91" i="26"/>
  <c r="AE91" i="14"/>
  <c r="Y91" i="14"/>
  <c r="G91" i="14"/>
  <c r="O91" i="15"/>
  <c r="W91" i="16"/>
  <c r="I91" i="16"/>
  <c r="O90" i="22"/>
  <c r="AO90" i="17"/>
  <c r="W90" i="16"/>
  <c r="I90" i="16"/>
  <c r="AE89" i="22" l="1"/>
  <c r="O89" i="22"/>
  <c r="G89" i="26"/>
  <c r="G89" i="14"/>
  <c r="M89" i="16"/>
  <c r="I89" i="16"/>
  <c r="O89" i="15"/>
  <c r="W89" i="16"/>
  <c r="AR88" i="25"/>
  <c r="W88" i="22"/>
  <c r="O88" i="22"/>
  <c r="K88" i="22"/>
  <c r="W88" i="1"/>
  <c r="O88" i="1"/>
  <c r="K88" i="1"/>
  <c r="AE88" i="26"/>
  <c r="AA88" i="26"/>
  <c r="Y88" i="26"/>
  <c r="AE88" i="14"/>
  <c r="Y88" i="14"/>
  <c r="O88" i="15"/>
  <c r="W88" i="16"/>
  <c r="M88" i="16"/>
  <c r="G88" i="10"/>
  <c r="AE86" i="22"/>
  <c r="O86" i="22"/>
  <c r="O86" i="1"/>
  <c r="G86" i="26"/>
  <c r="G86" i="14"/>
  <c r="S86" i="15"/>
  <c r="O86" i="15"/>
  <c r="I86" i="16"/>
  <c r="AE85" i="22"/>
  <c r="O85" i="22"/>
  <c r="O85" i="1"/>
  <c r="AA85" i="26"/>
  <c r="Y85" i="26"/>
  <c r="G85" i="26"/>
  <c r="Y85" i="14"/>
  <c r="G85" i="14"/>
  <c r="W85" i="16"/>
  <c r="I85" i="16"/>
  <c r="O84" i="22"/>
  <c r="O84" i="1"/>
  <c r="AA84" i="15"/>
  <c r="O84" i="15"/>
  <c r="W84" i="16"/>
  <c r="I84" i="16"/>
  <c r="AR83" i="25" l="1"/>
  <c r="O83" i="22"/>
  <c r="K83" i="22"/>
  <c r="O83" i="1"/>
  <c r="K83" i="1"/>
  <c r="AE83" i="26"/>
  <c r="AA83" i="26"/>
  <c r="Y83" i="26"/>
  <c r="AE83" i="14"/>
  <c r="O83" i="15"/>
  <c r="W83" i="16"/>
  <c r="G83" i="10"/>
  <c r="O81" i="22"/>
  <c r="O81" i="1"/>
  <c r="O81" i="15"/>
  <c r="I81" i="16"/>
  <c r="O80" i="22"/>
  <c r="O80" i="1"/>
  <c r="O80" i="15"/>
  <c r="AA80" i="16"/>
  <c r="W80" i="16"/>
  <c r="I80" i="16"/>
  <c r="W79" i="25" l="1"/>
  <c r="O79" i="22"/>
  <c r="W79" i="2"/>
  <c r="O79" i="1"/>
  <c r="G79" i="26"/>
  <c r="W79" i="17"/>
  <c r="O79" i="15"/>
  <c r="I79" i="16"/>
  <c r="O78" i="22"/>
  <c r="O78" i="1"/>
  <c r="O78" i="15"/>
  <c r="W78" i="16"/>
  <c r="I78" i="16"/>
  <c r="O77" i="22"/>
  <c r="O77" i="1"/>
  <c r="O77" i="15"/>
  <c r="W77" i="16"/>
  <c r="I77" i="16"/>
  <c r="O76" i="22"/>
  <c r="K76" i="22"/>
  <c r="O76" i="1"/>
  <c r="AE76" i="26"/>
  <c r="AA76" i="26"/>
  <c r="Y76" i="26"/>
  <c r="AE76" i="14"/>
  <c r="O76" i="15"/>
  <c r="W76" i="16"/>
  <c r="M76" i="16"/>
  <c r="G76" i="10"/>
  <c r="O74" i="22"/>
  <c r="K74" i="22"/>
  <c r="K74" i="1"/>
  <c r="AE74" i="26"/>
  <c r="AA74" i="26"/>
  <c r="Y74" i="26"/>
  <c r="G74" i="26"/>
  <c r="AE74" i="14"/>
  <c r="Y74" i="14"/>
  <c r="O74" i="15"/>
  <c r="W74" i="16"/>
  <c r="M74" i="16"/>
  <c r="G74" i="10"/>
  <c r="AE73" i="22"/>
  <c r="AZ73" i="25"/>
  <c r="O73" i="22"/>
  <c r="O73" i="1"/>
  <c r="O73" i="15"/>
  <c r="W73" i="16"/>
  <c r="M73" i="16"/>
  <c r="I73" i="16"/>
  <c r="Q73" i="10"/>
  <c r="O71" i="22"/>
  <c r="O71" i="1"/>
  <c r="G71" i="26"/>
  <c r="G71" i="14"/>
  <c r="O71" i="15" l="1"/>
  <c r="W71" i="16"/>
  <c r="I71" i="16"/>
  <c r="O71" i="10"/>
  <c r="G71" i="10"/>
  <c r="G70" i="16"/>
  <c r="O70" i="16"/>
  <c r="AK69" i="22" l="1"/>
  <c r="O69" i="22"/>
  <c r="AG69" i="1"/>
  <c r="O69" i="1"/>
  <c r="O69" i="15"/>
  <c r="W69" i="16"/>
  <c r="I69" i="16"/>
  <c r="O67" i="22" l="1"/>
  <c r="O67" i="1"/>
  <c r="AA67" i="15"/>
  <c r="O67" i="15"/>
  <c r="W67" i="16"/>
  <c r="M67" i="16"/>
  <c r="I67" i="16"/>
  <c r="O66" i="22"/>
  <c r="K66" i="22"/>
  <c r="O66" i="1"/>
  <c r="AE66" i="26"/>
  <c r="AA66" i="26"/>
  <c r="Y66" i="26"/>
  <c r="AE66" i="14"/>
  <c r="O66" i="15"/>
  <c r="W66" i="16"/>
  <c r="O65" i="25"/>
  <c r="AK65" i="22"/>
  <c r="AE65" i="22"/>
  <c r="O65" i="22"/>
  <c r="O65" i="2"/>
  <c r="AG65" i="1"/>
  <c r="O65" i="17"/>
  <c r="AA65" i="15"/>
  <c r="O65" i="15"/>
  <c r="W65" i="16"/>
  <c r="M65" i="16"/>
  <c r="I65" i="16"/>
  <c r="G65" i="10"/>
  <c r="W64" i="25"/>
  <c r="AK64" i="22"/>
  <c r="O64" i="22"/>
  <c r="W64" i="2"/>
  <c r="O64" i="1"/>
  <c r="G64" i="26"/>
  <c r="W64" i="17"/>
  <c r="O64" i="15"/>
  <c r="I64" i="16"/>
  <c r="W63" i="22"/>
  <c r="O63" i="22"/>
  <c r="K63" i="22"/>
  <c r="O63" i="1"/>
  <c r="K63" i="1"/>
  <c r="AA63" i="26"/>
  <c r="Y63" i="26"/>
  <c r="Y63" i="14"/>
  <c r="AA63" i="15"/>
  <c r="O63" i="15"/>
  <c r="W63" i="16"/>
  <c r="AX62" i="25" l="1"/>
  <c r="O62" i="22"/>
  <c r="O62" i="1" l="1"/>
  <c r="G62" i="26"/>
  <c r="O62" i="15"/>
  <c r="W62" i="16"/>
  <c r="M62" i="16"/>
  <c r="I62" i="16"/>
  <c r="W61" i="25"/>
  <c r="O61" i="22"/>
  <c r="K61" i="22"/>
  <c r="W61" i="2"/>
  <c r="AA61" i="26"/>
  <c r="Y61" i="26"/>
  <c r="W61" i="17"/>
  <c r="W61" i="16"/>
  <c r="M61" i="16"/>
  <c r="I61" i="16"/>
  <c r="O59" i="22"/>
  <c r="O59" i="1"/>
  <c r="AA59" i="15"/>
  <c r="O59" i="15"/>
  <c r="W59" i="16"/>
  <c r="M59" i="16"/>
  <c r="I59" i="16"/>
  <c r="BB58" i="25"/>
  <c r="BL58" i="25" s="1"/>
  <c r="AO58" i="22"/>
  <c r="O58" i="22"/>
  <c r="Y58" i="22" s="1"/>
  <c r="AQ58" i="22" s="1"/>
  <c r="K56" i="26"/>
  <c r="AE58" i="26"/>
  <c r="AA58" i="26"/>
  <c r="Q58" i="26"/>
  <c r="K58" i="26"/>
  <c r="BB58" i="2"/>
  <c r="BL58" i="2" s="1"/>
  <c r="AK58" i="1"/>
  <c r="Y58" i="1"/>
  <c r="AE58" i="14"/>
  <c r="AI58" i="14" s="1"/>
  <c r="Q58" i="14"/>
  <c r="K58" i="14"/>
  <c r="AY58" i="17"/>
  <c r="AG58" i="15"/>
  <c r="AI58" i="15" s="1"/>
  <c r="BA58" i="17" s="1"/>
  <c r="BE58" i="17" s="1"/>
  <c r="O58" i="15"/>
  <c r="M58" i="15"/>
  <c r="AA58" i="16"/>
  <c r="W58" i="16"/>
  <c r="O58" i="16" s="1"/>
  <c r="I58" i="16"/>
  <c r="G58" i="16"/>
  <c r="AK55" i="25"/>
  <c r="O55" i="22"/>
  <c r="O55" i="1"/>
  <c r="AO55" i="17"/>
  <c r="O55" i="15"/>
  <c r="W55" i="16"/>
  <c r="I55" i="16"/>
  <c r="O54" i="22"/>
  <c r="O54" i="1"/>
  <c r="O54" i="15"/>
  <c r="U54" i="16"/>
  <c r="W54" i="16"/>
  <c r="I54" i="16"/>
  <c r="O51" i="22"/>
  <c r="Y51" i="22" s="1"/>
  <c r="K51" i="22"/>
  <c r="O51" i="1"/>
  <c r="K51" i="1"/>
  <c r="AE51" i="26"/>
  <c r="AA51" i="26"/>
  <c r="Y51" i="26"/>
  <c r="K51" i="14"/>
  <c r="AE51" i="14"/>
  <c r="AA51" i="14"/>
  <c r="W51" i="16"/>
  <c r="BN58" i="25" l="1"/>
  <c r="BV58" i="25" s="1"/>
  <c r="AI58" i="26"/>
  <c r="AM58" i="1"/>
  <c r="BN58" i="2"/>
  <c r="BV58" i="2" s="1"/>
  <c r="AK51" i="14"/>
  <c r="AR50" i="25"/>
  <c r="AK50" i="22"/>
  <c r="M50" i="22"/>
  <c r="O50" i="22"/>
  <c r="K50" i="22"/>
  <c r="AG50" i="1"/>
  <c r="O50" i="1"/>
  <c r="K50" i="1"/>
  <c r="AE50" i="26"/>
  <c r="AA50" i="26"/>
  <c r="Y50" i="26"/>
  <c r="G50" i="26"/>
  <c r="AE50" i="14"/>
  <c r="Y50" i="14"/>
  <c r="Q50" i="14"/>
  <c r="K50" i="14"/>
  <c r="U50" i="15"/>
  <c r="O50" i="15"/>
  <c r="W50" i="16"/>
  <c r="G50" i="10"/>
  <c r="AK48" i="22"/>
  <c r="O48" i="22"/>
  <c r="AG48" i="1"/>
  <c r="O48" i="1"/>
  <c r="G48" i="26"/>
  <c r="O48" i="15"/>
  <c r="W48" i="16"/>
  <c r="M48" i="16"/>
  <c r="I48" i="16"/>
  <c r="O47" i="22"/>
  <c r="O47" i="1"/>
  <c r="AA47" i="26"/>
  <c r="Y47" i="26"/>
  <c r="Y47" i="14"/>
  <c r="O47" i="15"/>
  <c r="W47" i="16"/>
  <c r="I47" i="16"/>
  <c r="O46" i="22"/>
  <c r="O46" i="1"/>
  <c r="O46" i="15"/>
  <c r="W46" i="16"/>
  <c r="M46" i="16"/>
  <c r="I46" i="16"/>
  <c r="AR45" i="25"/>
  <c r="AP45" i="25"/>
  <c r="O45" i="25"/>
  <c r="O45" i="22"/>
  <c r="AR45" i="2"/>
  <c r="AP45" i="2"/>
  <c r="O45" i="2"/>
  <c r="O45" i="1"/>
  <c r="AE45" i="26"/>
  <c r="AA45" i="26"/>
  <c r="Y45" i="26"/>
  <c r="AE45" i="14"/>
  <c r="AQ45" i="17"/>
  <c r="O45" i="17"/>
  <c r="O45" i="15"/>
  <c r="W45" i="16"/>
  <c r="M45" i="16"/>
  <c r="G45" i="10"/>
  <c r="AI50" i="14" l="1"/>
  <c r="AK44" i="22"/>
  <c r="M44" i="22"/>
  <c r="O44" i="22"/>
  <c r="O44" i="1"/>
  <c r="AW44" i="17"/>
  <c r="O44" i="15"/>
  <c r="AA44" i="15"/>
  <c r="I44" i="16"/>
  <c r="G44" i="10"/>
  <c r="BJ43" i="25" l="1"/>
  <c r="AR43" i="25"/>
  <c r="AE43" i="22"/>
  <c r="O43" i="22"/>
  <c r="O43" i="1"/>
  <c r="G43" i="26"/>
  <c r="G43" i="14"/>
  <c r="W43" i="16"/>
  <c r="I43" i="16"/>
  <c r="AP42" i="25"/>
  <c r="AK42" i="25"/>
  <c r="AE42" i="22"/>
  <c r="O42" i="22"/>
  <c r="AP42" i="2"/>
  <c r="AK42" i="2"/>
  <c r="O42" i="1"/>
  <c r="AQ42" i="17"/>
  <c r="AO42" i="17"/>
  <c r="O42" i="15"/>
  <c r="W42" i="16"/>
  <c r="I42" i="16"/>
  <c r="AE40" i="22"/>
  <c r="O40" i="15"/>
  <c r="W40" i="16"/>
  <c r="I40" i="16"/>
  <c r="G40" i="10"/>
  <c r="O39" i="22"/>
  <c r="O39" i="1"/>
  <c r="AA39" i="26"/>
  <c r="Y39" i="26"/>
  <c r="Y39" i="14"/>
  <c r="O39" i="15"/>
  <c r="W39" i="16"/>
  <c r="I39" i="16"/>
  <c r="G39" i="10"/>
  <c r="AE38" i="22"/>
  <c r="O38" i="22"/>
  <c r="K38" i="22"/>
  <c r="O38" i="1"/>
  <c r="K38" i="1"/>
  <c r="AA38" i="26"/>
  <c r="AE38" i="26"/>
  <c r="AE38" i="14"/>
  <c r="O38" i="15" l="1"/>
  <c r="W38" i="16"/>
  <c r="M38" i="16"/>
  <c r="G38" i="10"/>
  <c r="W37" i="22" l="1"/>
  <c r="O37" i="22"/>
  <c r="K37" i="22"/>
  <c r="W37" i="1"/>
  <c r="O37" i="1"/>
  <c r="K37" i="1"/>
  <c r="O37" i="15"/>
  <c r="W37" i="16"/>
  <c r="M37" i="10"/>
  <c r="AE36" i="22"/>
  <c r="AK36" i="25"/>
  <c r="O36" i="22"/>
  <c r="AK36" i="2"/>
  <c r="AO36" i="17"/>
  <c r="O36" i="15"/>
  <c r="W36" i="16"/>
  <c r="M36" i="16"/>
  <c r="I36" i="16"/>
  <c r="G36" i="10"/>
  <c r="O35" i="22"/>
  <c r="O35" i="15"/>
  <c r="W35" i="16"/>
  <c r="I35" i="16"/>
  <c r="O34" i="22"/>
  <c r="K34" i="22"/>
  <c r="O34" i="1"/>
  <c r="G34" i="26"/>
  <c r="M34" i="16"/>
  <c r="W34" i="16"/>
  <c r="O34" i="15"/>
  <c r="G34" i="10"/>
  <c r="O33" i="22"/>
  <c r="O33" i="1"/>
  <c r="G33" i="26"/>
  <c r="O33" i="15"/>
  <c r="W33" i="16"/>
  <c r="O32" i="25" l="1"/>
  <c r="AE32" i="22"/>
  <c r="O32" i="22"/>
  <c r="O32" i="2"/>
  <c r="O32" i="1"/>
  <c r="O32" i="15"/>
  <c r="W32" i="16"/>
  <c r="M32" i="16"/>
  <c r="I32" i="16"/>
  <c r="G32" i="10"/>
  <c r="O31" i="22" l="1"/>
  <c r="U31" i="26"/>
  <c r="G31" i="26"/>
  <c r="U31" i="14"/>
  <c r="AW31" i="17"/>
  <c r="AA31" i="15"/>
  <c r="O31" i="15"/>
  <c r="I31" i="16"/>
  <c r="G31" i="10"/>
  <c r="BJ30" i="25"/>
  <c r="AK30" i="22"/>
  <c r="O30" i="22"/>
  <c r="O30" i="1"/>
  <c r="U30" i="26"/>
  <c r="G30" i="26"/>
  <c r="U30" i="14"/>
  <c r="AA30" i="15"/>
  <c r="U30" i="15"/>
  <c r="O30" i="15"/>
  <c r="I30" i="16"/>
  <c r="O29" i="22" l="1"/>
  <c r="O29" i="15"/>
  <c r="W29" i="16"/>
  <c r="I29" i="16"/>
  <c r="O28" i="22"/>
  <c r="M28" i="22"/>
  <c r="O28" i="1"/>
  <c r="M28" i="1"/>
  <c r="U28" i="26"/>
  <c r="G28" i="26"/>
  <c r="U28" i="14"/>
  <c r="G28" i="14"/>
  <c r="O28" i="15"/>
  <c r="I28" i="16"/>
  <c r="O26" i="22"/>
  <c r="O26" i="1"/>
  <c r="W26" i="16"/>
  <c r="I26" i="16"/>
  <c r="O24" i="22" l="1"/>
  <c r="K24" i="22"/>
  <c r="O24" i="1"/>
  <c r="AE24" i="26"/>
  <c r="AA24" i="26"/>
  <c r="AE24" i="14"/>
  <c r="O24" i="15"/>
  <c r="W24" i="16"/>
  <c r="M24" i="16"/>
  <c r="W22" i="22"/>
  <c r="O22" i="22"/>
  <c r="W22" i="1"/>
  <c r="O22" i="1"/>
  <c r="U22" i="26"/>
  <c r="U22" i="14"/>
  <c r="AA22" i="15"/>
  <c r="O22" i="15"/>
  <c r="I22" i="16"/>
  <c r="O21" i="22" l="1"/>
  <c r="O21" i="1"/>
  <c r="G21" i="26"/>
  <c r="G21" i="14"/>
  <c r="O21" i="15"/>
  <c r="W21" i="16"/>
  <c r="M21" i="16"/>
  <c r="I21" i="16"/>
  <c r="O20" i="25"/>
  <c r="O20" i="22"/>
  <c r="O20" i="2"/>
  <c r="O20" i="17" l="1"/>
  <c r="O20" i="15"/>
  <c r="W20" i="16"/>
  <c r="I20" i="16"/>
  <c r="G20" i="10"/>
  <c r="O19" i="25"/>
  <c r="O19" i="22"/>
  <c r="O19" i="2"/>
  <c r="O19" i="1"/>
  <c r="U19" i="26"/>
  <c r="G19" i="26"/>
  <c r="U19" i="14"/>
  <c r="G19" i="14"/>
  <c r="O19" i="17"/>
  <c r="O19" i="15"/>
  <c r="I19" i="16"/>
  <c r="G19" i="10"/>
  <c r="W16" i="22" l="1"/>
  <c r="O16" i="22"/>
  <c r="W16" i="1"/>
  <c r="O16" i="1"/>
  <c r="G16" i="26"/>
  <c r="G16" i="14"/>
  <c r="AA16" i="15"/>
  <c r="O16" i="15"/>
  <c r="W16" i="16"/>
  <c r="M16" i="16"/>
  <c r="I16" i="16"/>
  <c r="O15" i="22"/>
  <c r="O15" i="1"/>
  <c r="G15" i="26"/>
  <c r="O15" i="15"/>
  <c r="W15" i="16"/>
  <c r="I15" i="16"/>
  <c r="G15" i="10"/>
  <c r="O14" i="16" l="1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9" i="16"/>
  <c r="O60" i="16"/>
  <c r="O61" i="16"/>
  <c r="O62" i="16"/>
  <c r="O63" i="16"/>
  <c r="O64" i="16"/>
  <c r="O65" i="16"/>
  <c r="O66" i="16"/>
  <c r="O67" i="16"/>
  <c r="O68" i="16"/>
  <c r="O69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O104" i="16"/>
  <c r="O105" i="16"/>
  <c r="O106" i="16"/>
  <c r="O107" i="16"/>
  <c r="O108" i="16"/>
  <c r="O109" i="16"/>
  <c r="O110" i="16"/>
  <c r="O111" i="16"/>
  <c r="O112" i="16"/>
  <c r="O113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27" i="16"/>
  <c r="O128" i="16"/>
  <c r="O129" i="16"/>
  <c r="O130" i="16"/>
  <c r="O131" i="16"/>
  <c r="O132" i="16"/>
  <c r="O133" i="16"/>
  <c r="O134" i="16"/>
  <c r="O135" i="16"/>
  <c r="O136" i="16"/>
  <c r="O137" i="16"/>
  <c r="O138" i="16"/>
  <c r="O139" i="16"/>
  <c r="O141" i="16"/>
  <c r="O142" i="16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212" i="16"/>
  <c r="O219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O232" i="16"/>
  <c r="O233" i="16"/>
  <c r="O234" i="16"/>
  <c r="O235" i="16"/>
  <c r="O236" i="16"/>
  <c r="O237" i="16"/>
  <c r="O238" i="16"/>
  <c r="O239" i="16"/>
  <c r="O240" i="16"/>
  <c r="O241" i="16"/>
  <c r="O242" i="16"/>
  <c r="O243" i="16"/>
  <c r="O244" i="16"/>
  <c r="O245" i="16"/>
  <c r="O246" i="16"/>
  <c r="O247" i="16"/>
  <c r="O248" i="16"/>
  <c r="O249" i="16"/>
  <c r="O250" i="16"/>
  <c r="O251" i="16"/>
  <c r="O252" i="16"/>
  <c r="O253" i="16"/>
  <c r="O254" i="16"/>
  <c r="O255" i="16"/>
  <c r="O256" i="16"/>
  <c r="O257" i="16"/>
  <c r="O258" i="16"/>
  <c r="O259" i="16"/>
  <c r="O260" i="16"/>
  <c r="O261" i="16"/>
  <c r="O262" i="16"/>
  <c r="O263" i="16"/>
  <c r="O264" i="16"/>
  <c r="O265" i="16"/>
  <c r="O266" i="16"/>
  <c r="O267" i="16"/>
  <c r="O268" i="16"/>
  <c r="O269" i="16"/>
  <c r="O270" i="16"/>
  <c r="O271" i="16"/>
  <c r="O272" i="16"/>
  <c r="O273" i="16"/>
  <c r="O274" i="16"/>
  <c r="O275" i="16"/>
  <c r="O276" i="16"/>
  <c r="O277" i="16"/>
  <c r="O278" i="16"/>
  <c r="O279" i="16"/>
  <c r="O280" i="16"/>
  <c r="O281" i="16"/>
  <c r="O282" i="16"/>
  <c r="O283" i="16"/>
  <c r="O287" i="16"/>
  <c r="O288" i="16"/>
  <c r="O289" i="16"/>
  <c r="O290" i="16"/>
  <c r="O291" i="16"/>
  <c r="O292" i="16"/>
  <c r="O294" i="16"/>
  <c r="O295" i="16"/>
  <c r="O296" i="16"/>
  <c r="O297" i="16"/>
  <c r="O298" i="16"/>
  <c r="O299" i="16"/>
  <c r="O300" i="16"/>
  <c r="O301" i="16"/>
  <c r="O302" i="16"/>
  <c r="O303" i="16"/>
  <c r="O304" i="16"/>
  <c r="O305" i="16"/>
  <c r="O306" i="16"/>
  <c r="O307" i="16"/>
  <c r="O308" i="16"/>
  <c r="O309" i="16"/>
  <c r="O310" i="16"/>
  <c r="O311" i="16"/>
  <c r="O312" i="16"/>
  <c r="O313" i="16"/>
  <c r="O314" i="16"/>
  <c r="O315" i="16"/>
  <c r="O316" i="16"/>
  <c r="O317" i="16"/>
  <c r="O318" i="16"/>
  <c r="O319" i="16"/>
  <c r="O320" i="16"/>
  <c r="O321" i="16"/>
  <c r="O322" i="16"/>
  <c r="O323" i="16"/>
  <c r="O324" i="16"/>
  <c r="O325" i="16"/>
  <c r="O326" i="16"/>
  <c r="O327" i="16"/>
  <c r="O328" i="16"/>
  <c r="O329" i="16"/>
  <c r="O330" i="16"/>
  <c r="O331" i="16"/>
  <c r="O332" i="16"/>
  <c r="O333" i="16"/>
  <c r="O334" i="16"/>
  <c r="O335" i="16"/>
  <c r="O336" i="16"/>
  <c r="O337" i="16"/>
  <c r="O338" i="16"/>
  <c r="O339" i="16"/>
  <c r="O340" i="16"/>
  <c r="O341" i="16"/>
  <c r="O342" i="16"/>
  <c r="O343" i="16"/>
  <c r="O344" i="16"/>
  <c r="O345" i="16"/>
  <c r="O346" i="16"/>
  <c r="O347" i="16"/>
  <c r="O348" i="16"/>
  <c r="O349" i="16"/>
  <c r="O350" i="16"/>
  <c r="O351" i="16"/>
  <c r="O352" i="16"/>
  <c r="O353" i="16"/>
  <c r="O354" i="16"/>
  <c r="O355" i="16"/>
  <c r="O356" i="16"/>
  <c r="O357" i="16"/>
  <c r="O358" i="16"/>
  <c r="O359" i="16"/>
  <c r="O360" i="16"/>
  <c r="O361" i="16"/>
  <c r="O362" i="16"/>
  <c r="O363" i="16"/>
  <c r="O364" i="16"/>
  <c r="O365" i="16"/>
  <c r="O366" i="16"/>
  <c r="O367" i="16"/>
  <c r="O368" i="16"/>
  <c r="O369" i="16"/>
  <c r="O370" i="16"/>
  <c r="O371" i="16"/>
  <c r="O372" i="16"/>
  <c r="O373" i="16"/>
  <c r="O374" i="16"/>
  <c r="O375" i="16"/>
  <c r="O376" i="16"/>
  <c r="O377" i="16"/>
  <c r="O378" i="16"/>
  <c r="O379" i="16"/>
  <c r="O380" i="16"/>
  <c r="O381" i="16"/>
  <c r="O382" i="16"/>
  <c r="O383" i="16"/>
  <c r="O384" i="16"/>
  <c r="O385" i="16"/>
  <c r="O386" i="16"/>
  <c r="O387" i="16"/>
  <c r="O388" i="16"/>
  <c r="O389" i="16"/>
  <c r="O390" i="16"/>
  <c r="O391" i="16"/>
  <c r="O392" i="16"/>
  <c r="O393" i="16"/>
  <c r="O394" i="16"/>
  <c r="O395" i="16"/>
  <c r="O396" i="16"/>
  <c r="O397" i="16"/>
  <c r="O398" i="16"/>
  <c r="O399" i="16"/>
  <c r="O400" i="16"/>
  <c r="O401" i="16"/>
  <c r="O402" i="16"/>
  <c r="O403" i="16"/>
  <c r="O404" i="16"/>
  <c r="O405" i="16"/>
  <c r="O406" i="16"/>
  <c r="O407" i="16"/>
  <c r="O408" i="16"/>
  <c r="O409" i="16"/>
  <c r="O410" i="16"/>
  <c r="O411" i="16"/>
  <c r="O412" i="16"/>
  <c r="O413" i="16"/>
  <c r="O414" i="16"/>
  <c r="O415" i="16"/>
  <c r="O416" i="16"/>
  <c r="O417" i="16"/>
  <c r="O418" i="16"/>
  <c r="O419" i="16"/>
  <c r="O420" i="16"/>
  <c r="O421" i="16"/>
  <c r="O422" i="16"/>
  <c r="O423" i="16"/>
  <c r="O424" i="16"/>
  <c r="O425" i="16"/>
  <c r="O426" i="16"/>
  <c r="O427" i="16"/>
  <c r="O428" i="16"/>
  <c r="O429" i="16"/>
  <c r="O430" i="16"/>
  <c r="O431" i="16"/>
  <c r="O432" i="16"/>
  <c r="O433" i="16"/>
  <c r="O434" i="16"/>
  <c r="O435" i="16"/>
  <c r="O436" i="16"/>
  <c r="O437" i="16"/>
  <c r="O438" i="16"/>
  <c r="O439" i="16"/>
  <c r="O440" i="16"/>
  <c r="O441" i="16"/>
  <c r="O442" i="16"/>
  <c r="O443" i="16"/>
  <c r="O444" i="16"/>
  <c r="O445" i="16"/>
  <c r="O446" i="16"/>
  <c r="O447" i="16"/>
  <c r="O448" i="16"/>
  <c r="O449" i="16"/>
  <c r="O450" i="16"/>
  <c r="O451" i="16"/>
  <c r="O452" i="16"/>
  <c r="O453" i="16"/>
  <c r="O454" i="16"/>
  <c r="O455" i="16"/>
  <c r="O456" i="16"/>
  <c r="O457" i="16"/>
  <c r="O458" i="16"/>
  <c r="O459" i="16"/>
  <c r="O460" i="16"/>
  <c r="O461" i="16"/>
  <c r="O462" i="16"/>
  <c r="O463" i="16"/>
  <c r="O464" i="16"/>
  <c r="O465" i="16"/>
  <c r="O466" i="16"/>
  <c r="O467" i="16"/>
  <c r="O468" i="16"/>
  <c r="O469" i="16"/>
  <c r="O470" i="16"/>
  <c r="O471" i="16"/>
  <c r="O472" i="16"/>
  <c r="O473" i="16"/>
  <c r="O474" i="16"/>
  <c r="O475" i="16"/>
  <c r="O476" i="16"/>
  <c r="O477" i="16"/>
  <c r="O478" i="16"/>
  <c r="O479" i="16"/>
  <c r="O480" i="16"/>
  <c r="O481" i="16"/>
  <c r="O482" i="16"/>
  <c r="O483" i="16"/>
  <c r="O484" i="16"/>
  <c r="O485" i="16"/>
  <c r="O486" i="16"/>
  <c r="O487" i="16"/>
  <c r="O488" i="16"/>
  <c r="O489" i="16"/>
  <c r="O490" i="16"/>
  <c r="O491" i="16"/>
  <c r="O492" i="16"/>
  <c r="O493" i="16"/>
  <c r="O494" i="16"/>
  <c r="O495" i="16"/>
  <c r="O496" i="16"/>
  <c r="O497" i="16"/>
  <c r="O498" i="16"/>
  <c r="O500" i="16"/>
  <c r="O501" i="16"/>
  <c r="O502" i="16"/>
  <c r="O503" i="16"/>
  <c r="O504" i="16"/>
  <c r="O505" i="16"/>
  <c r="O506" i="16"/>
  <c r="O507" i="16"/>
  <c r="O508" i="16"/>
  <c r="O509" i="16"/>
  <c r="O510" i="16"/>
  <c r="O511" i="16"/>
  <c r="O512" i="16"/>
  <c r="O513" i="16"/>
  <c r="O514" i="16"/>
  <c r="O515" i="16"/>
  <c r="O516" i="16"/>
  <c r="O517" i="16"/>
  <c r="O518" i="16"/>
  <c r="O519" i="16"/>
  <c r="O520" i="16"/>
  <c r="O521" i="16"/>
  <c r="O522" i="16"/>
  <c r="O523" i="16"/>
  <c r="O525" i="16"/>
  <c r="O526" i="16"/>
  <c r="O527" i="16"/>
  <c r="O529" i="16"/>
  <c r="O530" i="16"/>
  <c r="O531" i="16"/>
  <c r="O532" i="16"/>
  <c r="O533" i="16"/>
  <c r="O534" i="16"/>
  <c r="O535" i="16"/>
  <c r="O536" i="16"/>
  <c r="O537" i="16"/>
  <c r="O538" i="16"/>
  <c r="O539" i="16"/>
  <c r="O540" i="16"/>
  <c r="O541" i="16"/>
  <c r="O542" i="16"/>
  <c r="O543" i="16"/>
  <c r="O544" i="16"/>
  <c r="O545" i="16"/>
  <c r="O546" i="16"/>
  <c r="O547" i="16"/>
  <c r="O548" i="16"/>
  <c r="O549" i="16"/>
  <c r="O550" i="16"/>
  <c r="O551" i="16"/>
  <c r="O552" i="16"/>
  <c r="O553" i="16"/>
  <c r="O554" i="16"/>
  <c r="O555" i="16"/>
  <c r="O556" i="16"/>
  <c r="O557" i="16"/>
  <c r="O558" i="16"/>
  <c r="O559" i="16"/>
  <c r="O560" i="16"/>
  <c r="O561" i="16"/>
  <c r="O562" i="16"/>
  <c r="O563" i="16"/>
  <c r="O564" i="16"/>
  <c r="O565" i="16"/>
  <c r="O566" i="16"/>
  <c r="O567" i="16"/>
  <c r="O568" i="16"/>
  <c r="O569" i="16"/>
  <c r="O570" i="16"/>
  <c r="O571" i="16"/>
  <c r="O572" i="16"/>
  <c r="O573" i="16"/>
  <c r="O574" i="16"/>
  <c r="O575" i="16"/>
  <c r="O576" i="16"/>
  <c r="O577" i="16"/>
  <c r="O578" i="16"/>
  <c r="O579" i="16"/>
  <c r="O580" i="16"/>
  <c r="O581" i="16"/>
  <c r="O582" i="16"/>
  <c r="O583" i="16"/>
  <c r="O584" i="16"/>
  <c r="O585" i="16"/>
  <c r="O586" i="16"/>
  <c r="O587" i="16"/>
  <c r="O588" i="16"/>
  <c r="O589" i="16"/>
  <c r="O590" i="16"/>
  <c r="O591" i="16"/>
  <c r="O592" i="16"/>
  <c r="O593" i="16"/>
  <c r="O594" i="16"/>
  <c r="O595" i="16"/>
  <c r="O596" i="16"/>
  <c r="O597" i="16"/>
  <c r="O598" i="16"/>
  <c r="O599" i="16"/>
  <c r="O600" i="16"/>
  <c r="O601" i="16"/>
  <c r="O602" i="16"/>
  <c r="O603" i="16"/>
  <c r="O604" i="16"/>
  <c r="O605" i="16"/>
  <c r="O606" i="16"/>
  <c r="O607" i="16"/>
  <c r="O608" i="16"/>
  <c r="O609" i="16"/>
  <c r="O610" i="16"/>
  <c r="O611" i="16"/>
  <c r="O612" i="16"/>
  <c r="O613" i="16"/>
  <c r="O614" i="16"/>
  <c r="O615" i="16"/>
  <c r="O616" i="16"/>
  <c r="O617" i="16"/>
  <c r="O618" i="16"/>
  <c r="O619" i="16"/>
  <c r="O620" i="16"/>
  <c r="O621" i="16"/>
  <c r="O622" i="16"/>
  <c r="O623" i="16"/>
  <c r="O624" i="16"/>
  <c r="O625" i="16"/>
  <c r="O626" i="16"/>
  <c r="O627" i="16"/>
  <c r="O628" i="16"/>
  <c r="O629" i="16"/>
  <c r="O630" i="16"/>
  <c r="O631" i="16"/>
  <c r="O632" i="16"/>
  <c r="O13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9" i="16"/>
  <c r="G60" i="16"/>
  <c r="G61" i="16"/>
  <c r="G62" i="16"/>
  <c r="G63" i="16"/>
  <c r="G64" i="16"/>
  <c r="G65" i="16"/>
  <c r="G66" i="16"/>
  <c r="G67" i="16"/>
  <c r="G68" i="16"/>
  <c r="G69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7" i="16"/>
  <c r="G288" i="16"/>
  <c r="G289" i="16"/>
  <c r="G290" i="16"/>
  <c r="G291" i="16"/>
  <c r="G292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AH419" i="16" s="1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13" i="16"/>
  <c r="AH377" i="16" l="1"/>
  <c r="AH425" i="16"/>
  <c r="AH296" i="16"/>
  <c r="AK58" i="26"/>
  <c r="AK213" i="26"/>
  <c r="AK214" i="26"/>
  <c r="AK215" i="26"/>
  <c r="AK216" i="26"/>
  <c r="AK217" i="26"/>
  <c r="AK218" i="26"/>
  <c r="AK284" i="26"/>
  <c r="AK285" i="26"/>
  <c r="AK286" i="26"/>
  <c r="AK296" i="26"/>
  <c r="AK377" i="26"/>
  <c r="AK419" i="26"/>
  <c r="AK425" i="26"/>
  <c r="AK50" i="14"/>
  <c r="AK58" i="14"/>
  <c r="AK213" i="14"/>
  <c r="AK214" i="14"/>
  <c r="AK215" i="14"/>
  <c r="AK216" i="14"/>
  <c r="AK217" i="14"/>
  <c r="AK218" i="14"/>
  <c r="AK284" i="14"/>
  <c r="AK285" i="14"/>
  <c r="AK286" i="14"/>
  <c r="AK296" i="14"/>
  <c r="AK377" i="14"/>
  <c r="AK419" i="14"/>
  <c r="AK425" i="14"/>
  <c r="W14" i="25" l="1"/>
  <c r="AE14" i="22"/>
  <c r="O14" i="22"/>
  <c r="W14" i="2"/>
  <c r="O14" i="1"/>
  <c r="W14" i="17"/>
  <c r="O14" i="15"/>
  <c r="I14" i="16"/>
  <c r="G14" i="16" s="1"/>
  <c r="AO446" i="22" l="1"/>
  <c r="AI558" i="14" l="1"/>
  <c r="W251" i="10" l="1"/>
  <c r="BB251" i="25"/>
  <c r="BL251" i="25" s="1"/>
  <c r="Y251" i="22"/>
  <c r="AQ251" i="22" s="1"/>
  <c r="AI251" i="26"/>
  <c r="Q251" i="26"/>
  <c r="K251" i="26"/>
  <c r="AK251" i="26" s="1"/>
  <c r="BB251" i="2"/>
  <c r="BL251" i="2" s="1"/>
  <c r="Y251" i="1"/>
  <c r="AM251" i="1" s="1"/>
  <c r="AI251" i="14"/>
  <c r="Q251" i="14"/>
  <c r="K251" i="14"/>
  <c r="AK251" i="14" s="1"/>
  <c r="AY251" i="17"/>
  <c r="AG251" i="15"/>
  <c r="M251" i="15"/>
  <c r="AF251" i="16"/>
  <c r="AA251" i="16"/>
  <c r="AH251" i="16" s="1"/>
  <c r="W178" i="10"/>
  <c r="S178" i="10"/>
  <c r="BB178" i="25"/>
  <c r="BL178" i="25" s="1"/>
  <c r="AO178" i="22"/>
  <c r="Y178" i="22"/>
  <c r="AI178" i="26"/>
  <c r="Q178" i="26"/>
  <c r="BB178" i="2"/>
  <c r="BL178" i="2" s="1"/>
  <c r="AK178" i="1"/>
  <c r="Y178" i="1"/>
  <c r="AI178" i="14"/>
  <c r="Q178" i="14"/>
  <c r="K178" i="14"/>
  <c r="AK178" i="14" s="1"/>
  <c r="AY178" i="17"/>
  <c r="AG178" i="15"/>
  <c r="M178" i="15"/>
  <c r="AF178" i="16"/>
  <c r="AA178" i="16"/>
  <c r="AH178" i="16" s="1"/>
  <c r="W52" i="10"/>
  <c r="S52" i="10"/>
  <c r="BB52" i="25"/>
  <c r="BL52" i="25" s="1"/>
  <c r="AO52" i="22"/>
  <c r="Y52" i="22"/>
  <c r="AI52" i="26"/>
  <c r="Q52" i="26"/>
  <c r="K52" i="26"/>
  <c r="AK52" i="26" s="1"/>
  <c r="BB52" i="2"/>
  <c r="BL52" i="2" s="1"/>
  <c r="AK52" i="1"/>
  <c r="Y52" i="1"/>
  <c r="AI52" i="14"/>
  <c r="Q52" i="14"/>
  <c r="K52" i="14"/>
  <c r="AK52" i="14" s="1"/>
  <c r="AY52" i="17"/>
  <c r="AG52" i="15"/>
  <c r="M52" i="15"/>
  <c r="AF52" i="16"/>
  <c r="AA52" i="16"/>
  <c r="AH52" i="16" s="1"/>
  <c r="W49" i="10"/>
  <c r="S49" i="10"/>
  <c r="BB49" i="25"/>
  <c r="BL49" i="25" s="1"/>
  <c r="AO49" i="22"/>
  <c r="Y49" i="22"/>
  <c r="AQ49" i="22" s="1"/>
  <c r="AI49" i="26"/>
  <c r="Q49" i="26"/>
  <c r="K49" i="26"/>
  <c r="AK49" i="26" s="1"/>
  <c r="BB49" i="2"/>
  <c r="BL49" i="2" s="1"/>
  <c r="AK49" i="1"/>
  <c r="Y49" i="1"/>
  <c r="AI49" i="14"/>
  <c r="Q49" i="14"/>
  <c r="K49" i="14"/>
  <c r="AK49" i="14" s="1"/>
  <c r="AY49" i="17"/>
  <c r="AG49" i="15"/>
  <c r="M49" i="15"/>
  <c r="AF49" i="16"/>
  <c r="AA49" i="16"/>
  <c r="AH49" i="16" s="1"/>
  <c r="AM52" i="1" l="1"/>
  <c r="BN52" i="2" s="1"/>
  <c r="BV52" i="2" s="1"/>
  <c r="BX52" i="2" s="1"/>
  <c r="AQ178" i="22"/>
  <c r="BN178" i="25" s="1"/>
  <c r="BV178" i="25" s="1"/>
  <c r="BX178" i="25" s="1"/>
  <c r="AQ52" i="22"/>
  <c r="BN52" i="25" s="1"/>
  <c r="BV52" i="25" s="1"/>
  <c r="BX52" i="25" s="1"/>
  <c r="BN251" i="25"/>
  <c r="BV251" i="25" s="1"/>
  <c r="BX251" i="25" s="1"/>
  <c r="AM178" i="1"/>
  <c r="BN178" i="2" s="1"/>
  <c r="BV178" i="2" s="1"/>
  <c r="BX178" i="2" s="1"/>
  <c r="BN251" i="2"/>
  <c r="BV251" i="2" s="1"/>
  <c r="BX251" i="2" s="1"/>
  <c r="AI52" i="15"/>
  <c r="AI251" i="15"/>
  <c r="BA251" i="17" s="1"/>
  <c r="BE251" i="17" s="1"/>
  <c r="BG251" i="17" s="1"/>
  <c r="AI49" i="15"/>
  <c r="BA49" i="17" s="1"/>
  <c r="BE49" i="17" s="1"/>
  <c r="BG49" i="17" s="1"/>
  <c r="AI178" i="15"/>
  <c r="BA178" i="17" s="1"/>
  <c r="BE178" i="17" s="1"/>
  <c r="BG178" i="17" s="1"/>
  <c r="BN49" i="25"/>
  <c r="BV49" i="25" s="1"/>
  <c r="BX49" i="25" s="1"/>
  <c r="K178" i="26"/>
  <c r="AK178" i="26" s="1"/>
  <c r="AM49" i="1"/>
  <c r="BN49" i="2" s="1"/>
  <c r="BV49" i="2" s="1"/>
  <c r="BX49" i="2" s="1"/>
  <c r="BA52" i="17"/>
  <c r="BE52" i="17" s="1"/>
  <c r="BG52" i="17" s="1"/>
  <c r="W628" i="10"/>
  <c r="S628" i="10"/>
  <c r="BB628" i="25"/>
  <c r="BL628" i="25" s="1"/>
  <c r="AI628" i="26"/>
  <c r="Q628" i="26"/>
  <c r="K628" i="26"/>
  <c r="AK628" i="26" s="1"/>
  <c r="BB628" i="2"/>
  <c r="BL628" i="2" s="1"/>
  <c r="AK628" i="1"/>
  <c r="AI628" i="14"/>
  <c r="Q628" i="14"/>
  <c r="K628" i="14"/>
  <c r="AK628" i="14" s="1"/>
  <c r="AY628" i="17"/>
  <c r="AF628" i="16"/>
  <c r="AA628" i="16"/>
  <c r="AH628" i="16" s="1"/>
  <c r="AM628" i="1" l="1"/>
  <c r="BN628" i="2" s="1"/>
  <c r="BV628" i="2" s="1"/>
  <c r="BX628" i="2" s="1"/>
  <c r="AI628" i="15"/>
  <c r="BA628" i="17" s="1"/>
  <c r="BE628" i="17" s="1"/>
  <c r="BG628" i="17" s="1"/>
  <c r="AO590" i="22" l="1"/>
  <c r="AO405" i="22" l="1"/>
  <c r="AO406" i="22"/>
  <c r="AO408" i="22"/>
  <c r="AO409" i="22"/>
  <c r="AO410" i="22"/>
  <c r="AO411" i="22"/>
  <c r="AO412" i="22"/>
  <c r="AO413" i="22"/>
  <c r="AO415" i="22"/>
  <c r="AO416" i="22"/>
  <c r="AO330" i="22"/>
  <c r="AO331" i="22"/>
  <c r="AO329" i="22"/>
  <c r="AO407" i="22"/>
  <c r="AO355" i="22"/>
  <c r="W579" i="10" l="1"/>
  <c r="W580" i="10"/>
  <c r="W581" i="10"/>
  <c r="BB581" i="25" l="1"/>
  <c r="BL581" i="25" s="1"/>
  <c r="BB580" i="25"/>
  <c r="BL580" i="25" s="1"/>
  <c r="BB579" i="25"/>
  <c r="BL579" i="25" s="1"/>
  <c r="AO581" i="22"/>
  <c r="Y581" i="22"/>
  <c r="AO580" i="22"/>
  <c r="Y580" i="22"/>
  <c r="AO579" i="22"/>
  <c r="Y579" i="22"/>
  <c r="AI581" i="26"/>
  <c r="Q581" i="26"/>
  <c r="K581" i="26"/>
  <c r="AK581" i="26" s="1"/>
  <c r="AI580" i="26"/>
  <c r="Q580" i="26"/>
  <c r="K580" i="26"/>
  <c r="AK580" i="26" s="1"/>
  <c r="AI579" i="26"/>
  <c r="Q579" i="26"/>
  <c r="K579" i="26"/>
  <c r="AK579" i="26" s="1"/>
  <c r="BB581" i="2"/>
  <c r="BL581" i="2" s="1"/>
  <c r="BB580" i="2"/>
  <c r="BL580" i="2" s="1"/>
  <c r="BB579" i="2"/>
  <c r="BL579" i="2" s="1"/>
  <c r="AK581" i="1"/>
  <c r="Y581" i="1"/>
  <c r="AK580" i="1"/>
  <c r="Y580" i="1"/>
  <c r="AK579" i="1"/>
  <c r="Y579" i="1"/>
  <c r="AI581" i="14"/>
  <c r="Q581" i="14"/>
  <c r="K581" i="14"/>
  <c r="AK581" i="14" s="1"/>
  <c r="AI580" i="14"/>
  <c r="Q580" i="14"/>
  <c r="K580" i="14"/>
  <c r="AK580" i="14" s="1"/>
  <c r="AI579" i="14"/>
  <c r="Q579" i="14"/>
  <c r="K579" i="14"/>
  <c r="AK579" i="14" s="1"/>
  <c r="AY581" i="17"/>
  <c r="AY580" i="17"/>
  <c r="AY579" i="17"/>
  <c r="AG581" i="15"/>
  <c r="M581" i="15"/>
  <c r="AG580" i="15"/>
  <c r="M580" i="15"/>
  <c r="AG579" i="15"/>
  <c r="AI579" i="15" s="1"/>
  <c r="M579" i="15"/>
  <c r="AF581" i="16"/>
  <c r="AA581" i="16"/>
  <c r="AH581" i="16" s="1"/>
  <c r="AF580" i="16"/>
  <c r="AA580" i="16"/>
  <c r="AH580" i="16" s="1"/>
  <c r="AF579" i="16"/>
  <c r="AA579" i="16"/>
  <c r="AH579" i="16" s="1"/>
  <c r="S581" i="10"/>
  <c r="S580" i="10"/>
  <c r="S579" i="10"/>
  <c r="AQ579" i="22" l="1"/>
  <c r="BN579" i="25" s="1"/>
  <c r="BV579" i="25" s="1"/>
  <c r="BX579" i="25" s="1"/>
  <c r="AQ581" i="22"/>
  <c r="AQ580" i="22"/>
  <c r="BN580" i="25" s="1"/>
  <c r="BV580" i="25" s="1"/>
  <c r="BX580" i="25" s="1"/>
  <c r="AM580" i="1"/>
  <c r="AM579" i="1"/>
  <c r="BN579" i="2" s="1"/>
  <c r="BV579" i="2" s="1"/>
  <c r="BX579" i="2" s="1"/>
  <c r="AM581" i="1"/>
  <c r="BN581" i="2" s="1"/>
  <c r="BV581" i="2" s="1"/>
  <c r="BX581" i="2" s="1"/>
  <c r="AI581" i="15"/>
  <c r="BA581" i="17" s="1"/>
  <c r="BE581" i="17" s="1"/>
  <c r="BG581" i="17" s="1"/>
  <c r="BN581" i="25"/>
  <c r="BV581" i="25" s="1"/>
  <c r="BX581" i="25" s="1"/>
  <c r="BN580" i="2"/>
  <c r="BV580" i="2" s="1"/>
  <c r="BX580" i="2" s="1"/>
  <c r="AI580" i="15"/>
  <c r="BA580" i="17" s="1"/>
  <c r="BE580" i="17" s="1"/>
  <c r="BG580" i="17" s="1"/>
  <c r="BA579" i="17"/>
  <c r="BE579" i="17" s="1"/>
  <c r="BG579" i="17" s="1"/>
  <c r="W276" i="10" l="1"/>
  <c r="BB276" i="25"/>
  <c r="BL276" i="25" s="1"/>
  <c r="AO276" i="22"/>
  <c r="Y276" i="22"/>
  <c r="AI276" i="26"/>
  <c r="Q276" i="26"/>
  <c r="K276" i="26"/>
  <c r="AK276" i="26" s="1"/>
  <c r="BB276" i="2"/>
  <c r="BL276" i="2" s="1"/>
  <c r="AK276" i="1"/>
  <c r="Y276" i="1"/>
  <c r="AI276" i="14"/>
  <c r="Q276" i="14"/>
  <c r="K276" i="14"/>
  <c r="AK276" i="14" s="1"/>
  <c r="AY276" i="17"/>
  <c r="AG276" i="15"/>
  <c r="M276" i="15"/>
  <c r="AF276" i="16"/>
  <c r="AA276" i="16"/>
  <c r="AH276" i="16" s="1"/>
  <c r="S276" i="10"/>
  <c r="AQ276" i="22" l="1"/>
  <c r="BN276" i="25" s="1"/>
  <c r="BV276" i="25" s="1"/>
  <c r="BX276" i="25" s="1"/>
  <c r="AM276" i="1"/>
  <c r="BN276" i="2" s="1"/>
  <c r="BV276" i="2" s="1"/>
  <c r="BX276" i="2" s="1"/>
  <c r="AI276" i="15"/>
  <c r="BA276" i="17" s="1"/>
  <c r="BE276" i="17" s="1"/>
  <c r="BG276" i="17" s="1"/>
  <c r="Q248" i="26" l="1"/>
  <c r="AY200" i="17" l="1"/>
  <c r="Y188" i="22"/>
  <c r="Q175" i="26" l="1"/>
  <c r="AI175" i="14"/>
  <c r="Q175" i="14"/>
  <c r="AG175" i="15"/>
  <c r="W175" i="10"/>
  <c r="W176" i="10"/>
  <c r="AF175" i="16"/>
  <c r="AA175" i="16"/>
  <c r="AH175" i="16" s="1"/>
  <c r="M175" i="15"/>
  <c r="AY175" i="17"/>
  <c r="K175" i="14"/>
  <c r="AK175" i="14" s="1"/>
  <c r="AK175" i="1"/>
  <c r="BB175" i="2"/>
  <c r="BL175" i="2" s="1"/>
  <c r="K175" i="26"/>
  <c r="AK175" i="26" s="1"/>
  <c r="AO175" i="22"/>
  <c r="BB175" i="25"/>
  <c r="BL175" i="25" s="1"/>
  <c r="S175" i="10"/>
  <c r="Y175" i="22" l="1"/>
  <c r="AQ175" i="22" s="1"/>
  <c r="BN175" i="25" s="1"/>
  <c r="BV175" i="25" s="1"/>
  <c r="Y175" i="1"/>
  <c r="AM175" i="1" s="1"/>
  <c r="BN175" i="2" s="1"/>
  <c r="BV175" i="2" s="1"/>
  <c r="BX175" i="2" s="1"/>
  <c r="AI175" i="26"/>
  <c r="AI175" i="15"/>
  <c r="BA175" i="17" s="1"/>
  <c r="BE175" i="17" s="1"/>
  <c r="BG175" i="17" s="1"/>
  <c r="BB171" i="25"/>
  <c r="BL171" i="25" s="1"/>
  <c r="BX175" i="25" l="1"/>
  <c r="AA139" i="16" l="1"/>
  <c r="AH139" i="16" s="1"/>
  <c r="Q112" i="14" l="1"/>
  <c r="S107" i="10" l="1"/>
  <c r="W25" i="10" l="1"/>
  <c r="S25" i="10"/>
  <c r="BB25" i="25"/>
  <c r="BL25" i="25" s="1"/>
  <c r="AO25" i="22"/>
  <c r="Y25" i="22"/>
  <c r="AQ25" i="22" s="1"/>
  <c r="AI25" i="26"/>
  <c r="Q25" i="26"/>
  <c r="K25" i="26"/>
  <c r="AK25" i="26" s="1"/>
  <c r="BB25" i="2"/>
  <c r="BL25" i="2" s="1"/>
  <c r="AK25" i="1"/>
  <c r="Y25" i="1"/>
  <c r="AI25" i="14"/>
  <c r="Q25" i="14"/>
  <c r="K25" i="14"/>
  <c r="AK25" i="14" s="1"/>
  <c r="AY25" i="17"/>
  <c r="AG25" i="15"/>
  <c r="AI25" i="15" s="1"/>
  <c r="M25" i="15"/>
  <c r="AF25" i="16"/>
  <c r="AA25" i="16"/>
  <c r="AH25" i="16" s="1"/>
  <c r="AM25" i="1" l="1"/>
  <c r="BN25" i="2" s="1"/>
  <c r="BV25" i="2" s="1"/>
  <c r="BX25" i="2" s="1"/>
  <c r="BN25" i="25"/>
  <c r="BV25" i="25" s="1"/>
  <c r="BX25" i="25" s="1"/>
  <c r="BA25" i="17"/>
  <c r="BE25" i="17" s="1"/>
  <c r="BG25" i="17" s="1"/>
  <c r="W18" i="10"/>
  <c r="S18" i="10"/>
  <c r="BB18" i="25"/>
  <c r="BL18" i="25" s="1"/>
  <c r="AO18" i="22"/>
  <c r="Y18" i="22"/>
  <c r="AI18" i="26"/>
  <c r="Q18" i="26"/>
  <c r="K18" i="26"/>
  <c r="AK18" i="26" s="1"/>
  <c r="BB18" i="2"/>
  <c r="BL18" i="2" s="1"/>
  <c r="AK18" i="1"/>
  <c r="Y18" i="1"/>
  <c r="AI18" i="14"/>
  <c r="Q18" i="14"/>
  <c r="K18" i="14"/>
  <c r="AK18" i="14" s="1"/>
  <c r="AY18" i="17"/>
  <c r="AG18" i="15"/>
  <c r="M18" i="15"/>
  <c r="AF18" i="16"/>
  <c r="AA18" i="16"/>
  <c r="AH18" i="16" s="1"/>
  <c r="AM18" i="1" l="1"/>
  <c r="AQ18" i="22"/>
  <c r="BN18" i="25" s="1"/>
  <c r="BV18" i="25" s="1"/>
  <c r="BX18" i="25" s="1"/>
  <c r="BN18" i="2"/>
  <c r="BV18" i="2" s="1"/>
  <c r="BX18" i="2" s="1"/>
  <c r="AI18" i="15"/>
  <c r="BA18" i="17" s="1"/>
  <c r="BE18" i="17" s="1"/>
  <c r="BG18" i="17" s="1"/>
  <c r="W13" i="10" l="1"/>
  <c r="S13" i="10"/>
  <c r="BB13" i="25"/>
  <c r="BL13" i="25" s="1"/>
  <c r="AO13" i="22"/>
  <c r="Y13" i="22"/>
  <c r="AQ13" i="22" s="1"/>
  <c r="AI13" i="26"/>
  <c r="Q13" i="26"/>
  <c r="K13" i="26"/>
  <c r="AK13" i="26" s="1"/>
  <c r="BB13" i="2"/>
  <c r="BL13" i="2" s="1"/>
  <c r="AK13" i="1"/>
  <c r="Y13" i="1"/>
  <c r="AM13" i="1" s="1"/>
  <c r="AI13" i="14"/>
  <c r="Q13" i="14"/>
  <c r="K13" i="14"/>
  <c r="AK13" i="14" s="1"/>
  <c r="AY13" i="17"/>
  <c r="AG13" i="15"/>
  <c r="M13" i="15"/>
  <c r="AF13" i="16"/>
  <c r="AA13" i="16"/>
  <c r="AH13" i="16" s="1"/>
  <c r="AI13" i="15" l="1"/>
  <c r="BA13" i="17" s="1"/>
  <c r="BE13" i="17" s="1"/>
  <c r="BG13" i="17" s="1"/>
  <c r="BN13" i="25"/>
  <c r="BV13" i="25" s="1"/>
  <c r="BX13" i="25" s="1"/>
  <c r="BN13" i="2"/>
  <c r="BV13" i="2" s="1"/>
  <c r="BX13" i="2" s="1"/>
  <c r="AI520" i="26"/>
  <c r="AG296" i="15" l="1"/>
  <c r="AG377" i="15"/>
  <c r="AG419" i="15"/>
  <c r="AG425" i="15"/>
  <c r="AG576" i="15"/>
  <c r="Q571" i="26" l="1"/>
  <c r="AA571" i="16"/>
  <c r="AH571" i="16" s="1"/>
  <c r="AO570" i="22"/>
  <c r="S550" i="10" l="1"/>
  <c r="K550" i="14"/>
  <c r="AK550" i="14" s="1"/>
  <c r="AA550" i="16"/>
  <c r="AH550" i="16" s="1"/>
  <c r="AA549" i="16"/>
  <c r="AH549" i="16" s="1"/>
  <c r="AA546" i="16"/>
  <c r="AH546" i="16" s="1"/>
  <c r="AK528" i="1" l="1"/>
  <c r="AK524" i="1"/>
  <c r="K520" i="14"/>
  <c r="AK520" i="14" s="1"/>
  <c r="K514" i="26" l="1"/>
  <c r="AK514" i="26" s="1"/>
  <c r="AO490" i="22" l="1"/>
  <c r="BB486" i="2" l="1"/>
  <c r="Y482" i="1"/>
  <c r="W466" i="10" l="1"/>
  <c r="AF466" i="16"/>
  <c r="AA466" i="16"/>
  <c r="AH466" i="16" s="1"/>
  <c r="AG466" i="15"/>
  <c r="M466" i="15"/>
  <c r="AY466" i="17"/>
  <c r="AI466" i="14"/>
  <c r="Q466" i="14"/>
  <c r="K466" i="14"/>
  <c r="AK466" i="14" s="1"/>
  <c r="AK466" i="1"/>
  <c r="Y466" i="1"/>
  <c r="BB466" i="2"/>
  <c r="BL466" i="2" s="1"/>
  <c r="AI466" i="26"/>
  <c r="Q466" i="26"/>
  <c r="K466" i="26"/>
  <c r="AK466" i="26" s="1"/>
  <c r="AO466" i="22"/>
  <c r="Y466" i="22"/>
  <c r="BB466" i="25"/>
  <c r="BL466" i="25" s="1"/>
  <c r="S466" i="10"/>
  <c r="AQ466" i="22" l="1"/>
  <c r="BN466" i="25" s="1"/>
  <c r="BV466" i="25" s="1"/>
  <c r="BX466" i="25" s="1"/>
  <c r="AM466" i="1"/>
  <c r="BN466" i="2" s="1"/>
  <c r="BV466" i="2" s="1"/>
  <c r="BX466" i="2" s="1"/>
  <c r="AI466" i="15"/>
  <c r="BA466" i="17" s="1"/>
  <c r="BE466" i="17" s="1"/>
  <c r="BG466" i="17" s="1"/>
  <c r="W423" i="10" l="1"/>
  <c r="S423" i="10"/>
  <c r="BB423" i="25"/>
  <c r="BL423" i="25" s="1"/>
  <c r="AO423" i="22"/>
  <c r="Y423" i="22"/>
  <c r="AI423" i="26"/>
  <c r="Q423" i="26"/>
  <c r="K423" i="26"/>
  <c r="AK423" i="26" s="1"/>
  <c r="BB423" i="2"/>
  <c r="BL423" i="2" s="1"/>
  <c r="AK423" i="1"/>
  <c r="Y423" i="1"/>
  <c r="AI423" i="14"/>
  <c r="Q423" i="14"/>
  <c r="K423" i="14"/>
  <c r="AK423" i="14" s="1"/>
  <c r="AY423" i="17"/>
  <c r="AG423" i="15"/>
  <c r="M423" i="15"/>
  <c r="AF423" i="16"/>
  <c r="AA423" i="16"/>
  <c r="AH423" i="16" s="1"/>
  <c r="AQ423" i="22" l="1"/>
  <c r="BN423" i="25" s="1"/>
  <c r="BV423" i="25" s="1"/>
  <c r="BX423" i="25" s="1"/>
  <c r="AI423" i="15"/>
  <c r="BA423" i="17" s="1"/>
  <c r="BE423" i="17" s="1"/>
  <c r="BG423" i="17" s="1"/>
  <c r="AM423" i="1"/>
  <c r="BN423" i="2" s="1"/>
  <c r="BV423" i="2" s="1"/>
  <c r="BX423" i="2" s="1"/>
  <c r="W410" i="10" l="1"/>
  <c r="S410" i="10"/>
  <c r="BB410" i="25"/>
  <c r="BL410" i="25" s="1"/>
  <c r="Y410" i="22"/>
  <c r="AI410" i="26"/>
  <c r="Q410" i="26"/>
  <c r="K410" i="26"/>
  <c r="AK410" i="26" s="1"/>
  <c r="BB410" i="2"/>
  <c r="BL410" i="2" s="1"/>
  <c r="AK410" i="1"/>
  <c r="Y410" i="1"/>
  <c r="AI410" i="14"/>
  <c r="Q410" i="14"/>
  <c r="K410" i="14"/>
  <c r="AK410" i="14" s="1"/>
  <c r="AY410" i="17"/>
  <c r="AG410" i="15"/>
  <c r="M410" i="15"/>
  <c r="AF410" i="16"/>
  <c r="AA410" i="16"/>
  <c r="AH410" i="16" s="1"/>
  <c r="AQ410" i="22" l="1"/>
  <c r="BN410" i="25" s="1"/>
  <c r="BV410" i="25" s="1"/>
  <c r="AI410" i="15"/>
  <c r="BA410" i="17" s="1"/>
  <c r="BE410" i="17" s="1"/>
  <c r="AM410" i="1"/>
  <c r="BN410" i="2" s="1"/>
  <c r="BV410" i="2" s="1"/>
  <c r="BX410" i="2" s="1"/>
  <c r="W356" i="10"/>
  <c r="AF356" i="16"/>
  <c r="AA356" i="16"/>
  <c r="AH356" i="16" s="1"/>
  <c r="AG356" i="15"/>
  <c r="M356" i="15"/>
  <c r="AY356" i="17"/>
  <c r="AI356" i="14"/>
  <c r="Q356" i="14"/>
  <c r="K356" i="14"/>
  <c r="AK356" i="14" s="1"/>
  <c r="AK356" i="1"/>
  <c r="Y356" i="1"/>
  <c r="BB356" i="2"/>
  <c r="BL356" i="2" s="1"/>
  <c r="AI356" i="26"/>
  <c r="Q356" i="26"/>
  <c r="K356" i="26"/>
  <c r="AK356" i="26" s="1"/>
  <c r="AO356" i="22"/>
  <c r="Y356" i="22"/>
  <c r="BB356" i="25"/>
  <c r="BL356" i="25" s="1"/>
  <c r="S356" i="10"/>
  <c r="AQ356" i="22" l="1"/>
  <c r="BN356" i="25" s="1"/>
  <c r="BV356" i="25" s="1"/>
  <c r="BX356" i="25" s="1"/>
  <c r="AM356" i="1"/>
  <c r="BN356" i="2" s="1"/>
  <c r="BV356" i="2" s="1"/>
  <c r="BX356" i="2" s="1"/>
  <c r="AI356" i="15"/>
  <c r="BA356" i="17" s="1"/>
  <c r="BE356" i="17" s="1"/>
  <c r="BG356" i="17" s="1"/>
  <c r="AY346" i="17" l="1"/>
  <c r="W328" i="10" l="1"/>
  <c r="AF328" i="16"/>
  <c r="AA328" i="16"/>
  <c r="AH328" i="16" s="1"/>
  <c r="AG328" i="15"/>
  <c r="M328" i="15"/>
  <c r="AY328" i="17"/>
  <c r="AI328" i="14"/>
  <c r="Q328" i="14"/>
  <c r="K328" i="14"/>
  <c r="AK328" i="14" s="1"/>
  <c r="AK328" i="1"/>
  <c r="Y328" i="1"/>
  <c r="BB328" i="2"/>
  <c r="BL328" i="2" s="1"/>
  <c r="AI328" i="26"/>
  <c r="Q328" i="26"/>
  <c r="K328" i="26"/>
  <c r="AK328" i="26" s="1"/>
  <c r="AO328" i="22"/>
  <c r="Y328" i="22"/>
  <c r="BB328" i="25"/>
  <c r="BL328" i="25" s="1"/>
  <c r="S328" i="10"/>
  <c r="AQ328" i="22" l="1"/>
  <c r="AI328" i="15"/>
  <c r="BA328" i="17" s="1"/>
  <c r="BE328" i="17" s="1"/>
  <c r="BG328" i="17" s="1"/>
  <c r="AM328" i="1"/>
  <c r="BN328" i="2" s="1"/>
  <c r="BV328" i="2" s="1"/>
  <c r="BX328" i="2" s="1"/>
  <c r="BN328" i="25" l="1"/>
  <c r="BV328" i="25" s="1"/>
  <c r="BX328" i="25" s="1"/>
  <c r="AK296" i="1"/>
  <c r="K319" i="14"/>
  <c r="AK319" i="14" s="1"/>
  <c r="Q319" i="14"/>
  <c r="AI319" i="14"/>
  <c r="BB315" i="2"/>
  <c r="BL315" i="2" s="1"/>
  <c r="AA300" i="16" l="1"/>
  <c r="AH300" i="16" s="1"/>
  <c r="AF300" i="16"/>
  <c r="S296" i="10" l="1"/>
  <c r="AO44" i="22" l="1"/>
  <c r="AO14" i="22"/>
  <c r="AO16" i="22"/>
  <c r="AO17" i="22"/>
  <c r="AO20" i="22"/>
  <c r="AO21" i="22"/>
  <c r="AO22" i="22"/>
  <c r="AO23" i="22"/>
  <c r="AO26" i="22"/>
  <c r="AO27" i="22"/>
  <c r="AO29" i="22"/>
  <c r="AO30" i="22"/>
  <c r="AO31" i="22"/>
  <c r="AO32" i="22"/>
  <c r="AO33" i="22"/>
  <c r="AO35" i="22"/>
  <c r="AO36" i="22"/>
  <c r="AO38" i="22"/>
  <c r="AO39" i="22"/>
  <c r="AO40" i="22"/>
  <c r="AO41" i="22"/>
  <c r="AO42" i="22"/>
  <c r="AO45" i="22"/>
  <c r="AO46" i="22"/>
  <c r="AO47" i="22"/>
  <c r="AO48" i="22"/>
  <c r="AO50" i="22"/>
  <c r="AO51" i="22"/>
  <c r="AO53" i="22"/>
  <c r="AO54" i="22"/>
  <c r="AO55" i="22"/>
  <c r="AO56" i="22"/>
  <c r="AO57" i="22"/>
  <c r="AO59" i="22"/>
  <c r="AO60" i="22"/>
  <c r="AO62" i="22"/>
  <c r="AO63" i="22"/>
  <c r="AO64" i="22"/>
  <c r="AO65" i="22"/>
  <c r="AO66" i="22"/>
  <c r="AO67" i="22"/>
  <c r="AO68" i="22"/>
  <c r="AO69" i="22"/>
  <c r="AO70" i="22"/>
  <c r="AO72" i="22"/>
  <c r="AO73" i="22"/>
  <c r="AO74" i="22"/>
  <c r="AO75" i="22"/>
  <c r="AO77" i="22"/>
  <c r="AO78" i="22"/>
  <c r="AO79" i="22"/>
  <c r="AO80" i="22"/>
  <c r="AO81" i="22"/>
  <c r="AO82" i="22"/>
  <c r="AO83" i="22"/>
  <c r="AO84" i="22"/>
  <c r="AO85" i="22"/>
  <c r="AO87" i="22"/>
  <c r="AO88" i="22"/>
  <c r="AO89" i="22"/>
  <c r="AO90" i="22"/>
  <c r="AO91" i="22"/>
  <c r="AO92" i="22"/>
  <c r="AO93" i="22"/>
  <c r="AO94" i="22"/>
  <c r="AO95" i="22"/>
  <c r="AO96" i="22"/>
  <c r="AO97" i="22"/>
  <c r="AO98" i="22"/>
  <c r="AO99" i="22"/>
  <c r="AO100" i="22"/>
  <c r="AO101" i="22"/>
  <c r="AO103" i="22"/>
  <c r="AO104" i="22"/>
  <c r="AO105" i="22"/>
  <c r="AO106" i="22"/>
  <c r="AO107" i="22"/>
  <c r="AO108" i="22"/>
  <c r="AO109" i="22"/>
  <c r="AO110" i="22"/>
  <c r="AO111" i="22"/>
  <c r="AO112" i="22"/>
  <c r="AO113" i="22"/>
  <c r="AO114" i="22"/>
  <c r="AO115" i="22"/>
  <c r="AO116" i="22"/>
  <c r="AO117" i="22"/>
  <c r="AO118" i="22"/>
  <c r="AO119" i="22"/>
  <c r="AO120" i="22"/>
  <c r="AO121" i="22"/>
  <c r="AO122" i="22"/>
  <c r="AO123" i="22"/>
  <c r="AO124" i="22"/>
  <c r="AO125" i="22"/>
  <c r="AO126" i="22"/>
  <c r="AO127" i="22"/>
  <c r="AO128" i="22"/>
  <c r="AO129" i="22"/>
  <c r="AO130" i="22"/>
  <c r="AO131" i="22"/>
  <c r="AO132" i="22"/>
  <c r="AO133" i="22"/>
  <c r="AO134" i="22"/>
  <c r="AO135" i="22"/>
  <c r="AO136" i="22"/>
  <c r="AO137" i="22"/>
  <c r="AO138" i="22"/>
  <c r="AO139" i="22"/>
  <c r="AO140" i="22"/>
  <c r="AO141" i="22"/>
  <c r="AO142" i="22"/>
  <c r="AO143" i="22"/>
  <c r="AO144" i="22"/>
  <c r="AO145" i="22"/>
  <c r="AO146" i="22"/>
  <c r="AO147" i="22"/>
  <c r="AO148" i="22"/>
  <c r="AO149" i="22"/>
  <c r="AO150" i="22"/>
  <c r="AO151" i="22"/>
  <c r="BB48" i="25"/>
  <c r="BL48" i="25" s="1"/>
  <c r="AO102" i="22"/>
  <c r="AO86" i="22"/>
  <c r="AO76" i="22"/>
  <c r="AO71" i="22"/>
  <c r="AO61" i="22"/>
  <c r="AO43" i="22"/>
  <c r="AO37" i="22"/>
  <c r="AO24" i="22"/>
  <c r="AO19" i="22"/>
  <c r="AO15" i="22"/>
  <c r="Y48" i="22"/>
  <c r="AK48" i="1"/>
  <c r="AI48" i="14"/>
  <c r="Q48" i="14"/>
  <c r="K48" i="14"/>
  <c r="AK48" i="14" s="1"/>
  <c r="BB48" i="2"/>
  <c r="BL48" i="2" s="1"/>
  <c r="Y48" i="1"/>
  <c r="AI48" i="26"/>
  <c r="Q48" i="26"/>
  <c r="AY48" i="17"/>
  <c r="M48" i="15"/>
  <c r="AG48" i="15"/>
  <c r="W48" i="10"/>
  <c r="S48" i="10"/>
  <c r="AQ48" i="22" l="1"/>
  <c r="AI48" i="15"/>
  <c r="BA48" i="17" s="1"/>
  <c r="BE48" i="17" s="1"/>
  <c r="BG48" i="17" s="1"/>
  <c r="AM48" i="1"/>
  <c r="BN48" i="2" s="1"/>
  <c r="BV48" i="2" s="1"/>
  <c r="BX48" i="2" s="1"/>
  <c r="K48" i="26"/>
  <c r="AK48" i="26" s="1"/>
  <c r="AO28" i="22"/>
  <c r="AO34" i="22"/>
  <c r="BN48" i="25"/>
  <c r="BV48" i="25" s="1"/>
  <c r="BX48" i="25" s="1"/>
  <c r="AO152" i="22"/>
  <c r="AO247" i="22"/>
  <c r="AG250" i="15" l="1"/>
  <c r="AO214" i="22" l="1"/>
  <c r="AO201" i="22" l="1"/>
  <c r="AO211" i="22"/>
  <c r="M208" i="15"/>
  <c r="AG208" i="15"/>
  <c r="AO207" i="22"/>
  <c r="AI208" i="15" l="1"/>
  <c r="AO189" i="22"/>
  <c r="AO181" i="22" l="1"/>
  <c r="AO180" i="22" l="1"/>
  <c r="Y180" i="22"/>
  <c r="AK180" i="1"/>
  <c r="Y180" i="1"/>
  <c r="AO159" i="22"/>
  <c r="AO162" i="22"/>
  <c r="AO172" i="22"/>
  <c r="BN296" i="2"/>
  <c r="BN377" i="2"/>
  <c r="BN419" i="2"/>
  <c r="BV419" i="2" s="1"/>
  <c r="BN425" i="2"/>
  <c r="BV425" i="2" s="1"/>
  <c r="AM180" i="1" l="1"/>
  <c r="AQ180" i="22"/>
  <c r="BX296" i="2" l="1"/>
  <c r="BX377" i="2"/>
  <c r="BX419" i="2"/>
  <c r="BX425" i="2"/>
  <c r="AF48" i="16" l="1"/>
  <c r="AA48" i="16"/>
  <c r="AH48" i="16" s="1"/>
  <c r="BB14" i="25" l="1"/>
  <c r="BL14" i="25" s="1"/>
  <c r="AI632" i="26"/>
  <c r="AI631" i="26"/>
  <c r="AI630" i="26"/>
  <c r="AI629" i="26"/>
  <c r="AI627" i="26"/>
  <c r="AI626" i="26"/>
  <c r="AI625" i="26"/>
  <c r="AI624" i="26"/>
  <c r="AI623" i="26"/>
  <c r="AI622" i="26"/>
  <c r="AI621" i="26"/>
  <c r="AI620" i="26"/>
  <c r="AI619" i="26"/>
  <c r="AI618" i="26"/>
  <c r="AI617" i="26"/>
  <c r="AI616" i="26"/>
  <c r="AI615" i="26"/>
  <c r="AI614" i="26"/>
  <c r="AI613" i="26"/>
  <c r="AI612" i="26"/>
  <c r="AI611" i="26"/>
  <c r="AI610" i="26"/>
  <c r="AI609" i="26"/>
  <c r="AI608" i="26"/>
  <c r="AI607" i="26"/>
  <c r="AI606" i="26"/>
  <c r="AI605" i="26"/>
  <c r="AI604" i="26"/>
  <c r="AI603" i="26"/>
  <c r="AI602" i="26"/>
  <c r="AI601" i="26"/>
  <c r="AI600" i="26"/>
  <c r="AI599" i="26"/>
  <c r="AI598" i="26"/>
  <c r="AI597" i="26"/>
  <c r="AI596" i="26"/>
  <c r="AI595" i="26"/>
  <c r="AI594" i="26"/>
  <c r="AI593" i="26"/>
  <c r="AI592" i="26"/>
  <c r="AI591" i="26"/>
  <c r="AI590" i="26"/>
  <c r="AI589" i="26"/>
  <c r="AI588" i="26"/>
  <c r="AI587" i="26"/>
  <c r="AI586" i="26"/>
  <c r="AI585" i="26"/>
  <c r="AI584" i="26"/>
  <c r="AI583" i="26"/>
  <c r="AI582" i="26"/>
  <c r="AI578" i="26"/>
  <c r="AI577" i="26"/>
  <c r="AI576" i="26"/>
  <c r="AI575" i="26"/>
  <c r="AI574" i="26"/>
  <c r="AI573" i="26"/>
  <c r="AI572" i="26"/>
  <c r="AI571" i="26"/>
  <c r="AI570" i="26"/>
  <c r="AI569" i="26"/>
  <c r="AI568" i="26"/>
  <c r="AI567" i="26"/>
  <c r="AI566" i="26"/>
  <c r="AI565" i="26"/>
  <c r="AI564" i="26"/>
  <c r="AI563" i="26"/>
  <c r="AI562" i="26"/>
  <c r="AI561" i="26"/>
  <c r="AI560" i="26"/>
  <c r="AI559" i="26"/>
  <c r="AI558" i="26"/>
  <c r="AI557" i="26"/>
  <c r="AI556" i="26"/>
  <c r="AI555" i="26"/>
  <c r="AI554" i="26"/>
  <c r="AI553" i="26"/>
  <c r="AI552" i="26"/>
  <c r="AI551" i="26"/>
  <c r="AI550" i="26"/>
  <c r="AI549" i="26"/>
  <c r="AI548" i="26"/>
  <c r="AI547" i="26"/>
  <c r="AI546" i="26"/>
  <c r="AI545" i="26"/>
  <c r="AI544" i="26"/>
  <c r="AI543" i="26"/>
  <c r="AI542" i="26"/>
  <c r="AI541" i="26"/>
  <c r="AI540" i="26"/>
  <c r="AI539" i="26"/>
  <c r="AI538" i="26"/>
  <c r="AI537" i="26"/>
  <c r="AI536" i="26"/>
  <c r="AI535" i="26"/>
  <c r="AI534" i="26"/>
  <c r="AI533" i="26"/>
  <c r="AI532" i="26"/>
  <c r="AI531" i="26"/>
  <c r="AI530" i="26"/>
  <c r="AI529" i="26"/>
  <c r="AI528" i="26"/>
  <c r="AI527" i="26"/>
  <c r="AI526" i="26"/>
  <c r="AI525" i="26"/>
  <c r="AI524" i="26"/>
  <c r="AI523" i="26"/>
  <c r="AI522" i="26"/>
  <c r="AI521" i="26"/>
  <c r="AI519" i="26"/>
  <c r="AI518" i="26"/>
  <c r="AI517" i="26"/>
  <c r="AI516" i="26"/>
  <c r="AI515" i="26"/>
  <c r="AI514" i="26"/>
  <c r="AI513" i="26"/>
  <c r="AI512" i="26"/>
  <c r="AI511" i="26"/>
  <c r="AI510" i="26"/>
  <c r="AI509" i="26"/>
  <c r="AI508" i="26"/>
  <c r="AI507" i="26"/>
  <c r="AI506" i="26"/>
  <c r="AI505" i="26"/>
  <c r="AI504" i="26"/>
  <c r="AI503" i="26"/>
  <c r="AI502" i="26"/>
  <c r="AI501" i="26"/>
  <c r="AI500" i="26"/>
  <c r="AI499" i="26"/>
  <c r="AI498" i="26"/>
  <c r="AI497" i="26"/>
  <c r="AI496" i="26"/>
  <c r="AI495" i="26"/>
  <c r="AI494" i="26"/>
  <c r="AI493" i="26"/>
  <c r="AI492" i="26"/>
  <c r="AI491" i="26"/>
  <c r="AI490" i="26"/>
  <c r="AI489" i="26"/>
  <c r="AI488" i="26"/>
  <c r="AI487" i="26"/>
  <c r="AI486" i="26"/>
  <c r="AI485" i="26"/>
  <c r="AI484" i="26"/>
  <c r="AI483" i="26"/>
  <c r="AI482" i="26"/>
  <c r="AI481" i="26"/>
  <c r="AI480" i="26"/>
  <c r="AI479" i="26"/>
  <c r="AI478" i="26"/>
  <c r="AI477" i="26"/>
  <c r="AI476" i="26"/>
  <c r="AI475" i="26"/>
  <c r="AI474" i="26"/>
  <c r="AI473" i="26"/>
  <c r="AI472" i="26"/>
  <c r="AI471" i="26"/>
  <c r="AI470" i="26"/>
  <c r="AI469" i="26"/>
  <c r="AI468" i="26"/>
  <c r="AI467" i="26"/>
  <c r="AI465" i="26"/>
  <c r="AI464" i="26"/>
  <c r="AI463" i="26"/>
  <c r="AI462" i="26"/>
  <c r="AI461" i="26"/>
  <c r="AI460" i="26"/>
  <c r="AI459" i="26"/>
  <c r="AI458" i="26"/>
  <c r="AI457" i="26"/>
  <c r="AI456" i="26"/>
  <c r="AI455" i="26"/>
  <c r="AI454" i="26"/>
  <c r="AI453" i="26"/>
  <c r="AI452" i="26"/>
  <c r="AI451" i="26"/>
  <c r="AI450" i="26"/>
  <c r="AI449" i="26"/>
  <c r="AI448" i="26"/>
  <c r="AI447" i="26"/>
  <c r="AI446" i="26"/>
  <c r="AI445" i="26"/>
  <c r="AI444" i="26"/>
  <c r="AI443" i="26"/>
  <c r="AI442" i="26"/>
  <c r="AI441" i="26"/>
  <c r="AI440" i="26"/>
  <c r="AI439" i="26"/>
  <c r="AI438" i="26"/>
  <c r="AI437" i="26"/>
  <c r="AI436" i="26"/>
  <c r="AI435" i="26"/>
  <c r="AI434" i="26"/>
  <c r="AI433" i="26"/>
  <c r="AI432" i="26"/>
  <c r="AI431" i="26"/>
  <c r="AI430" i="26"/>
  <c r="AI429" i="26"/>
  <c r="AI428" i="26"/>
  <c r="AI427" i="26"/>
  <c r="AI426" i="26"/>
  <c r="AI424" i="26"/>
  <c r="AI422" i="26"/>
  <c r="AI421" i="26"/>
  <c r="AI420" i="26"/>
  <c r="AI418" i="26"/>
  <c r="AI417" i="26"/>
  <c r="AI416" i="26"/>
  <c r="AI415" i="26"/>
  <c r="AI414" i="26"/>
  <c r="AI413" i="26"/>
  <c r="AI412" i="26"/>
  <c r="AI411" i="26"/>
  <c r="AI409" i="26"/>
  <c r="AI408" i="26"/>
  <c r="AI407" i="26"/>
  <c r="AI406" i="26"/>
  <c r="AI405" i="26"/>
  <c r="AI404" i="26"/>
  <c r="AI403" i="26"/>
  <c r="AI402" i="26"/>
  <c r="AI401" i="26"/>
  <c r="AI400" i="26"/>
  <c r="AI399" i="26"/>
  <c r="AI398" i="26"/>
  <c r="AI397" i="26"/>
  <c r="AI396" i="26"/>
  <c r="AI395" i="26"/>
  <c r="AI394" i="26"/>
  <c r="AI393" i="26"/>
  <c r="AI392" i="26"/>
  <c r="AI391" i="26"/>
  <c r="AI390" i="26"/>
  <c r="AI389" i="26"/>
  <c r="AI388" i="26"/>
  <c r="AI387" i="26"/>
  <c r="AI386" i="26"/>
  <c r="AI385" i="26"/>
  <c r="AI384" i="26"/>
  <c r="AI383" i="26"/>
  <c r="AI382" i="26"/>
  <c r="AI381" i="26"/>
  <c r="AI380" i="26"/>
  <c r="AI379" i="26"/>
  <c r="AI378" i="26"/>
  <c r="AI376" i="26"/>
  <c r="AI375" i="26"/>
  <c r="AI374" i="26"/>
  <c r="AI373" i="26"/>
  <c r="AI372" i="26"/>
  <c r="AI371" i="26"/>
  <c r="AI370" i="26"/>
  <c r="AI369" i="26"/>
  <c r="AI368" i="26"/>
  <c r="AI367" i="26"/>
  <c r="AI366" i="26"/>
  <c r="AI365" i="26"/>
  <c r="AI364" i="26"/>
  <c r="AI363" i="26"/>
  <c r="AI362" i="26"/>
  <c r="AI361" i="26"/>
  <c r="AI360" i="26"/>
  <c r="AI359" i="26"/>
  <c r="AI358" i="26"/>
  <c r="AI357" i="26"/>
  <c r="AI355" i="26"/>
  <c r="AI354" i="26"/>
  <c r="AI353" i="26"/>
  <c r="AI352" i="26"/>
  <c r="AI351" i="26"/>
  <c r="AI350" i="26"/>
  <c r="AI349" i="26"/>
  <c r="AI348" i="26"/>
  <c r="AI347" i="26"/>
  <c r="AI346" i="26"/>
  <c r="AI345" i="26"/>
  <c r="AI344" i="26"/>
  <c r="AI343" i="26"/>
  <c r="AI342" i="26"/>
  <c r="AI341" i="26"/>
  <c r="AI340" i="26"/>
  <c r="AI339" i="26"/>
  <c r="AI338" i="26"/>
  <c r="AI337" i="26"/>
  <c r="AI336" i="26"/>
  <c r="AI335" i="26"/>
  <c r="AI334" i="26"/>
  <c r="AI333" i="26"/>
  <c r="AI332" i="26"/>
  <c r="AI331" i="26"/>
  <c r="AI330" i="26"/>
  <c r="AI329" i="26"/>
  <c r="AI327" i="26"/>
  <c r="AI326" i="26"/>
  <c r="AI325" i="26"/>
  <c r="AI324" i="26"/>
  <c r="AI323" i="26"/>
  <c r="AI322" i="26"/>
  <c r="AI321" i="26"/>
  <c r="AI320" i="26"/>
  <c r="AI319" i="26"/>
  <c r="AI318" i="26"/>
  <c r="AI317" i="26"/>
  <c r="AI316" i="26"/>
  <c r="AI315" i="26"/>
  <c r="AI314" i="26"/>
  <c r="AI313" i="26"/>
  <c r="AI312" i="26"/>
  <c r="AI311" i="26"/>
  <c r="AI310" i="26"/>
  <c r="AI309" i="26"/>
  <c r="AI308" i="26"/>
  <c r="AI307" i="26"/>
  <c r="AI306" i="26"/>
  <c r="AI305" i="26"/>
  <c r="AI304" i="26"/>
  <c r="AI303" i="26"/>
  <c r="AI299" i="26"/>
  <c r="AI302" i="26"/>
  <c r="AI301" i="26"/>
  <c r="AI300" i="26"/>
  <c r="AI298" i="26"/>
  <c r="AI297" i="26"/>
  <c r="AI295" i="26"/>
  <c r="AI294" i="26"/>
  <c r="AI293" i="26"/>
  <c r="AI292" i="26"/>
  <c r="AI291" i="26"/>
  <c r="AI290" i="26"/>
  <c r="AI289" i="26"/>
  <c r="AI288" i="26"/>
  <c r="AI287" i="26"/>
  <c r="AI283" i="26"/>
  <c r="AI282" i="26"/>
  <c r="AI281" i="26"/>
  <c r="AI280" i="26"/>
  <c r="AI279" i="26"/>
  <c r="AI278" i="26"/>
  <c r="AI277" i="26"/>
  <c r="AI275" i="26"/>
  <c r="AI274" i="26"/>
  <c r="AI273" i="26"/>
  <c r="AI272" i="26"/>
  <c r="AI271" i="26"/>
  <c r="AI270" i="26"/>
  <c r="AI269" i="26"/>
  <c r="AI268" i="26"/>
  <c r="AI267" i="26"/>
  <c r="AI266" i="26"/>
  <c r="AI265" i="26"/>
  <c r="AI264" i="26"/>
  <c r="AI263" i="26"/>
  <c r="AI262" i="26"/>
  <c r="AI261" i="26"/>
  <c r="AI260" i="26"/>
  <c r="AI259" i="26"/>
  <c r="AI258" i="26"/>
  <c r="AI257" i="26"/>
  <c r="AI256" i="26"/>
  <c r="AI255" i="26"/>
  <c r="AI254" i="26"/>
  <c r="AI253" i="26"/>
  <c r="AI252" i="26"/>
  <c r="AI250" i="26"/>
  <c r="AI249" i="26"/>
  <c r="AI248" i="26"/>
  <c r="AI247" i="26"/>
  <c r="AI246" i="26"/>
  <c r="AI245" i="26"/>
  <c r="AI244" i="26"/>
  <c r="AI243" i="26"/>
  <c r="AI242" i="26"/>
  <c r="AI241" i="26"/>
  <c r="AI240" i="26"/>
  <c r="AI239" i="26"/>
  <c r="AI238" i="26"/>
  <c r="AI237" i="26"/>
  <c r="AI236" i="26"/>
  <c r="AI235" i="26"/>
  <c r="AI234" i="26"/>
  <c r="AI233" i="26"/>
  <c r="AI232" i="26"/>
  <c r="AI231" i="26"/>
  <c r="AI230" i="26"/>
  <c r="AI229" i="26"/>
  <c r="AI228" i="26"/>
  <c r="AI227" i="26"/>
  <c r="AI226" i="26"/>
  <c r="AI225" i="26"/>
  <c r="AI224" i="26"/>
  <c r="AI223" i="26"/>
  <c r="AI222" i="26"/>
  <c r="AI221" i="26"/>
  <c r="AI220" i="26"/>
  <c r="AI219" i="26"/>
  <c r="AI212" i="26"/>
  <c r="AI211" i="26"/>
  <c r="AI210" i="26"/>
  <c r="AI209" i="26"/>
  <c r="AI208" i="26"/>
  <c r="AI207" i="26"/>
  <c r="AI206" i="26"/>
  <c r="AI205" i="26"/>
  <c r="AI204" i="26"/>
  <c r="AI203" i="26"/>
  <c r="AI202" i="26"/>
  <c r="AI201" i="26"/>
  <c r="AI200" i="26"/>
  <c r="AI199" i="26"/>
  <c r="AI198" i="26"/>
  <c r="AI197" i="26"/>
  <c r="AI196" i="26"/>
  <c r="AI195" i="26"/>
  <c r="AI194" i="26"/>
  <c r="AI193" i="26"/>
  <c r="AI192" i="26"/>
  <c r="AI191" i="26"/>
  <c r="AI190" i="26"/>
  <c r="AI189" i="26"/>
  <c r="AI188" i="26"/>
  <c r="AI187" i="26"/>
  <c r="AI186" i="26"/>
  <c r="AI185" i="26"/>
  <c r="AI184" i="26"/>
  <c r="AI183" i="26"/>
  <c r="AI182" i="26"/>
  <c r="AI181" i="26"/>
  <c r="AI180" i="26"/>
  <c r="AI179" i="26"/>
  <c r="AI177" i="26"/>
  <c r="AI176" i="26"/>
  <c r="AI174" i="26"/>
  <c r="AI173" i="26"/>
  <c r="AI172" i="26"/>
  <c r="AI171" i="26"/>
  <c r="AI170" i="26"/>
  <c r="AI169" i="26"/>
  <c r="AI168" i="26"/>
  <c r="AI167" i="26"/>
  <c r="AI166" i="26"/>
  <c r="AI165" i="26"/>
  <c r="AI164" i="26"/>
  <c r="AI163" i="26"/>
  <c r="AI162" i="26"/>
  <c r="AI161" i="26"/>
  <c r="AI160" i="26"/>
  <c r="AI159" i="26"/>
  <c r="AI158" i="26"/>
  <c r="AI157" i="26"/>
  <c r="AI156" i="26"/>
  <c r="AI155" i="26"/>
  <c r="AI154" i="26"/>
  <c r="AI153" i="26"/>
  <c r="AI152" i="26"/>
  <c r="AI151" i="26"/>
  <c r="AI150" i="26"/>
  <c r="AI149" i="26"/>
  <c r="AI148" i="26"/>
  <c r="AI147" i="26"/>
  <c r="AI146" i="26"/>
  <c r="AI145" i="26"/>
  <c r="AI144" i="26"/>
  <c r="AI143" i="26"/>
  <c r="AI142" i="26"/>
  <c r="AI141" i="26"/>
  <c r="AI140" i="26"/>
  <c r="AI139" i="26"/>
  <c r="AI138" i="26"/>
  <c r="AI137" i="26"/>
  <c r="AI136" i="26"/>
  <c r="AI135" i="26"/>
  <c r="AI134" i="26"/>
  <c r="AI133" i="26"/>
  <c r="AI132" i="26"/>
  <c r="AI131" i="26"/>
  <c r="AI130" i="26"/>
  <c r="AI129" i="26"/>
  <c r="AI128" i="26"/>
  <c r="AI127" i="26"/>
  <c r="AI126" i="26"/>
  <c r="AI125" i="26"/>
  <c r="AI124" i="26"/>
  <c r="AI123" i="26"/>
  <c r="AI122" i="26"/>
  <c r="AI121" i="26"/>
  <c r="AI120" i="26"/>
  <c r="AI119" i="26"/>
  <c r="AI118" i="26"/>
  <c r="AI117" i="26"/>
  <c r="AI116" i="26"/>
  <c r="AI115" i="26"/>
  <c r="AI114" i="26"/>
  <c r="AI113" i="26"/>
  <c r="AI112" i="26"/>
  <c r="AI111" i="26"/>
  <c r="AI110" i="26"/>
  <c r="AI109" i="26"/>
  <c r="AI108" i="26"/>
  <c r="AI107" i="26"/>
  <c r="AI106" i="26"/>
  <c r="AI105" i="26"/>
  <c r="AI104" i="26"/>
  <c r="AI103" i="26"/>
  <c r="AI102" i="26"/>
  <c r="AI101" i="26"/>
  <c r="AI100" i="26"/>
  <c r="AI99" i="26"/>
  <c r="AI98" i="26"/>
  <c r="AI97" i="26"/>
  <c r="AI95" i="26"/>
  <c r="AI96" i="26"/>
  <c r="AI94" i="26"/>
  <c r="AI93" i="26"/>
  <c r="AI92" i="26"/>
  <c r="AI91" i="26"/>
  <c r="AI90" i="26"/>
  <c r="AI89" i="26"/>
  <c r="AI88" i="26"/>
  <c r="AI87" i="26"/>
  <c r="AI86" i="26"/>
  <c r="AI85" i="26"/>
  <c r="AI84" i="26"/>
  <c r="AI83" i="26"/>
  <c r="AI82" i="26"/>
  <c r="AI81" i="26"/>
  <c r="AI80" i="26"/>
  <c r="AI79" i="26"/>
  <c r="AI78" i="26"/>
  <c r="AI77" i="26"/>
  <c r="AI76" i="26"/>
  <c r="AI75" i="26"/>
  <c r="AI74" i="26"/>
  <c r="AI73" i="26"/>
  <c r="AI72" i="26"/>
  <c r="AI71" i="26"/>
  <c r="AI70" i="26"/>
  <c r="AI69" i="26"/>
  <c r="AI68" i="26"/>
  <c r="AI67" i="26"/>
  <c r="AI66" i="26"/>
  <c r="AI65" i="26"/>
  <c r="AI64" i="26"/>
  <c r="AI63" i="26"/>
  <c r="AI62" i="26"/>
  <c r="AI61" i="26"/>
  <c r="AI60" i="26"/>
  <c r="AI59" i="26"/>
  <c r="AI57" i="26"/>
  <c r="AI56" i="26"/>
  <c r="AI55" i="26"/>
  <c r="AI54" i="26"/>
  <c r="AI53" i="26"/>
  <c r="AI51" i="26"/>
  <c r="AI50" i="26"/>
  <c r="AI47" i="26"/>
  <c r="AI46" i="26"/>
  <c r="AI45" i="26"/>
  <c r="AI44" i="26"/>
  <c r="AI43" i="26"/>
  <c r="AI42" i="26"/>
  <c r="AI41" i="26"/>
  <c r="AI40" i="26"/>
  <c r="AI39" i="26"/>
  <c r="AI38" i="26"/>
  <c r="AI37" i="26"/>
  <c r="AI36" i="26"/>
  <c r="AI35" i="26"/>
  <c r="AI34" i="26"/>
  <c r="AI33" i="26"/>
  <c r="AI32" i="26"/>
  <c r="AI31" i="26"/>
  <c r="AI30" i="26"/>
  <c r="AI29" i="26"/>
  <c r="AI28" i="26"/>
  <c r="AI27" i="26"/>
  <c r="AI26" i="26"/>
  <c r="AI24" i="26"/>
  <c r="AI23" i="26"/>
  <c r="AI22" i="26"/>
  <c r="AI21" i="26"/>
  <c r="AI20" i="26"/>
  <c r="AI19" i="26"/>
  <c r="AI17" i="26"/>
  <c r="AI16" i="26"/>
  <c r="AI15" i="26"/>
  <c r="AI14" i="26"/>
  <c r="AI632" i="14"/>
  <c r="AI631" i="14"/>
  <c r="AI630" i="14"/>
  <c r="AI629" i="14"/>
  <c r="AI627" i="14"/>
  <c r="AI626" i="14"/>
  <c r="AI625" i="14"/>
  <c r="AI624" i="14"/>
  <c r="AI623" i="14"/>
  <c r="AI622" i="14"/>
  <c r="AI621" i="14"/>
  <c r="AI620" i="14"/>
  <c r="AI619" i="14"/>
  <c r="AI618" i="14"/>
  <c r="AI617" i="14"/>
  <c r="AI616" i="14"/>
  <c r="AI615" i="14"/>
  <c r="AI614" i="14"/>
  <c r="AI613" i="14"/>
  <c r="AI612" i="14"/>
  <c r="AI611" i="14"/>
  <c r="AI609" i="14"/>
  <c r="AI608" i="14"/>
  <c r="AI607" i="14"/>
  <c r="AI606" i="14"/>
  <c r="AI605" i="14"/>
  <c r="AI604" i="14"/>
  <c r="AI603" i="14"/>
  <c r="AI602" i="14"/>
  <c r="AI601" i="14"/>
  <c r="AI600" i="14"/>
  <c r="AI599" i="14"/>
  <c r="AI598" i="14"/>
  <c r="AI597" i="14"/>
  <c r="AI596" i="14"/>
  <c r="AI595" i="14"/>
  <c r="AI594" i="14"/>
  <c r="AI593" i="14"/>
  <c r="AI592" i="14"/>
  <c r="AI591" i="14"/>
  <c r="AI590" i="14"/>
  <c r="AI589" i="14"/>
  <c r="AI588" i="14"/>
  <c r="AI587" i="14"/>
  <c r="AI586" i="14"/>
  <c r="AI585" i="14"/>
  <c r="AI584" i="14"/>
  <c r="AI583" i="14"/>
  <c r="AI582" i="14"/>
  <c r="AI578" i="14"/>
  <c r="AI577" i="14"/>
  <c r="AI576" i="14"/>
  <c r="AI575" i="14"/>
  <c r="AI574" i="14"/>
  <c r="AI573" i="14"/>
  <c r="AI572" i="14"/>
  <c r="AI571" i="14"/>
  <c r="AI570" i="14"/>
  <c r="AI569" i="14"/>
  <c r="AI568" i="14"/>
  <c r="AI567" i="14"/>
  <c r="AI566" i="14"/>
  <c r="AI565" i="14"/>
  <c r="AI564" i="14"/>
  <c r="AI563" i="14"/>
  <c r="AI562" i="14"/>
  <c r="AI561" i="14"/>
  <c r="AI560" i="14"/>
  <c r="AI559" i="14"/>
  <c r="AI557" i="14"/>
  <c r="AI556" i="14"/>
  <c r="AI555" i="14"/>
  <c r="AI554" i="14"/>
  <c r="AI553" i="14"/>
  <c r="AI552" i="14"/>
  <c r="AI551" i="14"/>
  <c r="AI550" i="14"/>
  <c r="AI549" i="14"/>
  <c r="AI548" i="14"/>
  <c r="AI547" i="14"/>
  <c r="AI546" i="14"/>
  <c r="AI545" i="14"/>
  <c r="AI544" i="14"/>
  <c r="AI543" i="14"/>
  <c r="AI542" i="14"/>
  <c r="AI541" i="14"/>
  <c r="AI540" i="14"/>
  <c r="AI539" i="14"/>
  <c r="AI538" i="14"/>
  <c r="AI537" i="14"/>
  <c r="AI536" i="14"/>
  <c r="AI535" i="14"/>
  <c r="AI534" i="14"/>
  <c r="AI533" i="14"/>
  <c r="AI532" i="14"/>
  <c r="AI531" i="14"/>
  <c r="AI530" i="14"/>
  <c r="AI529" i="14"/>
  <c r="AI528" i="14"/>
  <c r="AI527" i="14"/>
  <c r="AI526" i="14"/>
  <c r="AI525" i="14"/>
  <c r="AI524" i="14"/>
  <c r="AI523" i="14"/>
  <c r="AI522" i="14"/>
  <c r="AI521" i="14"/>
  <c r="AI520" i="14"/>
  <c r="AI519" i="14"/>
  <c r="AI518" i="14"/>
  <c r="AI517" i="14"/>
  <c r="AI516" i="14"/>
  <c r="AI515" i="14"/>
  <c r="AI514" i="14"/>
  <c r="AI513" i="14"/>
  <c r="AI512" i="14"/>
  <c r="AI511" i="14"/>
  <c r="AI510" i="14"/>
  <c r="AI509" i="14"/>
  <c r="AI508" i="14"/>
  <c r="AI507" i="14"/>
  <c r="AI506" i="14"/>
  <c r="AI505" i="14"/>
  <c r="AI504" i="14"/>
  <c r="AI503" i="14"/>
  <c r="AI502" i="14"/>
  <c r="AI501" i="14"/>
  <c r="AI500" i="14"/>
  <c r="AI499" i="14"/>
  <c r="AI498" i="14"/>
  <c r="AI497" i="14"/>
  <c r="AI496" i="14"/>
  <c r="AI495" i="14"/>
  <c r="AI494" i="14"/>
  <c r="AI493" i="14"/>
  <c r="AI492" i="14"/>
  <c r="AI491" i="14"/>
  <c r="AI490" i="14"/>
  <c r="AI489" i="14"/>
  <c r="AI488" i="14"/>
  <c r="AI487" i="14"/>
  <c r="AI486" i="14"/>
  <c r="AI485" i="14"/>
  <c r="AI484" i="14"/>
  <c r="AI483" i="14"/>
  <c r="AI482" i="14"/>
  <c r="AI481" i="14"/>
  <c r="AI480" i="14"/>
  <c r="AI479" i="14"/>
  <c r="AI478" i="14"/>
  <c r="AI477" i="14"/>
  <c r="AI476" i="14"/>
  <c r="AI475" i="14"/>
  <c r="AI474" i="14"/>
  <c r="AI473" i="14"/>
  <c r="AI472" i="14"/>
  <c r="AI471" i="14"/>
  <c r="AI470" i="14"/>
  <c r="AI469" i="14"/>
  <c r="AI468" i="14"/>
  <c r="AI467" i="14"/>
  <c r="AI465" i="14"/>
  <c r="AI464" i="14"/>
  <c r="AI463" i="14"/>
  <c r="AI462" i="14"/>
  <c r="AI461" i="14"/>
  <c r="AI460" i="14"/>
  <c r="AI459" i="14"/>
  <c r="AI458" i="14"/>
  <c r="AI457" i="14"/>
  <c r="AI456" i="14"/>
  <c r="AI455" i="14"/>
  <c r="AI454" i="14"/>
  <c r="AI453" i="14"/>
  <c r="AI452" i="14"/>
  <c r="AI451" i="14"/>
  <c r="AI450" i="14"/>
  <c r="AI449" i="14"/>
  <c r="AI448" i="14"/>
  <c r="AI447" i="14"/>
  <c r="AI446" i="14"/>
  <c r="AI445" i="14"/>
  <c r="AI444" i="14"/>
  <c r="AI443" i="14"/>
  <c r="AI442" i="14"/>
  <c r="AI441" i="14"/>
  <c r="AI440" i="14"/>
  <c r="AI439" i="14"/>
  <c r="AI438" i="14"/>
  <c r="AI437" i="14"/>
  <c r="AI436" i="14"/>
  <c r="AI435" i="14"/>
  <c r="AI434" i="14"/>
  <c r="AI433" i="14"/>
  <c r="AI432" i="14"/>
  <c r="AI431" i="14"/>
  <c r="AI430" i="14"/>
  <c r="AI429" i="14"/>
  <c r="AI428" i="14"/>
  <c r="AI427" i="14"/>
  <c r="AI426" i="14"/>
  <c r="AI424" i="14"/>
  <c r="AI422" i="14"/>
  <c r="AI421" i="14"/>
  <c r="AI420" i="14"/>
  <c r="AI418" i="14"/>
  <c r="AI417" i="14"/>
  <c r="AI416" i="14"/>
  <c r="AI415" i="14"/>
  <c r="AI414" i="14"/>
  <c r="AI413" i="14"/>
  <c r="AI412" i="14"/>
  <c r="AI411" i="14"/>
  <c r="AI409" i="14"/>
  <c r="AI408" i="14"/>
  <c r="AI407" i="14"/>
  <c r="AI406" i="14"/>
  <c r="AI405" i="14"/>
  <c r="AI404" i="14"/>
  <c r="AI403" i="14"/>
  <c r="AI402" i="14"/>
  <c r="AI401" i="14"/>
  <c r="AI400" i="14"/>
  <c r="AI399" i="14"/>
  <c r="AI398" i="14"/>
  <c r="AI397" i="14"/>
  <c r="AI396" i="14"/>
  <c r="AI395" i="14"/>
  <c r="AI394" i="14"/>
  <c r="AI393" i="14"/>
  <c r="AI392" i="14"/>
  <c r="AI391" i="14"/>
  <c r="AI390" i="14"/>
  <c r="AI389" i="14"/>
  <c r="AI388" i="14"/>
  <c r="AI387" i="14"/>
  <c r="AI386" i="14"/>
  <c r="AI385" i="14"/>
  <c r="AI384" i="14"/>
  <c r="AI383" i="14"/>
  <c r="AI382" i="14"/>
  <c r="AI381" i="14"/>
  <c r="AI380" i="14"/>
  <c r="AI379" i="14"/>
  <c r="AI378" i="14"/>
  <c r="AI376" i="14"/>
  <c r="AI375" i="14"/>
  <c r="AI374" i="14"/>
  <c r="AI373" i="14"/>
  <c r="AI372" i="14"/>
  <c r="AI371" i="14"/>
  <c r="AI370" i="14"/>
  <c r="AI369" i="14"/>
  <c r="AI368" i="14"/>
  <c r="AI367" i="14"/>
  <c r="AI366" i="14"/>
  <c r="AI365" i="14"/>
  <c r="AI364" i="14"/>
  <c r="AI363" i="14"/>
  <c r="AI362" i="14"/>
  <c r="AI361" i="14"/>
  <c r="AI360" i="14"/>
  <c r="AI359" i="14"/>
  <c r="AI358" i="14"/>
  <c r="AI357" i="14"/>
  <c r="AI355" i="14"/>
  <c r="AI354" i="14"/>
  <c r="AI353" i="14"/>
  <c r="AI352" i="14"/>
  <c r="AI351" i="14"/>
  <c r="AI350" i="14"/>
  <c r="AI349" i="14"/>
  <c r="AI348" i="14"/>
  <c r="AI347" i="14"/>
  <c r="AI346" i="14"/>
  <c r="AI345" i="14"/>
  <c r="AI344" i="14"/>
  <c r="AI343" i="14"/>
  <c r="AI342" i="14"/>
  <c r="AI341" i="14"/>
  <c r="AI340" i="14"/>
  <c r="AI339" i="14"/>
  <c r="AI338" i="14"/>
  <c r="AI337" i="14"/>
  <c r="AI336" i="14"/>
  <c r="AI335" i="14"/>
  <c r="AI334" i="14"/>
  <c r="AI333" i="14"/>
  <c r="AI332" i="14"/>
  <c r="AI331" i="14"/>
  <c r="AI330" i="14"/>
  <c r="AI329" i="14"/>
  <c r="AI327" i="14"/>
  <c r="AI326" i="14"/>
  <c r="AI325" i="14"/>
  <c r="AI324" i="14"/>
  <c r="AI323" i="14"/>
  <c r="AI322" i="14"/>
  <c r="AI321" i="14"/>
  <c r="AI320" i="14"/>
  <c r="AI318" i="14"/>
  <c r="AI317" i="14"/>
  <c r="AI316" i="14"/>
  <c r="AI315" i="14"/>
  <c r="AI314" i="14"/>
  <c r="AI313" i="14"/>
  <c r="AI312" i="14"/>
  <c r="AI311" i="14"/>
  <c r="AI310" i="14"/>
  <c r="AI309" i="14"/>
  <c r="AI308" i="14"/>
  <c r="AI307" i="14"/>
  <c r="AI306" i="14"/>
  <c r="AI305" i="14"/>
  <c r="AI304" i="14"/>
  <c r="AI303" i="14"/>
  <c r="AI299" i="14"/>
  <c r="AI302" i="14"/>
  <c r="AI301" i="14"/>
  <c r="AI300" i="14"/>
  <c r="AI298" i="14"/>
  <c r="AI297" i="14"/>
  <c r="AI295" i="14"/>
  <c r="AI294" i="14"/>
  <c r="AI293" i="14"/>
  <c r="AI292" i="14"/>
  <c r="AI291" i="14"/>
  <c r="AI290" i="14"/>
  <c r="AI289" i="14"/>
  <c r="AI288" i="14"/>
  <c r="AI287" i="14"/>
  <c r="AI283" i="14"/>
  <c r="AI282" i="14"/>
  <c r="AI281" i="14"/>
  <c r="AI280" i="14"/>
  <c r="AI279" i="14"/>
  <c r="AI278" i="14"/>
  <c r="AI277" i="14"/>
  <c r="AI275" i="14"/>
  <c r="AI274" i="14"/>
  <c r="AI273" i="14"/>
  <c r="AI272" i="14"/>
  <c r="AI271" i="14"/>
  <c r="AI270" i="14"/>
  <c r="AI269" i="14"/>
  <c r="AI268" i="14"/>
  <c r="AI267" i="14"/>
  <c r="AI266" i="14"/>
  <c r="AI265" i="14"/>
  <c r="AI264" i="14"/>
  <c r="AI263" i="14"/>
  <c r="AI262" i="14"/>
  <c r="AI261" i="14"/>
  <c r="AI260" i="14"/>
  <c r="AI259" i="14"/>
  <c r="AI258" i="14"/>
  <c r="AI257" i="14"/>
  <c r="AI256" i="14"/>
  <c r="AI255" i="14"/>
  <c r="AI254" i="14"/>
  <c r="AI253" i="14"/>
  <c r="AI252" i="14"/>
  <c r="AI250" i="14"/>
  <c r="AI249" i="14"/>
  <c r="AI248" i="14"/>
  <c r="AI247" i="14"/>
  <c r="AI246" i="14"/>
  <c r="AI245" i="14"/>
  <c r="AI244" i="14"/>
  <c r="AI243" i="14"/>
  <c r="AI242" i="14"/>
  <c r="AI241" i="14"/>
  <c r="AI240" i="14"/>
  <c r="AI239" i="14"/>
  <c r="AI238" i="14"/>
  <c r="AI237" i="14"/>
  <c r="AI236" i="14"/>
  <c r="AI235" i="14"/>
  <c r="AI234" i="14"/>
  <c r="AI233" i="14"/>
  <c r="AI232" i="14"/>
  <c r="AI231" i="14"/>
  <c r="AI230" i="14"/>
  <c r="AI229" i="14"/>
  <c r="AI228" i="14"/>
  <c r="AI227" i="14"/>
  <c r="AI226" i="14"/>
  <c r="AI225" i="14"/>
  <c r="AI224" i="14"/>
  <c r="AI223" i="14"/>
  <c r="AI222" i="14"/>
  <c r="AI221" i="14"/>
  <c r="AI220" i="14"/>
  <c r="AI219" i="14"/>
  <c r="AI212" i="14"/>
  <c r="AI211" i="14"/>
  <c r="AI210" i="14"/>
  <c r="AI209" i="14"/>
  <c r="AI208" i="14"/>
  <c r="AI207" i="14"/>
  <c r="AI206" i="14"/>
  <c r="AI205" i="14"/>
  <c r="AI204" i="14"/>
  <c r="AI203" i="14"/>
  <c r="AI202" i="14"/>
  <c r="AI201" i="14"/>
  <c r="AI200" i="14"/>
  <c r="AI199" i="14"/>
  <c r="AI198" i="14"/>
  <c r="AI197" i="14"/>
  <c r="AI196" i="14"/>
  <c r="AI195" i="14"/>
  <c r="AI194" i="14"/>
  <c r="AI193" i="14"/>
  <c r="AI192" i="14"/>
  <c r="AI191" i="14"/>
  <c r="AI190" i="14"/>
  <c r="AI189" i="14"/>
  <c r="AI188" i="14"/>
  <c r="AI187" i="14"/>
  <c r="AI186" i="14"/>
  <c r="AI185" i="14"/>
  <c r="AI184" i="14"/>
  <c r="AI183" i="14"/>
  <c r="AI182" i="14"/>
  <c r="AI181" i="14"/>
  <c r="AI180" i="14"/>
  <c r="AI179" i="14"/>
  <c r="AI177" i="14"/>
  <c r="AI176" i="14"/>
  <c r="AI174" i="14"/>
  <c r="AI173" i="14"/>
  <c r="AI172" i="14"/>
  <c r="AI171" i="14"/>
  <c r="AI170" i="14"/>
  <c r="AI169" i="14"/>
  <c r="AI168" i="14"/>
  <c r="AI167" i="14"/>
  <c r="AI166" i="14"/>
  <c r="AI165" i="14"/>
  <c r="AI164" i="14"/>
  <c r="AI163" i="14"/>
  <c r="AI162" i="14"/>
  <c r="AI161" i="14"/>
  <c r="AI160" i="14"/>
  <c r="AI159" i="14"/>
  <c r="AI158" i="14"/>
  <c r="AI157" i="14"/>
  <c r="AI156" i="14"/>
  <c r="AI155" i="14"/>
  <c r="AI154" i="14"/>
  <c r="AI153" i="14"/>
  <c r="AI152" i="14"/>
  <c r="AI151" i="14"/>
  <c r="AI150" i="14"/>
  <c r="AI149" i="14"/>
  <c r="AI148" i="14"/>
  <c r="AI147" i="14"/>
  <c r="AI146" i="14"/>
  <c r="AI145" i="14"/>
  <c r="AI144" i="14"/>
  <c r="AI143" i="14"/>
  <c r="AI142" i="14"/>
  <c r="AI141" i="14"/>
  <c r="AI140" i="14"/>
  <c r="AI139" i="14"/>
  <c r="AI138" i="14"/>
  <c r="AI137" i="14"/>
  <c r="AI136" i="14"/>
  <c r="AI135" i="14"/>
  <c r="AI134" i="14"/>
  <c r="AI133" i="14"/>
  <c r="AI132" i="14"/>
  <c r="AI131" i="14"/>
  <c r="AI130" i="14"/>
  <c r="AI129" i="14"/>
  <c r="AI128" i="14"/>
  <c r="AI127" i="14"/>
  <c r="AI126" i="14"/>
  <c r="AI125" i="14"/>
  <c r="AI124" i="14"/>
  <c r="AI123" i="14"/>
  <c r="AI122" i="14"/>
  <c r="AI121" i="14"/>
  <c r="AI120" i="14"/>
  <c r="AI119" i="14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5" i="14"/>
  <c r="AI96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7" i="14"/>
  <c r="AI56" i="14"/>
  <c r="AI55" i="14"/>
  <c r="AI54" i="14"/>
  <c r="AI53" i="14"/>
  <c r="AI51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4" i="14"/>
  <c r="AI23" i="14"/>
  <c r="AI22" i="14"/>
  <c r="AI21" i="14"/>
  <c r="AI20" i="14"/>
  <c r="AI19" i="14"/>
  <c r="AI17" i="14"/>
  <c r="AI16" i="14"/>
  <c r="AI15" i="14"/>
  <c r="AI14" i="14"/>
  <c r="W180" i="10"/>
  <c r="S180" i="10"/>
  <c r="BB180" i="25"/>
  <c r="BL180" i="25" s="1"/>
  <c r="BB576" i="25"/>
  <c r="BL576" i="25" s="1"/>
  <c r="Q576" i="26"/>
  <c r="K576" i="26"/>
  <c r="AK576" i="26" s="1"/>
  <c r="K575" i="26"/>
  <c r="AK575" i="26" s="1"/>
  <c r="Q575" i="26"/>
  <c r="Q513" i="26"/>
  <c r="Q498" i="26"/>
  <c r="Q450" i="26"/>
  <c r="Q337" i="26"/>
  <c r="Q324" i="26"/>
  <c r="Q305" i="26"/>
  <c r="Q180" i="26"/>
  <c r="K180" i="26"/>
  <c r="AK180" i="26" s="1"/>
  <c r="BB576" i="2"/>
  <c r="BL576" i="2" s="1"/>
  <c r="BN576" i="2" s="1"/>
  <c r="BB180" i="2"/>
  <c r="BL180" i="2" s="1"/>
  <c r="BN180" i="2" s="1"/>
  <c r="BV180" i="2" s="1"/>
  <c r="BA576" i="17"/>
  <c r="BE576" i="17" s="1"/>
  <c r="BG576" i="17" s="1"/>
  <c r="AA632" i="16"/>
  <c r="AH632" i="16" s="1"/>
  <c r="AA631" i="16"/>
  <c r="AH631" i="16" s="1"/>
  <c r="AA630" i="16"/>
  <c r="AH630" i="16" s="1"/>
  <c r="AA629" i="16"/>
  <c r="AH629" i="16" s="1"/>
  <c r="AA627" i="16"/>
  <c r="AH627" i="16" s="1"/>
  <c r="AA626" i="16"/>
  <c r="AH626" i="16" s="1"/>
  <c r="AA625" i="16"/>
  <c r="AH625" i="16" s="1"/>
  <c r="AA624" i="16"/>
  <c r="AH624" i="16" s="1"/>
  <c r="AA623" i="16"/>
  <c r="AH623" i="16" s="1"/>
  <c r="AA622" i="16"/>
  <c r="AH622" i="16" s="1"/>
  <c r="AA621" i="16"/>
  <c r="AH621" i="16" s="1"/>
  <c r="AA620" i="16"/>
  <c r="AH620" i="16" s="1"/>
  <c r="AA619" i="16"/>
  <c r="AH619" i="16" s="1"/>
  <c r="AA618" i="16"/>
  <c r="AH618" i="16" s="1"/>
  <c r="AA617" i="16"/>
  <c r="AH617" i="16" s="1"/>
  <c r="AA616" i="16"/>
  <c r="AH616" i="16" s="1"/>
  <c r="AA615" i="16"/>
  <c r="AH615" i="16" s="1"/>
  <c r="AA614" i="16"/>
  <c r="AH614" i="16" s="1"/>
  <c r="AA613" i="16"/>
  <c r="AH613" i="16" s="1"/>
  <c r="AA612" i="16"/>
  <c r="AH612" i="16" s="1"/>
  <c r="AA611" i="16"/>
  <c r="AH611" i="16" s="1"/>
  <c r="AA610" i="16"/>
  <c r="AH610" i="16" s="1"/>
  <c r="AA609" i="16"/>
  <c r="AH609" i="16" s="1"/>
  <c r="AA608" i="16"/>
  <c r="AH608" i="16" s="1"/>
  <c r="AA607" i="16"/>
  <c r="AH607" i="16" s="1"/>
  <c r="AA606" i="16"/>
  <c r="AH606" i="16" s="1"/>
  <c r="AA605" i="16"/>
  <c r="AH605" i="16" s="1"/>
  <c r="AA604" i="16"/>
  <c r="AH604" i="16" s="1"/>
  <c r="AA603" i="16"/>
  <c r="AH603" i="16" s="1"/>
  <c r="AA602" i="16"/>
  <c r="AH602" i="16" s="1"/>
  <c r="AA601" i="16"/>
  <c r="AH601" i="16" s="1"/>
  <c r="AA600" i="16"/>
  <c r="AH600" i="16" s="1"/>
  <c r="AA599" i="16"/>
  <c r="AH599" i="16" s="1"/>
  <c r="AA598" i="16"/>
  <c r="AH598" i="16" s="1"/>
  <c r="AA597" i="16"/>
  <c r="AH597" i="16" s="1"/>
  <c r="AA596" i="16"/>
  <c r="AH596" i="16" s="1"/>
  <c r="AA595" i="16"/>
  <c r="AH595" i="16" s="1"/>
  <c r="AA594" i="16"/>
  <c r="AH594" i="16" s="1"/>
  <c r="AA593" i="16"/>
  <c r="AH593" i="16" s="1"/>
  <c r="AA592" i="16"/>
  <c r="AH592" i="16" s="1"/>
  <c r="AA591" i="16"/>
  <c r="AH591" i="16" s="1"/>
  <c r="AA590" i="16"/>
  <c r="AH590" i="16" s="1"/>
  <c r="AA589" i="16"/>
  <c r="AH589" i="16" s="1"/>
  <c r="AA588" i="16"/>
  <c r="AH588" i="16" s="1"/>
  <c r="AA587" i="16"/>
  <c r="AH587" i="16" s="1"/>
  <c r="AA586" i="16"/>
  <c r="AH586" i="16" s="1"/>
  <c r="AA585" i="16"/>
  <c r="AH585" i="16" s="1"/>
  <c r="AA584" i="16"/>
  <c r="AH584" i="16" s="1"/>
  <c r="AA583" i="16"/>
  <c r="AH583" i="16" s="1"/>
  <c r="AA582" i="16"/>
  <c r="AH582" i="16" s="1"/>
  <c r="AA578" i="16"/>
  <c r="AH578" i="16" s="1"/>
  <c r="AA577" i="16"/>
  <c r="AH577" i="16" s="1"/>
  <c r="AA576" i="16"/>
  <c r="AH576" i="16" s="1"/>
  <c r="AA575" i="16"/>
  <c r="AH575" i="16" s="1"/>
  <c r="AA574" i="16"/>
  <c r="AH574" i="16" s="1"/>
  <c r="AA573" i="16"/>
  <c r="AH573" i="16" s="1"/>
  <c r="AA572" i="16"/>
  <c r="AH572" i="16" s="1"/>
  <c r="AA570" i="16"/>
  <c r="AH570" i="16" s="1"/>
  <c r="AA569" i="16"/>
  <c r="AH569" i="16" s="1"/>
  <c r="AA568" i="16"/>
  <c r="AH568" i="16" s="1"/>
  <c r="AA567" i="16"/>
  <c r="AH567" i="16" s="1"/>
  <c r="AA566" i="16"/>
  <c r="AH566" i="16" s="1"/>
  <c r="AA565" i="16"/>
  <c r="AH565" i="16" s="1"/>
  <c r="AA564" i="16"/>
  <c r="AH564" i="16" s="1"/>
  <c r="AA563" i="16"/>
  <c r="AH563" i="16" s="1"/>
  <c r="AA562" i="16"/>
  <c r="AH562" i="16" s="1"/>
  <c r="AA561" i="16"/>
  <c r="AH561" i="16" s="1"/>
  <c r="AA560" i="16"/>
  <c r="AH560" i="16" s="1"/>
  <c r="AA559" i="16"/>
  <c r="AH559" i="16" s="1"/>
  <c r="AA558" i="16"/>
  <c r="AH558" i="16" s="1"/>
  <c r="AA557" i="16"/>
  <c r="AH557" i="16" s="1"/>
  <c r="AA556" i="16"/>
  <c r="AH556" i="16" s="1"/>
  <c r="AA555" i="16"/>
  <c r="AH555" i="16" s="1"/>
  <c r="AA554" i="16"/>
  <c r="AH554" i="16" s="1"/>
  <c r="AA553" i="16"/>
  <c r="AH553" i="16" s="1"/>
  <c r="AA552" i="16"/>
  <c r="AH552" i="16" s="1"/>
  <c r="AA551" i="16"/>
  <c r="AH551" i="16" s="1"/>
  <c r="AA548" i="16"/>
  <c r="AH548" i="16" s="1"/>
  <c r="AA547" i="16"/>
  <c r="AH547" i="16" s="1"/>
  <c r="AA545" i="16"/>
  <c r="AH545" i="16" s="1"/>
  <c r="AA544" i="16"/>
  <c r="AH544" i="16" s="1"/>
  <c r="AA543" i="16"/>
  <c r="AH543" i="16" s="1"/>
  <c r="AA542" i="16"/>
  <c r="AH542" i="16" s="1"/>
  <c r="AA541" i="16"/>
  <c r="AH541" i="16" s="1"/>
  <c r="AA540" i="16"/>
  <c r="AH540" i="16" s="1"/>
  <c r="AA539" i="16"/>
  <c r="AH539" i="16" s="1"/>
  <c r="AA538" i="16"/>
  <c r="AH538" i="16" s="1"/>
  <c r="AA537" i="16"/>
  <c r="AH537" i="16" s="1"/>
  <c r="AA536" i="16"/>
  <c r="AH536" i="16" s="1"/>
  <c r="AA535" i="16"/>
  <c r="AH535" i="16" s="1"/>
  <c r="AA534" i="16"/>
  <c r="AH534" i="16" s="1"/>
  <c r="AA533" i="16"/>
  <c r="AH533" i="16" s="1"/>
  <c r="AA532" i="16"/>
  <c r="AH532" i="16" s="1"/>
  <c r="AA531" i="16"/>
  <c r="AH531" i="16" s="1"/>
  <c r="AA530" i="16"/>
  <c r="AH530" i="16" s="1"/>
  <c r="AA529" i="16"/>
  <c r="AH529" i="16" s="1"/>
  <c r="AA528" i="16"/>
  <c r="AA527" i="16"/>
  <c r="AH527" i="16" s="1"/>
  <c r="AA526" i="16"/>
  <c r="AH526" i="16" s="1"/>
  <c r="AA525" i="16"/>
  <c r="AH525" i="16" s="1"/>
  <c r="AA524" i="16"/>
  <c r="AH524" i="16" s="1"/>
  <c r="AA523" i="16"/>
  <c r="AH523" i="16" s="1"/>
  <c r="AA522" i="16"/>
  <c r="AH522" i="16" s="1"/>
  <c r="AA521" i="16"/>
  <c r="AH521" i="16" s="1"/>
  <c r="AA520" i="16"/>
  <c r="AH520" i="16" s="1"/>
  <c r="AA519" i="16"/>
  <c r="AH519" i="16" s="1"/>
  <c r="AA518" i="16"/>
  <c r="AH518" i="16" s="1"/>
  <c r="AA517" i="16"/>
  <c r="AH517" i="16" s="1"/>
  <c r="AA516" i="16"/>
  <c r="AH516" i="16" s="1"/>
  <c r="AA515" i="16"/>
  <c r="AH515" i="16" s="1"/>
  <c r="AA514" i="16"/>
  <c r="AH514" i="16" s="1"/>
  <c r="AA513" i="16"/>
  <c r="AH513" i="16" s="1"/>
  <c r="AA512" i="16"/>
  <c r="AH512" i="16" s="1"/>
  <c r="AA511" i="16"/>
  <c r="AH511" i="16" s="1"/>
  <c r="AA510" i="16"/>
  <c r="AH510" i="16" s="1"/>
  <c r="AA509" i="16"/>
  <c r="AH509" i="16" s="1"/>
  <c r="AA508" i="16"/>
  <c r="AH508" i="16" s="1"/>
  <c r="AA507" i="16"/>
  <c r="AH507" i="16" s="1"/>
  <c r="AA506" i="16"/>
  <c r="AH506" i="16" s="1"/>
  <c r="AA505" i="16"/>
  <c r="AH505" i="16" s="1"/>
  <c r="AA504" i="16"/>
  <c r="AH504" i="16" s="1"/>
  <c r="AA503" i="16"/>
  <c r="AH503" i="16" s="1"/>
  <c r="AA502" i="16"/>
  <c r="AH502" i="16" s="1"/>
  <c r="AA501" i="16"/>
  <c r="AH501" i="16" s="1"/>
  <c r="AA500" i="16"/>
  <c r="AH500" i="16" s="1"/>
  <c r="AA499" i="16"/>
  <c r="AH499" i="16" s="1"/>
  <c r="AA498" i="16"/>
  <c r="AH498" i="16" s="1"/>
  <c r="AA497" i="16"/>
  <c r="AH497" i="16" s="1"/>
  <c r="AA496" i="16"/>
  <c r="AH496" i="16" s="1"/>
  <c r="AA495" i="16"/>
  <c r="AH495" i="16" s="1"/>
  <c r="AA494" i="16"/>
  <c r="AH494" i="16" s="1"/>
  <c r="AA493" i="16"/>
  <c r="AH493" i="16" s="1"/>
  <c r="AA492" i="16"/>
  <c r="AH492" i="16" s="1"/>
  <c r="AA491" i="16"/>
  <c r="AH491" i="16" s="1"/>
  <c r="AA490" i="16"/>
  <c r="AH490" i="16" s="1"/>
  <c r="AA489" i="16"/>
  <c r="AH489" i="16" s="1"/>
  <c r="AA488" i="16"/>
  <c r="AH488" i="16" s="1"/>
  <c r="AA487" i="16"/>
  <c r="AH487" i="16" s="1"/>
  <c r="AA486" i="16"/>
  <c r="AH486" i="16" s="1"/>
  <c r="AA485" i="16"/>
  <c r="AH485" i="16" s="1"/>
  <c r="AA484" i="16"/>
  <c r="AH484" i="16" s="1"/>
  <c r="AA483" i="16"/>
  <c r="AH483" i="16" s="1"/>
  <c r="AA482" i="16"/>
  <c r="AH482" i="16" s="1"/>
  <c r="AA481" i="16"/>
  <c r="AH481" i="16" s="1"/>
  <c r="AA480" i="16"/>
  <c r="AH480" i="16" s="1"/>
  <c r="AA479" i="16"/>
  <c r="AH479" i="16" s="1"/>
  <c r="AA478" i="16"/>
  <c r="AH478" i="16" s="1"/>
  <c r="AA477" i="16"/>
  <c r="AH477" i="16" s="1"/>
  <c r="AA476" i="16"/>
  <c r="AH476" i="16" s="1"/>
  <c r="AA475" i="16"/>
  <c r="AH475" i="16" s="1"/>
  <c r="AA474" i="16"/>
  <c r="AH474" i="16" s="1"/>
  <c r="AA473" i="16"/>
  <c r="AH473" i="16" s="1"/>
  <c r="AA472" i="16"/>
  <c r="AH472" i="16" s="1"/>
  <c r="AA471" i="16"/>
  <c r="AH471" i="16" s="1"/>
  <c r="AA470" i="16"/>
  <c r="AH470" i="16" s="1"/>
  <c r="AA469" i="16"/>
  <c r="AH469" i="16" s="1"/>
  <c r="AA468" i="16"/>
  <c r="AH468" i="16" s="1"/>
  <c r="AA467" i="16"/>
  <c r="AH467" i="16" s="1"/>
  <c r="AA465" i="16"/>
  <c r="AH465" i="16" s="1"/>
  <c r="AA464" i="16"/>
  <c r="AH464" i="16" s="1"/>
  <c r="AA463" i="16"/>
  <c r="AH463" i="16" s="1"/>
  <c r="AA462" i="16"/>
  <c r="AH462" i="16" s="1"/>
  <c r="AA461" i="16"/>
  <c r="AH461" i="16" s="1"/>
  <c r="AA460" i="16"/>
  <c r="AH460" i="16" s="1"/>
  <c r="AA459" i="16"/>
  <c r="AH459" i="16" s="1"/>
  <c r="AA458" i="16"/>
  <c r="AH458" i="16" s="1"/>
  <c r="AA457" i="16"/>
  <c r="AH457" i="16" s="1"/>
  <c r="AA456" i="16"/>
  <c r="AH456" i="16" s="1"/>
  <c r="AA455" i="16"/>
  <c r="AH455" i="16" s="1"/>
  <c r="AA454" i="16"/>
  <c r="AH454" i="16" s="1"/>
  <c r="AA453" i="16"/>
  <c r="AH453" i="16" s="1"/>
  <c r="AA452" i="16"/>
  <c r="AH452" i="16" s="1"/>
  <c r="AA451" i="16"/>
  <c r="AH451" i="16" s="1"/>
  <c r="AA450" i="16"/>
  <c r="AH450" i="16" s="1"/>
  <c r="AA449" i="16"/>
  <c r="AH449" i="16" s="1"/>
  <c r="AA448" i="16"/>
  <c r="AH448" i="16" s="1"/>
  <c r="AA447" i="16"/>
  <c r="AH447" i="16" s="1"/>
  <c r="AA446" i="16"/>
  <c r="AH446" i="16" s="1"/>
  <c r="AA445" i="16"/>
  <c r="AH445" i="16" s="1"/>
  <c r="AA444" i="16"/>
  <c r="AH444" i="16" s="1"/>
  <c r="AA443" i="16"/>
  <c r="AH443" i="16" s="1"/>
  <c r="AA442" i="16"/>
  <c r="AH442" i="16" s="1"/>
  <c r="AA441" i="16"/>
  <c r="AH441" i="16" s="1"/>
  <c r="AA440" i="16"/>
  <c r="AH440" i="16" s="1"/>
  <c r="AA439" i="16"/>
  <c r="AH439" i="16" s="1"/>
  <c r="AA438" i="16"/>
  <c r="AH438" i="16" s="1"/>
  <c r="AA437" i="16"/>
  <c r="AH437" i="16" s="1"/>
  <c r="AA436" i="16"/>
  <c r="AH436" i="16" s="1"/>
  <c r="AA435" i="16"/>
  <c r="AH435" i="16" s="1"/>
  <c r="AA434" i="16"/>
  <c r="AH434" i="16" s="1"/>
  <c r="AA433" i="16"/>
  <c r="AH433" i="16" s="1"/>
  <c r="AA432" i="16"/>
  <c r="AH432" i="16" s="1"/>
  <c r="AA431" i="16"/>
  <c r="AH431" i="16" s="1"/>
  <c r="AA430" i="16"/>
  <c r="AH430" i="16" s="1"/>
  <c r="AA429" i="16"/>
  <c r="AH429" i="16" s="1"/>
  <c r="AA428" i="16"/>
  <c r="AH428" i="16" s="1"/>
  <c r="AA427" i="16"/>
  <c r="AH427" i="16" s="1"/>
  <c r="AA426" i="16"/>
  <c r="AH426" i="16" s="1"/>
  <c r="AA424" i="16"/>
  <c r="AH424" i="16" s="1"/>
  <c r="AA422" i="16"/>
  <c r="AH422" i="16" s="1"/>
  <c r="AA421" i="16"/>
  <c r="AH421" i="16" s="1"/>
  <c r="AA420" i="16"/>
  <c r="AH420" i="16" s="1"/>
  <c r="AA418" i="16"/>
  <c r="AH418" i="16" s="1"/>
  <c r="AA417" i="16"/>
  <c r="AH417" i="16" s="1"/>
  <c r="AA416" i="16"/>
  <c r="AH416" i="16" s="1"/>
  <c r="AA415" i="16"/>
  <c r="AH415" i="16" s="1"/>
  <c r="AA414" i="16"/>
  <c r="AH414" i="16" s="1"/>
  <c r="AA413" i="16"/>
  <c r="AH413" i="16" s="1"/>
  <c r="AA412" i="16"/>
  <c r="AH412" i="16" s="1"/>
  <c r="AA411" i="16"/>
  <c r="AH411" i="16" s="1"/>
  <c r="AA409" i="16"/>
  <c r="AH409" i="16" s="1"/>
  <c r="AA408" i="16"/>
  <c r="AH408" i="16" s="1"/>
  <c r="AA407" i="16"/>
  <c r="AH407" i="16" s="1"/>
  <c r="AA406" i="16"/>
  <c r="AH406" i="16" s="1"/>
  <c r="AA405" i="16"/>
  <c r="AH405" i="16" s="1"/>
  <c r="AA404" i="16"/>
  <c r="AH404" i="16" s="1"/>
  <c r="AA403" i="16"/>
  <c r="AH403" i="16" s="1"/>
  <c r="AA402" i="16"/>
  <c r="AH402" i="16" s="1"/>
  <c r="AA401" i="16"/>
  <c r="AH401" i="16" s="1"/>
  <c r="AA400" i="16"/>
  <c r="AH400" i="16" s="1"/>
  <c r="AA399" i="16"/>
  <c r="AH399" i="16" s="1"/>
  <c r="AA398" i="16"/>
  <c r="AH398" i="16" s="1"/>
  <c r="AA397" i="16"/>
  <c r="AH397" i="16" s="1"/>
  <c r="AA396" i="16"/>
  <c r="AH396" i="16" s="1"/>
  <c r="AA395" i="16"/>
  <c r="AH395" i="16" s="1"/>
  <c r="AA394" i="16"/>
  <c r="AH394" i="16" s="1"/>
  <c r="AA393" i="16"/>
  <c r="AH393" i="16" s="1"/>
  <c r="AA392" i="16"/>
  <c r="AH392" i="16" s="1"/>
  <c r="AA391" i="16"/>
  <c r="AH391" i="16" s="1"/>
  <c r="AA390" i="16"/>
  <c r="AH390" i="16" s="1"/>
  <c r="AA389" i="16"/>
  <c r="AH389" i="16" s="1"/>
  <c r="AA388" i="16"/>
  <c r="AH388" i="16" s="1"/>
  <c r="AA387" i="16"/>
  <c r="AH387" i="16" s="1"/>
  <c r="AA386" i="16"/>
  <c r="AH386" i="16" s="1"/>
  <c r="AA385" i="16"/>
  <c r="AH385" i="16" s="1"/>
  <c r="AA384" i="16"/>
  <c r="AH384" i="16" s="1"/>
  <c r="AA383" i="16"/>
  <c r="AH383" i="16" s="1"/>
  <c r="AA382" i="16"/>
  <c r="AH382" i="16" s="1"/>
  <c r="BB96" i="25"/>
  <c r="BL96" i="25" s="1"/>
  <c r="Q23" i="26"/>
  <c r="BB96" i="2"/>
  <c r="BL96" i="2" s="1"/>
  <c r="BB67" i="2"/>
  <c r="BL67" i="2" s="1"/>
  <c r="AK67" i="1"/>
  <c r="Y67" i="1"/>
  <c r="Q67" i="14"/>
  <c r="K67" i="14"/>
  <c r="AK67" i="14" s="1"/>
  <c r="K632" i="14"/>
  <c r="AK632" i="14" s="1"/>
  <c r="K631" i="14"/>
  <c r="AK631" i="14" s="1"/>
  <c r="K630" i="14"/>
  <c r="AK630" i="14" s="1"/>
  <c r="K629" i="14"/>
  <c r="AK629" i="14" s="1"/>
  <c r="K627" i="14"/>
  <c r="AK627" i="14" s="1"/>
  <c r="K626" i="14"/>
  <c r="AK626" i="14" s="1"/>
  <c r="K625" i="14"/>
  <c r="AK625" i="14" s="1"/>
  <c r="K624" i="14"/>
  <c r="AK624" i="14" s="1"/>
  <c r="K623" i="14"/>
  <c r="AK623" i="14" s="1"/>
  <c r="K622" i="14"/>
  <c r="AK622" i="14" s="1"/>
  <c r="K621" i="14"/>
  <c r="AK621" i="14" s="1"/>
  <c r="K620" i="14"/>
  <c r="AK620" i="14" s="1"/>
  <c r="K619" i="14"/>
  <c r="AK619" i="14" s="1"/>
  <c r="K618" i="14"/>
  <c r="AK618" i="14" s="1"/>
  <c r="K617" i="14"/>
  <c r="AK617" i="14" s="1"/>
  <c r="K616" i="14"/>
  <c r="AK616" i="14" s="1"/>
  <c r="K615" i="14"/>
  <c r="AK615" i="14" s="1"/>
  <c r="K614" i="14"/>
  <c r="AK614" i="14" s="1"/>
  <c r="K613" i="14"/>
  <c r="AK613" i="14" s="1"/>
  <c r="K612" i="14"/>
  <c r="AK612" i="14" s="1"/>
  <c r="K611" i="14"/>
  <c r="AK611" i="14" s="1"/>
  <c r="K610" i="14"/>
  <c r="AK610" i="14" s="1"/>
  <c r="K609" i="14"/>
  <c r="AK609" i="14" s="1"/>
  <c r="K608" i="14"/>
  <c r="AK608" i="14" s="1"/>
  <c r="K607" i="14"/>
  <c r="AK607" i="14" s="1"/>
  <c r="K606" i="14"/>
  <c r="AK606" i="14" s="1"/>
  <c r="K605" i="14"/>
  <c r="AK605" i="14" s="1"/>
  <c r="K604" i="14"/>
  <c r="AK604" i="14" s="1"/>
  <c r="K603" i="14"/>
  <c r="AK603" i="14" s="1"/>
  <c r="K602" i="14"/>
  <c r="AK602" i="14" s="1"/>
  <c r="K601" i="14"/>
  <c r="AK601" i="14" s="1"/>
  <c r="K600" i="14"/>
  <c r="AK600" i="14" s="1"/>
  <c r="K599" i="14"/>
  <c r="AK599" i="14" s="1"/>
  <c r="K598" i="14"/>
  <c r="AK598" i="14" s="1"/>
  <c r="K597" i="14"/>
  <c r="AK597" i="14" s="1"/>
  <c r="K596" i="14"/>
  <c r="AK596" i="14" s="1"/>
  <c r="K595" i="14"/>
  <c r="AK595" i="14" s="1"/>
  <c r="K594" i="14"/>
  <c r="AK594" i="14" s="1"/>
  <c r="K593" i="14"/>
  <c r="AK593" i="14" s="1"/>
  <c r="K592" i="14"/>
  <c r="AK592" i="14" s="1"/>
  <c r="K591" i="14"/>
  <c r="AK591" i="14" s="1"/>
  <c r="K590" i="14"/>
  <c r="AK590" i="14" s="1"/>
  <c r="K589" i="14"/>
  <c r="AK589" i="14" s="1"/>
  <c r="K588" i="14"/>
  <c r="AK588" i="14" s="1"/>
  <c r="K587" i="14"/>
  <c r="AK587" i="14" s="1"/>
  <c r="K586" i="14"/>
  <c r="AK586" i="14" s="1"/>
  <c r="K585" i="14"/>
  <c r="AK585" i="14" s="1"/>
  <c r="K584" i="14"/>
  <c r="AK584" i="14" s="1"/>
  <c r="K583" i="14"/>
  <c r="AK583" i="14" s="1"/>
  <c r="K582" i="14"/>
  <c r="AK582" i="14" s="1"/>
  <c r="K578" i="14"/>
  <c r="AK578" i="14" s="1"/>
  <c r="K577" i="14"/>
  <c r="AK577" i="14" s="1"/>
  <c r="K576" i="14"/>
  <c r="AK576" i="14" s="1"/>
  <c r="K575" i="14"/>
  <c r="AK575" i="14" s="1"/>
  <c r="K574" i="14"/>
  <c r="AK574" i="14" s="1"/>
  <c r="K573" i="14"/>
  <c r="AK573" i="14" s="1"/>
  <c r="K572" i="14"/>
  <c r="AK572" i="14" s="1"/>
  <c r="K571" i="14"/>
  <c r="AK571" i="14" s="1"/>
  <c r="K570" i="14"/>
  <c r="AK570" i="14" s="1"/>
  <c r="K569" i="14"/>
  <c r="AK569" i="14" s="1"/>
  <c r="K568" i="14"/>
  <c r="AK568" i="14" s="1"/>
  <c r="K567" i="14"/>
  <c r="AK567" i="14" s="1"/>
  <c r="K566" i="14"/>
  <c r="AK566" i="14" s="1"/>
  <c r="K565" i="14"/>
  <c r="AK565" i="14" s="1"/>
  <c r="K564" i="14"/>
  <c r="AK564" i="14" s="1"/>
  <c r="K563" i="14"/>
  <c r="AK563" i="14" s="1"/>
  <c r="K562" i="14"/>
  <c r="AK562" i="14" s="1"/>
  <c r="K561" i="14"/>
  <c r="AK561" i="14" s="1"/>
  <c r="K560" i="14"/>
  <c r="AK560" i="14" s="1"/>
  <c r="K559" i="14"/>
  <c r="AK559" i="14" s="1"/>
  <c r="K558" i="14"/>
  <c r="AK558" i="14" s="1"/>
  <c r="K557" i="14"/>
  <c r="AK557" i="14" s="1"/>
  <c r="K556" i="14"/>
  <c r="AK556" i="14" s="1"/>
  <c r="K555" i="14"/>
  <c r="AK555" i="14" s="1"/>
  <c r="K554" i="14"/>
  <c r="AK554" i="14" s="1"/>
  <c r="K553" i="14"/>
  <c r="AK553" i="14" s="1"/>
  <c r="K552" i="14"/>
  <c r="AK552" i="14" s="1"/>
  <c r="K551" i="14"/>
  <c r="AK551" i="14" s="1"/>
  <c r="K549" i="14"/>
  <c r="AK549" i="14" s="1"/>
  <c r="K548" i="14"/>
  <c r="AK548" i="14" s="1"/>
  <c r="K547" i="14"/>
  <c r="AK547" i="14" s="1"/>
  <c r="K546" i="14"/>
  <c r="AK546" i="14" s="1"/>
  <c r="K545" i="14"/>
  <c r="AK545" i="14" s="1"/>
  <c r="K544" i="14"/>
  <c r="AK544" i="14" s="1"/>
  <c r="K543" i="14"/>
  <c r="AK543" i="14" s="1"/>
  <c r="K542" i="14"/>
  <c r="AK542" i="14" s="1"/>
  <c r="K541" i="14"/>
  <c r="AK541" i="14" s="1"/>
  <c r="K540" i="14"/>
  <c r="AK540" i="14" s="1"/>
  <c r="K539" i="14"/>
  <c r="AK539" i="14" s="1"/>
  <c r="K538" i="14"/>
  <c r="AK538" i="14" s="1"/>
  <c r="K537" i="14"/>
  <c r="AK537" i="14" s="1"/>
  <c r="K536" i="14"/>
  <c r="AK536" i="14" s="1"/>
  <c r="K535" i="14"/>
  <c r="AK535" i="14" s="1"/>
  <c r="K534" i="14"/>
  <c r="AK534" i="14" s="1"/>
  <c r="K533" i="14"/>
  <c r="AK533" i="14" s="1"/>
  <c r="K532" i="14"/>
  <c r="AK532" i="14" s="1"/>
  <c r="K531" i="14"/>
  <c r="AK531" i="14" s="1"/>
  <c r="K530" i="14"/>
  <c r="AK530" i="14" s="1"/>
  <c r="K529" i="14"/>
  <c r="AK529" i="14" s="1"/>
  <c r="K528" i="14"/>
  <c r="AK528" i="14" s="1"/>
  <c r="K527" i="14"/>
  <c r="AK527" i="14" s="1"/>
  <c r="K526" i="14"/>
  <c r="AK526" i="14" s="1"/>
  <c r="K525" i="14"/>
  <c r="AK525" i="14" s="1"/>
  <c r="K524" i="14"/>
  <c r="AK524" i="14" s="1"/>
  <c r="K523" i="14"/>
  <c r="AK523" i="14" s="1"/>
  <c r="K522" i="14"/>
  <c r="AK522" i="14" s="1"/>
  <c r="K521" i="14"/>
  <c r="AK521" i="14" s="1"/>
  <c r="K519" i="14"/>
  <c r="AK519" i="14" s="1"/>
  <c r="K518" i="14"/>
  <c r="AK518" i="14" s="1"/>
  <c r="K517" i="14"/>
  <c r="AK517" i="14" s="1"/>
  <c r="K516" i="14"/>
  <c r="AK516" i="14" s="1"/>
  <c r="K515" i="14"/>
  <c r="AK515" i="14" s="1"/>
  <c r="K514" i="14"/>
  <c r="AK514" i="14" s="1"/>
  <c r="K513" i="14"/>
  <c r="AK513" i="14" s="1"/>
  <c r="K512" i="14"/>
  <c r="AK512" i="14" s="1"/>
  <c r="K511" i="14"/>
  <c r="AK511" i="14" s="1"/>
  <c r="K510" i="14"/>
  <c r="AK510" i="14" s="1"/>
  <c r="K509" i="14"/>
  <c r="AK509" i="14" s="1"/>
  <c r="K508" i="14"/>
  <c r="AK508" i="14" s="1"/>
  <c r="K507" i="14"/>
  <c r="AK507" i="14" s="1"/>
  <c r="K506" i="14"/>
  <c r="AK506" i="14" s="1"/>
  <c r="K505" i="14"/>
  <c r="AK505" i="14" s="1"/>
  <c r="K504" i="14"/>
  <c r="AK504" i="14" s="1"/>
  <c r="K503" i="14"/>
  <c r="AK503" i="14" s="1"/>
  <c r="K502" i="14"/>
  <c r="AK502" i="14" s="1"/>
  <c r="K501" i="14"/>
  <c r="AK501" i="14" s="1"/>
  <c r="K500" i="14"/>
  <c r="AK500" i="14" s="1"/>
  <c r="K499" i="14"/>
  <c r="AK499" i="14" s="1"/>
  <c r="K498" i="14"/>
  <c r="AK498" i="14" s="1"/>
  <c r="K497" i="14"/>
  <c r="AK497" i="14" s="1"/>
  <c r="K496" i="14"/>
  <c r="AK496" i="14" s="1"/>
  <c r="K495" i="14"/>
  <c r="AK495" i="14" s="1"/>
  <c r="K494" i="14"/>
  <c r="AK494" i="14" s="1"/>
  <c r="K493" i="14"/>
  <c r="AK493" i="14" s="1"/>
  <c r="K492" i="14"/>
  <c r="AK492" i="14" s="1"/>
  <c r="K491" i="14"/>
  <c r="AK491" i="14" s="1"/>
  <c r="K490" i="14"/>
  <c r="AK490" i="14" s="1"/>
  <c r="K489" i="14"/>
  <c r="AK489" i="14" s="1"/>
  <c r="K488" i="14"/>
  <c r="AK488" i="14" s="1"/>
  <c r="K487" i="14"/>
  <c r="AK487" i="14" s="1"/>
  <c r="K486" i="14"/>
  <c r="AK486" i="14" s="1"/>
  <c r="K485" i="14"/>
  <c r="AK485" i="14" s="1"/>
  <c r="K484" i="14"/>
  <c r="AK484" i="14" s="1"/>
  <c r="K483" i="14"/>
  <c r="AK483" i="14" s="1"/>
  <c r="K482" i="14"/>
  <c r="AK482" i="14" s="1"/>
  <c r="K481" i="14"/>
  <c r="AK481" i="14" s="1"/>
  <c r="K480" i="14"/>
  <c r="AK480" i="14" s="1"/>
  <c r="K479" i="14"/>
  <c r="AK479" i="14" s="1"/>
  <c r="K478" i="14"/>
  <c r="AK478" i="14" s="1"/>
  <c r="K477" i="14"/>
  <c r="AK477" i="14" s="1"/>
  <c r="K476" i="14"/>
  <c r="AK476" i="14" s="1"/>
  <c r="K475" i="14"/>
  <c r="AK475" i="14" s="1"/>
  <c r="K474" i="14"/>
  <c r="AK474" i="14" s="1"/>
  <c r="K473" i="14"/>
  <c r="AK473" i="14" s="1"/>
  <c r="K472" i="14"/>
  <c r="AK472" i="14" s="1"/>
  <c r="K471" i="14"/>
  <c r="AK471" i="14" s="1"/>
  <c r="K470" i="14"/>
  <c r="AK470" i="14" s="1"/>
  <c r="K469" i="14"/>
  <c r="AK469" i="14" s="1"/>
  <c r="K468" i="14"/>
  <c r="AK468" i="14" s="1"/>
  <c r="K467" i="14"/>
  <c r="AK467" i="14" s="1"/>
  <c r="K465" i="14"/>
  <c r="AK465" i="14" s="1"/>
  <c r="K464" i="14"/>
  <c r="AK464" i="14" s="1"/>
  <c r="K463" i="14"/>
  <c r="AK463" i="14" s="1"/>
  <c r="K462" i="14"/>
  <c r="AK462" i="14" s="1"/>
  <c r="K461" i="14"/>
  <c r="AK461" i="14" s="1"/>
  <c r="K460" i="14"/>
  <c r="AK460" i="14" s="1"/>
  <c r="K459" i="14"/>
  <c r="AK459" i="14" s="1"/>
  <c r="K458" i="14"/>
  <c r="AK458" i="14" s="1"/>
  <c r="K457" i="14"/>
  <c r="AK457" i="14" s="1"/>
  <c r="K456" i="14"/>
  <c r="AK456" i="14" s="1"/>
  <c r="K455" i="14"/>
  <c r="AK455" i="14" s="1"/>
  <c r="K454" i="14"/>
  <c r="AK454" i="14" s="1"/>
  <c r="K453" i="14"/>
  <c r="AK453" i="14" s="1"/>
  <c r="K452" i="14"/>
  <c r="AK452" i="14" s="1"/>
  <c r="K451" i="14"/>
  <c r="AK451" i="14" s="1"/>
  <c r="K450" i="14"/>
  <c r="AK450" i="14" s="1"/>
  <c r="K449" i="14"/>
  <c r="AK449" i="14" s="1"/>
  <c r="K448" i="14"/>
  <c r="AK448" i="14" s="1"/>
  <c r="K447" i="14"/>
  <c r="AK447" i="14" s="1"/>
  <c r="K446" i="14"/>
  <c r="AK446" i="14" s="1"/>
  <c r="K445" i="14"/>
  <c r="AK445" i="14" s="1"/>
  <c r="K444" i="14"/>
  <c r="AK444" i="14" s="1"/>
  <c r="K443" i="14"/>
  <c r="AK443" i="14" s="1"/>
  <c r="K442" i="14"/>
  <c r="AK442" i="14" s="1"/>
  <c r="K441" i="14"/>
  <c r="AK441" i="14" s="1"/>
  <c r="K440" i="14"/>
  <c r="AK440" i="14" s="1"/>
  <c r="K439" i="14"/>
  <c r="AK439" i="14" s="1"/>
  <c r="K438" i="14"/>
  <c r="AK438" i="14" s="1"/>
  <c r="K437" i="14"/>
  <c r="AK437" i="14" s="1"/>
  <c r="K436" i="14"/>
  <c r="AK436" i="14" s="1"/>
  <c r="K435" i="14"/>
  <c r="AK435" i="14" s="1"/>
  <c r="K434" i="14"/>
  <c r="AK434" i="14" s="1"/>
  <c r="K433" i="14"/>
  <c r="AK433" i="14" s="1"/>
  <c r="K432" i="14"/>
  <c r="AK432" i="14" s="1"/>
  <c r="K431" i="14"/>
  <c r="AK431" i="14" s="1"/>
  <c r="K430" i="14"/>
  <c r="AK430" i="14" s="1"/>
  <c r="K429" i="14"/>
  <c r="AK429" i="14" s="1"/>
  <c r="K428" i="14"/>
  <c r="AK428" i="14" s="1"/>
  <c r="K427" i="14"/>
  <c r="AK427" i="14" s="1"/>
  <c r="K426" i="14"/>
  <c r="AK426" i="14" s="1"/>
  <c r="K424" i="14"/>
  <c r="AK424" i="14" s="1"/>
  <c r="K422" i="14"/>
  <c r="AK422" i="14" s="1"/>
  <c r="K421" i="14"/>
  <c r="AK421" i="14" s="1"/>
  <c r="K420" i="14"/>
  <c r="AK420" i="14" s="1"/>
  <c r="K418" i="14"/>
  <c r="AK418" i="14" s="1"/>
  <c r="K417" i="14"/>
  <c r="AK417" i="14" s="1"/>
  <c r="K416" i="14"/>
  <c r="AK416" i="14" s="1"/>
  <c r="K415" i="14"/>
  <c r="AK415" i="14" s="1"/>
  <c r="K414" i="14"/>
  <c r="AK414" i="14" s="1"/>
  <c r="K413" i="14"/>
  <c r="AK413" i="14" s="1"/>
  <c r="K412" i="14"/>
  <c r="AK412" i="14" s="1"/>
  <c r="K411" i="14"/>
  <c r="AK411" i="14" s="1"/>
  <c r="K409" i="14"/>
  <c r="AK409" i="14" s="1"/>
  <c r="K408" i="14"/>
  <c r="AK408" i="14" s="1"/>
  <c r="K407" i="14"/>
  <c r="AK407" i="14" s="1"/>
  <c r="K406" i="14"/>
  <c r="AK406" i="14" s="1"/>
  <c r="K405" i="14"/>
  <c r="AK405" i="14" s="1"/>
  <c r="K404" i="14"/>
  <c r="AK404" i="14" s="1"/>
  <c r="K403" i="14"/>
  <c r="AK403" i="14" s="1"/>
  <c r="K402" i="14"/>
  <c r="AK402" i="14" s="1"/>
  <c r="K401" i="14"/>
  <c r="AK401" i="14" s="1"/>
  <c r="K400" i="14"/>
  <c r="AK400" i="14" s="1"/>
  <c r="K399" i="14"/>
  <c r="AK399" i="14" s="1"/>
  <c r="K398" i="14"/>
  <c r="AK398" i="14" s="1"/>
  <c r="K397" i="14"/>
  <c r="AK397" i="14" s="1"/>
  <c r="K396" i="14"/>
  <c r="AK396" i="14" s="1"/>
  <c r="K395" i="14"/>
  <c r="AK395" i="14" s="1"/>
  <c r="K394" i="14"/>
  <c r="AK394" i="14" s="1"/>
  <c r="K393" i="14"/>
  <c r="AK393" i="14" s="1"/>
  <c r="K392" i="14"/>
  <c r="AK392" i="14" s="1"/>
  <c r="K391" i="14"/>
  <c r="AK391" i="14" s="1"/>
  <c r="K390" i="14"/>
  <c r="AK390" i="14" s="1"/>
  <c r="K389" i="14"/>
  <c r="AK389" i="14" s="1"/>
  <c r="K388" i="14"/>
  <c r="AK388" i="14" s="1"/>
  <c r="K387" i="14"/>
  <c r="AK387" i="14" s="1"/>
  <c r="K386" i="14"/>
  <c r="AK386" i="14" s="1"/>
  <c r="K385" i="14"/>
  <c r="AK385" i="14" s="1"/>
  <c r="K384" i="14"/>
  <c r="AK384" i="14" s="1"/>
  <c r="K383" i="14"/>
  <c r="AK383" i="14" s="1"/>
  <c r="K382" i="14"/>
  <c r="AK382" i="14" s="1"/>
  <c r="K381" i="14"/>
  <c r="AK381" i="14" s="1"/>
  <c r="K380" i="14"/>
  <c r="AK380" i="14" s="1"/>
  <c r="K379" i="14"/>
  <c r="AK379" i="14" s="1"/>
  <c r="K378" i="14"/>
  <c r="AK378" i="14" s="1"/>
  <c r="K376" i="14"/>
  <c r="AK376" i="14" s="1"/>
  <c r="K375" i="14"/>
  <c r="AK375" i="14" s="1"/>
  <c r="K374" i="14"/>
  <c r="AK374" i="14" s="1"/>
  <c r="K373" i="14"/>
  <c r="AK373" i="14" s="1"/>
  <c r="K372" i="14"/>
  <c r="AK372" i="14" s="1"/>
  <c r="K371" i="14"/>
  <c r="AK371" i="14" s="1"/>
  <c r="K370" i="14"/>
  <c r="AK370" i="14" s="1"/>
  <c r="K369" i="14"/>
  <c r="AK369" i="14" s="1"/>
  <c r="K368" i="14"/>
  <c r="AK368" i="14" s="1"/>
  <c r="K367" i="14"/>
  <c r="AK367" i="14" s="1"/>
  <c r="K366" i="14"/>
  <c r="AK366" i="14" s="1"/>
  <c r="K365" i="14"/>
  <c r="AK365" i="14" s="1"/>
  <c r="K364" i="14"/>
  <c r="AK364" i="14" s="1"/>
  <c r="K363" i="14"/>
  <c r="AK363" i="14" s="1"/>
  <c r="K362" i="14"/>
  <c r="AK362" i="14" s="1"/>
  <c r="K361" i="14"/>
  <c r="AK361" i="14" s="1"/>
  <c r="K360" i="14"/>
  <c r="AK360" i="14" s="1"/>
  <c r="K359" i="14"/>
  <c r="AK359" i="14" s="1"/>
  <c r="K358" i="14"/>
  <c r="AK358" i="14" s="1"/>
  <c r="K357" i="14"/>
  <c r="AK357" i="14" s="1"/>
  <c r="K355" i="14"/>
  <c r="AK355" i="14" s="1"/>
  <c r="K354" i="14"/>
  <c r="AK354" i="14" s="1"/>
  <c r="K353" i="14"/>
  <c r="AK353" i="14" s="1"/>
  <c r="K352" i="14"/>
  <c r="AK352" i="14" s="1"/>
  <c r="K351" i="14"/>
  <c r="AK351" i="14" s="1"/>
  <c r="K350" i="14"/>
  <c r="AK350" i="14" s="1"/>
  <c r="K349" i="14"/>
  <c r="AK349" i="14" s="1"/>
  <c r="K348" i="14"/>
  <c r="AK348" i="14" s="1"/>
  <c r="K347" i="14"/>
  <c r="AK347" i="14" s="1"/>
  <c r="K346" i="14"/>
  <c r="AK346" i="14" s="1"/>
  <c r="K345" i="14"/>
  <c r="AK345" i="14" s="1"/>
  <c r="K344" i="14"/>
  <c r="AK344" i="14" s="1"/>
  <c r="K343" i="14"/>
  <c r="AK343" i="14" s="1"/>
  <c r="K342" i="14"/>
  <c r="AK342" i="14" s="1"/>
  <c r="K341" i="14"/>
  <c r="AK341" i="14" s="1"/>
  <c r="K340" i="14"/>
  <c r="AK340" i="14" s="1"/>
  <c r="K339" i="14"/>
  <c r="AK339" i="14" s="1"/>
  <c r="K338" i="14"/>
  <c r="AK338" i="14" s="1"/>
  <c r="K337" i="14"/>
  <c r="AK337" i="14" s="1"/>
  <c r="K336" i="14"/>
  <c r="AK336" i="14" s="1"/>
  <c r="K335" i="14"/>
  <c r="AK335" i="14" s="1"/>
  <c r="K334" i="14"/>
  <c r="AK334" i="14" s="1"/>
  <c r="K333" i="14"/>
  <c r="AK333" i="14" s="1"/>
  <c r="K332" i="14"/>
  <c r="AK332" i="14" s="1"/>
  <c r="K331" i="14"/>
  <c r="AK331" i="14" s="1"/>
  <c r="K330" i="14"/>
  <c r="AK330" i="14" s="1"/>
  <c r="K329" i="14"/>
  <c r="AK329" i="14" s="1"/>
  <c r="K327" i="14"/>
  <c r="AK327" i="14" s="1"/>
  <c r="K326" i="14"/>
  <c r="AK326" i="14" s="1"/>
  <c r="K325" i="14"/>
  <c r="AK325" i="14" s="1"/>
  <c r="K324" i="14"/>
  <c r="AK324" i="14" s="1"/>
  <c r="K323" i="14"/>
  <c r="AK323" i="14" s="1"/>
  <c r="K322" i="14"/>
  <c r="AK322" i="14" s="1"/>
  <c r="K321" i="14"/>
  <c r="AK321" i="14" s="1"/>
  <c r="K320" i="14"/>
  <c r="AK320" i="14" s="1"/>
  <c r="K318" i="14"/>
  <c r="AK318" i="14" s="1"/>
  <c r="K317" i="14"/>
  <c r="AK317" i="14" s="1"/>
  <c r="K316" i="14"/>
  <c r="AK316" i="14" s="1"/>
  <c r="K315" i="14"/>
  <c r="AK315" i="14" s="1"/>
  <c r="K314" i="14"/>
  <c r="AK314" i="14" s="1"/>
  <c r="K313" i="14"/>
  <c r="AK313" i="14" s="1"/>
  <c r="K312" i="14"/>
  <c r="AK312" i="14" s="1"/>
  <c r="K311" i="14"/>
  <c r="AK311" i="14" s="1"/>
  <c r="K310" i="14"/>
  <c r="AK310" i="14" s="1"/>
  <c r="K309" i="14"/>
  <c r="AK309" i="14" s="1"/>
  <c r="K308" i="14"/>
  <c r="AK308" i="14" s="1"/>
  <c r="K307" i="14"/>
  <c r="AK307" i="14" s="1"/>
  <c r="K306" i="14"/>
  <c r="AK306" i="14" s="1"/>
  <c r="K305" i="14"/>
  <c r="AK305" i="14" s="1"/>
  <c r="K304" i="14"/>
  <c r="AK304" i="14" s="1"/>
  <c r="K303" i="14"/>
  <c r="AK303" i="14" s="1"/>
  <c r="K299" i="14"/>
  <c r="AK299" i="14" s="1"/>
  <c r="K302" i="14"/>
  <c r="AK302" i="14" s="1"/>
  <c r="K301" i="14"/>
  <c r="AK301" i="14" s="1"/>
  <c r="K300" i="14"/>
  <c r="AK300" i="14" s="1"/>
  <c r="K298" i="14"/>
  <c r="AK298" i="14" s="1"/>
  <c r="K297" i="14"/>
  <c r="AK297" i="14" s="1"/>
  <c r="K295" i="14"/>
  <c r="AK295" i="14" s="1"/>
  <c r="K294" i="14"/>
  <c r="AK294" i="14" s="1"/>
  <c r="AK293" i="14"/>
  <c r="K292" i="14"/>
  <c r="AK292" i="14" s="1"/>
  <c r="K291" i="14"/>
  <c r="AK291" i="14" s="1"/>
  <c r="K290" i="14"/>
  <c r="AK290" i="14" s="1"/>
  <c r="K289" i="14"/>
  <c r="AK289" i="14" s="1"/>
  <c r="K288" i="14"/>
  <c r="AK288" i="14" s="1"/>
  <c r="K287" i="14"/>
  <c r="AK287" i="14" s="1"/>
  <c r="K283" i="14"/>
  <c r="AK283" i="14" s="1"/>
  <c r="K282" i="14"/>
  <c r="AK282" i="14" s="1"/>
  <c r="K281" i="14"/>
  <c r="AK281" i="14" s="1"/>
  <c r="K280" i="14"/>
  <c r="AK280" i="14" s="1"/>
  <c r="K279" i="14"/>
  <c r="AK279" i="14" s="1"/>
  <c r="K278" i="14"/>
  <c r="AK278" i="14" s="1"/>
  <c r="K277" i="14"/>
  <c r="AK277" i="14" s="1"/>
  <c r="K275" i="14"/>
  <c r="AK275" i="14" s="1"/>
  <c r="K274" i="14"/>
  <c r="AK274" i="14" s="1"/>
  <c r="K273" i="14"/>
  <c r="AK273" i="14" s="1"/>
  <c r="K272" i="14"/>
  <c r="AK272" i="14" s="1"/>
  <c r="K271" i="14"/>
  <c r="AK271" i="14" s="1"/>
  <c r="K270" i="14"/>
  <c r="AK270" i="14" s="1"/>
  <c r="K269" i="14"/>
  <c r="AK269" i="14" s="1"/>
  <c r="K268" i="14"/>
  <c r="AK268" i="14" s="1"/>
  <c r="K267" i="14"/>
  <c r="AK267" i="14" s="1"/>
  <c r="K266" i="14"/>
  <c r="AK266" i="14" s="1"/>
  <c r="K265" i="14"/>
  <c r="AK265" i="14" s="1"/>
  <c r="K264" i="14"/>
  <c r="AK264" i="14" s="1"/>
  <c r="K263" i="14"/>
  <c r="AK263" i="14" s="1"/>
  <c r="K262" i="14"/>
  <c r="AK262" i="14" s="1"/>
  <c r="K261" i="14"/>
  <c r="AK261" i="14" s="1"/>
  <c r="K260" i="14"/>
  <c r="AK260" i="14" s="1"/>
  <c r="K259" i="14"/>
  <c r="AK259" i="14" s="1"/>
  <c r="K258" i="14"/>
  <c r="AK258" i="14" s="1"/>
  <c r="K257" i="14"/>
  <c r="AK257" i="14" s="1"/>
  <c r="K256" i="14"/>
  <c r="AK256" i="14" s="1"/>
  <c r="K255" i="14"/>
  <c r="AK255" i="14" s="1"/>
  <c r="K254" i="14"/>
  <c r="AK254" i="14" s="1"/>
  <c r="K253" i="14"/>
  <c r="AK253" i="14" s="1"/>
  <c r="K252" i="14"/>
  <c r="AK252" i="14" s="1"/>
  <c r="K250" i="14"/>
  <c r="AK250" i="14" s="1"/>
  <c r="K249" i="14"/>
  <c r="AK249" i="14" s="1"/>
  <c r="K248" i="14"/>
  <c r="AK248" i="14" s="1"/>
  <c r="K247" i="14"/>
  <c r="AK247" i="14" s="1"/>
  <c r="K246" i="14"/>
  <c r="AK246" i="14" s="1"/>
  <c r="K245" i="14"/>
  <c r="AK245" i="14" s="1"/>
  <c r="K244" i="14"/>
  <c r="AK244" i="14" s="1"/>
  <c r="K243" i="14"/>
  <c r="AK243" i="14" s="1"/>
  <c r="K242" i="14"/>
  <c r="AK242" i="14" s="1"/>
  <c r="K241" i="14"/>
  <c r="AK241" i="14" s="1"/>
  <c r="K240" i="14"/>
  <c r="AK240" i="14" s="1"/>
  <c r="K239" i="14"/>
  <c r="AK239" i="14" s="1"/>
  <c r="K238" i="14"/>
  <c r="AK238" i="14" s="1"/>
  <c r="K237" i="14"/>
  <c r="AK237" i="14" s="1"/>
  <c r="K236" i="14"/>
  <c r="AK236" i="14" s="1"/>
  <c r="K235" i="14"/>
  <c r="AK235" i="14" s="1"/>
  <c r="K234" i="14"/>
  <c r="AK234" i="14" s="1"/>
  <c r="K233" i="14"/>
  <c r="AK233" i="14" s="1"/>
  <c r="K232" i="14"/>
  <c r="AK232" i="14" s="1"/>
  <c r="K231" i="14"/>
  <c r="AK231" i="14" s="1"/>
  <c r="K230" i="14"/>
  <c r="AK230" i="14" s="1"/>
  <c r="K229" i="14"/>
  <c r="AK229" i="14" s="1"/>
  <c r="K228" i="14"/>
  <c r="AK228" i="14" s="1"/>
  <c r="K227" i="14"/>
  <c r="AK227" i="14" s="1"/>
  <c r="K226" i="14"/>
  <c r="AK226" i="14" s="1"/>
  <c r="K225" i="14"/>
  <c r="AK225" i="14" s="1"/>
  <c r="K224" i="14"/>
  <c r="AK224" i="14" s="1"/>
  <c r="K223" i="14"/>
  <c r="AK223" i="14" s="1"/>
  <c r="K222" i="14"/>
  <c r="AK222" i="14" s="1"/>
  <c r="K221" i="14"/>
  <c r="AK221" i="14" s="1"/>
  <c r="K220" i="14"/>
  <c r="AK220" i="14" s="1"/>
  <c r="K219" i="14"/>
  <c r="AK219" i="14" s="1"/>
  <c r="K212" i="14"/>
  <c r="AK212" i="14" s="1"/>
  <c r="K211" i="14"/>
  <c r="AK211" i="14" s="1"/>
  <c r="K210" i="14"/>
  <c r="AK210" i="14" s="1"/>
  <c r="K209" i="14"/>
  <c r="AK209" i="14" s="1"/>
  <c r="K208" i="14"/>
  <c r="AK208" i="14" s="1"/>
  <c r="K207" i="14"/>
  <c r="AK207" i="14" s="1"/>
  <c r="K206" i="14"/>
  <c r="AK206" i="14" s="1"/>
  <c r="K205" i="14"/>
  <c r="AK205" i="14" s="1"/>
  <c r="K204" i="14"/>
  <c r="AK204" i="14" s="1"/>
  <c r="K203" i="14"/>
  <c r="AK203" i="14" s="1"/>
  <c r="K202" i="14"/>
  <c r="AK202" i="14" s="1"/>
  <c r="K201" i="14"/>
  <c r="AK201" i="14" s="1"/>
  <c r="K200" i="14"/>
  <c r="AK200" i="14" s="1"/>
  <c r="K199" i="14"/>
  <c r="AK199" i="14" s="1"/>
  <c r="K198" i="14"/>
  <c r="AK198" i="14" s="1"/>
  <c r="K197" i="14"/>
  <c r="AK197" i="14" s="1"/>
  <c r="K196" i="14"/>
  <c r="AK196" i="14" s="1"/>
  <c r="K195" i="14"/>
  <c r="AK195" i="14" s="1"/>
  <c r="K194" i="14"/>
  <c r="AK194" i="14" s="1"/>
  <c r="K193" i="14"/>
  <c r="AK193" i="14" s="1"/>
  <c r="K192" i="14"/>
  <c r="AK192" i="14" s="1"/>
  <c r="K191" i="14"/>
  <c r="AK191" i="14" s="1"/>
  <c r="K190" i="14"/>
  <c r="AK190" i="14" s="1"/>
  <c r="K189" i="14"/>
  <c r="AK189" i="14" s="1"/>
  <c r="K188" i="14"/>
  <c r="AK188" i="14" s="1"/>
  <c r="K187" i="14"/>
  <c r="AK187" i="14" s="1"/>
  <c r="K186" i="14"/>
  <c r="AK186" i="14" s="1"/>
  <c r="K185" i="14"/>
  <c r="AK185" i="14" s="1"/>
  <c r="K184" i="14"/>
  <c r="AK184" i="14" s="1"/>
  <c r="K183" i="14"/>
  <c r="AK183" i="14" s="1"/>
  <c r="K182" i="14"/>
  <c r="AK182" i="14" s="1"/>
  <c r="K181" i="14"/>
  <c r="AK181" i="14" s="1"/>
  <c r="K180" i="14"/>
  <c r="AK180" i="14" s="1"/>
  <c r="K179" i="14"/>
  <c r="AK179" i="14" s="1"/>
  <c r="K177" i="14"/>
  <c r="AK177" i="14" s="1"/>
  <c r="K176" i="14"/>
  <c r="AK176" i="14" s="1"/>
  <c r="K174" i="14"/>
  <c r="AK174" i="14" s="1"/>
  <c r="K173" i="14"/>
  <c r="AK173" i="14" s="1"/>
  <c r="K172" i="14"/>
  <c r="AK172" i="14" s="1"/>
  <c r="K171" i="14"/>
  <c r="AK171" i="14" s="1"/>
  <c r="K170" i="14"/>
  <c r="AK170" i="14" s="1"/>
  <c r="K169" i="14"/>
  <c r="AK169" i="14" s="1"/>
  <c r="K168" i="14"/>
  <c r="AK168" i="14" s="1"/>
  <c r="K167" i="14"/>
  <c r="AK167" i="14" s="1"/>
  <c r="K166" i="14"/>
  <c r="AK166" i="14" s="1"/>
  <c r="K165" i="14"/>
  <c r="AK165" i="14" s="1"/>
  <c r="K164" i="14"/>
  <c r="AK164" i="14" s="1"/>
  <c r="K163" i="14"/>
  <c r="AK163" i="14" s="1"/>
  <c r="K162" i="14"/>
  <c r="AK162" i="14" s="1"/>
  <c r="K161" i="14"/>
  <c r="AK161" i="14" s="1"/>
  <c r="K160" i="14"/>
  <c r="AK160" i="14" s="1"/>
  <c r="K159" i="14"/>
  <c r="AK159" i="14" s="1"/>
  <c r="K158" i="14"/>
  <c r="AK158" i="14" s="1"/>
  <c r="K157" i="14"/>
  <c r="AK157" i="14" s="1"/>
  <c r="K156" i="14"/>
  <c r="AK156" i="14" s="1"/>
  <c r="K155" i="14"/>
  <c r="AK155" i="14" s="1"/>
  <c r="K154" i="14"/>
  <c r="AK154" i="14" s="1"/>
  <c r="K153" i="14"/>
  <c r="AK153" i="14" s="1"/>
  <c r="K152" i="14"/>
  <c r="AK152" i="14" s="1"/>
  <c r="K151" i="14"/>
  <c r="AK151" i="14" s="1"/>
  <c r="K150" i="14"/>
  <c r="AK150" i="14" s="1"/>
  <c r="K149" i="14"/>
  <c r="AK149" i="14" s="1"/>
  <c r="K148" i="14"/>
  <c r="AK148" i="14" s="1"/>
  <c r="K147" i="14"/>
  <c r="AK147" i="14" s="1"/>
  <c r="K146" i="14"/>
  <c r="AK146" i="14" s="1"/>
  <c r="K145" i="14"/>
  <c r="AK145" i="14" s="1"/>
  <c r="K144" i="14"/>
  <c r="AK144" i="14" s="1"/>
  <c r="K143" i="14"/>
  <c r="AK143" i="14" s="1"/>
  <c r="K142" i="14"/>
  <c r="AK142" i="14" s="1"/>
  <c r="K141" i="14"/>
  <c r="AK141" i="14" s="1"/>
  <c r="K140" i="14"/>
  <c r="AK140" i="14" s="1"/>
  <c r="K139" i="14"/>
  <c r="AK139" i="14" s="1"/>
  <c r="K138" i="14"/>
  <c r="AK138" i="14" s="1"/>
  <c r="K137" i="14"/>
  <c r="AK137" i="14" s="1"/>
  <c r="K136" i="14"/>
  <c r="AK136" i="14" s="1"/>
  <c r="K135" i="14"/>
  <c r="AK135" i="14" s="1"/>
  <c r="K134" i="14"/>
  <c r="AK134" i="14" s="1"/>
  <c r="K133" i="14"/>
  <c r="AK133" i="14" s="1"/>
  <c r="K132" i="14"/>
  <c r="AK132" i="14" s="1"/>
  <c r="K131" i="14"/>
  <c r="AK131" i="14" s="1"/>
  <c r="K130" i="14"/>
  <c r="AK130" i="14" s="1"/>
  <c r="K129" i="14"/>
  <c r="AK129" i="14" s="1"/>
  <c r="K128" i="14"/>
  <c r="AK128" i="14" s="1"/>
  <c r="K127" i="14"/>
  <c r="AK127" i="14" s="1"/>
  <c r="K126" i="14"/>
  <c r="AK126" i="14" s="1"/>
  <c r="K125" i="14"/>
  <c r="AK125" i="14" s="1"/>
  <c r="K124" i="14"/>
  <c r="AK124" i="14" s="1"/>
  <c r="K123" i="14"/>
  <c r="AK123" i="14" s="1"/>
  <c r="K122" i="14"/>
  <c r="AK122" i="14" s="1"/>
  <c r="K121" i="14"/>
  <c r="AK121" i="14" s="1"/>
  <c r="K120" i="14"/>
  <c r="AK120" i="14" s="1"/>
  <c r="K119" i="14"/>
  <c r="AK119" i="14" s="1"/>
  <c r="K118" i="14"/>
  <c r="AK118" i="14" s="1"/>
  <c r="K117" i="14"/>
  <c r="AK117" i="14" s="1"/>
  <c r="K116" i="14"/>
  <c r="AK116" i="14" s="1"/>
  <c r="K115" i="14"/>
  <c r="AK115" i="14" s="1"/>
  <c r="K114" i="14"/>
  <c r="AK114" i="14" s="1"/>
  <c r="K113" i="14"/>
  <c r="AK113" i="14" s="1"/>
  <c r="K112" i="14"/>
  <c r="AK112" i="14" s="1"/>
  <c r="K111" i="14"/>
  <c r="AK111" i="14" s="1"/>
  <c r="K110" i="14"/>
  <c r="AK110" i="14" s="1"/>
  <c r="K109" i="14"/>
  <c r="AK109" i="14" s="1"/>
  <c r="K108" i="14"/>
  <c r="AK108" i="14" s="1"/>
  <c r="K107" i="14"/>
  <c r="AK107" i="14" s="1"/>
  <c r="K106" i="14"/>
  <c r="AK106" i="14" s="1"/>
  <c r="K105" i="14"/>
  <c r="AK105" i="14" s="1"/>
  <c r="K104" i="14"/>
  <c r="AK104" i="14" s="1"/>
  <c r="K103" i="14"/>
  <c r="AK103" i="14" s="1"/>
  <c r="K102" i="14"/>
  <c r="AK102" i="14" s="1"/>
  <c r="K101" i="14"/>
  <c r="AK101" i="14" s="1"/>
  <c r="K100" i="14"/>
  <c r="AK100" i="14" s="1"/>
  <c r="K99" i="14"/>
  <c r="AK99" i="14" s="1"/>
  <c r="K98" i="14"/>
  <c r="AK98" i="14" s="1"/>
  <c r="K97" i="14"/>
  <c r="AK97" i="14" s="1"/>
  <c r="K95" i="14"/>
  <c r="AK95" i="14" s="1"/>
  <c r="K96" i="14"/>
  <c r="AK96" i="14" s="1"/>
  <c r="K94" i="14"/>
  <c r="AK94" i="14" s="1"/>
  <c r="K93" i="14"/>
  <c r="AK93" i="14" s="1"/>
  <c r="K92" i="14"/>
  <c r="AK92" i="14" s="1"/>
  <c r="K91" i="14"/>
  <c r="AK91" i="14" s="1"/>
  <c r="K90" i="14"/>
  <c r="AK90" i="14" s="1"/>
  <c r="K89" i="14"/>
  <c r="AK89" i="14" s="1"/>
  <c r="K88" i="14"/>
  <c r="AK88" i="14" s="1"/>
  <c r="K87" i="14"/>
  <c r="AK87" i="14" s="1"/>
  <c r="K86" i="14"/>
  <c r="AK86" i="14" s="1"/>
  <c r="K85" i="14"/>
  <c r="AK85" i="14" s="1"/>
  <c r="K84" i="14"/>
  <c r="AK84" i="14" s="1"/>
  <c r="K83" i="14"/>
  <c r="AK83" i="14" s="1"/>
  <c r="K82" i="14"/>
  <c r="AK82" i="14" s="1"/>
  <c r="K81" i="14"/>
  <c r="AK81" i="14" s="1"/>
  <c r="K80" i="14"/>
  <c r="AK80" i="14" s="1"/>
  <c r="K79" i="14"/>
  <c r="AK79" i="14" s="1"/>
  <c r="K78" i="14"/>
  <c r="AK78" i="14" s="1"/>
  <c r="K77" i="14"/>
  <c r="AK77" i="14" s="1"/>
  <c r="K76" i="14"/>
  <c r="AK76" i="14" s="1"/>
  <c r="K75" i="14"/>
  <c r="AK75" i="14" s="1"/>
  <c r="K74" i="14"/>
  <c r="AK74" i="14" s="1"/>
  <c r="K73" i="14"/>
  <c r="AK73" i="14" s="1"/>
  <c r="K72" i="14"/>
  <c r="AK72" i="14" s="1"/>
  <c r="K71" i="14"/>
  <c r="AK71" i="14" s="1"/>
  <c r="K70" i="14"/>
  <c r="AK70" i="14" s="1"/>
  <c r="K69" i="14"/>
  <c r="AK69" i="14" s="1"/>
  <c r="K68" i="14"/>
  <c r="AK68" i="14" s="1"/>
  <c r="K66" i="14"/>
  <c r="AK66" i="14" s="1"/>
  <c r="K65" i="14"/>
  <c r="AK65" i="14" s="1"/>
  <c r="K64" i="14"/>
  <c r="AK64" i="14" s="1"/>
  <c r="K63" i="14"/>
  <c r="AK63" i="14" s="1"/>
  <c r="K62" i="14"/>
  <c r="AK62" i="14" s="1"/>
  <c r="K61" i="14"/>
  <c r="AK61" i="14" s="1"/>
  <c r="K60" i="14"/>
  <c r="AK60" i="14" s="1"/>
  <c r="K59" i="14"/>
  <c r="AK59" i="14" s="1"/>
  <c r="K57" i="14"/>
  <c r="AK57" i="14" s="1"/>
  <c r="K56" i="14"/>
  <c r="AK56" i="14" s="1"/>
  <c r="K55" i="14"/>
  <c r="AK55" i="14" s="1"/>
  <c r="K54" i="14"/>
  <c r="AK54" i="14" s="1"/>
  <c r="K53" i="14"/>
  <c r="AK53" i="14" s="1"/>
  <c r="K47" i="14"/>
  <c r="AK47" i="14" s="1"/>
  <c r="K46" i="14"/>
  <c r="AK46" i="14" s="1"/>
  <c r="K45" i="14"/>
  <c r="AK45" i="14" s="1"/>
  <c r="K44" i="14"/>
  <c r="AK44" i="14" s="1"/>
  <c r="K43" i="14"/>
  <c r="AK43" i="14" s="1"/>
  <c r="K42" i="14"/>
  <c r="AK42" i="14" s="1"/>
  <c r="K41" i="14"/>
  <c r="AK41" i="14" s="1"/>
  <c r="K40" i="14"/>
  <c r="AK40" i="14" s="1"/>
  <c r="K39" i="14"/>
  <c r="AK39" i="14" s="1"/>
  <c r="K38" i="14"/>
  <c r="AK38" i="14" s="1"/>
  <c r="K37" i="14"/>
  <c r="AK37" i="14" s="1"/>
  <c r="K36" i="14"/>
  <c r="AK36" i="14" s="1"/>
  <c r="K35" i="14"/>
  <c r="AK35" i="14" s="1"/>
  <c r="K34" i="14"/>
  <c r="AK34" i="14" s="1"/>
  <c r="K33" i="14"/>
  <c r="AK33" i="14" s="1"/>
  <c r="K32" i="14"/>
  <c r="AK32" i="14" s="1"/>
  <c r="K31" i="14"/>
  <c r="AK31" i="14" s="1"/>
  <c r="K30" i="14"/>
  <c r="AK30" i="14" s="1"/>
  <c r="K29" i="14"/>
  <c r="AK29" i="14" s="1"/>
  <c r="K28" i="14"/>
  <c r="AK28" i="14" s="1"/>
  <c r="K27" i="14"/>
  <c r="AK27" i="14" s="1"/>
  <c r="K26" i="14"/>
  <c r="AK26" i="14" s="1"/>
  <c r="K24" i="14"/>
  <c r="AK24" i="14" s="1"/>
  <c r="K23" i="14"/>
  <c r="AK23" i="14" s="1"/>
  <c r="K22" i="14"/>
  <c r="AK22" i="14" s="1"/>
  <c r="K21" i="14"/>
  <c r="AK21" i="14" s="1"/>
  <c r="K20" i="14"/>
  <c r="AK20" i="14" s="1"/>
  <c r="K19" i="14"/>
  <c r="AK19" i="14" s="1"/>
  <c r="K17" i="14"/>
  <c r="AK17" i="14" s="1"/>
  <c r="K16" i="14"/>
  <c r="AK16" i="14" s="1"/>
  <c r="Q632" i="14"/>
  <c r="Q631" i="14"/>
  <c r="Q630" i="14"/>
  <c r="Q629" i="14"/>
  <c r="Q627" i="14"/>
  <c r="Q626" i="14"/>
  <c r="Q625" i="14"/>
  <c r="Q624" i="14"/>
  <c r="Q623" i="14"/>
  <c r="Q622" i="14"/>
  <c r="Q621" i="14"/>
  <c r="Q620" i="14"/>
  <c r="Q619" i="14"/>
  <c r="Q618" i="14"/>
  <c r="Q617" i="14"/>
  <c r="Q616" i="14"/>
  <c r="Q615" i="14"/>
  <c r="Q614" i="14"/>
  <c r="Q613" i="14"/>
  <c r="Q612" i="14"/>
  <c r="Q611" i="14"/>
  <c r="Q610" i="14"/>
  <c r="Q609" i="14"/>
  <c r="Q608" i="14"/>
  <c r="Q607" i="14"/>
  <c r="Q606" i="14"/>
  <c r="Q605" i="14"/>
  <c r="Q604" i="14"/>
  <c r="Q603" i="14"/>
  <c r="Q602" i="14"/>
  <c r="Q601" i="14"/>
  <c r="Q600" i="14"/>
  <c r="Q599" i="14"/>
  <c r="Q598" i="14"/>
  <c r="Q597" i="14"/>
  <c r="Q596" i="14"/>
  <c r="Q595" i="14"/>
  <c r="Q594" i="14"/>
  <c r="Q593" i="14"/>
  <c r="Q592" i="14"/>
  <c r="Q591" i="14"/>
  <c r="Q590" i="14"/>
  <c r="Q589" i="14"/>
  <c r="Q588" i="14"/>
  <c r="Q587" i="14"/>
  <c r="Q586" i="14"/>
  <c r="Q585" i="14"/>
  <c r="Q584" i="14"/>
  <c r="Q583" i="14"/>
  <c r="Q582" i="14"/>
  <c r="Q578" i="14"/>
  <c r="Q577" i="14"/>
  <c r="Q576" i="14"/>
  <c r="Q575" i="14"/>
  <c r="Q574" i="14"/>
  <c r="Q573" i="14"/>
  <c r="Q572" i="14"/>
  <c r="Q571" i="14"/>
  <c r="Q570" i="14"/>
  <c r="Q569" i="14"/>
  <c r="Q568" i="14"/>
  <c r="Q567" i="14"/>
  <c r="Q566" i="14"/>
  <c r="Q565" i="14"/>
  <c r="Q564" i="14"/>
  <c r="Q563" i="14"/>
  <c r="Q562" i="14"/>
  <c r="Q561" i="14"/>
  <c r="Q560" i="14"/>
  <c r="Q559" i="14"/>
  <c r="Q558" i="14"/>
  <c r="Q557" i="14"/>
  <c r="Q556" i="14"/>
  <c r="Q555" i="14"/>
  <c r="Q554" i="14"/>
  <c r="Q553" i="14"/>
  <c r="Q552" i="14"/>
  <c r="Q551" i="14"/>
  <c r="Q550" i="14"/>
  <c r="Q549" i="14"/>
  <c r="Q548" i="14"/>
  <c r="Q547" i="14"/>
  <c r="Q546" i="14"/>
  <c r="Q545" i="14"/>
  <c r="Q544" i="14"/>
  <c r="Q543" i="14"/>
  <c r="Q542" i="14"/>
  <c r="Q541" i="14"/>
  <c r="Q540" i="14"/>
  <c r="Q539" i="14"/>
  <c r="Q538" i="14"/>
  <c r="Q537" i="14"/>
  <c r="Q536" i="14"/>
  <c r="Q535" i="14"/>
  <c r="Q534" i="14"/>
  <c r="Q533" i="14"/>
  <c r="Q532" i="14"/>
  <c r="Q531" i="14"/>
  <c r="Q530" i="14"/>
  <c r="Q529" i="14"/>
  <c r="Q528" i="14"/>
  <c r="Q527" i="14"/>
  <c r="Q526" i="14"/>
  <c r="Q525" i="14"/>
  <c r="Q524" i="14"/>
  <c r="Q523" i="14"/>
  <c r="Q522" i="14"/>
  <c r="Q521" i="14"/>
  <c r="Q520" i="14"/>
  <c r="Q519" i="14"/>
  <c r="Q518" i="14"/>
  <c r="Q517" i="14"/>
  <c r="Q516" i="14"/>
  <c r="Q515" i="14"/>
  <c r="Q514" i="14"/>
  <c r="Q513" i="14"/>
  <c r="Q512" i="14"/>
  <c r="Q511" i="14"/>
  <c r="Q510" i="14"/>
  <c r="Q509" i="14"/>
  <c r="Q508" i="14"/>
  <c r="Q507" i="14"/>
  <c r="Q506" i="14"/>
  <c r="Q505" i="14"/>
  <c r="Q504" i="14"/>
  <c r="Q503" i="14"/>
  <c r="Q502" i="14"/>
  <c r="Q501" i="14"/>
  <c r="Q500" i="14"/>
  <c r="Q499" i="14"/>
  <c r="Q498" i="14"/>
  <c r="Q497" i="14"/>
  <c r="Q496" i="14"/>
  <c r="Q495" i="14"/>
  <c r="Q494" i="14"/>
  <c r="Q493" i="14"/>
  <c r="Q492" i="14"/>
  <c r="Q491" i="14"/>
  <c r="Q490" i="14"/>
  <c r="Q489" i="14"/>
  <c r="Q488" i="14"/>
  <c r="Q487" i="14"/>
  <c r="Q486" i="14"/>
  <c r="Q485" i="14"/>
  <c r="Q484" i="14"/>
  <c r="Q483" i="14"/>
  <c r="Q482" i="14"/>
  <c r="Q481" i="14"/>
  <c r="Q480" i="14"/>
  <c r="Q479" i="14"/>
  <c r="Q478" i="14"/>
  <c r="Q477" i="14"/>
  <c r="Q476" i="14"/>
  <c r="Q475" i="14"/>
  <c r="Q474" i="14"/>
  <c r="Q473" i="14"/>
  <c r="Q472" i="14"/>
  <c r="Q471" i="14"/>
  <c r="Q470" i="14"/>
  <c r="Q469" i="14"/>
  <c r="Q468" i="14"/>
  <c r="Q467" i="14"/>
  <c r="Q465" i="14"/>
  <c r="Q464" i="14"/>
  <c r="Q463" i="14"/>
  <c r="Q462" i="14"/>
  <c r="Q461" i="14"/>
  <c r="Q460" i="14"/>
  <c r="Q459" i="14"/>
  <c r="Q458" i="14"/>
  <c r="Q457" i="14"/>
  <c r="Q456" i="14"/>
  <c r="Q455" i="14"/>
  <c r="Q454" i="14"/>
  <c r="Q453" i="14"/>
  <c r="Q452" i="14"/>
  <c r="Q451" i="14"/>
  <c r="Q450" i="14"/>
  <c r="Q449" i="14"/>
  <c r="Q448" i="14"/>
  <c r="Q447" i="14"/>
  <c r="Q446" i="14"/>
  <c r="Q445" i="14"/>
  <c r="Q444" i="14"/>
  <c r="Q443" i="14"/>
  <c r="Q442" i="14"/>
  <c r="Q441" i="14"/>
  <c r="Q440" i="14"/>
  <c r="Q439" i="14"/>
  <c r="Q438" i="14"/>
  <c r="Q437" i="14"/>
  <c r="Q436" i="14"/>
  <c r="Q435" i="14"/>
  <c r="Q434" i="14"/>
  <c r="Q433" i="14"/>
  <c r="Q432" i="14"/>
  <c r="Q431" i="14"/>
  <c r="Q430" i="14"/>
  <c r="Q429" i="14"/>
  <c r="Q428" i="14"/>
  <c r="Q427" i="14"/>
  <c r="Q426" i="14"/>
  <c r="Q424" i="14"/>
  <c r="Q422" i="14"/>
  <c r="Q421" i="14"/>
  <c r="Q420" i="14"/>
  <c r="Q418" i="14"/>
  <c r="Q417" i="14"/>
  <c r="Q416" i="14"/>
  <c r="Q415" i="14"/>
  <c r="Q414" i="14"/>
  <c r="Q413" i="14"/>
  <c r="Q412" i="14"/>
  <c r="Q411" i="14"/>
  <c r="Q409" i="14"/>
  <c r="Q408" i="14"/>
  <c r="Q407" i="14"/>
  <c r="Q406" i="14"/>
  <c r="Q405" i="14"/>
  <c r="Q404" i="14"/>
  <c r="Q403" i="14"/>
  <c r="Q402" i="14"/>
  <c r="Q401" i="14"/>
  <c r="Q400" i="14"/>
  <c r="Q399" i="14"/>
  <c r="Q398" i="14"/>
  <c r="Q397" i="14"/>
  <c r="Q396" i="14"/>
  <c r="Q395" i="14"/>
  <c r="Q394" i="14"/>
  <c r="Q393" i="14"/>
  <c r="Q392" i="14"/>
  <c r="Q391" i="14"/>
  <c r="Q390" i="14"/>
  <c r="Q389" i="14"/>
  <c r="Q388" i="14"/>
  <c r="Q387" i="14"/>
  <c r="Q386" i="14"/>
  <c r="Q385" i="14"/>
  <c r="Q384" i="14"/>
  <c r="Q383" i="14"/>
  <c r="Q382" i="14"/>
  <c r="Q381" i="14"/>
  <c r="Q380" i="14"/>
  <c r="Q379" i="14"/>
  <c r="Q378" i="14"/>
  <c r="Q376" i="14"/>
  <c r="Q375" i="14"/>
  <c r="Q374" i="14"/>
  <c r="Q373" i="14"/>
  <c r="Q372" i="14"/>
  <c r="Q371" i="14"/>
  <c r="Q370" i="14"/>
  <c r="Q369" i="14"/>
  <c r="Q368" i="14"/>
  <c r="Q367" i="14"/>
  <c r="Q366" i="14"/>
  <c r="Q365" i="14"/>
  <c r="Q364" i="14"/>
  <c r="Q363" i="14"/>
  <c r="Q362" i="14"/>
  <c r="Q361" i="14"/>
  <c r="Q360" i="14"/>
  <c r="Q359" i="14"/>
  <c r="Q358" i="14"/>
  <c r="Q357" i="14"/>
  <c r="Q355" i="14"/>
  <c r="Q354" i="14"/>
  <c r="Q353" i="14"/>
  <c r="Q352" i="14"/>
  <c r="Q351" i="14"/>
  <c r="Q350" i="14"/>
  <c r="Q349" i="14"/>
  <c r="Q348" i="14"/>
  <c r="Q347" i="14"/>
  <c r="Q346" i="14"/>
  <c r="Q345" i="14"/>
  <c r="Q344" i="14"/>
  <c r="Q343" i="14"/>
  <c r="Q342" i="14"/>
  <c r="Q341" i="14"/>
  <c r="Q340" i="14"/>
  <c r="Q339" i="14"/>
  <c r="Q338" i="14"/>
  <c r="Q337" i="14"/>
  <c r="Q336" i="14"/>
  <c r="Q335" i="14"/>
  <c r="Q334" i="14"/>
  <c r="Q333" i="14"/>
  <c r="Q332" i="14"/>
  <c r="Q331" i="14"/>
  <c r="Q330" i="14"/>
  <c r="Q329" i="14"/>
  <c r="Q327" i="14"/>
  <c r="Q326" i="14"/>
  <c r="Q325" i="14"/>
  <c r="Q324" i="14"/>
  <c r="Q323" i="14"/>
  <c r="Q322" i="14"/>
  <c r="Q321" i="14"/>
  <c r="Q320" i="14"/>
  <c r="Q318" i="14"/>
  <c r="Q317" i="14"/>
  <c r="Q316" i="14"/>
  <c r="Q315" i="14"/>
  <c r="Q314" i="14"/>
  <c r="Q313" i="14"/>
  <c r="Q312" i="14"/>
  <c r="Q311" i="14"/>
  <c r="Q310" i="14"/>
  <c r="Q309" i="14"/>
  <c r="Q308" i="14"/>
  <c r="Q307" i="14"/>
  <c r="Q306" i="14"/>
  <c r="Q305" i="14"/>
  <c r="Q304" i="14"/>
  <c r="Q303" i="14"/>
  <c r="Q299" i="14"/>
  <c r="Q302" i="14"/>
  <c r="Q301" i="14"/>
  <c r="Q300" i="14"/>
  <c r="Q298" i="14"/>
  <c r="Q297" i="14"/>
  <c r="Q295" i="14"/>
  <c r="Q294" i="14"/>
  <c r="Q292" i="14"/>
  <c r="Q291" i="14"/>
  <c r="Q290" i="14"/>
  <c r="Q289" i="14"/>
  <c r="Q288" i="14"/>
  <c r="Q287" i="14"/>
  <c r="Q283" i="14"/>
  <c r="Q282" i="14"/>
  <c r="Q281" i="14"/>
  <c r="Q280" i="14"/>
  <c r="Q279" i="14"/>
  <c r="Q278" i="14"/>
  <c r="Q277" i="14"/>
  <c r="Q275" i="14"/>
  <c r="Q274" i="14"/>
  <c r="Q273" i="14"/>
  <c r="Q272" i="14"/>
  <c r="Q271" i="14"/>
  <c r="Q270" i="14"/>
  <c r="Q269" i="14"/>
  <c r="Q268" i="14"/>
  <c r="Q267" i="14"/>
  <c r="Q266" i="14"/>
  <c r="Q265" i="14"/>
  <c r="Q264" i="14"/>
  <c r="Q263" i="14"/>
  <c r="Q262" i="14"/>
  <c r="Q261" i="14"/>
  <c r="Q260" i="14"/>
  <c r="Q259" i="14"/>
  <c r="Q258" i="14"/>
  <c r="Q257" i="14"/>
  <c r="Q256" i="14"/>
  <c r="Q255" i="14"/>
  <c r="Q254" i="14"/>
  <c r="Q253" i="14"/>
  <c r="Q252" i="14"/>
  <c r="Q250" i="14"/>
  <c r="Q249" i="14"/>
  <c r="Q248" i="14"/>
  <c r="Q247" i="14"/>
  <c r="Q246" i="14"/>
  <c r="Q245" i="14"/>
  <c r="Q244" i="14"/>
  <c r="Q243" i="14"/>
  <c r="Q242" i="14"/>
  <c r="Q241" i="14"/>
  <c r="Q240" i="14"/>
  <c r="Q239" i="14"/>
  <c r="Q238" i="14"/>
  <c r="Q237" i="14"/>
  <c r="Q236" i="14"/>
  <c r="Q235" i="14"/>
  <c r="Q234" i="14"/>
  <c r="Q233" i="14"/>
  <c r="Q232" i="14"/>
  <c r="Q231" i="14"/>
  <c r="Q230" i="14"/>
  <c r="Q212" i="14"/>
  <c r="Q211" i="14"/>
  <c r="Q210" i="14"/>
  <c r="Q209" i="14"/>
  <c r="Q208" i="14"/>
  <c r="Q207" i="14"/>
  <c r="Q206" i="14"/>
  <c r="Q205" i="14"/>
  <c r="Q204" i="14"/>
  <c r="Q203" i="14"/>
  <c r="Q202" i="14"/>
  <c r="Q201" i="14"/>
  <c r="Q200" i="14"/>
  <c r="Q199" i="14"/>
  <c r="Q198" i="14"/>
  <c r="Q197" i="14"/>
  <c r="Q196" i="14"/>
  <c r="Q195" i="14"/>
  <c r="Q194" i="14"/>
  <c r="Q193" i="14"/>
  <c r="Q192" i="14"/>
  <c r="Q191" i="14"/>
  <c r="Q190" i="14"/>
  <c r="Q189" i="14"/>
  <c r="Q188" i="14"/>
  <c r="Q187" i="14"/>
  <c r="Q186" i="14"/>
  <c r="Q185" i="14"/>
  <c r="Q184" i="14"/>
  <c r="Q183" i="14"/>
  <c r="Q182" i="14"/>
  <c r="Q181" i="14"/>
  <c r="Q180" i="14"/>
  <c r="Q179" i="14"/>
  <c r="Q177" i="14"/>
  <c r="Q176" i="14"/>
  <c r="Q174" i="14"/>
  <c r="Q173" i="14"/>
  <c r="Q172" i="14"/>
  <c r="Q171" i="14"/>
  <c r="Q170" i="14"/>
  <c r="Q169" i="14"/>
  <c r="Q168" i="14"/>
  <c r="Q167" i="14"/>
  <c r="Q166" i="14"/>
  <c r="Q165" i="14"/>
  <c r="Q164" i="14"/>
  <c r="Q163" i="14"/>
  <c r="Q162" i="14"/>
  <c r="Q161" i="14"/>
  <c r="Q160" i="14"/>
  <c r="Q159" i="14"/>
  <c r="Q158" i="14"/>
  <c r="Q157" i="14"/>
  <c r="Q156" i="14"/>
  <c r="Q155" i="14"/>
  <c r="Q154" i="14"/>
  <c r="Q153" i="14"/>
  <c r="Q152" i="14"/>
  <c r="Q151" i="14"/>
  <c r="Q150" i="14"/>
  <c r="Q149" i="14"/>
  <c r="Q148" i="14"/>
  <c r="Q147" i="14"/>
  <c r="Q146" i="14"/>
  <c r="Q145" i="14"/>
  <c r="Q144" i="14"/>
  <c r="Q143" i="14"/>
  <c r="Q142" i="14"/>
  <c r="Q141" i="14"/>
  <c r="Q140" i="14"/>
  <c r="Q139" i="14"/>
  <c r="Q138" i="14"/>
  <c r="Q137" i="14"/>
  <c r="Q136" i="14"/>
  <c r="Q135" i="14"/>
  <c r="Q134" i="14"/>
  <c r="Q133" i="14"/>
  <c r="Q132" i="14"/>
  <c r="Q131" i="14"/>
  <c r="Q130" i="14"/>
  <c r="Q129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1" i="14"/>
  <c r="Q110" i="14"/>
  <c r="Q109" i="14"/>
  <c r="Q108" i="14"/>
  <c r="Q107" i="14"/>
  <c r="Q106" i="14"/>
  <c r="Q105" i="14"/>
  <c r="Q104" i="14"/>
  <c r="Q103" i="14"/>
  <c r="Q102" i="14"/>
  <c r="Q101" i="14"/>
  <c r="Q100" i="14"/>
  <c r="Q99" i="14"/>
  <c r="Q98" i="14"/>
  <c r="Q97" i="14"/>
  <c r="Q95" i="14"/>
  <c r="Q96" i="14"/>
  <c r="Q94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8" i="14"/>
  <c r="Q77" i="14"/>
  <c r="Q76" i="14"/>
  <c r="Q75" i="14"/>
  <c r="Q74" i="14"/>
  <c r="Q73" i="14"/>
  <c r="Q72" i="14"/>
  <c r="Q71" i="14"/>
  <c r="Q70" i="14"/>
  <c r="Q69" i="14"/>
  <c r="Q68" i="14"/>
  <c r="Q66" i="14"/>
  <c r="Q65" i="14"/>
  <c r="Q64" i="14"/>
  <c r="Q63" i="14"/>
  <c r="Q62" i="14"/>
  <c r="Q61" i="14"/>
  <c r="Q60" i="14"/>
  <c r="Q59" i="14"/>
  <c r="Q57" i="14"/>
  <c r="Q56" i="14"/>
  <c r="Q55" i="14"/>
  <c r="Q54" i="14"/>
  <c r="Q53" i="14"/>
  <c r="Q51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4" i="14"/>
  <c r="Q23" i="14"/>
  <c r="Q22" i="14"/>
  <c r="Q21" i="14"/>
  <c r="Q20" i="14"/>
  <c r="Q19" i="14"/>
  <c r="Q17" i="14"/>
  <c r="Q16" i="14"/>
  <c r="Q15" i="14"/>
  <c r="AG389" i="15"/>
  <c r="M389" i="15"/>
  <c r="AI389" i="15" l="1"/>
  <c r="BX180" i="2"/>
  <c r="AM67" i="1"/>
  <c r="BN67" i="2" s="1"/>
  <c r="AA16" i="16"/>
  <c r="AH16" i="16" s="1"/>
  <c r="S14" i="10"/>
  <c r="W14" i="10"/>
  <c r="S15" i="10"/>
  <c r="W15" i="10"/>
  <c r="S16" i="10"/>
  <c r="W16" i="10"/>
  <c r="S17" i="10"/>
  <c r="W17" i="10"/>
  <c r="S19" i="10"/>
  <c r="W19" i="10"/>
  <c r="S20" i="10"/>
  <c r="W20" i="10"/>
  <c r="S21" i="10"/>
  <c r="W21" i="10"/>
  <c r="S22" i="10"/>
  <c r="W22" i="10"/>
  <c r="S23" i="10"/>
  <c r="W23" i="10"/>
  <c r="S24" i="10"/>
  <c r="W24" i="10"/>
  <c r="S26" i="10"/>
  <c r="W26" i="10"/>
  <c r="S27" i="10"/>
  <c r="W27" i="10"/>
  <c r="S28" i="10"/>
  <c r="W28" i="10"/>
  <c r="S29" i="10"/>
  <c r="W29" i="10"/>
  <c r="S30" i="10"/>
  <c r="W30" i="10"/>
  <c r="S31" i="10"/>
  <c r="W31" i="10"/>
  <c r="S32" i="10"/>
  <c r="W32" i="10"/>
  <c r="S33" i="10"/>
  <c r="W33" i="10"/>
  <c r="S34" i="10"/>
  <c r="W34" i="10"/>
  <c r="S35" i="10"/>
  <c r="W35" i="10"/>
  <c r="S36" i="10"/>
  <c r="W36" i="10"/>
  <c r="S37" i="10"/>
  <c r="W37" i="10"/>
  <c r="S38" i="10"/>
  <c r="W38" i="10"/>
  <c r="S39" i="10"/>
  <c r="W39" i="10"/>
  <c r="S40" i="10"/>
  <c r="W40" i="10"/>
  <c r="S41" i="10"/>
  <c r="W41" i="10"/>
  <c r="S42" i="10"/>
  <c r="W42" i="10"/>
  <c r="S43" i="10"/>
  <c r="W43" i="10"/>
  <c r="S44" i="10"/>
  <c r="W44" i="10"/>
  <c r="S45" i="10"/>
  <c r="W45" i="10"/>
  <c r="S46" i="10"/>
  <c r="W46" i="10"/>
  <c r="S47" i="10"/>
  <c r="W47" i="10"/>
  <c r="S50" i="10"/>
  <c r="W50" i="10"/>
  <c r="S51" i="10"/>
  <c r="W51" i="10"/>
  <c r="S53" i="10"/>
  <c r="W53" i="10"/>
  <c r="S54" i="10"/>
  <c r="W54" i="10"/>
  <c r="S55" i="10"/>
  <c r="W55" i="10"/>
  <c r="S56" i="10"/>
  <c r="W56" i="10"/>
  <c r="S57" i="10"/>
  <c r="W57" i="10"/>
  <c r="S58" i="10"/>
  <c r="W58" i="10"/>
  <c r="S59" i="10"/>
  <c r="W59" i="10"/>
  <c r="S60" i="10"/>
  <c r="W60" i="10"/>
  <c r="S61" i="10"/>
  <c r="W61" i="10"/>
  <c r="S62" i="10"/>
  <c r="W62" i="10"/>
  <c r="S63" i="10"/>
  <c r="W63" i="10"/>
  <c r="S64" i="10"/>
  <c r="W64" i="10"/>
  <c r="S65" i="10"/>
  <c r="W65" i="10"/>
  <c r="S66" i="10"/>
  <c r="W66" i="10"/>
  <c r="S67" i="10"/>
  <c r="W67" i="10"/>
  <c r="S68" i="10"/>
  <c r="W68" i="10"/>
  <c r="S69" i="10"/>
  <c r="W69" i="10"/>
  <c r="S70" i="10"/>
  <c r="W70" i="10"/>
  <c r="S71" i="10"/>
  <c r="W71" i="10"/>
  <c r="S72" i="10"/>
  <c r="W72" i="10"/>
  <c r="S73" i="10"/>
  <c r="W73" i="10"/>
  <c r="S74" i="10"/>
  <c r="W74" i="10"/>
  <c r="S75" i="10"/>
  <c r="W75" i="10"/>
  <c r="S76" i="10"/>
  <c r="W76" i="10"/>
  <c r="S77" i="10"/>
  <c r="W77" i="10"/>
  <c r="S78" i="10"/>
  <c r="W78" i="10"/>
  <c r="S79" i="10"/>
  <c r="W79" i="10"/>
  <c r="S80" i="10"/>
  <c r="W80" i="10"/>
  <c r="S81" i="10"/>
  <c r="W81" i="10"/>
  <c r="S82" i="10"/>
  <c r="W82" i="10"/>
  <c r="S83" i="10"/>
  <c r="W83" i="10"/>
  <c r="S84" i="10"/>
  <c r="W84" i="10"/>
  <c r="BB15" i="25"/>
  <c r="BL15" i="25" s="1"/>
  <c r="BB16" i="25"/>
  <c r="BL16" i="25" s="1"/>
  <c r="BB17" i="25"/>
  <c r="BL17" i="25" s="1"/>
  <c r="BB19" i="25"/>
  <c r="BL19" i="25" s="1"/>
  <c r="BB20" i="25"/>
  <c r="BL20" i="25" s="1"/>
  <c r="BB21" i="25"/>
  <c r="BL21" i="25" s="1"/>
  <c r="BB22" i="25"/>
  <c r="BL22" i="25" s="1"/>
  <c r="BB23" i="25"/>
  <c r="BL23" i="25" s="1"/>
  <c r="BB24" i="25"/>
  <c r="BL24" i="25" s="1"/>
  <c r="BB26" i="25"/>
  <c r="BL26" i="25" s="1"/>
  <c r="BB27" i="25"/>
  <c r="BL27" i="25" s="1"/>
  <c r="BB28" i="25"/>
  <c r="BL28" i="25" s="1"/>
  <c r="BB29" i="25"/>
  <c r="BL29" i="25" s="1"/>
  <c r="BB30" i="25"/>
  <c r="BL30" i="25" s="1"/>
  <c r="BB31" i="25"/>
  <c r="BL31" i="25" s="1"/>
  <c r="BB32" i="25"/>
  <c r="BL32" i="25" s="1"/>
  <c r="BB33" i="25"/>
  <c r="BL33" i="25" s="1"/>
  <c r="BB34" i="25"/>
  <c r="BL34" i="25" s="1"/>
  <c r="BB35" i="25"/>
  <c r="BL35" i="25" s="1"/>
  <c r="BB36" i="25"/>
  <c r="BL36" i="25" s="1"/>
  <c r="BB37" i="25"/>
  <c r="BL37" i="25" s="1"/>
  <c r="BB38" i="25"/>
  <c r="BL38" i="25" s="1"/>
  <c r="BB39" i="25"/>
  <c r="BL39" i="25" s="1"/>
  <c r="BB40" i="25"/>
  <c r="BL40" i="25" s="1"/>
  <c r="BB41" i="25"/>
  <c r="BL41" i="25" s="1"/>
  <c r="BB42" i="25"/>
  <c r="BL42" i="25" s="1"/>
  <c r="BB43" i="25"/>
  <c r="BL43" i="25" s="1"/>
  <c r="BB44" i="25"/>
  <c r="BL44" i="25" s="1"/>
  <c r="BB45" i="25"/>
  <c r="BL45" i="25" s="1"/>
  <c r="BB46" i="25"/>
  <c r="BL46" i="25" s="1"/>
  <c r="BB47" i="25"/>
  <c r="BL47" i="25" s="1"/>
  <c r="BB50" i="25"/>
  <c r="BL50" i="25" s="1"/>
  <c r="BB51" i="25"/>
  <c r="BL51" i="25" s="1"/>
  <c r="BB53" i="25"/>
  <c r="BL53" i="25" s="1"/>
  <c r="BB54" i="25"/>
  <c r="BL54" i="25" s="1"/>
  <c r="BB55" i="25"/>
  <c r="BL55" i="25" s="1"/>
  <c r="BB56" i="25"/>
  <c r="BL56" i="25" s="1"/>
  <c r="BB57" i="25"/>
  <c r="BL57" i="25" s="1"/>
  <c r="BB59" i="25"/>
  <c r="BL59" i="25" s="1"/>
  <c r="BB60" i="25"/>
  <c r="BL60" i="25" s="1"/>
  <c r="BB61" i="25"/>
  <c r="BL61" i="25" s="1"/>
  <c r="BB62" i="25"/>
  <c r="BL62" i="25" s="1"/>
  <c r="BB63" i="25"/>
  <c r="BL63" i="25" s="1"/>
  <c r="BB64" i="25"/>
  <c r="BL64" i="25" s="1"/>
  <c r="BB65" i="25"/>
  <c r="BL65" i="25" s="1"/>
  <c r="BB66" i="25"/>
  <c r="BL66" i="25" s="1"/>
  <c r="BB67" i="25"/>
  <c r="BL67" i="25" s="1"/>
  <c r="BB68" i="25"/>
  <c r="BL68" i="25" s="1"/>
  <c r="BB69" i="25"/>
  <c r="BL69" i="25" s="1"/>
  <c r="BB70" i="25"/>
  <c r="BL70" i="25" s="1"/>
  <c r="BB71" i="25"/>
  <c r="BL71" i="25" s="1"/>
  <c r="BB72" i="25"/>
  <c r="BL72" i="25" s="1"/>
  <c r="BB73" i="25"/>
  <c r="BL73" i="25" s="1"/>
  <c r="BB74" i="25"/>
  <c r="BL74" i="25" s="1"/>
  <c r="BB75" i="25"/>
  <c r="BL75" i="25" s="1"/>
  <c r="BB76" i="25"/>
  <c r="BL76" i="25" s="1"/>
  <c r="BB77" i="25"/>
  <c r="BL77" i="25" s="1"/>
  <c r="BB78" i="25"/>
  <c r="BL78" i="25" s="1"/>
  <c r="BB79" i="25"/>
  <c r="BL79" i="25" s="1"/>
  <c r="BB80" i="25"/>
  <c r="BL80" i="25" s="1"/>
  <c r="BB81" i="25"/>
  <c r="BL81" i="25" s="1"/>
  <c r="BB82" i="25"/>
  <c r="BL82" i="25" s="1"/>
  <c r="BB83" i="25"/>
  <c r="BL83" i="25" s="1"/>
  <c r="BB84" i="25"/>
  <c r="BL84" i="25" s="1"/>
  <c r="BB85" i="25"/>
  <c r="BL85" i="25" s="1"/>
  <c r="BB86" i="25"/>
  <c r="BL86" i="25" s="1"/>
  <c r="BB87" i="25"/>
  <c r="BL87" i="25" s="1"/>
  <c r="BB88" i="25"/>
  <c r="BL88" i="25" s="1"/>
  <c r="BB89" i="25"/>
  <c r="BL89" i="25" s="1"/>
  <c r="BB90" i="25"/>
  <c r="BL90" i="25" s="1"/>
  <c r="BB91" i="25"/>
  <c r="BL91" i="25" s="1"/>
  <c r="BB92" i="25"/>
  <c r="BL92" i="25" s="1"/>
  <c r="BB93" i="25"/>
  <c r="BL93" i="25" s="1"/>
  <c r="BB94" i="25"/>
  <c r="BL94" i="25" s="1"/>
  <c r="BB95" i="25"/>
  <c r="BL95" i="25" s="1"/>
  <c r="BB97" i="25"/>
  <c r="BL97" i="25" s="1"/>
  <c r="BB98" i="25"/>
  <c r="BL98" i="25" s="1"/>
  <c r="BB99" i="25"/>
  <c r="BL99" i="25" s="1"/>
  <c r="Y14" i="22"/>
  <c r="AQ14" i="22" s="1"/>
  <c r="Y15" i="22"/>
  <c r="AQ15" i="22" s="1"/>
  <c r="Y16" i="22"/>
  <c r="AQ16" i="22" s="1"/>
  <c r="Y17" i="22"/>
  <c r="AQ17" i="22" s="1"/>
  <c r="Y19" i="22"/>
  <c r="AQ19" i="22" s="1"/>
  <c r="Y20" i="22"/>
  <c r="AQ20" i="22" s="1"/>
  <c r="Y21" i="22"/>
  <c r="AQ21" i="22" s="1"/>
  <c r="Y22" i="22"/>
  <c r="AQ22" i="22" s="1"/>
  <c r="Y23" i="22"/>
  <c r="AQ23" i="22" s="1"/>
  <c r="Y24" i="22"/>
  <c r="AQ24" i="22" s="1"/>
  <c r="Y26" i="22"/>
  <c r="AQ26" i="22" s="1"/>
  <c r="Y27" i="22"/>
  <c r="AQ27" i="22" s="1"/>
  <c r="Y28" i="22"/>
  <c r="AQ28" i="22" s="1"/>
  <c r="Y29" i="22"/>
  <c r="AQ29" i="22" s="1"/>
  <c r="Y30" i="22"/>
  <c r="AQ30" i="22" s="1"/>
  <c r="Y31" i="22"/>
  <c r="AQ31" i="22" s="1"/>
  <c r="Y32" i="22"/>
  <c r="AQ32" i="22" s="1"/>
  <c r="Y33" i="22"/>
  <c r="AQ33" i="22" s="1"/>
  <c r="Y34" i="22"/>
  <c r="AQ34" i="22" s="1"/>
  <c r="Y35" i="22"/>
  <c r="AQ35" i="22" s="1"/>
  <c r="Y36" i="22"/>
  <c r="AQ36" i="22" s="1"/>
  <c r="Y37" i="22"/>
  <c r="AQ37" i="22" s="1"/>
  <c r="Y38" i="22"/>
  <c r="AQ38" i="22" s="1"/>
  <c r="Y39" i="22"/>
  <c r="AQ39" i="22" s="1"/>
  <c r="Y40" i="22"/>
  <c r="AQ40" i="22" s="1"/>
  <c r="Y41" i="22"/>
  <c r="AQ41" i="22" s="1"/>
  <c r="Y42" i="22"/>
  <c r="AQ42" i="22" s="1"/>
  <c r="Y43" i="22"/>
  <c r="AQ43" i="22" s="1"/>
  <c r="Y44" i="22"/>
  <c r="AQ44" i="22" s="1"/>
  <c r="Y45" i="22"/>
  <c r="AQ45" i="22" s="1"/>
  <c r="Y46" i="22"/>
  <c r="AQ46" i="22" s="1"/>
  <c r="Y47" i="22"/>
  <c r="AQ47" i="22" s="1"/>
  <c r="Y50" i="22"/>
  <c r="AQ50" i="22" s="1"/>
  <c r="AQ51" i="22"/>
  <c r="Y53" i="22"/>
  <c r="AQ53" i="22" s="1"/>
  <c r="Y54" i="22"/>
  <c r="AQ54" i="22" s="1"/>
  <c r="Y55" i="22"/>
  <c r="AQ55" i="22" s="1"/>
  <c r="Y56" i="22"/>
  <c r="AQ56" i="22" s="1"/>
  <c r="Y57" i="22"/>
  <c r="AQ57" i="22" s="1"/>
  <c r="Y59" i="22"/>
  <c r="AQ59" i="22" s="1"/>
  <c r="Y60" i="22"/>
  <c r="AQ60" i="22" s="1"/>
  <c r="Y61" i="22"/>
  <c r="AQ61" i="22" s="1"/>
  <c r="Y62" i="22"/>
  <c r="AQ62" i="22" s="1"/>
  <c r="Y63" i="22"/>
  <c r="AQ63" i="22" s="1"/>
  <c r="Y64" i="22"/>
  <c r="AQ64" i="22" s="1"/>
  <c r="Y65" i="22"/>
  <c r="AQ65" i="22" s="1"/>
  <c r="Y66" i="22"/>
  <c r="AQ66" i="22" s="1"/>
  <c r="Y67" i="22"/>
  <c r="AQ67" i="22" s="1"/>
  <c r="Y68" i="22"/>
  <c r="AQ68" i="22" s="1"/>
  <c r="Y69" i="22"/>
  <c r="AQ69" i="22" s="1"/>
  <c r="Y70" i="22"/>
  <c r="AQ70" i="22" s="1"/>
  <c r="Y71" i="22"/>
  <c r="AQ71" i="22" s="1"/>
  <c r="Y72" i="22"/>
  <c r="AQ72" i="22" s="1"/>
  <c r="Y73" i="22"/>
  <c r="AQ73" i="22" s="1"/>
  <c r="Y74" i="22"/>
  <c r="AQ74" i="22" s="1"/>
  <c r="Y75" i="22"/>
  <c r="AQ75" i="22" s="1"/>
  <c r="Y76" i="22"/>
  <c r="AQ76" i="22" s="1"/>
  <c r="Y77" i="22"/>
  <c r="AQ77" i="22" s="1"/>
  <c r="Y78" i="22"/>
  <c r="AQ78" i="22" s="1"/>
  <c r="Y79" i="22"/>
  <c r="AQ79" i="22" s="1"/>
  <c r="Y80" i="22"/>
  <c r="AQ80" i="22" s="1"/>
  <c r="Y81" i="22"/>
  <c r="AQ81" i="22" s="1"/>
  <c r="Y82" i="22"/>
  <c r="AQ82" i="22" s="1"/>
  <c r="Y83" i="22"/>
  <c r="AQ83" i="22" s="1"/>
  <c r="Y84" i="22"/>
  <c r="AQ84" i="22" s="1"/>
  <c r="Y85" i="22"/>
  <c r="AQ85" i="22" s="1"/>
  <c r="Y86" i="22"/>
  <c r="AQ86" i="22" s="1"/>
  <c r="Y87" i="22"/>
  <c r="AQ87" i="22" s="1"/>
  <c r="Y88" i="22"/>
  <c r="AQ88" i="22" s="1"/>
  <c r="Y89" i="22"/>
  <c r="AQ89" i="22" s="1"/>
  <c r="Y90" i="22"/>
  <c r="AQ90" i="22" s="1"/>
  <c r="Y91" i="22"/>
  <c r="AQ91" i="22" s="1"/>
  <c r="Y92" i="22"/>
  <c r="AQ92" i="22" s="1"/>
  <c r="Y93" i="22"/>
  <c r="AQ93" i="22" s="1"/>
  <c r="Y94" i="22"/>
  <c r="AQ94" i="22" s="1"/>
  <c r="Y96" i="22"/>
  <c r="AQ96" i="22" s="1"/>
  <c r="BN96" i="25" s="1"/>
  <c r="Y95" i="22"/>
  <c r="AQ95" i="22" s="1"/>
  <c r="Y97" i="22"/>
  <c r="AQ97" i="22" s="1"/>
  <c r="Y98" i="22"/>
  <c r="AQ98" i="22" s="1"/>
  <c r="Y99" i="22"/>
  <c r="AQ99" i="22" s="1"/>
  <c r="BN95" i="25" l="1"/>
  <c r="BV95" i="25" s="1"/>
  <c r="BX95" i="25" s="1"/>
  <c r="BN33" i="25"/>
  <c r="BV33" i="25" s="1"/>
  <c r="BX33" i="25" s="1"/>
  <c r="BV96" i="25"/>
  <c r="BX96" i="25" s="1"/>
  <c r="BN90" i="25"/>
  <c r="BV90" i="25" s="1"/>
  <c r="BN82" i="25"/>
  <c r="BV82" i="25" s="1"/>
  <c r="BN78" i="25"/>
  <c r="BV78" i="25" s="1"/>
  <c r="BN74" i="25"/>
  <c r="BV74" i="25" s="1"/>
  <c r="BN72" i="25"/>
  <c r="BV72" i="25" s="1"/>
  <c r="BN66" i="25"/>
  <c r="BV66" i="25" s="1"/>
  <c r="BN60" i="25"/>
  <c r="BV60" i="25" s="1"/>
  <c r="BN56" i="25"/>
  <c r="BV56" i="25" s="1"/>
  <c r="BN54" i="25"/>
  <c r="BV54" i="25" s="1"/>
  <c r="BN50" i="25"/>
  <c r="BV50" i="25" s="1"/>
  <c r="BN42" i="25"/>
  <c r="BV42" i="25" s="1"/>
  <c r="BX42" i="25" s="1"/>
  <c r="BN40" i="25"/>
  <c r="BV40" i="25" s="1"/>
  <c r="BX40" i="25" s="1"/>
  <c r="BN38" i="25"/>
  <c r="BV38" i="25" s="1"/>
  <c r="BX38" i="25" s="1"/>
  <c r="BN36" i="25"/>
  <c r="BV36" i="25" s="1"/>
  <c r="BX36" i="25" s="1"/>
  <c r="BN34" i="25"/>
  <c r="BV34" i="25" s="1"/>
  <c r="BX34" i="25" s="1"/>
  <c r="BN32" i="25"/>
  <c r="BV32" i="25" s="1"/>
  <c r="BX32" i="25" s="1"/>
  <c r="BN30" i="25"/>
  <c r="BV30" i="25" s="1"/>
  <c r="BX30" i="25" s="1"/>
  <c r="BN28" i="25"/>
  <c r="BN26" i="25"/>
  <c r="BV26" i="25" s="1"/>
  <c r="BX26" i="25" s="1"/>
  <c r="BN20" i="25"/>
  <c r="BV20" i="25" s="1"/>
  <c r="BX20" i="25" s="1"/>
  <c r="BN19" i="25"/>
  <c r="BV19" i="25" s="1"/>
  <c r="BX19" i="25" s="1"/>
  <c r="BN17" i="25"/>
  <c r="BV17" i="25" s="1"/>
  <c r="BX17" i="25" s="1"/>
  <c r="BN16" i="25"/>
  <c r="BV16" i="25" s="1"/>
  <c r="BX16" i="25" s="1"/>
  <c r="BN15" i="25"/>
  <c r="BV15" i="25" s="1"/>
  <c r="BX15" i="25" s="1"/>
  <c r="BN14" i="25"/>
  <c r="BV14" i="25" s="1"/>
  <c r="BX14" i="25" s="1"/>
  <c r="BN51" i="25"/>
  <c r="BV51" i="25" s="1"/>
  <c r="BN64" i="25"/>
  <c r="BV64" i="25" s="1"/>
  <c r="BN39" i="25"/>
  <c r="BV39" i="25" s="1"/>
  <c r="BX39" i="25" s="1"/>
  <c r="BN97" i="25"/>
  <c r="BV97" i="25" s="1"/>
  <c r="BN81" i="25"/>
  <c r="BV81" i="25" s="1"/>
  <c r="BN79" i="25"/>
  <c r="BV79" i="25" s="1"/>
  <c r="BN77" i="25"/>
  <c r="BV77" i="25" s="1"/>
  <c r="BN47" i="25"/>
  <c r="BV47" i="25" s="1"/>
  <c r="BN88" i="25"/>
  <c r="BV88" i="25" s="1"/>
  <c r="BN99" i="25"/>
  <c r="BV99" i="25" s="1"/>
  <c r="BN85" i="25"/>
  <c r="BV85" i="25" s="1"/>
  <c r="BN84" i="25"/>
  <c r="BV84" i="25" s="1"/>
  <c r="BN69" i="25"/>
  <c r="BV69" i="25" s="1"/>
  <c r="BN68" i="25"/>
  <c r="BV68" i="25" s="1"/>
  <c r="BN55" i="25"/>
  <c r="BV55" i="25" s="1"/>
  <c r="BN71" i="25"/>
  <c r="BV71" i="25" s="1"/>
  <c r="BN93" i="25"/>
  <c r="BV93" i="25" s="1"/>
  <c r="BN76" i="25"/>
  <c r="BV76" i="25" s="1"/>
  <c r="BN75" i="25"/>
  <c r="BV75" i="25" s="1"/>
  <c r="BN70" i="25"/>
  <c r="BV70" i="25" s="1"/>
  <c r="BN65" i="25"/>
  <c r="BV65" i="25" s="1"/>
  <c r="BN59" i="25"/>
  <c r="BV59" i="25" s="1"/>
  <c r="BN24" i="25"/>
  <c r="BV24" i="25" s="1"/>
  <c r="BX24" i="25" s="1"/>
  <c r="BN23" i="25"/>
  <c r="BV23" i="25" s="1"/>
  <c r="BX23" i="25" s="1"/>
  <c r="BN98" i="25"/>
  <c r="BV98" i="25" s="1"/>
  <c r="BN92" i="25"/>
  <c r="BV92" i="25" s="1"/>
  <c r="BN91" i="25"/>
  <c r="BV91" i="25" s="1"/>
  <c r="BN89" i="25"/>
  <c r="BV89" i="25" s="1"/>
  <c r="BN87" i="25"/>
  <c r="BV87" i="25" s="1"/>
  <c r="BN86" i="25"/>
  <c r="BV86" i="25" s="1"/>
  <c r="BN83" i="25"/>
  <c r="BV83" i="25" s="1"/>
  <c r="BN80" i="25"/>
  <c r="BV80" i="25" s="1"/>
  <c r="BN73" i="25"/>
  <c r="BV73" i="25" s="1"/>
  <c r="BN67" i="25"/>
  <c r="BV67" i="25" s="1"/>
  <c r="BN63" i="25"/>
  <c r="BV63" i="25" s="1"/>
  <c r="BN61" i="25"/>
  <c r="BV61" i="25" s="1"/>
  <c r="BN57" i="25"/>
  <c r="BV57" i="25" s="1"/>
  <c r="BN53" i="25"/>
  <c r="BV53" i="25" s="1"/>
  <c r="BN46" i="25"/>
  <c r="BV46" i="25" s="1"/>
  <c r="BN45" i="25"/>
  <c r="BV45" i="25" s="1"/>
  <c r="BN44" i="25"/>
  <c r="BV44" i="25" s="1"/>
  <c r="BN43" i="25"/>
  <c r="BV43" i="25" s="1"/>
  <c r="BX43" i="25" s="1"/>
  <c r="BN41" i="25"/>
  <c r="BV41" i="25" s="1"/>
  <c r="BX41" i="25" s="1"/>
  <c r="BN37" i="25"/>
  <c r="BV37" i="25" s="1"/>
  <c r="BX37" i="25" s="1"/>
  <c r="BN35" i="25"/>
  <c r="BV35" i="25" s="1"/>
  <c r="BX35" i="25" s="1"/>
  <c r="BN31" i="25"/>
  <c r="BV31" i="25" s="1"/>
  <c r="BX31" i="25" s="1"/>
  <c r="BN29" i="25"/>
  <c r="BV29" i="25" s="1"/>
  <c r="BX29" i="25" s="1"/>
  <c r="BN22" i="25"/>
  <c r="BV22" i="25" s="1"/>
  <c r="BX22" i="25" s="1"/>
  <c r="BN21" i="25"/>
  <c r="BV21" i="25" s="1"/>
  <c r="BX21" i="25" s="1"/>
  <c r="BN62" i="25"/>
  <c r="BV62" i="25" s="1"/>
  <c r="BV28" i="25" l="1"/>
  <c r="BX28" i="25" s="1"/>
  <c r="BN94" i="25"/>
  <c r="BV94" i="25" s="1"/>
  <c r="BN27" i="25"/>
  <c r="BV27" i="25" s="1"/>
  <c r="BX27" i="25" s="1"/>
  <c r="K14" i="26"/>
  <c r="AK14" i="26" s="1"/>
  <c r="K15" i="26"/>
  <c r="AK15" i="26" s="1"/>
  <c r="Q15" i="26"/>
  <c r="K16" i="26"/>
  <c r="AK16" i="26" s="1"/>
  <c r="Q16" i="26"/>
  <c r="K17" i="26"/>
  <c r="AK17" i="26" s="1"/>
  <c r="Q17" i="26"/>
  <c r="K19" i="26"/>
  <c r="AK19" i="26" s="1"/>
  <c r="Q19" i="26"/>
  <c r="K20" i="26"/>
  <c r="AK20" i="26" s="1"/>
  <c r="Q20" i="26"/>
  <c r="K21" i="26"/>
  <c r="AK21" i="26" s="1"/>
  <c r="Q21" i="26"/>
  <c r="K22" i="26"/>
  <c r="AK22" i="26" s="1"/>
  <c r="Q22" i="26"/>
  <c r="K23" i="26"/>
  <c r="AK23" i="26" s="1"/>
  <c r="K24" i="26"/>
  <c r="AK24" i="26" s="1"/>
  <c r="Q24" i="26"/>
  <c r="K26" i="26"/>
  <c r="AK26" i="26" s="1"/>
  <c r="Q26" i="26"/>
  <c r="K27" i="26"/>
  <c r="AK27" i="26" s="1"/>
  <c r="Q27" i="26"/>
  <c r="K28" i="26"/>
  <c r="AK28" i="26" s="1"/>
  <c r="Q28" i="26"/>
  <c r="K29" i="26"/>
  <c r="AK29" i="26" s="1"/>
  <c r="Q29" i="26"/>
  <c r="K30" i="26"/>
  <c r="AK30" i="26" s="1"/>
  <c r="Q30" i="26"/>
  <c r="K31" i="26"/>
  <c r="AK31" i="26" s="1"/>
  <c r="Q31" i="26"/>
  <c r="K32" i="26"/>
  <c r="AK32" i="26" s="1"/>
  <c r="Q32" i="26"/>
  <c r="K33" i="26"/>
  <c r="AK33" i="26" s="1"/>
  <c r="Q33" i="26"/>
  <c r="K34" i="26"/>
  <c r="AK34" i="26" s="1"/>
  <c r="Q34" i="26"/>
  <c r="K35" i="26"/>
  <c r="AK35" i="26" s="1"/>
  <c r="Q35" i="26"/>
  <c r="K36" i="26"/>
  <c r="AK36" i="26" s="1"/>
  <c r="Q36" i="26"/>
  <c r="K37" i="26"/>
  <c r="AK37" i="26" s="1"/>
  <c r="Q37" i="26"/>
  <c r="K38" i="26"/>
  <c r="AK38" i="26" s="1"/>
  <c r="Q38" i="26"/>
  <c r="K39" i="26"/>
  <c r="AK39" i="26" s="1"/>
  <c r="Q39" i="26"/>
  <c r="K40" i="26"/>
  <c r="AK40" i="26" s="1"/>
  <c r="Q40" i="26"/>
  <c r="K41" i="26"/>
  <c r="AK41" i="26" s="1"/>
  <c r="Q41" i="26"/>
  <c r="K42" i="26"/>
  <c r="AK42" i="26" s="1"/>
  <c r="Q42" i="26"/>
  <c r="K43" i="26"/>
  <c r="AK43" i="26" s="1"/>
  <c r="Q43" i="26"/>
  <c r="K44" i="26"/>
  <c r="AK44" i="26" s="1"/>
  <c r="Q44" i="26"/>
  <c r="BX44" i="25"/>
  <c r="K45" i="26"/>
  <c r="AK45" i="26" s="1"/>
  <c r="Q45" i="26"/>
  <c r="BX45" i="25"/>
  <c r="K46" i="26"/>
  <c r="AK46" i="26" s="1"/>
  <c r="Q46" i="26"/>
  <c r="BX46" i="25"/>
  <c r="K47" i="26"/>
  <c r="AK47" i="26" s="1"/>
  <c r="Q47" i="26"/>
  <c r="BX47" i="25"/>
  <c r="K50" i="26"/>
  <c r="AK50" i="26" s="1"/>
  <c r="Q50" i="26"/>
  <c r="BX50" i="25"/>
  <c r="K51" i="26"/>
  <c r="AK51" i="26" s="1"/>
  <c r="Q51" i="26"/>
  <c r="BX51" i="25"/>
  <c r="K53" i="26"/>
  <c r="AK53" i="26" s="1"/>
  <c r="Q53" i="26"/>
  <c r="BX53" i="25"/>
  <c r="K54" i="26"/>
  <c r="AK54" i="26" s="1"/>
  <c r="Q54" i="26"/>
  <c r="BX54" i="25"/>
  <c r="K55" i="26"/>
  <c r="AK55" i="26" s="1"/>
  <c r="Q55" i="26"/>
  <c r="BX55" i="25"/>
  <c r="AK56" i="26"/>
  <c r="Q56" i="26"/>
  <c r="BX56" i="25"/>
  <c r="K57" i="26"/>
  <c r="AK57" i="26" s="1"/>
  <c r="Q57" i="26"/>
  <c r="BX57" i="25"/>
  <c r="BX58" i="25"/>
  <c r="K59" i="26"/>
  <c r="AK59" i="26" s="1"/>
  <c r="Q59" i="26"/>
  <c r="BX59" i="25"/>
  <c r="K60" i="26"/>
  <c r="AK60" i="26" s="1"/>
  <c r="Q60" i="26"/>
  <c r="BX60" i="25"/>
  <c r="K61" i="26"/>
  <c r="AK61" i="26" s="1"/>
  <c r="Q61" i="26"/>
  <c r="BX61" i="25"/>
  <c r="K62" i="26"/>
  <c r="AK62" i="26" s="1"/>
  <c r="Q62" i="26"/>
  <c r="BX62" i="25"/>
  <c r="K63" i="26"/>
  <c r="AK63" i="26" s="1"/>
  <c r="Q63" i="26"/>
  <c r="BX63" i="25"/>
  <c r="K64" i="26"/>
  <c r="AK64" i="26" s="1"/>
  <c r="Q64" i="26"/>
  <c r="BX64" i="25"/>
  <c r="K65" i="26"/>
  <c r="AK65" i="26" s="1"/>
  <c r="Q65" i="26"/>
  <c r="BX65" i="25"/>
  <c r="K66" i="26"/>
  <c r="AK66" i="26" s="1"/>
  <c r="Q66" i="26"/>
  <c r="BX66" i="25"/>
  <c r="K67" i="26"/>
  <c r="AK67" i="26" s="1"/>
  <c r="Q67" i="26"/>
  <c r="BX67" i="25"/>
  <c r="K68" i="26"/>
  <c r="AK68" i="26" s="1"/>
  <c r="Q68" i="26"/>
  <c r="BX68" i="25"/>
  <c r="K69" i="26"/>
  <c r="AK69" i="26" s="1"/>
  <c r="Q69" i="26"/>
  <c r="BX69" i="25"/>
  <c r="K70" i="26"/>
  <c r="AK70" i="26" s="1"/>
  <c r="Q70" i="26"/>
  <c r="BX70" i="25"/>
  <c r="K71" i="26"/>
  <c r="AK71" i="26" s="1"/>
  <c r="Q71" i="26"/>
  <c r="BX71" i="25"/>
  <c r="K72" i="26"/>
  <c r="AK72" i="26" s="1"/>
  <c r="Q72" i="26"/>
  <c r="BX72" i="25"/>
  <c r="K73" i="26"/>
  <c r="AK73" i="26" s="1"/>
  <c r="Q73" i="26"/>
  <c r="BX73" i="25"/>
  <c r="K74" i="26"/>
  <c r="AK74" i="26" s="1"/>
  <c r="Q74" i="26"/>
  <c r="BX74" i="25"/>
  <c r="K75" i="26"/>
  <c r="AK75" i="26" s="1"/>
  <c r="Q75" i="26"/>
  <c r="BX75" i="25"/>
  <c r="K76" i="26"/>
  <c r="AK76" i="26" s="1"/>
  <c r="Q76" i="26"/>
  <c r="BX76" i="25"/>
  <c r="K77" i="26"/>
  <c r="AK77" i="26" s="1"/>
  <c r="Q77" i="26"/>
  <c r="BX77" i="25"/>
  <c r="K78" i="26"/>
  <c r="AK78" i="26" s="1"/>
  <c r="Q78" i="26"/>
  <c r="BX78" i="25"/>
  <c r="K79" i="26"/>
  <c r="AK79" i="26" s="1"/>
  <c r="Q79" i="26"/>
  <c r="BX79" i="25"/>
  <c r="K80" i="26"/>
  <c r="AK80" i="26" s="1"/>
  <c r="Q80" i="26"/>
  <c r="BX80" i="25"/>
  <c r="K81" i="26"/>
  <c r="AK81" i="26" s="1"/>
  <c r="Q81" i="26"/>
  <c r="BX81" i="25"/>
  <c r="K82" i="26"/>
  <c r="AK82" i="26" s="1"/>
  <c r="Q82" i="26"/>
  <c r="BX82" i="25"/>
  <c r="K83" i="26"/>
  <c r="AK83" i="26" s="1"/>
  <c r="Q83" i="26"/>
  <c r="BX83" i="25"/>
  <c r="K84" i="26"/>
  <c r="AK84" i="26" s="1"/>
  <c r="Q84" i="26"/>
  <c r="BX84" i="25"/>
  <c r="BB14" i="2"/>
  <c r="BL14" i="2" s="1"/>
  <c r="BB15" i="2"/>
  <c r="BL15" i="2" s="1"/>
  <c r="BB16" i="2"/>
  <c r="BL16" i="2" s="1"/>
  <c r="BB17" i="2"/>
  <c r="BL17" i="2" s="1"/>
  <c r="BB19" i="2"/>
  <c r="BL19" i="2" s="1"/>
  <c r="BB20" i="2"/>
  <c r="BL20" i="2" s="1"/>
  <c r="BB21" i="2"/>
  <c r="BL21" i="2" s="1"/>
  <c r="BB22" i="2"/>
  <c r="BL22" i="2" s="1"/>
  <c r="BB23" i="2"/>
  <c r="BL23" i="2" s="1"/>
  <c r="BB24" i="2"/>
  <c r="BL24" i="2" s="1"/>
  <c r="BB26" i="2"/>
  <c r="BL26" i="2" s="1"/>
  <c r="BB27" i="2"/>
  <c r="BL27" i="2" s="1"/>
  <c r="BB28" i="2"/>
  <c r="BL28" i="2" s="1"/>
  <c r="BB29" i="2"/>
  <c r="BL29" i="2" s="1"/>
  <c r="BB30" i="2"/>
  <c r="BL30" i="2" s="1"/>
  <c r="BB31" i="2"/>
  <c r="BL31" i="2" s="1"/>
  <c r="BB32" i="2"/>
  <c r="BL32" i="2" s="1"/>
  <c r="BB33" i="2"/>
  <c r="BL33" i="2" s="1"/>
  <c r="BB34" i="2"/>
  <c r="BL34" i="2" s="1"/>
  <c r="BB35" i="2"/>
  <c r="BL35" i="2" s="1"/>
  <c r="BB36" i="2"/>
  <c r="BL36" i="2" s="1"/>
  <c r="BB37" i="2"/>
  <c r="BL37" i="2" s="1"/>
  <c r="BB38" i="2"/>
  <c r="BL38" i="2" s="1"/>
  <c r="BB39" i="2"/>
  <c r="BL39" i="2" s="1"/>
  <c r="BB40" i="2"/>
  <c r="BL40" i="2" s="1"/>
  <c r="BB41" i="2"/>
  <c r="BL41" i="2" s="1"/>
  <c r="BB42" i="2"/>
  <c r="BL42" i="2" s="1"/>
  <c r="BB43" i="2"/>
  <c r="BL43" i="2" s="1"/>
  <c r="BB44" i="2"/>
  <c r="BL44" i="2" s="1"/>
  <c r="BB45" i="2"/>
  <c r="BL45" i="2" s="1"/>
  <c r="BB46" i="2"/>
  <c r="BL46" i="2" s="1"/>
  <c r="BB47" i="2"/>
  <c r="BL47" i="2" s="1"/>
  <c r="BB50" i="2"/>
  <c r="BL50" i="2" s="1"/>
  <c r="BB51" i="2"/>
  <c r="BL51" i="2" s="1"/>
  <c r="BB53" i="2"/>
  <c r="BL53" i="2" s="1"/>
  <c r="BB54" i="2"/>
  <c r="BL54" i="2" s="1"/>
  <c r="BB55" i="2"/>
  <c r="BL55" i="2" s="1"/>
  <c r="BB56" i="2"/>
  <c r="BL56" i="2" s="1"/>
  <c r="BB57" i="2"/>
  <c r="BL57" i="2" s="1"/>
  <c r="BB59" i="2"/>
  <c r="BL59" i="2" s="1"/>
  <c r="BB60" i="2"/>
  <c r="BL60" i="2" s="1"/>
  <c r="BB61" i="2"/>
  <c r="BL61" i="2" s="1"/>
  <c r="BB62" i="2"/>
  <c r="BB63" i="2"/>
  <c r="BB64" i="2"/>
  <c r="BL64" i="2" s="1"/>
  <c r="BB65" i="2"/>
  <c r="BL65" i="2" s="1"/>
  <c r="BB66" i="2"/>
  <c r="BL66" i="2" s="1"/>
  <c r="BB68" i="2"/>
  <c r="BL68" i="2" s="1"/>
  <c r="BB69" i="2"/>
  <c r="BL69" i="2" s="1"/>
  <c r="BB70" i="2"/>
  <c r="BL70" i="2" s="1"/>
  <c r="BB71" i="2"/>
  <c r="BL71" i="2" s="1"/>
  <c r="BB72" i="2"/>
  <c r="BL72" i="2" s="1"/>
  <c r="BB73" i="2"/>
  <c r="BL73" i="2" s="1"/>
  <c r="BB74" i="2"/>
  <c r="BL74" i="2" s="1"/>
  <c r="BB75" i="2"/>
  <c r="BL75" i="2" s="1"/>
  <c r="BB76" i="2"/>
  <c r="BL76" i="2" s="1"/>
  <c r="BB77" i="2"/>
  <c r="BL77" i="2" s="1"/>
  <c r="BB78" i="2"/>
  <c r="BL78" i="2" s="1"/>
  <c r="BB79" i="2"/>
  <c r="BL79" i="2" s="1"/>
  <c r="BB80" i="2"/>
  <c r="BL80" i="2" s="1"/>
  <c r="BB81" i="2"/>
  <c r="BL81" i="2" s="1"/>
  <c r="BB82" i="2"/>
  <c r="BL82" i="2" s="1"/>
  <c r="BB83" i="2"/>
  <c r="BL83" i="2" s="1"/>
  <c r="BB84" i="2"/>
  <c r="BL84" i="2" s="1"/>
  <c r="BB85" i="2"/>
  <c r="BL85" i="2" s="1"/>
  <c r="BB86" i="2"/>
  <c r="BL86" i="2" s="1"/>
  <c r="BB87" i="2"/>
  <c r="BL87" i="2" s="1"/>
  <c r="BB88" i="2"/>
  <c r="BL88" i="2" s="1"/>
  <c r="BB89" i="2"/>
  <c r="BL89" i="2" s="1"/>
  <c r="BB90" i="2"/>
  <c r="BL90" i="2" s="1"/>
  <c r="BB91" i="2"/>
  <c r="BL91" i="2" s="1"/>
  <c r="BB92" i="2"/>
  <c r="BL92" i="2" s="1"/>
  <c r="BB93" i="2"/>
  <c r="BL93" i="2" s="1"/>
  <c r="BB94" i="2"/>
  <c r="BL94" i="2" s="1"/>
  <c r="BB95" i="2"/>
  <c r="BL95" i="2" s="1"/>
  <c r="BB97" i="2"/>
  <c r="BL97" i="2" s="1"/>
  <c r="BB98" i="2"/>
  <c r="BL98" i="2" s="1"/>
  <c r="BB99" i="2"/>
  <c r="BL99" i="2" s="1"/>
  <c r="BB100" i="2"/>
  <c r="BL100" i="2" s="1"/>
  <c r="BB101" i="2"/>
  <c r="BL101" i="2" s="1"/>
  <c r="Y14" i="1"/>
  <c r="AK14" i="1"/>
  <c r="Y15" i="1"/>
  <c r="AK15" i="1"/>
  <c r="Y16" i="1"/>
  <c r="AK16" i="1"/>
  <c r="Y17" i="1"/>
  <c r="AK17" i="1"/>
  <c r="Y19" i="1"/>
  <c r="AK19" i="1"/>
  <c r="Y20" i="1"/>
  <c r="AK20" i="1"/>
  <c r="Y21" i="1"/>
  <c r="AK21" i="1"/>
  <c r="Y22" i="1"/>
  <c r="AK22" i="1"/>
  <c r="Y23" i="1"/>
  <c r="AM23" i="1" s="1"/>
  <c r="Y24" i="1"/>
  <c r="AK24" i="1"/>
  <c r="Y26" i="1"/>
  <c r="AK26" i="1"/>
  <c r="Y27" i="1"/>
  <c r="AK27" i="1"/>
  <c r="Y28" i="1"/>
  <c r="AK28" i="1"/>
  <c r="Y29" i="1"/>
  <c r="AK29" i="1"/>
  <c r="Y30" i="1"/>
  <c r="AK30" i="1"/>
  <c r="Y31" i="1"/>
  <c r="AK31" i="1"/>
  <c r="Y32" i="1"/>
  <c r="AK32" i="1"/>
  <c r="Y33" i="1"/>
  <c r="AK33" i="1"/>
  <c r="Y34" i="1"/>
  <c r="AK34" i="1"/>
  <c r="Y35" i="1"/>
  <c r="AK35" i="1"/>
  <c r="Y36" i="1"/>
  <c r="AK36" i="1"/>
  <c r="Y37" i="1"/>
  <c r="AK37" i="1"/>
  <c r="Y38" i="1"/>
  <c r="AK38" i="1"/>
  <c r="Y39" i="1"/>
  <c r="AK39" i="1"/>
  <c r="Y40" i="1"/>
  <c r="AK40" i="1"/>
  <c r="Y41" i="1"/>
  <c r="AK41" i="1"/>
  <c r="Y42" i="1"/>
  <c r="AK42" i="1"/>
  <c r="Y43" i="1"/>
  <c r="AK43" i="1"/>
  <c r="Y44" i="1"/>
  <c r="AK44" i="1"/>
  <c r="Y45" i="1"/>
  <c r="AK45" i="1"/>
  <c r="Y46" i="1"/>
  <c r="AK46" i="1"/>
  <c r="Y47" i="1"/>
  <c r="AK47" i="1"/>
  <c r="Y50" i="1"/>
  <c r="AK50" i="1"/>
  <c r="Y51" i="1"/>
  <c r="AK51" i="1"/>
  <c r="Y53" i="1"/>
  <c r="AK53" i="1"/>
  <c r="Y54" i="1"/>
  <c r="AK54" i="1"/>
  <c r="Y55" i="1"/>
  <c r="AK55" i="1"/>
  <c r="Y56" i="1"/>
  <c r="AK56" i="1"/>
  <c r="Y57" i="1"/>
  <c r="AK57" i="1"/>
  <c r="Y59" i="1"/>
  <c r="AK59" i="1"/>
  <c r="Y60" i="1"/>
  <c r="AK60" i="1"/>
  <c r="Y61" i="1"/>
  <c r="AK61" i="1"/>
  <c r="Y62" i="1"/>
  <c r="AK62" i="1"/>
  <c r="Y63" i="1"/>
  <c r="AK63" i="1"/>
  <c r="Y64" i="1"/>
  <c r="AK64" i="1"/>
  <c r="Y65" i="1"/>
  <c r="AK65" i="1"/>
  <c r="Y66" i="1"/>
  <c r="AK66" i="1"/>
  <c r="Y68" i="1"/>
  <c r="AK68" i="1"/>
  <c r="Y69" i="1"/>
  <c r="AK69" i="1"/>
  <c r="Y70" i="1"/>
  <c r="AK70" i="1"/>
  <c r="Y71" i="1"/>
  <c r="AK71" i="1"/>
  <c r="Y72" i="1"/>
  <c r="AK72" i="1"/>
  <c r="Y73" i="1"/>
  <c r="AK73" i="1"/>
  <c r="Y74" i="1"/>
  <c r="AK74" i="1"/>
  <c r="Y75" i="1"/>
  <c r="AK75" i="1"/>
  <c r="Y76" i="1"/>
  <c r="AK76" i="1"/>
  <c r="Y77" i="1"/>
  <c r="AK77" i="1"/>
  <c r="Y78" i="1"/>
  <c r="AK78" i="1"/>
  <c r="Y79" i="1"/>
  <c r="AK79" i="1"/>
  <c r="Y80" i="1"/>
  <c r="AK80" i="1"/>
  <c r="Y81" i="1"/>
  <c r="AK81" i="1"/>
  <c r="Y82" i="1"/>
  <c r="AK82" i="1"/>
  <c r="Y83" i="1"/>
  <c r="AK83" i="1"/>
  <c r="Y84" i="1"/>
  <c r="AK84" i="1"/>
  <c r="Y85" i="1"/>
  <c r="AK85" i="1"/>
  <c r="Y86" i="1"/>
  <c r="AK86" i="1"/>
  <c r="Y87" i="1"/>
  <c r="AK87" i="1"/>
  <c r="Y88" i="1"/>
  <c r="AK88" i="1"/>
  <c r="Y89" i="1"/>
  <c r="AK89" i="1"/>
  <c r="Y90" i="1"/>
  <c r="AK90" i="1"/>
  <c r="Y91" i="1"/>
  <c r="AK91" i="1"/>
  <c r="Y92" i="1"/>
  <c r="AK92" i="1"/>
  <c r="Y93" i="1"/>
  <c r="AK93" i="1"/>
  <c r="K14" i="14"/>
  <c r="AK14" i="14" s="1"/>
  <c r="Q14" i="14"/>
  <c r="K15" i="14"/>
  <c r="AK15" i="14" s="1"/>
  <c r="AY14" i="17"/>
  <c r="AY15" i="17"/>
  <c r="AY16" i="17"/>
  <c r="AY17" i="17"/>
  <c r="AY19" i="17"/>
  <c r="AY20" i="17"/>
  <c r="AY21" i="17"/>
  <c r="AY22" i="17"/>
  <c r="AY23" i="17"/>
  <c r="AY24" i="17"/>
  <c r="AY26" i="17"/>
  <c r="AY27" i="17"/>
  <c r="AY28" i="17"/>
  <c r="AY29" i="17"/>
  <c r="AY30" i="17"/>
  <c r="AY31" i="17"/>
  <c r="AY32" i="17"/>
  <c r="AY33" i="17"/>
  <c r="AY34" i="17"/>
  <c r="AY35" i="17"/>
  <c r="AY36" i="17"/>
  <c r="AY37" i="17"/>
  <c r="AY38" i="17"/>
  <c r="AY39" i="17"/>
  <c r="AY40" i="17"/>
  <c r="AY41" i="17"/>
  <c r="AY42" i="17"/>
  <c r="AY43" i="17"/>
  <c r="AY44" i="17"/>
  <c r="AY45" i="17"/>
  <c r="AY46" i="17"/>
  <c r="AY47" i="17"/>
  <c r="AY50" i="17"/>
  <c r="AY51" i="17"/>
  <c r="AY53" i="17"/>
  <c r="AY54" i="17"/>
  <c r="AY55" i="17"/>
  <c r="AY56" i="17"/>
  <c r="AY57" i="17"/>
  <c r="AY59" i="17"/>
  <c r="AY60" i="17"/>
  <c r="AY61" i="17"/>
  <c r="AY62" i="17"/>
  <c r="AY63" i="17"/>
  <c r="AY64" i="17"/>
  <c r="AY65" i="17"/>
  <c r="AY66" i="17"/>
  <c r="AY67" i="17"/>
  <c r="AY68" i="17"/>
  <c r="AY69" i="17"/>
  <c r="AY70" i="17"/>
  <c r="AY71" i="17"/>
  <c r="AY72" i="17"/>
  <c r="AY73" i="17"/>
  <c r="AY74" i="17"/>
  <c r="AY75" i="17"/>
  <c r="AY76" i="17"/>
  <c r="AY77" i="17"/>
  <c r="AY78" i="17"/>
  <c r="AY79" i="17"/>
  <c r="AY80" i="17"/>
  <c r="AY81" i="17"/>
  <c r="AY82" i="17"/>
  <c r="AY83" i="17"/>
  <c r="AY84" i="17"/>
  <c r="AY85" i="17"/>
  <c r="AY86" i="17"/>
  <c r="AY87" i="17"/>
  <c r="AY88" i="17"/>
  <c r="AY89" i="17"/>
  <c r="AY90" i="17"/>
  <c r="M14" i="15"/>
  <c r="AG14" i="15"/>
  <c r="M15" i="15"/>
  <c r="AG15" i="15"/>
  <c r="M16" i="15"/>
  <c r="AG16" i="15"/>
  <c r="M17" i="15"/>
  <c r="AG17" i="15"/>
  <c r="M19" i="15"/>
  <c r="AG19" i="15"/>
  <c r="M20" i="15"/>
  <c r="AG20" i="15"/>
  <c r="M21" i="15"/>
  <c r="AG21" i="15"/>
  <c r="M22" i="15"/>
  <c r="AG22" i="15"/>
  <c r="M23" i="15"/>
  <c r="AG23" i="15"/>
  <c r="M24" i="15"/>
  <c r="AG24" i="15"/>
  <c r="M26" i="15"/>
  <c r="AG26" i="15"/>
  <c r="M27" i="15"/>
  <c r="AG27" i="15"/>
  <c r="M28" i="15"/>
  <c r="AG28" i="15"/>
  <c r="M29" i="15"/>
  <c r="AG29" i="15"/>
  <c r="M30" i="15"/>
  <c r="AG30" i="15"/>
  <c r="M31" i="15"/>
  <c r="AG31" i="15"/>
  <c r="M32" i="15"/>
  <c r="AG32" i="15"/>
  <c r="M33" i="15"/>
  <c r="AG33" i="15"/>
  <c r="M34" i="15"/>
  <c r="AG34" i="15"/>
  <c r="M35" i="15"/>
  <c r="AG35" i="15"/>
  <c r="M36" i="15"/>
  <c r="AG36" i="15"/>
  <c r="M37" i="15"/>
  <c r="AG37" i="15"/>
  <c r="M38" i="15"/>
  <c r="AG38" i="15"/>
  <c r="M39" i="15"/>
  <c r="AG39" i="15"/>
  <c r="M40" i="15"/>
  <c r="AG40" i="15"/>
  <c r="M41" i="15"/>
  <c r="AG41" i="15"/>
  <c r="M42" i="15"/>
  <c r="AG42" i="15"/>
  <c r="M43" i="15"/>
  <c r="AG43" i="15"/>
  <c r="M44" i="15"/>
  <c r="AG44" i="15"/>
  <c r="M45" i="15"/>
  <c r="AG45" i="15"/>
  <c r="M46" i="15"/>
  <c r="AG46" i="15"/>
  <c r="M47" i="15"/>
  <c r="AG47" i="15"/>
  <c r="M50" i="15"/>
  <c r="AG50" i="15"/>
  <c r="M51" i="15"/>
  <c r="AG51" i="15"/>
  <c r="M53" i="15"/>
  <c r="AG53" i="15"/>
  <c r="M54" i="15"/>
  <c r="AG54" i="15"/>
  <c r="M55" i="15"/>
  <c r="AG55" i="15"/>
  <c r="M56" i="15"/>
  <c r="AG56" i="15"/>
  <c r="M57" i="15"/>
  <c r="AG57" i="15"/>
  <c r="M59" i="15"/>
  <c r="AG59" i="15"/>
  <c r="M60" i="15"/>
  <c r="AG60" i="15"/>
  <c r="M61" i="15"/>
  <c r="AG61" i="15"/>
  <c r="M62" i="15"/>
  <c r="AG62" i="15"/>
  <c r="M63" i="15"/>
  <c r="AG63" i="15"/>
  <c r="M64" i="15"/>
  <c r="AG64" i="15"/>
  <c r="M65" i="15"/>
  <c r="AG65" i="15"/>
  <c r="M66" i="15"/>
  <c r="AG66" i="15"/>
  <c r="M67" i="15"/>
  <c r="AG67" i="15"/>
  <c r="M68" i="15"/>
  <c r="AG68" i="15"/>
  <c r="M69" i="15"/>
  <c r="AG69" i="15"/>
  <c r="M70" i="15"/>
  <c r="AG70" i="15"/>
  <c r="M71" i="15"/>
  <c r="AG71" i="15"/>
  <c r="M72" i="15"/>
  <c r="AG72" i="15"/>
  <c r="M73" i="15"/>
  <c r="AG73" i="15"/>
  <c r="M74" i="15"/>
  <c r="AG74" i="15"/>
  <c r="M75" i="15"/>
  <c r="AG75" i="15"/>
  <c r="M76" i="15"/>
  <c r="AG76" i="15"/>
  <c r="M77" i="15"/>
  <c r="AG77" i="15"/>
  <c r="M78" i="15"/>
  <c r="AG78" i="15"/>
  <c r="M79" i="15"/>
  <c r="AG79" i="15"/>
  <c r="M80" i="15"/>
  <c r="AG80" i="15"/>
  <c r="M81" i="15"/>
  <c r="AG81" i="15"/>
  <c r="M82" i="15"/>
  <c r="AG82" i="15"/>
  <c r="M83" i="15"/>
  <c r="AG83" i="15"/>
  <c r="M84" i="15"/>
  <c r="AG84" i="15"/>
  <c r="M85" i="15"/>
  <c r="AG85" i="15"/>
  <c r="M86" i="15"/>
  <c r="AG86" i="15"/>
  <c r="M87" i="15"/>
  <c r="AG87" i="15"/>
  <c r="M88" i="15"/>
  <c r="AG88" i="15"/>
  <c r="M89" i="15"/>
  <c r="AG89" i="15"/>
  <c r="AA14" i="16"/>
  <c r="AH14" i="16" s="1"/>
  <c r="AF14" i="16"/>
  <c r="AA15" i="16"/>
  <c r="AH15" i="16" s="1"/>
  <c r="AF15" i="16"/>
  <c r="AF16" i="16"/>
  <c r="AA17" i="16"/>
  <c r="AH17" i="16" s="1"/>
  <c r="AF17" i="16"/>
  <c r="AA19" i="16"/>
  <c r="AH19" i="16" s="1"/>
  <c r="AF19" i="16"/>
  <c r="AA20" i="16"/>
  <c r="AH20" i="16" s="1"/>
  <c r="AF20" i="16"/>
  <c r="AA21" i="16"/>
  <c r="AH21" i="16" s="1"/>
  <c r="AF21" i="16"/>
  <c r="AA22" i="16"/>
  <c r="AH22" i="16" s="1"/>
  <c r="AF22" i="16"/>
  <c r="AA23" i="16"/>
  <c r="AH23" i="16" s="1"/>
  <c r="AF23" i="16"/>
  <c r="AA24" i="16"/>
  <c r="AH24" i="16" s="1"/>
  <c r="AF24" i="16"/>
  <c r="AA26" i="16"/>
  <c r="AH26" i="16" s="1"/>
  <c r="AF26" i="16"/>
  <c r="AA27" i="16"/>
  <c r="AH27" i="16" s="1"/>
  <c r="AF27" i="16"/>
  <c r="AA28" i="16"/>
  <c r="AH28" i="16" s="1"/>
  <c r="AF28" i="16"/>
  <c r="AA29" i="16"/>
  <c r="AH29" i="16" s="1"/>
  <c r="AF29" i="16"/>
  <c r="AA30" i="16"/>
  <c r="AH30" i="16" s="1"/>
  <c r="AF30" i="16"/>
  <c r="AA31" i="16"/>
  <c r="AH31" i="16" s="1"/>
  <c r="AF31" i="16"/>
  <c r="AA32" i="16"/>
  <c r="AH32" i="16" s="1"/>
  <c r="AF32" i="16"/>
  <c r="AA33" i="16"/>
  <c r="AH33" i="16" s="1"/>
  <c r="AF33" i="16"/>
  <c r="AA34" i="16"/>
  <c r="AH34" i="16" s="1"/>
  <c r="AF34" i="16"/>
  <c r="AA35" i="16"/>
  <c r="AH35" i="16" s="1"/>
  <c r="AF35" i="16"/>
  <c r="AA36" i="16"/>
  <c r="AH36" i="16" s="1"/>
  <c r="AF36" i="16"/>
  <c r="AA37" i="16"/>
  <c r="AH37" i="16" s="1"/>
  <c r="AF37" i="16"/>
  <c r="AA38" i="16"/>
  <c r="AH38" i="16" s="1"/>
  <c r="AF38" i="16"/>
  <c r="AA39" i="16"/>
  <c r="AH39" i="16" s="1"/>
  <c r="AF39" i="16"/>
  <c r="AA40" i="16"/>
  <c r="AH40" i="16" s="1"/>
  <c r="AF40" i="16"/>
  <c r="AA41" i="16"/>
  <c r="AH41" i="16" s="1"/>
  <c r="AF41" i="16"/>
  <c r="AA42" i="16"/>
  <c r="AH42" i="16" s="1"/>
  <c r="AF42" i="16"/>
  <c r="AA43" i="16"/>
  <c r="AH43" i="16" s="1"/>
  <c r="AF43" i="16"/>
  <c r="AA44" i="16"/>
  <c r="AH44" i="16" s="1"/>
  <c r="AF44" i="16"/>
  <c r="AA45" i="16"/>
  <c r="AH45" i="16" s="1"/>
  <c r="AF45" i="16"/>
  <c r="AA46" i="16"/>
  <c r="AH46" i="16" s="1"/>
  <c r="AF46" i="16"/>
  <c r="AA47" i="16"/>
  <c r="AH47" i="16" s="1"/>
  <c r="AF47" i="16"/>
  <c r="AA50" i="16"/>
  <c r="AH50" i="16" s="1"/>
  <c r="AF50" i="16"/>
  <c r="AA51" i="16"/>
  <c r="AH51" i="16" s="1"/>
  <c r="AF51" i="16"/>
  <c r="AA53" i="16"/>
  <c r="AH53" i="16" s="1"/>
  <c r="AF53" i="16"/>
  <c r="AA54" i="16"/>
  <c r="AH54" i="16" s="1"/>
  <c r="AF54" i="16"/>
  <c r="AA55" i="16"/>
  <c r="AH55" i="16" s="1"/>
  <c r="AF55" i="16"/>
  <c r="AA56" i="16"/>
  <c r="AH56" i="16" s="1"/>
  <c r="AF56" i="16"/>
  <c r="AA57" i="16"/>
  <c r="AH57" i="16" s="1"/>
  <c r="AF57" i="16"/>
  <c r="AH58" i="16"/>
  <c r="AF58" i="16"/>
  <c r="AA59" i="16"/>
  <c r="AH59" i="16" s="1"/>
  <c r="AF59" i="16"/>
  <c r="AA60" i="16"/>
  <c r="AH60" i="16" s="1"/>
  <c r="AF60" i="16"/>
  <c r="AA61" i="16"/>
  <c r="AH61" i="16" s="1"/>
  <c r="AF61" i="16"/>
  <c r="AA62" i="16"/>
  <c r="AH62" i="16" s="1"/>
  <c r="AF62" i="16"/>
  <c r="AA63" i="16"/>
  <c r="AH63" i="16" s="1"/>
  <c r="AF63" i="16"/>
  <c r="AA64" i="16"/>
  <c r="AH64" i="16" s="1"/>
  <c r="AF64" i="16"/>
  <c r="AA65" i="16"/>
  <c r="AH65" i="16" s="1"/>
  <c r="AF65" i="16"/>
  <c r="AA66" i="16"/>
  <c r="AH66" i="16" s="1"/>
  <c r="AF66" i="16"/>
  <c r="AA67" i="16"/>
  <c r="AH67" i="16" s="1"/>
  <c r="AF67" i="16"/>
  <c r="AA68" i="16"/>
  <c r="AH68" i="16" s="1"/>
  <c r="AF68" i="16"/>
  <c r="AA69" i="16"/>
  <c r="AH69" i="16" s="1"/>
  <c r="AF69" i="16"/>
  <c r="AA70" i="16"/>
  <c r="AH70" i="16" s="1"/>
  <c r="AF70" i="16"/>
  <c r="AA71" i="16"/>
  <c r="AH71" i="16" s="1"/>
  <c r="AF71" i="16"/>
  <c r="AA72" i="16"/>
  <c r="AH72" i="16" s="1"/>
  <c r="AF72" i="16"/>
  <c r="AA73" i="16"/>
  <c r="AH73" i="16" s="1"/>
  <c r="AF73" i="16"/>
  <c r="AA74" i="16"/>
  <c r="AH74" i="16" s="1"/>
  <c r="AF74" i="16"/>
  <c r="AA75" i="16"/>
  <c r="AH75" i="16" s="1"/>
  <c r="AF75" i="16"/>
  <c r="AA76" i="16"/>
  <c r="AH76" i="16" s="1"/>
  <c r="AF76" i="16"/>
  <c r="AA77" i="16"/>
  <c r="AH77" i="16" s="1"/>
  <c r="AF77" i="16"/>
  <c r="AA78" i="16"/>
  <c r="AH78" i="16" s="1"/>
  <c r="AF78" i="16"/>
  <c r="AA79" i="16"/>
  <c r="AH79" i="16" s="1"/>
  <c r="AF79" i="16"/>
  <c r="AH80" i="16"/>
  <c r="AF80" i="16"/>
  <c r="AA81" i="16"/>
  <c r="AH81" i="16" s="1"/>
  <c r="AF81" i="16"/>
  <c r="AA82" i="16"/>
  <c r="AH82" i="16" s="1"/>
  <c r="AF82" i="16"/>
  <c r="AA83" i="16"/>
  <c r="AH83" i="16" s="1"/>
  <c r="AF83" i="16"/>
  <c r="AA84" i="16"/>
  <c r="AH84" i="16" s="1"/>
  <c r="AF84" i="16"/>
  <c r="BN23" i="2" l="1"/>
  <c r="BV23" i="2" s="1"/>
  <c r="BX23" i="2" s="1"/>
  <c r="AM34" i="1"/>
  <c r="BN34" i="2" s="1"/>
  <c r="BV34" i="2" s="1"/>
  <c r="BX34" i="2" s="1"/>
  <c r="AM64" i="1"/>
  <c r="BN64" i="2" s="1"/>
  <c r="BV64" i="2" s="1"/>
  <c r="BX64" i="2" s="1"/>
  <c r="AM46" i="1"/>
  <c r="BN46" i="2" s="1"/>
  <c r="BV46" i="2" s="1"/>
  <c r="BX46" i="2" s="1"/>
  <c r="AM42" i="1"/>
  <c r="BN42" i="2" s="1"/>
  <c r="BV42" i="2" s="1"/>
  <c r="BX42" i="2" s="1"/>
  <c r="AM38" i="1"/>
  <c r="BN38" i="2" s="1"/>
  <c r="BV38" i="2" s="1"/>
  <c r="BX38" i="2" s="1"/>
  <c r="AM36" i="1"/>
  <c r="BN36" i="2" s="1"/>
  <c r="BV36" i="2" s="1"/>
  <c r="BX36" i="2" s="1"/>
  <c r="AM35" i="1"/>
  <c r="BN35" i="2" s="1"/>
  <c r="BV35" i="2" s="1"/>
  <c r="BX35" i="2" s="1"/>
  <c r="AM20" i="1"/>
  <c r="BN20" i="2" s="1"/>
  <c r="BV20" i="2" s="1"/>
  <c r="BX20" i="2" s="1"/>
  <c r="AM15" i="1"/>
  <c r="BN15" i="2" s="1"/>
  <c r="BV15" i="2" s="1"/>
  <c r="BX15" i="2" s="1"/>
  <c r="AM14" i="1"/>
  <c r="BN14" i="2" s="1"/>
  <c r="BV14" i="2" s="1"/>
  <c r="BX14" i="2" s="1"/>
  <c r="AM73" i="1"/>
  <c r="AM66" i="1"/>
  <c r="BV67" i="2" s="1"/>
  <c r="BX67" i="2" s="1"/>
  <c r="AM65" i="1"/>
  <c r="BN65" i="2" s="1"/>
  <c r="BV65" i="2" s="1"/>
  <c r="BX65" i="2" s="1"/>
  <c r="AM88" i="1"/>
  <c r="AM85" i="1"/>
  <c r="BN85" i="2" s="1"/>
  <c r="AM76" i="1"/>
  <c r="BN76" i="2" s="1"/>
  <c r="AM75" i="1"/>
  <c r="AM74" i="1"/>
  <c r="BN74" i="2" s="1"/>
  <c r="BV74" i="2" s="1"/>
  <c r="BX74" i="2" s="1"/>
  <c r="AM54" i="1"/>
  <c r="BN54" i="2" s="1"/>
  <c r="BV54" i="2" s="1"/>
  <c r="BX54" i="2" s="1"/>
  <c r="AM50" i="1"/>
  <c r="BN50" i="2" s="1"/>
  <c r="BV50" i="2" s="1"/>
  <c r="BX50" i="2" s="1"/>
  <c r="AM47" i="1"/>
  <c r="BN47" i="2" s="1"/>
  <c r="BV47" i="2" s="1"/>
  <c r="BX47" i="2" s="1"/>
  <c r="AM27" i="1"/>
  <c r="BN27" i="2" s="1"/>
  <c r="BV27" i="2" s="1"/>
  <c r="BX27" i="2" s="1"/>
  <c r="AM91" i="1"/>
  <c r="BN91" i="2" s="1"/>
  <c r="AM90" i="1"/>
  <c r="BN90" i="2" s="1"/>
  <c r="BV90" i="2" s="1"/>
  <c r="BX90" i="2" s="1"/>
  <c r="AM89" i="1"/>
  <c r="AM70" i="1"/>
  <c r="BN70" i="2" s="1"/>
  <c r="BV70" i="2" s="1"/>
  <c r="BX70" i="2" s="1"/>
  <c r="AM69" i="1"/>
  <c r="BN69" i="2" s="1"/>
  <c r="AM56" i="1"/>
  <c r="BN56" i="2" s="1"/>
  <c r="BV56" i="2" s="1"/>
  <c r="BX56" i="2" s="1"/>
  <c r="AM55" i="1"/>
  <c r="BN55" i="2" s="1"/>
  <c r="BV55" i="2" s="1"/>
  <c r="BX55" i="2" s="1"/>
  <c r="AM44" i="1"/>
  <c r="BN44" i="2" s="1"/>
  <c r="BV44" i="2" s="1"/>
  <c r="BX44" i="2" s="1"/>
  <c r="AM43" i="1"/>
  <c r="BN43" i="2" s="1"/>
  <c r="BV43" i="2" s="1"/>
  <c r="BX43" i="2" s="1"/>
  <c r="AM32" i="1"/>
  <c r="BN32" i="2" s="1"/>
  <c r="BV32" i="2" s="1"/>
  <c r="BX32" i="2" s="1"/>
  <c r="AM28" i="1"/>
  <c r="BN28" i="2" s="1"/>
  <c r="BV28" i="2" s="1"/>
  <c r="BX28" i="2" s="1"/>
  <c r="AM22" i="1"/>
  <c r="BN22" i="2" s="1"/>
  <c r="BV22" i="2" s="1"/>
  <c r="BX22" i="2" s="1"/>
  <c r="AM21" i="1"/>
  <c r="BN21" i="2" s="1"/>
  <c r="BV21" i="2" s="1"/>
  <c r="BX21" i="2" s="1"/>
  <c r="AM93" i="1"/>
  <c r="BN93" i="2" s="1"/>
  <c r="BV93" i="2" s="1"/>
  <c r="BX93" i="2" s="1"/>
  <c r="AM92" i="1"/>
  <c r="BN92" i="2" s="1"/>
  <c r="AM87" i="1"/>
  <c r="AM86" i="1"/>
  <c r="AM72" i="1"/>
  <c r="AM71" i="1"/>
  <c r="BN71" i="2" s="1"/>
  <c r="AM68" i="1"/>
  <c r="BN68" i="2" s="1"/>
  <c r="BV68" i="2" s="1"/>
  <c r="BX68" i="2" s="1"/>
  <c r="AM57" i="1"/>
  <c r="BN57" i="2" s="1"/>
  <c r="BV57" i="2" s="1"/>
  <c r="BX57" i="2" s="1"/>
  <c r="AM53" i="1"/>
  <c r="BN53" i="2" s="1"/>
  <c r="BV53" i="2" s="1"/>
  <c r="BX53" i="2" s="1"/>
  <c r="AM51" i="1"/>
  <c r="BN51" i="2" s="1"/>
  <c r="BV51" i="2" s="1"/>
  <c r="BX51" i="2" s="1"/>
  <c r="AM45" i="1"/>
  <c r="BN45" i="2" s="1"/>
  <c r="BV45" i="2" s="1"/>
  <c r="BX45" i="2" s="1"/>
  <c r="AM39" i="1"/>
  <c r="BN39" i="2" s="1"/>
  <c r="BV39" i="2" s="1"/>
  <c r="BX39" i="2" s="1"/>
  <c r="AM33" i="1"/>
  <c r="BN33" i="2" s="1"/>
  <c r="BV33" i="2" s="1"/>
  <c r="BX33" i="2" s="1"/>
  <c r="AM24" i="1"/>
  <c r="BN24" i="2" s="1"/>
  <c r="BV24" i="2" s="1"/>
  <c r="BX24" i="2" s="1"/>
  <c r="AM16" i="1"/>
  <c r="BN16" i="2" s="1"/>
  <c r="BV16" i="2" s="1"/>
  <c r="BX16" i="2" s="1"/>
  <c r="AI73" i="15"/>
  <c r="BA73" i="17" s="1"/>
  <c r="BE73" i="17" s="1"/>
  <c r="BG73" i="17" s="1"/>
  <c r="AI65" i="15"/>
  <c r="BA65" i="17" s="1"/>
  <c r="BE65" i="17" s="1"/>
  <c r="BG65" i="17" s="1"/>
  <c r="AI53" i="15"/>
  <c r="BA53" i="17" s="1"/>
  <c r="BE53" i="17" s="1"/>
  <c r="BG53" i="17" s="1"/>
  <c r="AI57" i="15"/>
  <c r="BA57" i="17" s="1"/>
  <c r="BE57" i="17" s="1"/>
  <c r="BG57" i="17" s="1"/>
  <c r="AI55" i="15"/>
  <c r="BA55" i="17" s="1"/>
  <c r="BE55" i="17" s="1"/>
  <c r="BG55" i="17" s="1"/>
  <c r="AI54" i="15"/>
  <c r="BA54" i="17" s="1"/>
  <c r="BE54" i="17" s="1"/>
  <c r="BG54" i="17" s="1"/>
  <c r="AI83" i="15"/>
  <c r="BA83" i="17" s="1"/>
  <c r="BE83" i="17" s="1"/>
  <c r="BG83" i="17" s="1"/>
  <c r="AI77" i="15"/>
  <c r="BA77" i="17" s="1"/>
  <c r="BE77" i="17" s="1"/>
  <c r="BG77" i="17" s="1"/>
  <c r="AI75" i="15"/>
  <c r="BA75" i="17" s="1"/>
  <c r="BE75" i="17" s="1"/>
  <c r="BG75" i="17" s="1"/>
  <c r="AI74" i="15"/>
  <c r="BA74" i="17" s="1"/>
  <c r="BE74" i="17" s="1"/>
  <c r="BG74" i="17" s="1"/>
  <c r="AI37" i="15"/>
  <c r="BA37" i="17" s="1"/>
  <c r="BE37" i="17" s="1"/>
  <c r="BG37" i="17" s="1"/>
  <c r="AI27" i="15"/>
  <c r="BA27" i="17" s="1"/>
  <c r="BE27" i="17" s="1"/>
  <c r="BG27" i="17" s="1"/>
  <c r="AI23" i="15"/>
  <c r="BA23" i="17" s="1"/>
  <c r="BE23" i="17" s="1"/>
  <c r="BG23" i="17" s="1"/>
  <c r="AI22" i="15"/>
  <c r="BA22" i="17" s="1"/>
  <c r="BE22" i="17" s="1"/>
  <c r="BG22" i="17" s="1"/>
  <c r="AI21" i="15"/>
  <c r="BA21" i="17" s="1"/>
  <c r="BE21" i="17" s="1"/>
  <c r="BG21" i="17" s="1"/>
  <c r="AI20" i="15"/>
  <c r="BA20" i="17" s="1"/>
  <c r="BE20" i="17" s="1"/>
  <c r="BG20" i="17" s="1"/>
  <c r="AI19" i="15"/>
  <c r="BA19" i="17" s="1"/>
  <c r="BE19" i="17" s="1"/>
  <c r="BG19" i="17" s="1"/>
  <c r="AI17" i="15"/>
  <c r="BA17" i="17" s="1"/>
  <c r="BE17" i="17" s="1"/>
  <c r="BG17" i="17" s="1"/>
  <c r="AI16" i="15"/>
  <c r="BA16" i="17" s="1"/>
  <c r="BE16" i="17" s="1"/>
  <c r="BG16" i="17" s="1"/>
  <c r="AI15" i="15"/>
  <c r="BA15" i="17" s="1"/>
  <c r="BE15" i="17" s="1"/>
  <c r="BG15" i="17" s="1"/>
  <c r="AI14" i="15"/>
  <c r="BA14" i="17" s="1"/>
  <c r="BE14" i="17" s="1"/>
  <c r="BG14" i="17" s="1"/>
  <c r="AI87" i="15"/>
  <c r="BA87" i="17" s="1"/>
  <c r="BE87" i="17" s="1"/>
  <c r="BG87" i="17" s="1"/>
  <c r="AI86" i="15"/>
  <c r="BA86" i="17" s="1"/>
  <c r="BE86" i="17" s="1"/>
  <c r="BG86" i="17" s="1"/>
  <c r="AI85" i="15"/>
  <c r="BA85" i="17" s="1"/>
  <c r="BE85" i="17" s="1"/>
  <c r="BG85" i="17" s="1"/>
  <c r="AI69" i="15"/>
  <c r="BA69" i="17" s="1"/>
  <c r="BE69" i="17" s="1"/>
  <c r="BG69" i="17" s="1"/>
  <c r="AI67" i="15"/>
  <c r="BA67" i="17" s="1"/>
  <c r="BE67" i="17" s="1"/>
  <c r="BG67" i="17" s="1"/>
  <c r="AI66" i="15"/>
  <c r="BA66" i="17" s="1"/>
  <c r="BE66" i="17" s="1"/>
  <c r="BG66" i="17" s="1"/>
  <c r="AI45" i="15"/>
  <c r="BA45" i="17" s="1"/>
  <c r="BE45" i="17" s="1"/>
  <c r="BG45" i="17" s="1"/>
  <c r="AI44" i="15"/>
  <c r="BA44" i="17" s="1"/>
  <c r="BE44" i="17" s="1"/>
  <c r="BG44" i="17" s="1"/>
  <c r="AI43" i="15"/>
  <c r="BA43" i="17" s="1"/>
  <c r="BE43" i="17" s="1"/>
  <c r="BG43" i="17" s="1"/>
  <c r="AI42" i="15"/>
  <c r="BA42" i="17" s="1"/>
  <c r="BE42" i="17" s="1"/>
  <c r="BG42" i="17" s="1"/>
  <c r="AI41" i="15"/>
  <c r="BA41" i="17" s="1"/>
  <c r="BE41" i="17" s="1"/>
  <c r="BG41" i="17" s="1"/>
  <c r="AI40" i="15"/>
  <c r="BA40" i="17" s="1"/>
  <c r="BE40" i="17" s="1"/>
  <c r="BG40" i="17" s="1"/>
  <c r="AI39" i="15"/>
  <c r="BA39" i="17" s="1"/>
  <c r="BE39" i="17" s="1"/>
  <c r="BG39" i="17" s="1"/>
  <c r="AI38" i="15"/>
  <c r="BA38" i="17" s="1"/>
  <c r="BE38" i="17" s="1"/>
  <c r="BG38" i="17" s="1"/>
  <c r="AI89" i="15"/>
  <c r="BA89" i="17" s="1"/>
  <c r="BE89" i="17" s="1"/>
  <c r="BG89" i="17" s="1"/>
  <c r="AI82" i="15"/>
  <c r="BA82" i="17" s="1"/>
  <c r="BE82" i="17" s="1"/>
  <c r="BG82" i="17" s="1"/>
  <c r="AI81" i="15"/>
  <c r="BA81" i="17" s="1"/>
  <c r="BE81" i="17" s="1"/>
  <c r="BG81" i="17" s="1"/>
  <c r="AI79" i="15"/>
  <c r="BA79" i="17" s="1"/>
  <c r="BE79" i="17" s="1"/>
  <c r="BG79" i="17" s="1"/>
  <c r="AI78" i="15"/>
  <c r="BA78" i="17" s="1"/>
  <c r="BE78" i="17" s="1"/>
  <c r="BG78" i="17" s="1"/>
  <c r="AI71" i="15"/>
  <c r="BA71" i="17" s="1"/>
  <c r="BE71" i="17" s="1"/>
  <c r="BG71" i="17" s="1"/>
  <c r="AI70" i="15"/>
  <c r="BA70" i="17" s="1"/>
  <c r="BE70" i="17" s="1"/>
  <c r="BG70" i="17" s="1"/>
  <c r="AI63" i="15"/>
  <c r="BA63" i="17" s="1"/>
  <c r="BE63" i="17" s="1"/>
  <c r="BG63" i="17" s="1"/>
  <c r="AI62" i="15"/>
  <c r="BA62" i="17" s="1"/>
  <c r="BE62" i="17" s="1"/>
  <c r="BG62" i="17" s="1"/>
  <c r="AI59" i="15"/>
  <c r="BA59" i="17" s="1"/>
  <c r="BE59" i="17" s="1"/>
  <c r="BG59" i="17" s="1"/>
  <c r="BG58" i="17"/>
  <c r="AI50" i="15"/>
  <c r="BA50" i="17" s="1"/>
  <c r="BE50" i="17" s="1"/>
  <c r="BG50" i="17" s="1"/>
  <c r="AI47" i="15"/>
  <c r="BA47" i="17" s="1"/>
  <c r="BE47" i="17" s="1"/>
  <c r="BG47" i="17" s="1"/>
  <c r="AI36" i="15"/>
  <c r="BA36" i="17" s="1"/>
  <c r="BE36" i="17" s="1"/>
  <c r="BG36" i="17" s="1"/>
  <c r="AI35" i="15"/>
  <c r="BA35" i="17" s="1"/>
  <c r="BE35" i="17" s="1"/>
  <c r="BG35" i="17" s="1"/>
  <c r="AI34" i="15"/>
  <c r="BA34" i="17" s="1"/>
  <c r="BE34" i="17" s="1"/>
  <c r="BG34" i="17" s="1"/>
  <c r="AI33" i="15"/>
  <c r="BA33" i="17" s="1"/>
  <c r="BE33" i="17" s="1"/>
  <c r="BG33" i="17" s="1"/>
  <c r="AI32" i="15"/>
  <c r="BA32" i="17" s="1"/>
  <c r="BE32" i="17" s="1"/>
  <c r="BG32" i="17" s="1"/>
  <c r="AI31" i="15"/>
  <c r="BA31" i="17" s="1"/>
  <c r="BE31" i="17" s="1"/>
  <c r="BG31" i="17" s="1"/>
  <c r="AI30" i="15"/>
  <c r="BA30" i="17" s="1"/>
  <c r="BE30" i="17" s="1"/>
  <c r="BG30" i="17" s="1"/>
  <c r="AI29" i="15"/>
  <c r="BA29" i="17" s="1"/>
  <c r="BE29" i="17" s="1"/>
  <c r="BG29" i="17" s="1"/>
  <c r="AI28" i="15"/>
  <c r="BA28" i="17" s="1"/>
  <c r="BE28" i="17" s="1"/>
  <c r="BG28" i="17" s="1"/>
  <c r="BL63" i="2"/>
  <c r="BL62" i="2"/>
  <c r="AM84" i="1"/>
  <c r="BN84" i="2" s="1"/>
  <c r="AM83" i="1"/>
  <c r="BN83" i="2" s="1"/>
  <c r="AM82" i="1"/>
  <c r="AM81" i="1"/>
  <c r="BN81" i="2" s="1"/>
  <c r="AM80" i="1"/>
  <c r="BN80" i="2" s="1"/>
  <c r="AM79" i="1"/>
  <c r="BN79" i="2" s="1"/>
  <c r="AM78" i="1"/>
  <c r="BN78" i="2" s="1"/>
  <c r="AM77" i="1"/>
  <c r="BN77" i="2" s="1"/>
  <c r="AM40" i="1"/>
  <c r="BN40" i="2" s="1"/>
  <c r="BV40" i="2" s="1"/>
  <c r="BX40" i="2" s="1"/>
  <c r="AM29" i="1"/>
  <c r="BN29" i="2" s="1"/>
  <c r="BV29" i="2" s="1"/>
  <c r="BX29" i="2" s="1"/>
  <c r="AM26" i="1"/>
  <c r="BN26" i="2" s="1"/>
  <c r="AM19" i="1"/>
  <c r="BN19" i="2" s="1"/>
  <c r="BV19" i="2" s="1"/>
  <c r="BX19" i="2" s="1"/>
  <c r="AM17" i="1"/>
  <c r="AI88" i="15"/>
  <c r="BA88" i="17" s="1"/>
  <c r="BE88" i="17" s="1"/>
  <c r="BG88" i="17" s="1"/>
  <c r="AI84" i="15"/>
  <c r="BA84" i="17" s="1"/>
  <c r="BE84" i="17" s="1"/>
  <c r="BG84" i="17" s="1"/>
  <c r="AI80" i="15"/>
  <c r="BA80" i="17" s="1"/>
  <c r="BE80" i="17" s="1"/>
  <c r="BG80" i="17" s="1"/>
  <c r="AI76" i="15"/>
  <c r="BA76" i="17" s="1"/>
  <c r="BE76" i="17" s="1"/>
  <c r="BG76" i="17" s="1"/>
  <c r="AI72" i="15"/>
  <c r="BA72" i="17" s="1"/>
  <c r="BE72" i="17" s="1"/>
  <c r="BG72" i="17" s="1"/>
  <c r="AI68" i="15"/>
  <c r="BA68" i="17" s="1"/>
  <c r="BE68" i="17" s="1"/>
  <c r="BG68" i="17" s="1"/>
  <c r="AI64" i="15"/>
  <c r="BA64" i="17" s="1"/>
  <c r="BE64" i="17" s="1"/>
  <c r="BG64" i="17" s="1"/>
  <c r="AI61" i="15"/>
  <c r="BA61" i="17" s="1"/>
  <c r="BE61" i="17" s="1"/>
  <c r="BG61" i="17" s="1"/>
  <c r="AI60" i="15"/>
  <c r="BA60" i="17" s="1"/>
  <c r="BE60" i="17" s="1"/>
  <c r="BG60" i="17" s="1"/>
  <c r="AI56" i="15"/>
  <c r="BA56" i="17" s="1"/>
  <c r="BE56" i="17" s="1"/>
  <c r="BG56" i="17" s="1"/>
  <c r="AI51" i="15"/>
  <c r="BA51" i="17" s="1"/>
  <c r="BE51" i="17" s="1"/>
  <c r="BG51" i="17" s="1"/>
  <c r="AI46" i="15"/>
  <c r="BA46" i="17" s="1"/>
  <c r="BE46" i="17" s="1"/>
  <c r="BG46" i="17" s="1"/>
  <c r="AI26" i="15"/>
  <c r="BA26" i="17" s="1"/>
  <c r="BE26" i="17" s="1"/>
  <c r="BG26" i="17" s="1"/>
  <c r="AI24" i="15"/>
  <c r="BA24" i="17" s="1"/>
  <c r="BE24" i="17" s="1"/>
  <c r="BG24" i="17" s="1"/>
  <c r="AM63" i="1"/>
  <c r="AM62" i="1"/>
  <c r="AM61" i="1"/>
  <c r="BN61" i="2" s="1"/>
  <c r="AM60" i="1"/>
  <c r="AM59" i="1"/>
  <c r="AM41" i="1"/>
  <c r="AM37" i="1"/>
  <c r="AM31" i="1"/>
  <c r="AM30" i="1"/>
  <c r="AO599" i="22"/>
  <c r="AQ576" i="22"/>
  <c r="BN576" i="25" s="1"/>
  <c r="BV576" i="25" s="1"/>
  <c r="BX576" i="25" s="1"/>
  <c r="AO548" i="22"/>
  <c r="AO326" i="22"/>
  <c r="AO196" i="22"/>
  <c r="AO194" i="22"/>
  <c r="AO176" i="22"/>
  <c r="AO155" i="22"/>
  <c r="AO156" i="22"/>
  <c r="BN180" i="25"/>
  <c r="BV180" i="25" s="1"/>
  <c r="BX180" i="25" s="1"/>
  <c r="BN66" i="2" l="1"/>
  <c r="BV66" i="2" s="1"/>
  <c r="BX66" i="2" s="1"/>
  <c r="BN63" i="2"/>
  <c r="BV63" i="2" s="1"/>
  <c r="BX63" i="2" s="1"/>
  <c r="BN30" i="2"/>
  <c r="BV30" i="2" s="1"/>
  <c r="BX30" i="2" s="1"/>
  <c r="BN72" i="2"/>
  <c r="BV72" i="2" s="1"/>
  <c r="BX72" i="2" s="1"/>
  <c r="BV76" i="2"/>
  <c r="BX76" i="2" s="1"/>
  <c r="BN88" i="2"/>
  <c r="BV88" i="2" s="1"/>
  <c r="BX88" i="2" s="1"/>
  <c r="BN41" i="2"/>
  <c r="BV41" i="2" s="1"/>
  <c r="BX41" i="2" s="1"/>
  <c r="BN60" i="2"/>
  <c r="BV60" i="2" s="1"/>
  <c r="BX60" i="2" s="1"/>
  <c r="BN31" i="2"/>
  <c r="BV31" i="2" s="1"/>
  <c r="BX31" i="2" s="1"/>
  <c r="BX58" i="2"/>
  <c r="BN87" i="2"/>
  <c r="BV87" i="2" s="1"/>
  <c r="BX87" i="2" s="1"/>
  <c r="BV61" i="2"/>
  <c r="BX61" i="2" s="1"/>
  <c r="BV26" i="2"/>
  <c r="BX26" i="2" s="1"/>
  <c r="BN62" i="2"/>
  <c r="BV62" i="2" s="1"/>
  <c r="BX62" i="2" s="1"/>
  <c r="BV71" i="2"/>
  <c r="BX71" i="2" s="1"/>
  <c r="BV92" i="2"/>
  <c r="BX92" i="2" s="1"/>
  <c r="BV69" i="2"/>
  <c r="BX69" i="2" s="1"/>
  <c r="BV91" i="2"/>
  <c r="BX91" i="2" s="1"/>
  <c r="BV85" i="2"/>
  <c r="BX85" i="2" s="1"/>
  <c r="BN59" i="2"/>
  <c r="BV59" i="2" s="1"/>
  <c r="BX59" i="2" s="1"/>
  <c r="BN82" i="2"/>
  <c r="BV82" i="2" s="1"/>
  <c r="BX82" i="2" s="1"/>
  <c r="BN86" i="2"/>
  <c r="BV86" i="2" s="1"/>
  <c r="BX86" i="2" s="1"/>
  <c r="BN37" i="2"/>
  <c r="BV37" i="2" s="1"/>
  <c r="BX37" i="2" s="1"/>
  <c r="BN73" i="2"/>
  <c r="BV73" i="2" s="1"/>
  <c r="BX73" i="2" s="1"/>
  <c r="BN89" i="2"/>
  <c r="BV89" i="2" s="1"/>
  <c r="BX89" i="2" s="1"/>
  <c r="BN17" i="2"/>
  <c r="BV17" i="2" s="1"/>
  <c r="BX17" i="2" s="1"/>
  <c r="BN75" i="2"/>
  <c r="BV75" i="2" s="1"/>
  <c r="BX75" i="2" s="1"/>
  <c r="BV80" i="2"/>
  <c r="BX80" i="2" s="1"/>
  <c r="BV84" i="2"/>
  <c r="BX84" i="2" s="1"/>
  <c r="BV79" i="2"/>
  <c r="BX79" i="2" s="1"/>
  <c r="BV83" i="2"/>
  <c r="BX83" i="2" s="1"/>
  <c r="BV77" i="2"/>
  <c r="BX77" i="2" s="1"/>
  <c r="BV81" i="2"/>
  <c r="BX81" i="2" s="1"/>
  <c r="BV78" i="2"/>
  <c r="BX78" i="2" s="1"/>
  <c r="AK599" i="1"/>
  <c r="AK120" i="1"/>
  <c r="AK326" i="1"/>
  <c r="AK194" i="1"/>
  <c r="AK195" i="1"/>
  <c r="AK196" i="1"/>
  <c r="AK197" i="1"/>
  <c r="S188" i="10" l="1"/>
  <c r="W188" i="10"/>
  <c r="S189" i="10"/>
  <c r="W189" i="10"/>
  <c r="S190" i="10"/>
  <c r="W190" i="10"/>
  <c r="S191" i="10"/>
  <c r="W191" i="10"/>
  <c r="Y401" i="1" l="1"/>
  <c r="Y402" i="1"/>
  <c r="S414" i="10" l="1"/>
  <c r="S413" i="10"/>
  <c r="S412" i="10"/>
  <c r="S411" i="10"/>
  <c r="BB420" i="25"/>
  <c r="BL420" i="25" s="1"/>
  <c r="BB418" i="25"/>
  <c r="BL418" i="25" s="1"/>
  <c r="BB417" i="25"/>
  <c r="BL417" i="25" s="1"/>
  <c r="BB414" i="25"/>
  <c r="BL414" i="25" s="1"/>
  <c r="BB413" i="25"/>
  <c r="BL413" i="25" s="1"/>
  <c r="BB412" i="25"/>
  <c r="BL412" i="25" s="1"/>
  <c r="BB411" i="25"/>
  <c r="BL411" i="25" s="1"/>
  <c r="AO420" i="22"/>
  <c r="Y420" i="22"/>
  <c r="AO418" i="22"/>
  <c r="Y418" i="22"/>
  <c r="AO417" i="22"/>
  <c r="Y417" i="22"/>
  <c r="Y414" i="22"/>
  <c r="Y413" i="22"/>
  <c r="Y412" i="22"/>
  <c r="Y411" i="22"/>
  <c r="Q420" i="26"/>
  <c r="K420" i="26"/>
  <c r="AK420" i="26" s="1"/>
  <c r="Q418" i="26"/>
  <c r="K418" i="26"/>
  <c r="AK418" i="26" s="1"/>
  <c r="Q417" i="26"/>
  <c r="K417" i="26"/>
  <c r="AK417" i="26" s="1"/>
  <c r="Q414" i="26"/>
  <c r="K414" i="26"/>
  <c r="AK414" i="26" s="1"/>
  <c r="Q413" i="26"/>
  <c r="K413" i="26"/>
  <c r="AK413" i="26" s="1"/>
  <c r="Q412" i="26"/>
  <c r="K412" i="26"/>
  <c r="AK412" i="26" s="1"/>
  <c r="Q411" i="26"/>
  <c r="K411" i="26"/>
  <c r="AK411" i="26" s="1"/>
  <c r="BB416" i="2"/>
  <c r="BL416" i="2" s="1"/>
  <c r="BB421" i="2"/>
  <c r="BL421" i="2" s="1"/>
  <c r="BB420" i="2"/>
  <c r="BL420" i="2" s="1"/>
  <c r="BB418" i="2"/>
  <c r="BL418" i="2" s="1"/>
  <c r="BB417" i="2"/>
  <c r="BL417" i="2" s="1"/>
  <c r="BB414" i="2"/>
  <c r="BL414" i="2" s="1"/>
  <c r="BB413" i="2"/>
  <c r="BL413" i="2" s="1"/>
  <c r="BB412" i="2"/>
  <c r="BL412" i="2" s="1"/>
  <c r="BB411" i="2"/>
  <c r="BL411" i="2" s="1"/>
  <c r="AK421" i="1"/>
  <c r="Y421" i="1"/>
  <c r="AK420" i="1"/>
  <c r="Y420" i="1"/>
  <c r="AK418" i="1"/>
  <c r="Y418" i="1"/>
  <c r="AK417" i="1"/>
  <c r="Y417" i="1"/>
  <c r="AK414" i="1"/>
  <c r="Y414" i="1"/>
  <c r="AK413" i="1"/>
  <c r="Y413" i="1"/>
  <c r="AK412" i="1"/>
  <c r="Y412" i="1"/>
  <c r="AK411" i="1"/>
  <c r="Y411" i="1"/>
  <c r="AY421" i="17"/>
  <c r="AY420" i="17"/>
  <c r="AY418" i="17"/>
  <c r="AY417" i="17"/>
  <c r="AY414" i="17"/>
  <c r="AY413" i="17"/>
  <c r="AY412" i="17"/>
  <c r="AY411" i="17"/>
  <c r="AY409" i="17"/>
  <c r="AG421" i="15"/>
  <c r="M421" i="15"/>
  <c r="AG420" i="15"/>
  <c r="M420" i="15"/>
  <c r="AG418" i="15"/>
  <c r="M418" i="15"/>
  <c r="AG417" i="15"/>
  <c r="M417" i="15"/>
  <c r="AG414" i="15"/>
  <c r="M414" i="15"/>
  <c r="AG413" i="15"/>
  <c r="M413" i="15"/>
  <c r="M412" i="15"/>
  <c r="AG411" i="15"/>
  <c r="M411" i="15"/>
  <c r="BB434" i="25"/>
  <c r="BL434" i="25" s="1"/>
  <c r="BB433" i="25"/>
  <c r="BL433" i="25" s="1"/>
  <c r="BB432" i="25"/>
  <c r="BL432" i="25" s="1"/>
  <c r="BB431" i="25"/>
  <c r="BL431" i="25" s="1"/>
  <c r="BB430" i="25"/>
  <c r="BL430" i="25" s="1"/>
  <c r="BB415" i="25"/>
  <c r="BL415" i="25" s="1"/>
  <c r="BB408" i="25"/>
  <c r="BL408" i="25" s="1"/>
  <c r="BB407" i="25"/>
  <c r="BL407" i="25" s="1"/>
  <c r="BB406" i="25"/>
  <c r="BL406" i="25" s="1"/>
  <c r="BB405" i="25"/>
  <c r="BL405" i="25" s="1"/>
  <c r="BB404" i="25"/>
  <c r="BL404" i="25" s="1"/>
  <c r="AO434" i="22"/>
  <c r="AO433" i="22"/>
  <c r="Y433" i="22"/>
  <c r="AO432" i="22"/>
  <c r="AO431" i="22"/>
  <c r="Y431" i="22"/>
  <c r="AO430" i="22"/>
  <c r="Y415" i="22"/>
  <c r="Y408" i="22"/>
  <c r="Y407" i="22"/>
  <c r="Y406" i="22"/>
  <c r="Y405" i="22"/>
  <c r="AO404" i="22"/>
  <c r="Y404" i="22"/>
  <c r="Q434" i="26"/>
  <c r="K434" i="26"/>
  <c r="AK434" i="26" s="1"/>
  <c r="Q433" i="26"/>
  <c r="K433" i="26"/>
  <c r="AK433" i="26" s="1"/>
  <c r="Q432" i="26"/>
  <c r="K432" i="26"/>
  <c r="AK432" i="26" s="1"/>
  <c r="Q431" i="26"/>
  <c r="K431" i="26"/>
  <c r="AK431" i="26" s="1"/>
  <c r="Q430" i="26"/>
  <c r="K430" i="26"/>
  <c r="AK430" i="26" s="1"/>
  <c r="Q416" i="26"/>
  <c r="K416" i="26"/>
  <c r="AK416" i="26" s="1"/>
  <c r="Q415" i="26"/>
  <c r="K415" i="26"/>
  <c r="AK415" i="26" s="1"/>
  <c r="Q408" i="26"/>
  <c r="K408" i="26"/>
  <c r="AK408" i="26" s="1"/>
  <c r="Q407" i="26"/>
  <c r="K407" i="26"/>
  <c r="AK407" i="26" s="1"/>
  <c r="Q406" i="26"/>
  <c r="K406" i="26"/>
  <c r="AK406" i="26" s="1"/>
  <c r="Q405" i="26"/>
  <c r="K405" i="26"/>
  <c r="AK405" i="26" s="1"/>
  <c r="Q404" i="26"/>
  <c r="K404" i="26"/>
  <c r="AK404" i="26" s="1"/>
  <c r="BB434" i="2"/>
  <c r="BL434" i="2" s="1"/>
  <c r="BB433" i="2"/>
  <c r="BL433" i="2" s="1"/>
  <c r="BB432" i="2"/>
  <c r="BL432" i="2" s="1"/>
  <c r="BB431" i="2"/>
  <c r="BL431" i="2" s="1"/>
  <c r="BB430" i="2"/>
  <c r="BL430" i="2" s="1"/>
  <c r="BB415" i="2"/>
  <c r="BL415" i="2" s="1"/>
  <c r="BB408" i="2"/>
  <c r="BL408" i="2" s="1"/>
  <c r="BB407" i="2"/>
  <c r="BL407" i="2" s="1"/>
  <c r="BB406" i="2"/>
  <c r="BL406" i="2" s="1"/>
  <c r="BB405" i="2"/>
  <c r="BL405" i="2" s="1"/>
  <c r="BB404" i="2"/>
  <c r="BL404" i="2" s="1"/>
  <c r="AK434" i="1"/>
  <c r="AK433" i="1"/>
  <c r="Y433" i="1"/>
  <c r="AK432" i="1"/>
  <c r="AK431" i="1"/>
  <c r="Y431" i="1"/>
  <c r="AK430" i="1"/>
  <c r="Y430" i="1"/>
  <c r="AK416" i="1"/>
  <c r="Y416" i="1"/>
  <c r="AK415" i="1"/>
  <c r="Y415" i="1"/>
  <c r="AK408" i="1"/>
  <c r="Y408" i="1"/>
  <c r="AK407" i="1"/>
  <c r="Y407" i="1"/>
  <c r="AK406" i="1"/>
  <c r="Y406" i="1"/>
  <c r="AK405" i="1"/>
  <c r="Y405" i="1"/>
  <c r="AK404" i="1"/>
  <c r="Y404" i="1"/>
  <c r="AY434" i="17"/>
  <c r="AY433" i="17"/>
  <c r="AY432" i="17"/>
  <c r="AY431" i="17"/>
  <c r="AY430" i="17"/>
  <c r="AY416" i="17"/>
  <c r="AY415" i="17"/>
  <c r="AY408" i="17"/>
  <c r="AY407" i="17"/>
  <c r="AY406" i="17"/>
  <c r="AY405" i="17"/>
  <c r="AY404" i="17"/>
  <c r="M434" i="15"/>
  <c r="M433" i="15"/>
  <c r="M432" i="15"/>
  <c r="M431" i="15"/>
  <c r="M430" i="15"/>
  <c r="M416" i="15"/>
  <c r="M415" i="15"/>
  <c r="M408" i="15"/>
  <c r="M407" i="15"/>
  <c r="M406" i="15"/>
  <c r="M405" i="15"/>
  <c r="M404" i="15"/>
  <c r="AQ411" i="22" l="1"/>
  <c r="AQ412" i="22"/>
  <c r="AQ413" i="22"/>
  <c r="AQ414" i="22"/>
  <c r="AQ417" i="22"/>
  <c r="AQ420" i="22"/>
  <c r="AQ431" i="22"/>
  <c r="Y432" i="1"/>
  <c r="Y434" i="1"/>
  <c r="AQ404" i="22"/>
  <c r="AQ405" i="22"/>
  <c r="AQ406" i="22"/>
  <c r="AQ407" i="22"/>
  <c r="AQ408" i="22"/>
  <c r="AQ415" i="22"/>
  <c r="AQ433" i="22"/>
  <c r="AQ418" i="22"/>
  <c r="Y430" i="22"/>
  <c r="AQ430" i="22" s="1"/>
  <c r="Y434" i="22"/>
  <c r="AQ434" i="22" s="1"/>
  <c r="Y432" i="22"/>
  <c r="AQ432" i="22" s="1"/>
  <c r="AG412" i="15"/>
  <c r="BB599" i="25"/>
  <c r="BL599" i="25" s="1"/>
  <c r="Q599" i="26"/>
  <c r="K599" i="26"/>
  <c r="AK599" i="26" s="1"/>
  <c r="BB599" i="2"/>
  <c r="BL599" i="2" s="1"/>
  <c r="AY599" i="17"/>
  <c r="AG599" i="15"/>
  <c r="M599" i="15"/>
  <c r="AF599" i="16"/>
  <c r="W599" i="10"/>
  <c r="S599" i="10"/>
  <c r="Y599" i="22" l="1"/>
  <c r="Y599" i="1"/>
  <c r="AM599" i="1" s="1"/>
  <c r="BN599" i="2" s="1"/>
  <c r="AI599" i="15"/>
  <c r="BA599" i="17" l="1"/>
  <c r="BE599" i="17" s="1"/>
  <c r="BG599" i="17" s="1"/>
  <c r="AQ599" i="22"/>
  <c r="BN599" i="25" s="1"/>
  <c r="BV599" i="25" s="1"/>
  <c r="BX599" i="25" s="1"/>
  <c r="BB513" i="25" l="1"/>
  <c r="BL513" i="25" s="1"/>
  <c r="AO513" i="22"/>
  <c r="Y513" i="22"/>
  <c r="K513" i="26"/>
  <c r="AK513" i="26" s="1"/>
  <c r="BB513" i="2"/>
  <c r="BL513" i="2" s="1"/>
  <c r="AK513" i="1"/>
  <c r="Y513" i="1"/>
  <c r="AY513" i="17"/>
  <c r="AG513" i="15"/>
  <c r="M513" i="15"/>
  <c r="AF513" i="16"/>
  <c r="W513" i="10"/>
  <c r="S513" i="10"/>
  <c r="AQ513" i="22" l="1"/>
  <c r="BN513" i="25" s="1"/>
  <c r="BV513" i="25" s="1"/>
  <c r="AM513" i="1"/>
  <c r="BN513" i="2" s="1"/>
  <c r="AI513" i="15"/>
  <c r="AF509" i="16"/>
  <c r="BB498" i="25"/>
  <c r="Y498" i="22"/>
  <c r="AQ498" i="22" s="1"/>
  <c r="K498" i="26"/>
  <c r="AK498" i="26" s="1"/>
  <c r="BB498" i="2"/>
  <c r="Y498" i="1"/>
  <c r="AM498" i="1" s="1"/>
  <c r="AG498" i="15"/>
  <c r="M498" i="15"/>
  <c r="AF498" i="16"/>
  <c r="W498" i="10"/>
  <c r="S498" i="10"/>
  <c r="AF576" i="16"/>
  <c r="W576" i="10"/>
  <c r="S576" i="10"/>
  <c r="BA513" i="17" l="1"/>
  <c r="BE513" i="17" s="1"/>
  <c r="BG513" i="17" s="1"/>
  <c r="BX513" i="25"/>
  <c r="BL498" i="2"/>
  <c r="BN498" i="2" s="1"/>
  <c r="AY498" i="17"/>
  <c r="AI498" i="15"/>
  <c r="BL498" i="25"/>
  <c r="BN498" i="25" s="1"/>
  <c r="BV498" i="25" s="1"/>
  <c r="BA498" i="17" l="1"/>
  <c r="BE498" i="17" s="1"/>
  <c r="BG498" i="17" s="1"/>
  <c r="BX498" i="25"/>
  <c r="Y548" i="22" l="1"/>
  <c r="AQ548" i="22" s="1"/>
  <c r="AK548" i="1"/>
  <c r="Y548" i="1"/>
  <c r="Q548" i="26"/>
  <c r="AG548" i="15"/>
  <c r="M548" i="15"/>
  <c r="AF548" i="16"/>
  <c r="W548" i="10"/>
  <c r="S548" i="10"/>
  <c r="BB326" i="25"/>
  <c r="Y326" i="22"/>
  <c r="AQ326" i="22" s="1"/>
  <c r="Q326" i="26"/>
  <c r="K326" i="26"/>
  <c r="AK326" i="26" s="1"/>
  <c r="BB326" i="2"/>
  <c r="Y326" i="1"/>
  <c r="AM326" i="1" s="1"/>
  <c r="AY326" i="17"/>
  <c r="AG326" i="15"/>
  <c r="M326" i="15"/>
  <c r="AA326" i="16"/>
  <c r="AH326" i="16" s="1"/>
  <c r="AF326" i="16"/>
  <c r="W326" i="10"/>
  <c r="S326" i="10"/>
  <c r="M180" i="15"/>
  <c r="AY180" i="17"/>
  <c r="AF180" i="16"/>
  <c r="AA180" i="16"/>
  <c r="AH180" i="16" s="1"/>
  <c r="AG180" i="15" l="1"/>
  <c r="AI180" i="15" s="1"/>
  <c r="BA180" i="17" s="1"/>
  <c r="BE180" i="17" s="1"/>
  <c r="BG180" i="17" s="1"/>
  <c r="BB548" i="2"/>
  <c r="BL548" i="2" s="1"/>
  <c r="AI326" i="15"/>
  <c r="BA326" i="17" s="1"/>
  <c r="BE326" i="17" s="1"/>
  <c r="BG326" i="17" s="1"/>
  <c r="AI548" i="15"/>
  <c r="BL326" i="2"/>
  <c r="BN326" i="2" s="1"/>
  <c r="AM548" i="1"/>
  <c r="BL326" i="25"/>
  <c r="BN326" i="25" s="1"/>
  <c r="BV326" i="25" s="1"/>
  <c r="BX326" i="25" s="1"/>
  <c r="BB548" i="25"/>
  <c r="BL548" i="25" s="1"/>
  <c r="BN548" i="25" s="1"/>
  <c r="BV548" i="25" s="1"/>
  <c r="BX548" i="25" s="1"/>
  <c r="K548" i="26"/>
  <c r="AK548" i="26" s="1"/>
  <c r="AY548" i="17"/>
  <c r="BA548" i="17" l="1"/>
  <c r="BE548" i="17" s="1"/>
  <c r="BG548" i="17" s="1"/>
  <c r="BN548" i="2"/>
  <c r="AY552" i="17" l="1"/>
  <c r="S453" i="10" l="1"/>
  <c r="S451" i="10"/>
  <c r="BB450" i="25"/>
  <c r="BL450" i="25" s="1"/>
  <c r="Y450" i="22"/>
  <c r="AQ450" i="22" s="1"/>
  <c r="K450" i="26"/>
  <c r="AK450" i="26" s="1"/>
  <c r="BB450" i="2"/>
  <c r="BL450" i="2" s="1"/>
  <c r="Y450" i="1"/>
  <c r="AM450" i="1" s="1"/>
  <c r="AY450" i="17"/>
  <c r="M450" i="15"/>
  <c r="AG450" i="15"/>
  <c r="AF450" i="16"/>
  <c r="W450" i="10"/>
  <c r="W451" i="10"/>
  <c r="W452" i="10"/>
  <c r="W453" i="10"/>
  <c r="W454" i="10"/>
  <c r="S450" i="10"/>
  <c r="S452" i="10"/>
  <c r="BN450" i="2" l="1"/>
  <c r="AI450" i="15"/>
  <c r="BN450" i="25"/>
  <c r="BV450" i="25" s="1"/>
  <c r="BX450" i="25" s="1"/>
  <c r="BA450" i="17" l="1"/>
  <c r="BE450" i="17" s="1"/>
  <c r="BG450" i="17" s="1"/>
  <c r="BB337" i="25" l="1"/>
  <c r="BB338" i="25"/>
  <c r="Y337" i="22"/>
  <c r="AQ337" i="22" s="1"/>
  <c r="K337" i="26"/>
  <c r="AK337" i="26" s="1"/>
  <c r="BB337" i="2"/>
  <c r="BB338" i="2"/>
  <c r="Y337" i="1"/>
  <c r="AM337" i="1" s="1"/>
  <c r="AY337" i="17"/>
  <c r="AG337" i="15"/>
  <c r="M337" i="15"/>
  <c r="AF337" i="16"/>
  <c r="AA337" i="16"/>
  <c r="AH337" i="16" s="1"/>
  <c r="BL337" i="2" l="1"/>
  <c r="BN337" i="2" s="1"/>
  <c r="AI337" i="15"/>
  <c r="BA337" i="17" s="1"/>
  <c r="BE337" i="17" s="1"/>
  <c r="BG337" i="17" s="1"/>
  <c r="BL337" i="25"/>
  <c r="BN337" i="25" s="1"/>
  <c r="BV337" i="25" s="1"/>
  <c r="W337" i="10"/>
  <c r="S337" i="10"/>
  <c r="S338" i="10"/>
  <c r="BX337" i="25" l="1"/>
  <c r="BL338" i="25"/>
  <c r="S325" i="10" l="1"/>
  <c r="BB324" i="25"/>
  <c r="Y324" i="22"/>
  <c r="AQ324" i="22" s="1"/>
  <c r="K324" i="26"/>
  <c r="AK324" i="26" s="1"/>
  <c r="BB325" i="2"/>
  <c r="BB324" i="2"/>
  <c r="BL324" i="2" s="1"/>
  <c r="AK324" i="1"/>
  <c r="Y324" i="1"/>
  <c r="AG324" i="15"/>
  <c r="M324" i="15"/>
  <c r="AF324" i="16"/>
  <c r="AA324" i="16"/>
  <c r="AH324" i="16" s="1"/>
  <c r="W324" i="10"/>
  <c r="S324" i="10"/>
  <c r="BL324" i="25" l="1"/>
  <c r="BN324" i="25" s="1"/>
  <c r="BV324" i="25" s="1"/>
  <c r="BX324" i="25" s="1"/>
  <c r="AM324" i="1"/>
  <c r="BN324" i="2" s="1"/>
  <c r="AY324" i="17"/>
  <c r="AI324" i="15"/>
  <c r="BA324" i="17" l="1"/>
  <c r="BE324" i="17" s="1"/>
  <c r="BG324" i="17" s="1"/>
  <c r="AY310" i="17"/>
  <c r="AY311" i="17"/>
  <c r="AY312" i="17"/>
  <c r="AY315" i="17"/>
  <c r="AY316" i="17"/>
  <c r="AY317" i="17"/>
  <c r="AY313" i="17"/>
  <c r="AY314" i="17" l="1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A309" i="16"/>
  <c r="AH309" i="16" s="1"/>
  <c r="AA310" i="16"/>
  <c r="AH310" i="16" s="1"/>
  <c r="AA311" i="16"/>
  <c r="AH311" i="16" s="1"/>
  <c r="AA312" i="16"/>
  <c r="AH312" i="16" s="1"/>
  <c r="AA313" i="16"/>
  <c r="AH313" i="16" s="1"/>
  <c r="W307" i="10"/>
  <c r="W308" i="10"/>
  <c r="W309" i="10"/>
  <c r="W310" i="10"/>
  <c r="W311" i="10"/>
  <c r="W312" i="10"/>
  <c r="W313" i="10"/>
  <c r="S308" i="10"/>
  <c r="Y307" i="1"/>
  <c r="S307" i="10"/>
  <c r="Y306" i="22"/>
  <c r="BB306" i="25"/>
  <c r="BL306" i="25" s="1"/>
  <c r="BB307" i="25"/>
  <c r="BL307" i="25" s="1"/>
  <c r="BB305" i="25"/>
  <c r="Y305" i="22"/>
  <c r="AO305" i="22"/>
  <c r="AO306" i="22"/>
  <c r="AO307" i="22"/>
  <c r="K305" i="26"/>
  <c r="AK305" i="26" s="1"/>
  <c r="BB306" i="2"/>
  <c r="BL306" i="2" s="1"/>
  <c r="BB307" i="2"/>
  <c r="BL307" i="2" s="1"/>
  <c r="BB305" i="2"/>
  <c r="Y305" i="1"/>
  <c r="AK305" i="1"/>
  <c r="AK306" i="1"/>
  <c r="AK307" i="1"/>
  <c r="AY306" i="17"/>
  <c r="AY307" i="17"/>
  <c r="AY308" i="17"/>
  <c r="AY305" i="17"/>
  <c r="AG306" i="15"/>
  <c r="AG307" i="15"/>
  <c r="AG305" i="15"/>
  <c r="M305" i="15"/>
  <c r="AF305" i="16"/>
  <c r="AF306" i="16"/>
  <c r="AF307" i="16"/>
  <c r="AA305" i="16"/>
  <c r="AH305" i="16" s="1"/>
  <c r="AA306" i="16"/>
  <c r="AH306" i="16" s="1"/>
  <c r="AA307" i="16"/>
  <c r="AH307" i="16" s="1"/>
  <c r="W305" i="10"/>
  <c r="W306" i="10"/>
  <c r="S305" i="10"/>
  <c r="S306" i="10"/>
  <c r="AQ305" i="22" l="1"/>
  <c r="AQ306" i="22"/>
  <c r="BL305" i="2"/>
  <c r="AI305" i="15"/>
  <c r="BA305" i="17" s="1"/>
  <c r="BE305" i="17" s="1"/>
  <c r="BG305" i="17" s="1"/>
  <c r="BL305" i="25"/>
  <c r="AM305" i="1"/>
  <c r="Y306" i="1"/>
  <c r="AM306" i="1" s="1"/>
  <c r="BN306" i="2" s="1"/>
  <c r="AM307" i="1"/>
  <c r="BN307" i="2" s="1"/>
  <c r="S403" i="10"/>
  <c r="S402" i="10"/>
  <c r="S401" i="10"/>
  <c r="S400" i="10"/>
  <c r="S399" i="10"/>
  <c r="S398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8" i="10"/>
  <c r="BB403" i="25"/>
  <c r="BL403" i="25" s="1"/>
  <c r="BB402" i="25"/>
  <c r="BL402" i="25" s="1"/>
  <c r="BB401" i="25"/>
  <c r="BL401" i="25" s="1"/>
  <c r="BB400" i="25"/>
  <c r="BL400" i="25" s="1"/>
  <c r="BB399" i="25"/>
  <c r="BL399" i="25" s="1"/>
  <c r="BB398" i="25"/>
  <c r="BL398" i="25" s="1"/>
  <c r="BB397" i="25"/>
  <c r="BL397" i="25" s="1"/>
  <c r="BB396" i="25"/>
  <c r="BL396" i="25" s="1"/>
  <c r="BB395" i="25"/>
  <c r="BL395" i="25" s="1"/>
  <c r="BB394" i="25"/>
  <c r="BL394" i="25" s="1"/>
  <c r="BB393" i="25"/>
  <c r="BL393" i="25" s="1"/>
  <c r="BB392" i="25"/>
  <c r="BL392" i="25" s="1"/>
  <c r="BB391" i="25"/>
  <c r="BL391" i="25" s="1"/>
  <c r="BB390" i="25"/>
  <c r="BL390" i="25" s="1"/>
  <c r="BB389" i="25"/>
  <c r="BL389" i="25" s="1"/>
  <c r="BB388" i="25"/>
  <c r="BL388" i="25" s="1"/>
  <c r="BB387" i="25"/>
  <c r="BL387" i="25" s="1"/>
  <c r="BB386" i="25"/>
  <c r="BL386" i="25" s="1"/>
  <c r="BB384" i="25"/>
  <c r="BL384" i="25" s="1"/>
  <c r="BB383" i="25"/>
  <c r="BL383" i="25" s="1"/>
  <c r="BB382" i="25"/>
  <c r="BL382" i="25" s="1"/>
  <c r="BB381" i="25"/>
  <c r="BL381" i="25" s="1"/>
  <c r="BB380" i="25"/>
  <c r="BL380" i="25" s="1"/>
  <c r="BB379" i="25"/>
  <c r="BL379" i="25" s="1"/>
  <c r="BB378" i="25"/>
  <c r="BL378" i="25" s="1"/>
  <c r="BB376" i="25"/>
  <c r="BL376" i="25" s="1"/>
  <c r="AO403" i="22"/>
  <c r="AO402" i="22"/>
  <c r="Y402" i="22"/>
  <c r="AO401" i="22"/>
  <c r="Y401" i="22"/>
  <c r="AO400" i="22"/>
  <c r="AO399" i="22"/>
  <c r="Y399" i="22"/>
  <c r="AO398" i="22"/>
  <c r="Y398" i="22"/>
  <c r="AO397" i="22"/>
  <c r="Y397" i="22"/>
  <c r="AO396" i="22"/>
  <c r="Y396" i="22"/>
  <c r="AO395" i="22"/>
  <c r="AO394" i="22"/>
  <c r="AO393" i="22"/>
  <c r="Y393" i="22"/>
  <c r="AO392" i="22"/>
  <c r="AO391" i="22"/>
  <c r="Y391" i="22"/>
  <c r="AO390" i="22"/>
  <c r="AO389" i="22"/>
  <c r="Y389" i="22"/>
  <c r="AO388" i="22"/>
  <c r="Y388" i="22"/>
  <c r="AO387" i="22"/>
  <c r="Y387" i="22"/>
  <c r="AO386" i="22"/>
  <c r="Y386" i="22"/>
  <c r="AO385" i="22"/>
  <c r="AO384" i="22"/>
  <c r="Y384" i="22"/>
  <c r="AO383" i="22"/>
  <c r="AO382" i="22"/>
  <c r="Y382" i="22"/>
  <c r="AO381" i="22"/>
  <c r="Y381" i="22"/>
  <c r="AO380" i="22"/>
  <c r="Y380" i="22"/>
  <c r="AO379" i="22"/>
  <c r="AO378" i="22"/>
  <c r="Y378" i="22"/>
  <c r="AO376" i="22"/>
  <c r="Y376" i="22"/>
  <c r="Q403" i="26"/>
  <c r="K403" i="26"/>
  <c r="AK403" i="26" s="1"/>
  <c r="Q402" i="26"/>
  <c r="K402" i="26"/>
  <c r="AK402" i="26" s="1"/>
  <c r="Q401" i="26"/>
  <c r="K401" i="26"/>
  <c r="AK401" i="26" s="1"/>
  <c r="Q400" i="26"/>
  <c r="K400" i="26"/>
  <c r="AK400" i="26" s="1"/>
  <c r="Q399" i="26"/>
  <c r="K399" i="26"/>
  <c r="AK399" i="26" s="1"/>
  <c r="Q398" i="26"/>
  <c r="K398" i="26"/>
  <c r="AK398" i="26" s="1"/>
  <c r="Q397" i="26"/>
  <c r="K397" i="26"/>
  <c r="AK397" i="26" s="1"/>
  <c r="Q396" i="26"/>
  <c r="K396" i="26"/>
  <c r="AK396" i="26" s="1"/>
  <c r="Q395" i="26"/>
  <c r="K395" i="26"/>
  <c r="AK395" i="26" s="1"/>
  <c r="Q394" i="26"/>
  <c r="K394" i="26"/>
  <c r="AK394" i="26" s="1"/>
  <c r="Q393" i="26"/>
  <c r="K393" i="26"/>
  <c r="AK393" i="26" s="1"/>
  <c r="Q392" i="26"/>
  <c r="K392" i="26"/>
  <c r="AK392" i="26" s="1"/>
  <c r="Q391" i="26"/>
  <c r="K391" i="26"/>
  <c r="AK391" i="26" s="1"/>
  <c r="Q390" i="26"/>
  <c r="K390" i="26"/>
  <c r="AK390" i="26" s="1"/>
  <c r="Q389" i="26"/>
  <c r="K389" i="26"/>
  <c r="AK389" i="26" s="1"/>
  <c r="Q388" i="26"/>
  <c r="K388" i="26"/>
  <c r="AK388" i="26" s="1"/>
  <c r="Q387" i="26"/>
  <c r="K387" i="26"/>
  <c r="AK387" i="26" s="1"/>
  <c r="Q386" i="26"/>
  <c r="K386" i="26"/>
  <c r="AK386" i="26" s="1"/>
  <c r="Q385" i="26"/>
  <c r="K385" i="26"/>
  <c r="AK385" i="26" s="1"/>
  <c r="Q384" i="26"/>
  <c r="K384" i="26"/>
  <c r="AK384" i="26" s="1"/>
  <c r="Q383" i="26"/>
  <c r="K383" i="26"/>
  <c r="AK383" i="26" s="1"/>
  <c r="Q382" i="26"/>
  <c r="K382" i="26"/>
  <c r="AK382" i="26" s="1"/>
  <c r="Q381" i="26"/>
  <c r="K381" i="26"/>
  <c r="AK381" i="26" s="1"/>
  <c r="Q380" i="26"/>
  <c r="K380" i="26"/>
  <c r="AK380" i="26" s="1"/>
  <c r="Q379" i="26"/>
  <c r="K379" i="26"/>
  <c r="AK379" i="26" s="1"/>
  <c r="Q378" i="26"/>
  <c r="K378" i="26"/>
  <c r="AK378" i="26" s="1"/>
  <c r="Q376" i="26"/>
  <c r="K376" i="26"/>
  <c r="AK376" i="26" s="1"/>
  <c r="BB403" i="2"/>
  <c r="BL403" i="2" s="1"/>
  <c r="BB402" i="2"/>
  <c r="BL402" i="2" s="1"/>
  <c r="BB401" i="2"/>
  <c r="BL401" i="2" s="1"/>
  <c r="BB400" i="2"/>
  <c r="BL400" i="2" s="1"/>
  <c r="BB399" i="2"/>
  <c r="BL399" i="2" s="1"/>
  <c r="BB398" i="2"/>
  <c r="BL398" i="2" s="1"/>
  <c r="BB397" i="2"/>
  <c r="BL397" i="2" s="1"/>
  <c r="BB396" i="2"/>
  <c r="BL396" i="2" s="1"/>
  <c r="BB395" i="2"/>
  <c r="BL395" i="2" s="1"/>
  <c r="BB394" i="2"/>
  <c r="BL394" i="2" s="1"/>
  <c r="BB393" i="2"/>
  <c r="BL393" i="2" s="1"/>
  <c r="BB392" i="2"/>
  <c r="BL392" i="2" s="1"/>
  <c r="BB391" i="2"/>
  <c r="BL391" i="2" s="1"/>
  <c r="BB390" i="2"/>
  <c r="BL390" i="2" s="1"/>
  <c r="BB389" i="2"/>
  <c r="BL389" i="2" s="1"/>
  <c r="BB388" i="2"/>
  <c r="BL388" i="2" s="1"/>
  <c r="BB387" i="2"/>
  <c r="BL387" i="2" s="1"/>
  <c r="BB386" i="2"/>
  <c r="BL386" i="2" s="1"/>
  <c r="BB384" i="2"/>
  <c r="BL384" i="2" s="1"/>
  <c r="BB383" i="2"/>
  <c r="BL383" i="2" s="1"/>
  <c r="BB382" i="2"/>
  <c r="BL382" i="2" s="1"/>
  <c r="BB381" i="2"/>
  <c r="BL381" i="2" s="1"/>
  <c r="BB380" i="2"/>
  <c r="BL380" i="2" s="1"/>
  <c r="BB379" i="2"/>
  <c r="BL379" i="2" s="1"/>
  <c r="BB378" i="2"/>
  <c r="BL378" i="2" s="1"/>
  <c r="BB376" i="2"/>
  <c r="BL376" i="2" s="1"/>
  <c r="AK403" i="1"/>
  <c r="Y403" i="1"/>
  <c r="AK402" i="1"/>
  <c r="AK401" i="1"/>
  <c r="AK400" i="1"/>
  <c r="Y400" i="1"/>
  <c r="AK399" i="1"/>
  <c r="Y399" i="1"/>
  <c r="AK398" i="1"/>
  <c r="Y398" i="1"/>
  <c r="AK397" i="1"/>
  <c r="Y397" i="1"/>
  <c r="AK396" i="1"/>
  <c r="Y396" i="1"/>
  <c r="AK395" i="1"/>
  <c r="Y395" i="1"/>
  <c r="AK394" i="1"/>
  <c r="AK393" i="1"/>
  <c r="Y393" i="1"/>
  <c r="AK392" i="1"/>
  <c r="Y392" i="1"/>
  <c r="Y391" i="1"/>
  <c r="AM391" i="1" s="1"/>
  <c r="AK390" i="1"/>
  <c r="AK389" i="1"/>
  <c r="Y389" i="1"/>
  <c r="AK388" i="1"/>
  <c r="Y388" i="1"/>
  <c r="AK387" i="1"/>
  <c r="Y387" i="1"/>
  <c r="AK386" i="1"/>
  <c r="Y386" i="1"/>
  <c r="AK385" i="1"/>
  <c r="Y385" i="1"/>
  <c r="AK384" i="1"/>
  <c r="Y384" i="1"/>
  <c r="AK383" i="1"/>
  <c r="Y383" i="1"/>
  <c r="AK382" i="1"/>
  <c r="Y382" i="1"/>
  <c r="AK381" i="1"/>
  <c r="Y381" i="1"/>
  <c r="AK380" i="1"/>
  <c r="Y380" i="1"/>
  <c r="AK379" i="1"/>
  <c r="Y379" i="1"/>
  <c r="AK378" i="1"/>
  <c r="Y378" i="1"/>
  <c r="AK376" i="1"/>
  <c r="Y376" i="1"/>
  <c r="AY403" i="17"/>
  <c r="AY402" i="17"/>
  <c r="AY401" i="17"/>
  <c r="AY400" i="17"/>
  <c r="AY399" i="17"/>
  <c r="AY398" i="17"/>
  <c r="AY397" i="17"/>
  <c r="AY396" i="17"/>
  <c r="AY395" i="17"/>
  <c r="AY394" i="17"/>
  <c r="AY393" i="17"/>
  <c r="AY392" i="17"/>
  <c r="AY391" i="17"/>
  <c r="AY390" i="17"/>
  <c r="AY389" i="17"/>
  <c r="BA389" i="17" s="1"/>
  <c r="AY388" i="17"/>
  <c r="AY387" i="17"/>
  <c r="AY386" i="17"/>
  <c r="AY385" i="17"/>
  <c r="AY384" i="17"/>
  <c r="AY383" i="17"/>
  <c r="AY382" i="17"/>
  <c r="AY381" i="17"/>
  <c r="AY380" i="17"/>
  <c r="AY379" i="17"/>
  <c r="AY378" i="17"/>
  <c r="AY376" i="17"/>
  <c r="M403" i="15"/>
  <c r="AG402" i="15"/>
  <c r="M402" i="15"/>
  <c r="AG401" i="15"/>
  <c r="M401" i="15"/>
  <c r="AG400" i="15"/>
  <c r="M400" i="15"/>
  <c r="AG399" i="15"/>
  <c r="M399" i="15"/>
  <c r="AG398" i="15"/>
  <c r="M398" i="15"/>
  <c r="AG397" i="15"/>
  <c r="M397" i="15"/>
  <c r="AG396" i="15"/>
  <c r="M396" i="15"/>
  <c r="M395" i="15"/>
  <c r="AG394" i="15"/>
  <c r="M394" i="15"/>
  <c r="AG393" i="15"/>
  <c r="M393" i="15"/>
  <c r="AG392" i="15"/>
  <c r="M392" i="15"/>
  <c r="AG391" i="15"/>
  <c r="M391" i="15"/>
  <c r="AG390" i="15"/>
  <c r="M390" i="15"/>
  <c r="AG388" i="15"/>
  <c r="M388" i="15"/>
  <c r="AG387" i="15"/>
  <c r="M387" i="15"/>
  <c r="AG386" i="15"/>
  <c r="M386" i="15"/>
  <c r="AG385" i="15"/>
  <c r="M385" i="15"/>
  <c r="AG384" i="15"/>
  <c r="M384" i="15"/>
  <c r="AG383" i="15"/>
  <c r="M383" i="15"/>
  <c r="AG382" i="15"/>
  <c r="M382" i="15"/>
  <c r="AG381" i="15"/>
  <c r="M381" i="15"/>
  <c r="AG380" i="15"/>
  <c r="M380" i="15"/>
  <c r="AG379" i="15"/>
  <c r="M379" i="15"/>
  <c r="AG378" i="15"/>
  <c r="M378" i="15"/>
  <c r="AG376" i="15"/>
  <c r="M376" i="15"/>
  <c r="AA381" i="16"/>
  <c r="AH381" i="16" s="1"/>
  <c r="AA380" i="16"/>
  <c r="AH380" i="16" s="1"/>
  <c r="AA379" i="16"/>
  <c r="AH379" i="16" s="1"/>
  <c r="AA378" i="16"/>
  <c r="AH378" i="16" s="1"/>
  <c r="AA376" i="16"/>
  <c r="AH376" i="16" s="1"/>
  <c r="BN305" i="2" l="1"/>
  <c r="BN391" i="2"/>
  <c r="BV306" i="2"/>
  <c r="BX306" i="2" s="1"/>
  <c r="BN305" i="25"/>
  <c r="BV305" i="25" s="1"/>
  <c r="BX305" i="25" s="1"/>
  <c r="AI376" i="15"/>
  <c r="AI380" i="15"/>
  <c r="AQ376" i="22"/>
  <c r="AQ378" i="22"/>
  <c r="AQ384" i="22"/>
  <c r="AQ391" i="22"/>
  <c r="AQ401" i="22"/>
  <c r="AQ380" i="22"/>
  <c r="AQ381" i="22"/>
  <c r="AQ382" i="22"/>
  <c r="Y383" i="22"/>
  <c r="AQ383" i="22" s="1"/>
  <c r="AQ386" i="22"/>
  <c r="AQ387" i="22"/>
  <c r="AQ388" i="22"/>
  <c r="AQ389" i="22"/>
  <c r="Y390" i="22"/>
  <c r="AQ390" i="22" s="1"/>
  <c r="AQ393" i="22"/>
  <c r="Y394" i="22"/>
  <c r="AQ394" i="22" s="1"/>
  <c r="AQ396" i="22"/>
  <c r="AQ397" i="22"/>
  <c r="AQ398" i="22"/>
  <c r="AQ399" i="22"/>
  <c r="AQ402" i="22"/>
  <c r="Y403" i="22"/>
  <c r="AQ403" i="22" s="1"/>
  <c r="AM376" i="1"/>
  <c r="BN376" i="2" s="1"/>
  <c r="AM380" i="1"/>
  <c r="BN380" i="2" s="1"/>
  <c r="AM381" i="1"/>
  <c r="BN381" i="2" s="1"/>
  <c r="AM385" i="1"/>
  <c r="AI382" i="15"/>
  <c r="AI383" i="15"/>
  <c r="AI384" i="15"/>
  <c r="AI385" i="15"/>
  <c r="AI386" i="15"/>
  <c r="AI387" i="15"/>
  <c r="AI388" i="15"/>
  <c r="AI390" i="15"/>
  <c r="BA390" i="17" s="1"/>
  <c r="AI397" i="15"/>
  <c r="BA397" i="17" s="1"/>
  <c r="AI398" i="15"/>
  <c r="BA398" i="17" s="1"/>
  <c r="AI399" i="15"/>
  <c r="BA399" i="17" s="1"/>
  <c r="AI400" i="15"/>
  <c r="BA400" i="17" s="1"/>
  <c r="AM393" i="1"/>
  <c r="BN393" i="2" s="1"/>
  <c r="S376" i="10"/>
  <c r="S397" i="10"/>
  <c r="Y379" i="22"/>
  <c r="AQ379" i="22" s="1"/>
  <c r="Y395" i="22"/>
  <c r="AQ395" i="22" s="1"/>
  <c r="AI401" i="15"/>
  <c r="BA401" i="17" s="1"/>
  <c r="BB385" i="2"/>
  <c r="BL385" i="2" s="1"/>
  <c r="AM382" i="1"/>
  <c r="BN382" i="2" s="1"/>
  <c r="AM383" i="1"/>
  <c r="BN383" i="2" s="1"/>
  <c r="AM388" i="1"/>
  <c r="BN388" i="2" s="1"/>
  <c r="Y390" i="1"/>
  <c r="AM390" i="1" s="1"/>
  <c r="BN390" i="2" s="1"/>
  <c r="Y394" i="1"/>
  <c r="AM394" i="1" s="1"/>
  <c r="BN394" i="2" s="1"/>
  <c r="AM396" i="1"/>
  <c r="BN396" i="2" s="1"/>
  <c r="AM397" i="1"/>
  <c r="BN397" i="2" s="1"/>
  <c r="AM399" i="1"/>
  <c r="BN399" i="2" s="1"/>
  <c r="AM400" i="1"/>
  <c r="BN400" i="2" s="1"/>
  <c r="AM402" i="1"/>
  <c r="BN402" i="2" s="1"/>
  <c r="AM403" i="1"/>
  <c r="BN403" i="2" s="1"/>
  <c r="BB385" i="25"/>
  <c r="BL385" i="25" s="1"/>
  <c r="S379" i="10"/>
  <c r="Y385" i="22"/>
  <c r="AQ385" i="22" s="1"/>
  <c r="Y392" i="22"/>
  <c r="AQ392" i="22" s="1"/>
  <c r="Y400" i="22"/>
  <c r="AQ400" i="22" s="1"/>
  <c r="AM378" i="1"/>
  <c r="BN378" i="2" s="1"/>
  <c r="AM384" i="1"/>
  <c r="BN384" i="2" s="1"/>
  <c r="AM386" i="1"/>
  <c r="BN386" i="2" s="1"/>
  <c r="AM389" i="1"/>
  <c r="BN389" i="2" s="1"/>
  <c r="AM392" i="1"/>
  <c r="BN392" i="2" s="1"/>
  <c r="AM398" i="1"/>
  <c r="BN398" i="2" s="1"/>
  <c r="AM401" i="1"/>
  <c r="BN401" i="2" s="1"/>
  <c r="AM395" i="1"/>
  <c r="BN395" i="2" s="1"/>
  <c r="AI379" i="15"/>
  <c r="AI391" i="15"/>
  <c r="BA391" i="17" s="1"/>
  <c r="AI392" i="15"/>
  <c r="BA392" i="17" s="1"/>
  <c r="AI393" i="15"/>
  <c r="BA393" i="17" s="1"/>
  <c r="AI394" i="15"/>
  <c r="BA394" i="17" s="1"/>
  <c r="AG395" i="15"/>
  <c r="AI395" i="15" s="1"/>
  <c r="BA395" i="17" s="1"/>
  <c r="AI396" i="15"/>
  <c r="BA396" i="17" s="1"/>
  <c r="AI402" i="15"/>
  <c r="BA402" i="17" s="1"/>
  <c r="AG403" i="15"/>
  <c r="AI403" i="15" s="1"/>
  <c r="BA403" i="17" s="1"/>
  <c r="AI378" i="15"/>
  <c r="AI381" i="15"/>
  <c r="AM379" i="1"/>
  <c r="BN379" i="2" s="1"/>
  <c r="AM387" i="1"/>
  <c r="BN387" i="2" s="1"/>
  <c r="BN385" i="2" l="1"/>
  <c r="K287" i="26"/>
  <c r="AK287" i="26" s="1"/>
  <c r="AY287" i="17"/>
  <c r="M283" i="15"/>
  <c r="M287" i="15"/>
  <c r="M288" i="15"/>
  <c r="M289" i="15"/>
  <c r="AH285" i="16"/>
  <c r="AH286" i="16"/>
  <c r="AA287" i="16"/>
  <c r="AH287" i="16" s="1"/>
  <c r="AA288" i="16"/>
  <c r="AH288" i="16" s="1"/>
  <c r="BG284" i="17" l="1"/>
  <c r="BG285" i="17"/>
  <c r="AF280" i="16"/>
  <c r="AF281" i="16"/>
  <c r="AF282" i="16"/>
  <c r="AF283" i="16"/>
  <c r="AF284" i="16"/>
  <c r="AF285" i="16"/>
  <c r="W287" i="10"/>
  <c r="W279" i="10"/>
  <c r="W280" i="10"/>
  <c r="W281" i="10"/>
  <c r="W282" i="10"/>
  <c r="W283" i="10" l="1"/>
  <c r="Y275" i="22"/>
  <c r="AG275" i="15"/>
  <c r="W274" i="10"/>
  <c r="W277" i="10"/>
  <c r="W278" i="10"/>
  <c r="S275" i="10"/>
  <c r="Y274" i="1"/>
  <c r="AG274" i="15"/>
  <c r="BB271" i="25"/>
  <c r="BL271" i="25" s="1"/>
  <c r="BB272" i="25"/>
  <c r="BL272" i="25" s="1"/>
  <c r="BB273" i="25"/>
  <c r="BL273" i="25" s="1"/>
  <c r="BB274" i="25"/>
  <c r="BL274" i="25" s="1"/>
  <c r="BB275" i="25"/>
  <c r="BL275" i="25" s="1"/>
  <c r="Y271" i="22"/>
  <c r="Y272" i="22"/>
  <c r="AQ272" i="22" s="1"/>
  <c r="Q272" i="26"/>
  <c r="Q273" i="26"/>
  <c r="Q274" i="26"/>
  <c r="Q275" i="26"/>
  <c r="Q277" i="26"/>
  <c r="K271" i="26"/>
  <c r="AK271" i="26" s="1"/>
  <c r="K272" i="26"/>
  <c r="AK272" i="26" s="1"/>
  <c r="K273" i="26"/>
  <c r="AK273" i="26" s="1"/>
  <c r="K274" i="26"/>
  <c r="AK274" i="26" s="1"/>
  <c r="K275" i="26"/>
  <c r="AK275" i="26" s="1"/>
  <c r="K277" i="26"/>
  <c r="AK277" i="26" s="1"/>
  <c r="BB271" i="2"/>
  <c r="BL271" i="2" s="1"/>
  <c r="BB272" i="2"/>
  <c r="BL272" i="2" s="1"/>
  <c r="BB273" i="2"/>
  <c r="BL273" i="2" s="1"/>
  <c r="BB274" i="2"/>
  <c r="Y271" i="1"/>
  <c r="Y272" i="1"/>
  <c r="AM272" i="1" s="1"/>
  <c r="BN272" i="2" s="1"/>
  <c r="Y273" i="1"/>
  <c r="AY271" i="17"/>
  <c r="AY273" i="17"/>
  <c r="AY274" i="17"/>
  <c r="AY272" i="17"/>
  <c r="AG271" i="15"/>
  <c r="AG273" i="15"/>
  <c r="M271" i="15"/>
  <c r="M272" i="15"/>
  <c r="M273" i="15"/>
  <c r="M274" i="15"/>
  <c r="M275" i="15"/>
  <c r="AF271" i="16"/>
  <c r="AF272" i="16"/>
  <c r="AF273" i="16"/>
  <c r="AF274" i="16"/>
  <c r="AF275" i="16"/>
  <c r="AF277" i="16"/>
  <c r="AF278" i="16"/>
  <c r="AA271" i="16"/>
  <c r="AH271" i="16" s="1"/>
  <c r="AA272" i="16"/>
  <c r="AH272" i="16" s="1"/>
  <c r="AA273" i="16"/>
  <c r="AH273" i="16" s="1"/>
  <c r="AA274" i="16"/>
  <c r="AH274" i="16" s="1"/>
  <c r="AA275" i="16"/>
  <c r="AH275" i="16" s="1"/>
  <c r="AA277" i="16"/>
  <c r="AH277" i="16" s="1"/>
  <c r="S271" i="10"/>
  <c r="S272" i="10"/>
  <c r="S273" i="10"/>
  <c r="S274" i="10"/>
  <c r="S277" i="10"/>
  <c r="S278" i="10"/>
  <c r="S279" i="10"/>
  <c r="S280" i="10"/>
  <c r="W271" i="10"/>
  <c r="W272" i="10"/>
  <c r="W273" i="10"/>
  <c r="Y270" i="1"/>
  <c r="BB269" i="25"/>
  <c r="BL269" i="25" s="1"/>
  <c r="BB270" i="25"/>
  <c r="BL270" i="25" s="1"/>
  <c r="Y269" i="22"/>
  <c r="Q270" i="26"/>
  <c r="Q271" i="26"/>
  <c r="K270" i="26"/>
  <c r="AK270" i="26" s="1"/>
  <c r="BB269" i="2"/>
  <c r="BL269" i="2" s="1"/>
  <c r="BB270" i="2"/>
  <c r="BL270" i="2" s="1"/>
  <c r="Y269" i="1"/>
  <c r="AY269" i="17"/>
  <c r="AY270" i="17"/>
  <c r="AG270" i="15"/>
  <c r="M270" i="15"/>
  <c r="AF270" i="16"/>
  <c r="AA270" i="16"/>
  <c r="AH270" i="16" s="1"/>
  <c r="W270" i="10"/>
  <c r="W259" i="10"/>
  <c r="W260" i="10"/>
  <c r="W261" i="10"/>
  <c r="W262" i="10"/>
  <c r="W263" i="10"/>
  <c r="W264" i="10"/>
  <c r="W265" i="10"/>
  <c r="W266" i="10"/>
  <c r="W267" i="10"/>
  <c r="W268" i="10"/>
  <c r="W269" i="10"/>
  <c r="Y263" i="1"/>
  <c r="Y262" i="22"/>
  <c r="Y262" i="1"/>
  <c r="AY262" i="17"/>
  <c r="BB262" i="25"/>
  <c r="BB261" i="25"/>
  <c r="BL261" i="25" s="1"/>
  <c r="Q261" i="26"/>
  <c r="Q262" i="26"/>
  <c r="K261" i="26"/>
  <c r="AK261" i="26" s="1"/>
  <c r="K262" i="26"/>
  <c r="AK262" i="26" s="1"/>
  <c r="BB261" i="2"/>
  <c r="BB262" i="2"/>
  <c r="Y261" i="1"/>
  <c r="AM261" i="1" s="1"/>
  <c r="AY261" i="17"/>
  <c r="AG262" i="15"/>
  <c r="AG261" i="15"/>
  <c r="M261" i="15"/>
  <c r="AF261" i="16"/>
  <c r="AF262" i="16"/>
  <c r="AA261" i="16"/>
  <c r="AH261" i="16" s="1"/>
  <c r="AA262" i="16"/>
  <c r="AH262" i="16" s="1"/>
  <c r="W258" i="10"/>
  <c r="AY239" i="17"/>
  <c r="M240" i="15"/>
  <c r="AA240" i="16"/>
  <c r="AH240" i="16" s="1"/>
  <c r="Y239" i="22"/>
  <c r="BB239" i="2"/>
  <c r="BL239" i="2" s="1"/>
  <c r="Y239" i="1"/>
  <c r="AG239" i="15"/>
  <c r="M239" i="15"/>
  <c r="W239" i="10"/>
  <c r="S239" i="10"/>
  <c r="Y240" i="1"/>
  <c r="Q235" i="26"/>
  <c r="Q236" i="26"/>
  <c r="AY235" i="17"/>
  <c r="Y233" i="22"/>
  <c r="BB233" i="25"/>
  <c r="BB233" i="2"/>
  <c r="BL233" i="2" s="1"/>
  <c r="AY233" i="17"/>
  <c r="AG233" i="15"/>
  <c r="W233" i="10"/>
  <c r="S233" i="10"/>
  <c r="BB234" i="25"/>
  <c r="AG234" i="15"/>
  <c r="S253" i="10"/>
  <c r="S254" i="10"/>
  <c r="BB219" i="2"/>
  <c r="Y219" i="1"/>
  <c r="AY219" i="17"/>
  <c r="AG219" i="15"/>
  <c r="S219" i="10"/>
  <c r="Y216" i="1"/>
  <c r="BB216" i="25"/>
  <c r="BL216" i="25" s="1"/>
  <c r="BB216" i="2"/>
  <c r="BL216" i="2" s="1"/>
  <c r="Y207" i="22"/>
  <c r="BB207" i="25"/>
  <c r="BL207" i="25" s="1"/>
  <c r="Q207" i="26"/>
  <c r="K207" i="26"/>
  <c r="AK207" i="26" s="1"/>
  <c r="BB207" i="2"/>
  <c r="AY207" i="17"/>
  <c r="AG207" i="15"/>
  <c r="S207" i="10"/>
  <c r="W207" i="10"/>
  <c r="K206" i="26"/>
  <c r="AK206" i="26" s="1"/>
  <c r="BB206" i="2"/>
  <c r="BL206" i="2" s="1"/>
  <c r="Y206" i="1"/>
  <c r="BB205" i="25"/>
  <c r="BB206" i="25"/>
  <c r="BL206" i="25" s="1"/>
  <c r="Y205" i="22"/>
  <c r="AQ205" i="22" s="1"/>
  <c r="Q205" i="26"/>
  <c r="Q206" i="26"/>
  <c r="K205" i="26"/>
  <c r="AK205" i="26" s="1"/>
  <c r="BB205" i="2"/>
  <c r="BB208" i="2"/>
  <c r="BL208" i="2" s="1"/>
  <c r="Y205" i="1"/>
  <c r="AM205" i="1" s="1"/>
  <c r="AY205" i="17"/>
  <c r="AY206" i="17"/>
  <c r="AG205" i="15"/>
  <c r="AG206" i="15"/>
  <c r="M206" i="15"/>
  <c r="AF206" i="16"/>
  <c r="AA206" i="16"/>
  <c r="AH206" i="16" s="1"/>
  <c r="AA207" i="16"/>
  <c r="AH207" i="16" s="1"/>
  <c r="W205" i="10"/>
  <c r="W206" i="10"/>
  <c r="S205" i="10"/>
  <c r="S206" i="10"/>
  <c r="Y198" i="1"/>
  <c r="BB197" i="25"/>
  <c r="BL197" i="25" s="1"/>
  <c r="BB196" i="25"/>
  <c r="BL196" i="25" s="1"/>
  <c r="Y196" i="22"/>
  <c r="AQ196" i="22" s="1"/>
  <c r="Q196" i="26"/>
  <c r="K196" i="26"/>
  <c r="AK196" i="26" s="1"/>
  <c r="K197" i="26"/>
  <c r="AK197" i="26" s="1"/>
  <c r="BB196" i="2"/>
  <c r="BL196" i="2" s="1"/>
  <c r="BB197" i="2"/>
  <c r="BL197" i="2" s="1"/>
  <c r="Y197" i="1"/>
  <c r="Y196" i="1"/>
  <c r="AM196" i="1" s="1"/>
  <c r="AY196" i="17"/>
  <c r="AY197" i="17"/>
  <c r="AG196" i="15"/>
  <c r="M196" i="15"/>
  <c r="AA196" i="16"/>
  <c r="AH196" i="16" s="1"/>
  <c r="AF196" i="16"/>
  <c r="S196" i="10"/>
  <c r="S197" i="10"/>
  <c r="W196" i="10"/>
  <c r="W197" i="10"/>
  <c r="BB194" i="25"/>
  <c r="BL194" i="25" s="1"/>
  <c r="Y194" i="22"/>
  <c r="AQ194" i="22" s="1"/>
  <c r="Q194" i="26"/>
  <c r="K194" i="26"/>
  <c r="AK194" i="26" s="1"/>
  <c r="BB194" i="2"/>
  <c r="Y194" i="1"/>
  <c r="AM194" i="1" s="1"/>
  <c r="AY194" i="17"/>
  <c r="AY195" i="17"/>
  <c r="AG195" i="15"/>
  <c r="AG194" i="15"/>
  <c r="M194" i="15"/>
  <c r="W194" i="10"/>
  <c r="W195" i="10"/>
  <c r="S194" i="10"/>
  <c r="AF194" i="16"/>
  <c r="AA194" i="16"/>
  <c r="AH194" i="16" s="1"/>
  <c r="AA195" i="16"/>
  <c r="AH195" i="16" s="1"/>
  <c r="Y187" i="22"/>
  <c r="Y187" i="1"/>
  <c r="AG187" i="15"/>
  <c r="W187" i="10"/>
  <c r="BB187" i="25"/>
  <c r="BB188" i="25"/>
  <c r="Q187" i="26"/>
  <c r="K187" i="26"/>
  <c r="AK187" i="26" s="1"/>
  <c r="K188" i="26"/>
  <c r="AK188" i="26" s="1"/>
  <c r="BB187" i="2"/>
  <c r="BL187" i="2" s="1"/>
  <c r="AY187" i="17"/>
  <c r="BN196" i="2" l="1"/>
  <c r="Y216" i="22"/>
  <c r="AI196" i="15"/>
  <c r="BA196" i="17" s="1"/>
  <c r="BE196" i="17" s="1"/>
  <c r="BG196" i="17" s="1"/>
  <c r="BL194" i="2"/>
  <c r="BN194" i="2" s="1"/>
  <c r="BL274" i="2"/>
  <c r="AA205" i="16"/>
  <c r="AH205" i="16" s="1"/>
  <c r="Y273" i="22"/>
  <c r="Y274" i="22"/>
  <c r="BL233" i="25"/>
  <c r="Y261" i="22"/>
  <c r="BL205" i="2"/>
  <c r="BN205" i="2" s="1"/>
  <c r="BL207" i="2"/>
  <c r="BL262" i="2"/>
  <c r="AG272" i="15"/>
  <c r="AI272" i="15" s="1"/>
  <c r="BA272" i="17" s="1"/>
  <c r="BE272" i="17" s="1"/>
  <c r="BG272" i="17" s="1"/>
  <c r="BL205" i="25"/>
  <c r="BN205" i="25" s="1"/>
  <c r="BV205" i="25" s="1"/>
  <c r="BX205" i="25" s="1"/>
  <c r="AI261" i="15"/>
  <c r="BA261" i="17" s="1"/>
  <c r="BE261" i="17" s="1"/>
  <c r="BG261" i="17" s="1"/>
  <c r="Y270" i="22"/>
  <c r="BL261" i="2"/>
  <c r="BN261" i="2" s="1"/>
  <c r="M205" i="15"/>
  <c r="AI205" i="15" s="1"/>
  <c r="BA205" i="17" s="1"/>
  <c r="BE205" i="17" s="1"/>
  <c r="BG205" i="17" s="1"/>
  <c r="AI206" i="15"/>
  <c r="BA206" i="17" s="1"/>
  <c r="BE206" i="17" s="1"/>
  <c r="BG206" i="17" s="1"/>
  <c r="S270" i="10"/>
  <c r="BL262" i="25"/>
  <c r="AI194" i="15"/>
  <c r="BA194" i="17" s="1"/>
  <c r="BE194" i="17" s="1"/>
  <c r="BG194" i="17" s="1"/>
  <c r="AI239" i="15"/>
  <c r="BA239" i="17" s="1"/>
  <c r="BE239" i="17" s="1"/>
  <c r="BG239" i="17" s="1"/>
  <c r="AI271" i="15"/>
  <c r="BA271" i="17" s="1"/>
  <c r="BE271" i="17" s="1"/>
  <c r="BG271" i="17" s="1"/>
  <c r="W275" i="10"/>
  <c r="BN272" i="25"/>
  <c r="BV272" i="25" s="1"/>
  <c r="BX272" i="25" s="1"/>
  <c r="AI274" i="15"/>
  <c r="BA274" i="17" s="1"/>
  <c r="BE274" i="17" s="1"/>
  <c r="BG274" i="17" s="1"/>
  <c r="AI275" i="15"/>
  <c r="AF205" i="16"/>
  <c r="AI273" i="15"/>
  <c r="BA273" i="17" s="1"/>
  <c r="BE273" i="17" s="1"/>
  <c r="BG273" i="17" s="1"/>
  <c r="AI270" i="15"/>
  <c r="BA270" i="17" s="1"/>
  <c r="BE270" i="17" s="1"/>
  <c r="BG270" i="17" s="1"/>
  <c r="BN196" i="25"/>
  <c r="BV196" i="25" s="1"/>
  <c r="BN194" i="25"/>
  <c r="BV194" i="25" s="1"/>
  <c r="M187" i="15"/>
  <c r="AI187" i="15" s="1"/>
  <c r="BA187" i="17" s="1"/>
  <c r="BE187" i="17" s="1"/>
  <c r="BG187" i="17" s="1"/>
  <c r="S103" i="10"/>
  <c r="AG186" i="15"/>
  <c r="AG188" i="15"/>
  <c r="AG189" i="15"/>
  <c r="AY185" i="17"/>
  <c r="AY186" i="17"/>
  <c r="AY188" i="17"/>
  <c r="AY189" i="17"/>
  <c r="AY190" i="17"/>
  <c r="S183" i="10"/>
  <c r="Y182" i="22"/>
  <c r="Y182" i="1"/>
  <c r="BB181" i="25"/>
  <c r="Y181" i="22"/>
  <c r="AY181" i="17"/>
  <c r="S181" i="10"/>
  <c r="BB179" i="25"/>
  <c r="Y179" i="22"/>
  <c r="AQ179" i="22" s="1"/>
  <c r="Q179" i="26"/>
  <c r="Q181" i="26"/>
  <c r="K179" i="26"/>
  <c r="AK179" i="26" s="1"/>
  <c r="K181" i="26"/>
  <c r="AK181" i="26" s="1"/>
  <c r="K182" i="26"/>
  <c r="AK182" i="26" s="1"/>
  <c r="K183" i="26"/>
  <c r="AK183" i="26" s="1"/>
  <c r="BB179" i="2"/>
  <c r="BB181" i="2"/>
  <c r="BB182" i="2"/>
  <c r="Y179" i="1"/>
  <c r="AM179" i="1" s="1"/>
  <c r="AY179" i="17"/>
  <c r="AG181" i="15"/>
  <c r="AG182" i="15"/>
  <c r="AG183" i="15"/>
  <c r="AG179" i="15"/>
  <c r="M179" i="15"/>
  <c r="AF179" i="16"/>
  <c r="AA179" i="16"/>
  <c r="AH179" i="16" s="1"/>
  <c r="AA181" i="16"/>
  <c r="AH181" i="16" s="1"/>
  <c r="S179" i="10"/>
  <c r="W179" i="10"/>
  <c r="W181" i="10"/>
  <c r="Y181" i="1"/>
  <c r="S173" i="10"/>
  <c r="Y171" i="22"/>
  <c r="Y171" i="1"/>
  <c r="BB172" i="25"/>
  <c r="BL172" i="25" s="1"/>
  <c r="Y172" i="22"/>
  <c r="Q171" i="26"/>
  <c r="Q172" i="26"/>
  <c r="Q173" i="26"/>
  <c r="BB171" i="2"/>
  <c r="BL171" i="2" s="1"/>
  <c r="BB172" i="2"/>
  <c r="Y172" i="1"/>
  <c r="AY171" i="17"/>
  <c r="AY172" i="17"/>
  <c r="AG171" i="15"/>
  <c r="AG172" i="15"/>
  <c r="AF171" i="16"/>
  <c r="AA171" i="16"/>
  <c r="AH171" i="16" s="1"/>
  <c r="AA172" i="16"/>
  <c r="AH172" i="16" s="1"/>
  <c r="AA173" i="16"/>
  <c r="AH173" i="16" s="1"/>
  <c r="W171" i="10"/>
  <c r="W172" i="10"/>
  <c r="S171" i="10"/>
  <c r="S170" i="10"/>
  <c r="Y166" i="22"/>
  <c r="Y166" i="1"/>
  <c r="BB165" i="25"/>
  <c r="BL165" i="25" s="1"/>
  <c r="BB165" i="2"/>
  <c r="Y165" i="1"/>
  <c r="AY165" i="17"/>
  <c r="BB164" i="25"/>
  <c r="Y165" i="22"/>
  <c r="Y164" i="22"/>
  <c r="AQ164" i="22" s="1"/>
  <c r="Q164" i="26"/>
  <c r="Q165" i="26"/>
  <c r="K164" i="26"/>
  <c r="AK164" i="26" s="1"/>
  <c r="BB164" i="2"/>
  <c r="BL164" i="2" s="1"/>
  <c r="BB166" i="2"/>
  <c r="Y164" i="1"/>
  <c r="AM164" i="1" s="1"/>
  <c r="AY164" i="17"/>
  <c r="AG164" i="15"/>
  <c r="M164" i="15"/>
  <c r="AF164" i="16"/>
  <c r="AF165" i="16"/>
  <c r="AA164" i="16"/>
  <c r="AH164" i="16" s="1"/>
  <c r="AA165" i="16"/>
  <c r="AH165" i="16" s="1"/>
  <c r="S164" i="10"/>
  <c r="W164" i="10"/>
  <c r="W165" i="10"/>
  <c r="W166" i="10"/>
  <c r="S165" i="10"/>
  <c r="Y159" i="1"/>
  <c r="Y158" i="22"/>
  <c r="Y158" i="1"/>
  <c r="Y157" i="22"/>
  <c r="BB157" i="25"/>
  <c r="BL157" i="25" s="1"/>
  <c r="BB158" i="25"/>
  <c r="BL158" i="25" s="1"/>
  <c r="BB156" i="25"/>
  <c r="BL156" i="25" s="1"/>
  <c r="Y156" i="22"/>
  <c r="AQ156" i="22" s="1"/>
  <c r="Q156" i="26"/>
  <c r="Q157" i="26"/>
  <c r="Q158" i="26"/>
  <c r="Q159" i="26"/>
  <c r="K156" i="26"/>
  <c r="AK156" i="26" s="1"/>
  <c r="K157" i="26"/>
  <c r="AK157" i="26" s="1"/>
  <c r="K158" i="26"/>
  <c r="AK158" i="26" s="1"/>
  <c r="K159" i="26"/>
  <c r="AK159" i="26" s="1"/>
  <c r="K160" i="26"/>
  <c r="AK160" i="26" s="1"/>
  <c r="BB157" i="2"/>
  <c r="BL157" i="2" s="1"/>
  <c r="BB158" i="2"/>
  <c r="BL158" i="2" s="1"/>
  <c r="BB156" i="2"/>
  <c r="BL156" i="2" s="1"/>
  <c r="Y157" i="1"/>
  <c r="Y156" i="1"/>
  <c r="AM156" i="1" s="1"/>
  <c r="AY156" i="17"/>
  <c r="AY157" i="17"/>
  <c r="AG156" i="15"/>
  <c r="AG157" i="15"/>
  <c r="M156" i="15"/>
  <c r="AA156" i="16"/>
  <c r="AH156" i="16" s="1"/>
  <c r="AF156" i="16"/>
  <c r="W156" i="10"/>
  <c r="W157" i="10"/>
  <c r="W158" i="10"/>
  <c r="S156" i="10"/>
  <c r="S157" i="10"/>
  <c r="S158" i="10"/>
  <c r="S155" i="10"/>
  <c r="Y155" i="1"/>
  <c r="BB153" i="25"/>
  <c r="Y153" i="22"/>
  <c r="Y153" i="1"/>
  <c r="Y152" i="22"/>
  <c r="W152" i="10"/>
  <c r="W153" i="10"/>
  <c r="BB152" i="25"/>
  <c r="BB154" i="25"/>
  <c r="BL154" i="25" s="1"/>
  <c r="Q152" i="26"/>
  <c r="Q153" i="26"/>
  <c r="K152" i="26"/>
  <c r="AK152" i="26" s="1"/>
  <c r="K153" i="26"/>
  <c r="AK153" i="26" s="1"/>
  <c r="K154" i="26"/>
  <c r="AK154" i="26" s="1"/>
  <c r="K155" i="26"/>
  <c r="AK155" i="26" s="1"/>
  <c r="Y152" i="1"/>
  <c r="Y154" i="1"/>
  <c r="BB152" i="2"/>
  <c r="BL152" i="2" s="1"/>
  <c r="AY152" i="17"/>
  <c r="AY153" i="17"/>
  <c r="AG152" i="15"/>
  <c r="AG153" i="15"/>
  <c r="M152" i="15"/>
  <c r="AA152" i="16"/>
  <c r="AH152" i="16" s="1"/>
  <c r="S151" i="10"/>
  <c r="Y151" i="22"/>
  <c r="BB150" i="25"/>
  <c r="BL150" i="25" s="1"/>
  <c r="Y150" i="22"/>
  <c r="Y150" i="1"/>
  <c r="Y148" i="22"/>
  <c r="AA145" i="16"/>
  <c r="AH145" i="16" s="1"/>
  <c r="BB149" i="25"/>
  <c r="BL149" i="25" s="1"/>
  <c r="Q149" i="26"/>
  <c r="Q150" i="26"/>
  <c r="Q151" i="26"/>
  <c r="K149" i="26"/>
  <c r="AK149" i="26" s="1"/>
  <c r="K150" i="26"/>
  <c r="AK150" i="26" s="1"/>
  <c r="K151" i="26"/>
  <c r="AK151" i="26" s="1"/>
  <c r="BB149" i="2"/>
  <c r="BL149" i="2" s="1"/>
  <c r="AY149" i="17"/>
  <c r="M149" i="15"/>
  <c r="W149" i="10"/>
  <c r="BB147" i="25"/>
  <c r="BL147" i="25" s="1"/>
  <c r="BB148" i="25"/>
  <c r="Q147" i="26"/>
  <c r="Q148" i="26"/>
  <c r="K147" i="26"/>
  <c r="AK147" i="26" s="1"/>
  <c r="K148" i="26"/>
  <c r="AK148" i="26" s="1"/>
  <c r="BB147" i="2"/>
  <c r="AY147" i="17"/>
  <c r="AG147" i="15"/>
  <c r="AG148" i="15"/>
  <c r="AG149" i="15"/>
  <c r="AG150" i="15"/>
  <c r="AG151" i="15"/>
  <c r="S144" i="10"/>
  <c r="BB144" i="25"/>
  <c r="BL144" i="25" s="1"/>
  <c r="Y144" i="22"/>
  <c r="AQ144" i="22" s="1"/>
  <c r="Q144" i="26"/>
  <c r="K144" i="26"/>
  <c r="AK144" i="26" s="1"/>
  <c r="BB144" i="2"/>
  <c r="Y144" i="1"/>
  <c r="AM144" i="1" s="1"/>
  <c r="AG144" i="15"/>
  <c r="M144" i="15"/>
  <c r="AA144" i="16"/>
  <c r="AH144" i="16" s="1"/>
  <c r="W144" i="10"/>
  <c r="W145" i="10"/>
  <c r="S132" i="10"/>
  <c r="Y131" i="22"/>
  <c r="AQ131" i="22" s="1"/>
  <c r="S126" i="10"/>
  <c r="W126" i="10"/>
  <c r="BB126" i="25"/>
  <c r="Y126" i="22"/>
  <c r="AQ126" i="22" s="1"/>
  <c r="Q126" i="26"/>
  <c r="K126" i="26"/>
  <c r="AK126" i="26" s="1"/>
  <c r="BB126" i="2"/>
  <c r="Y126" i="1"/>
  <c r="AM126" i="1" s="1"/>
  <c r="AY126" i="17"/>
  <c r="AG126" i="15"/>
  <c r="M126" i="15"/>
  <c r="AA126" i="16"/>
  <c r="AH126" i="16" s="1"/>
  <c r="W120" i="10"/>
  <c r="BB120" i="25"/>
  <c r="BL120" i="25" s="1"/>
  <c r="Y120" i="22"/>
  <c r="AQ120" i="22" s="1"/>
  <c r="Q120" i="26"/>
  <c r="K120" i="26"/>
  <c r="AK120" i="26" s="1"/>
  <c r="BB120" i="2"/>
  <c r="BL120" i="2" s="1"/>
  <c r="Y120" i="1"/>
  <c r="AM120" i="1" s="1"/>
  <c r="AY120" i="17"/>
  <c r="AG120" i="15"/>
  <c r="M120" i="15"/>
  <c r="AA120" i="16"/>
  <c r="AH120" i="16" s="1"/>
  <c r="S120" i="10"/>
  <c r="BN164" i="2" l="1"/>
  <c r="BN120" i="2"/>
  <c r="BV120" i="2" s="1"/>
  <c r="BX120" i="2" s="1"/>
  <c r="BN156" i="2"/>
  <c r="AI149" i="15"/>
  <c r="BX194" i="25"/>
  <c r="BX196" i="25"/>
  <c r="AQ261" i="22"/>
  <c r="BN261" i="25" s="1"/>
  <c r="BV261" i="25" s="1"/>
  <c r="BX261" i="25" s="1"/>
  <c r="BL153" i="25"/>
  <c r="Y149" i="1"/>
  <c r="Y147" i="1"/>
  <c r="BL165" i="2"/>
  <c r="BL181" i="25"/>
  <c r="BL181" i="2"/>
  <c r="BL179" i="2"/>
  <c r="AI126" i="15"/>
  <c r="BA126" i="17" s="1"/>
  <c r="BE126" i="17" s="1"/>
  <c r="BG126" i="17" s="1"/>
  <c r="S182" i="10"/>
  <c r="W182" i="10"/>
  <c r="AI179" i="15"/>
  <c r="BA179" i="17" s="1"/>
  <c r="BE179" i="17" s="1"/>
  <c r="BG179" i="17" s="1"/>
  <c r="BL126" i="25"/>
  <c r="BN126" i="25" s="1"/>
  <c r="BV126" i="25" s="1"/>
  <c r="BX126" i="25" s="1"/>
  <c r="Y149" i="22"/>
  <c r="BL144" i="2"/>
  <c r="BN144" i="2" s="1"/>
  <c r="AY144" i="17"/>
  <c r="BL148" i="25"/>
  <c r="Y147" i="22"/>
  <c r="AI164" i="15"/>
  <c r="BA164" i="17" s="1"/>
  <c r="BE164" i="17" s="1"/>
  <c r="BG164" i="17" s="1"/>
  <c r="BL164" i="25"/>
  <c r="BN164" i="25" s="1"/>
  <c r="BV164" i="25" s="1"/>
  <c r="BX164" i="25" s="1"/>
  <c r="BL179" i="25"/>
  <c r="BN179" i="25" s="1"/>
  <c r="BV179" i="25" s="1"/>
  <c r="AI144" i="15"/>
  <c r="AI120" i="15"/>
  <c r="BA120" i="17" s="1"/>
  <c r="BE120" i="17" s="1"/>
  <c r="BG120" i="17" s="1"/>
  <c r="AI156" i="15"/>
  <c r="BA156" i="17" s="1"/>
  <c r="BE156" i="17" s="1"/>
  <c r="BG156" i="17" s="1"/>
  <c r="BN156" i="25"/>
  <c r="BV156" i="25" s="1"/>
  <c r="BL152" i="25"/>
  <c r="AI152" i="15"/>
  <c r="BA152" i="17" s="1"/>
  <c r="BE152" i="17" s="1"/>
  <c r="BG152" i="17" s="1"/>
  <c r="BN144" i="25"/>
  <c r="BV144" i="25" s="1"/>
  <c r="BX144" i="25" s="1"/>
  <c r="BN120" i="25"/>
  <c r="BV120" i="25" s="1"/>
  <c r="BL126" i="2"/>
  <c r="BN126" i="2" s="1"/>
  <c r="BN179" i="2" l="1"/>
  <c r="BV126" i="2"/>
  <c r="BX126" i="2" s="1"/>
  <c r="BA144" i="17"/>
  <c r="BE144" i="17" s="1"/>
  <c r="BG144" i="17" s="1"/>
  <c r="BX179" i="25"/>
  <c r="BX156" i="25"/>
  <c r="BX120" i="25"/>
  <c r="AA116" i="16"/>
  <c r="AH116" i="16" s="1"/>
  <c r="AG116" i="15" l="1"/>
  <c r="S116" i="10"/>
  <c r="Y102" i="22"/>
  <c r="AQ102" i="22" s="1"/>
  <c r="BB101" i="25"/>
  <c r="BL101" i="25" s="1"/>
  <c r="W90" i="10"/>
  <c r="W91" i="10"/>
  <c r="Q90" i="26"/>
  <c r="K90" i="26"/>
  <c r="AK90" i="26" s="1"/>
  <c r="AG90" i="15"/>
  <c r="K89" i="26"/>
  <c r="AK89" i="26" s="1"/>
  <c r="S269" i="10"/>
  <c r="S268" i="10"/>
  <c r="S267" i="10"/>
  <c r="S266" i="10"/>
  <c r="S265" i="10"/>
  <c r="S264" i="10"/>
  <c r="S263" i="10"/>
  <c r="S262" i="10"/>
  <c r="S260" i="10"/>
  <c r="S259" i="10"/>
  <c r="S258" i="10"/>
  <c r="BB268" i="25"/>
  <c r="BL268" i="25" s="1"/>
  <c r="BB267" i="25"/>
  <c r="BL267" i="25" s="1"/>
  <c r="BB266" i="25"/>
  <c r="BL266" i="25" s="1"/>
  <c r="BB265" i="25"/>
  <c r="BL265" i="25" s="1"/>
  <c r="BB264" i="25"/>
  <c r="BL264" i="25" s="1"/>
  <c r="BB263" i="25"/>
  <c r="BL263" i="25" s="1"/>
  <c r="BB260" i="25"/>
  <c r="BL260" i="25" s="1"/>
  <c r="BB259" i="25"/>
  <c r="BL259" i="25" s="1"/>
  <c r="BB258" i="25"/>
  <c r="BL258" i="25" s="1"/>
  <c r="AO271" i="22"/>
  <c r="AO270" i="22"/>
  <c r="AO269" i="22"/>
  <c r="AO268" i="22"/>
  <c r="Y268" i="22"/>
  <c r="AO267" i="22"/>
  <c r="Y267" i="22"/>
  <c r="AO266" i="22"/>
  <c r="Y266" i="22"/>
  <c r="AO265" i="22"/>
  <c r="Y265" i="22"/>
  <c r="AO264" i="22"/>
  <c r="Y264" i="22"/>
  <c r="AO263" i="22"/>
  <c r="Y263" i="22"/>
  <c r="AO262" i="22"/>
  <c r="AO260" i="22"/>
  <c r="Y260" i="22"/>
  <c r="AO259" i="22"/>
  <c r="Y259" i="22"/>
  <c r="AO258" i="22"/>
  <c r="Y258" i="22"/>
  <c r="Q269" i="26"/>
  <c r="K269" i="26"/>
  <c r="AK269" i="26" s="1"/>
  <c r="Q268" i="26"/>
  <c r="K268" i="26"/>
  <c r="AK268" i="26" s="1"/>
  <c r="Q267" i="26"/>
  <c r="Q266" i="26"/>
  <c r="K266" i="26"/>
  <c r="AK266" i="26" s="1"/>
  <c r="Q265" i="26"/>
  <c r="K265" i="26"/>
  <c r="AK265" i="26" s="1"/>
  <c r="Q264" i="26"/>
  <c r="K264" i="26"/>
  <c r="AK264" i="26" s="1"/>
  <c r="Q263" i="26"/>
  <c r="K263" i="26"/>
  <c r="AK263" i="26" s="1"/>
  <c r="Q260" i="26"/>
  <c r="Q259" i="26"/>
  <c r="K259" i="26"/>
  <c r="AK259" i="26" s="1"/>
  <c r="Q258" i="26"/>
  <c r="K258" i="26"/>
  <c r="AK258" i="26" s="1"/>
  <c r="BB268" i="2"/>
  <c r="BL268" i="2" s="1"/>
  <c r="BB267" i="2"/>
  <c r="BL267" i="2" s="1"/>
  <c r="BB266" i="2"/>
  <c r="BL266" i="2" s="1"/>
  <c r="BB265" i="2"/>
  <c r="BL265" i="2" s="1"/>
  <c r="BB264" i="2"/>
  <c r="BL264" i="2" s="1"/>
  <c r="BB263" i="2"/>
  <c r="BL263" i="2" s="1"/>
  <c r="BB260" i="2"/>
  <c r="BL260" i="2" s="1"/>
  <c r="BB259" i="2"/>
  <c r="BL259" i="2" s="1"/>
  <c r="BB258" i="2"/>
  <c r="BL258" i="2" s="1"/>
  <c r="AK271" i="1"/>
  <c r="AM271" i="1" s="1"/>
  <c r="AK270" i="1"/>
  <c r="AM270" i="1" s="1"/>
  <c r="BN270" i="2" s="1"/>
  <c r="AK269" i="1"/>
  <c r="AM269" i="1" s="1"/>
  <c r="BN269" i="2" s="1"/>
  <c r="AK268" i="1"/>
  <c r="Y268" i="1"/>
  <c r="AK267" i="1"/>
  <c r="Y267" i="1"/>
  <c r="AK266" i="1"/>
  <c r="Y266" i="1"/>
  <c r="AK265" i="1"/>
  <c r="Y265" i="1"/>
  <c r="AK264" i="1"/>
  <c r="Y264" i="1"/>
  <c r="AK263" i="1"/>
  <c r="AM263" i="1" s="1"/>
  <c r="AK262" i="1"/>
  <c r="AM262" i="1" s="1"/>
  <c r="BN262" i="2" s="1"/>
  <c r="AK260" i="1"/>
  <c r="Y260" i="1"/>
  <c r="AK259" i="1"/>
  <c r="Y259" i="1"/>
  <c r="AK258" i="1"/>
  <c r="Y258" i="1"/>
  <c r="AY268" i="17"/>
  <c r="AY267" i="17"/>
  <c r="AY266" i="17"/>
  <c r="AY265" i="17"/>
  <c r="AY264" i="17"/>
  <c r="AY263" i="17"/>
  <c r="AY260" i="17"/>
  <c r="AY259" i="17"/>
  <c r="AY258" i="17"/>
  <c r="AG269" i="15"/>
  <c r="M269" i="15"/>
  <c r="AG268" i="15"/>
  <c r="M268" i="15"/>
  <c r="AG267" i="15"/>
  <c r="M267" i="15"/>
  <c r="AG266" i="15"/>
  <c r="M266" i="15"/>
  <c r="AG265" i="15"/>
  <c r="M265" i="15"/>
  <c r="AG264" i="15"/>
  <c r="M264" i="15"/>
  <c r="AG263" i="15"/>
  <c r="M263" i="15"/>
  <c r="M262" i="15"/>
  <c r="AI262" i="15" s="1"/>
  <c r="BA262" i="17" s="1"/>
  <c r="BE262" i="17" s="1"/>
  <c r="BG262" i="17" s="1"/>
  <c r="AG260" i="15"/>
  <c r="M260" i="15"/>
  <c r="AG258" i="15"/>
  <c r="M258" i="15"/>
  <c r="AF266" i="16"/>
  <c r="AA266" i="16"/>
  <c r="AH266" i="16" s="1"/>
  <c r="AF265" i="16"/>
  <c r="AA265" i="16"/>
  <c r="AH265" i="16" s="1"/>
  <c r="AF264" i="16"/>
  <c r="AA264" i="16"/>
  <c r="AH264" i="16" s="1"/>
  <c r="AF263" i="16"/>
  <c r="AA263" i="16"/>
  <c r="AH263" i="16" s="1"/>
  <c r="AF260" i="16"/>
  <c r="AA260" i="16"/>
  <c r="AH260" i="16" s="1"/>
  <c r="AF258" i="16"/>
  <c r="AA258" i="16"/>
  <c r="AH258" i="16" s="1"/>
  <c r="K260" i="26"/>
  <c r="AK260" i="26" s="1"/>
  <c r="K267" i="26"/>
  <c r="AK267" i="26" s="1"/>
  <c r="Y585" i="22"/>
  <c r="Y253" i="1"/>
  <c r="Y252" i="22"/>
  <c r="BB248" i="2"/>
  <c r="BL248" i="2" s="1"/>
  <c r="S225" i="10"/>
  <c r="AF225" i="16"/>
  <c r="W512" i="10"/>
  <c r="AY238" i="17"/>
  <c r="AG242" i="15"/>
  <c r="Y596" i="22"/>
  <c r="W533" i="10"/>
  <c r="W98" i="10"/>
  <c r="W97" i="10"/>
  <c r="W95" i="10"/>
  <c r="W96" i="10"/>
  <c r="W94" i="10"/>
  <c r="W93" i="10"/>
  <c r="W92" i="10"/>
  <c r="W89" i="10"/>
  <c r="W88" i="10"/>
  <c r="W87" i="10"/>
  <c r="W86" i="10"/>
  <c r="W85" i="10"/>
  <c r="S89" i="10"/>
  <c r="S88" i="10"/>
  <c r="S87" i="10"/>
  <c r="S86" i="10"/>
  <c r="S85" i="10"/>
  <c r="Q89" i="26"/>
  <c r="Q88" i="26"/>
  <c r="K88" i="26"/>
  <c r="AK88" i="26" s="1"/>
  <c r="BX87" i="25"/>
  <c r="Q87" i="26"/>
  <c r="K87" i="26"/>
  <c r="AK87" i="26" s="1"/>
  <c r="BX86" i="25"/>
  <c r="Q86" i="26"/>
  <c r="K86" i="26"/>
  <c r="AK86" i="26" s="1"/>
  <c r="BX85" i="25"/>
  <c r="Q85" i="26"/>
  <c r="K85" i="26"/>
  <c r="AK85" i="26" s="1"/>
  <c r="AF89" i="16"/>
  <c r="AA89" i="16"/>
  <c r="AH89" i="16" s="1"/>
  <c r="AF88" i="16"/>
  <c r="AA88" i="16"/>
  <c r="AH88" i="16" s="1"/>
  <c r="AF87" i="16"/>
  <c r="AA87" i="16"/>
  <c r="AH87" i="16" s="1"/>
  <c r="AF86" i="16"/>
  <c r="AA86" i="16"/>
  <c r="AH86" i="16" s="1"/>
  <c r="AF85" i="16"/>
  <c r="AA85" i="16"/>
  <c r="AH85" i="16" s="1"/>
  <c r="S539" i="10"/>
  <c r="S538" i="10"/>
  <c r="S537" i="10"/>
  <c r="S536" i="10"/>
  <c r="S535" i="10"/>
  <c r="S534" i="10"/>
  <c r="S533" i="10"/>
  <c r="S532" i="10"/>
  <c r="S531" i="10"/>
  <c r="S530" i="10"/>
  <c r="S529" i="10"/>
  <c r="S528" i="10"/>
  <c r="S527" i="10"/>
  <c r="S526" i="10"/>
  <c r="S525" i="10"/>
  <c r="S524" i="10"/>
  <c r="S523" i="10"/>
  <c r="S522" i="10"/>
  <c r="S521" i="10"/>
  <c r="S520" i="10"/>
  <c r="S519" i="10"/>
  <c r="S518" i="10"/>
  <c r="S517" i="10"/>
  <c r="S516" i="10"/>
  <c r="S515" i="10"/>
  <c r="S514" i="10"/>
  <c r="S512" i="10"/>
  <c r="S511" i="10"/>
  <c r="S510" i="10"/>
  <c r="S509" i="10"/>
  <c r="S508" i="10"/>
  <c r="S507" i="10"/>
  <c r="S506" i="10"/>
  <c r="S505" i="10"/>
  <c r="S504" i="10"/>
  <c r="S503" i="10"/>
  <c r="S502" i="10"/>
  <c r="S501" i="10"/>
  <c r="S500" i="10"/>
  <c r="S499" i="10"/>
  <c r="S497" i="10"/>
  <c r="S496" i="10"/>
  <c r="S495" i="10"/>
  <c r="S494" i="10"/>
  <c r="S493" i="10"/>
  <c r="S492" i="10"/>
  <c r="S491" i="10"/>
  <c r="S490" i="10"/>
  <c r="BB539" i="25"/>
  <c r="BL539" i="25" s="1"/>
  <c r="BB537" i="25"/>
  <c r="BL537" i="25" s="1"/>
  <c r="BB536" i="25"/>
  <c r="BL536" i="25" s="1"/>
  <c r="BB535" i="25"/>
  <c r="BL535" i="25" s="1"/>
  <c r="BB534" i="25"/>
  <c r="BL534" i="25" s="1"/>
  <c r="BB533" i="25"/>
  <c r="BL533" i="25" s="1"/>
  <c r="BB532" i="25"/>
  <c r="BL532" i="25" s="1"/>
  <c r="BB531" i="25"/>
  <c r="BL531" i="25" s="1"/>
  <c r="BB530" i="25"/>
  <c r="BL530" i="25" s="1"/>
  <c r="BB529" i="25"/>
  <c r="BL529" i="25" s="1"/>
  <c r="BB528" i="25"/>
  <c r="BL528" i="25" s="1"/>
  <c r="BB527" i="25"/>
  <c r="BL527" i="25" s="1"/>
  <c r="BB526" i="25"/>
  <c r="BL526" i="25" s="1"/>
  <c r="BB525" i="25"/>
  <c r="BL525" i="25" s="1"/>
  <c r="BB524" i="25"/>
  <c r="BL524" i="25" s="1"/>
  <c r="BB523" i="25"/>
  <c r="BL523" i="25" s="1"/>
  <c r="BB522" i="25"/>
  <c r="BL522" i="25" s="1"/>
  <c r="BB521" i="25"/>
  <c r="BL521" i="25" s="1"/>
  <c r="BB520" i="25"/>
  <c r="BL520" i="25" s="1"/>
  <c r="BB519" i="25"/>
  <c r="BL519" i="25" s="1"/>
  <c r="BB518" i="25"/>
  <c r="BL518" i="25" s="1"/>
  <c r="BB517" i="25"/>
  <c r="BL517" i="25" s="1"/>
  <c r="BB516" i="25"/>
  <c r="BL516" i="25" s="1"/>
  <c r="BB515" i="25"/>
  <c r="BL515" i="25" s="1"/>
  <c r="BB514" i="25"/>
  <c r="BL514" i="25" s="1"/>
  <c r="BB512" i="25"/>
  <c r="BL512" i="25" s="1"/>
  <c r="BB511" i="25"/>
  <c r="BL511" i="25" s="1"/>
  <c r="BB510" i="25"/>
  <c r="BL510" i="25" s="1"/>
  <c r="BB509" i="25"/>
  <c r="BL509" i="25" s="1"/>
  <c r="BB508" i="25"/>
  <c r="BL508" i="25" s="1"/>
  <c r="BB507" i="25"/>
  <c r="BL507" i="25" s="1"/>
  <c r="BB506" i="25"/>
  <c r="BL506" i="25" s="1"/>
  <c r="BB505" i="25"/>
  <c r="BL505" i="25" s="1"/>
  <c r="BB504" i="25"/>
  <c r="BL504" i="25" s="1"/>
  <c r="BB503" i="25"/>
  <c r="BL503" i="25" s="1"/>
  <c r="BB502" i="25"/>
  <c r="BL502" i="25" s="1"/>
  <c r="BB501" i="25"/>
  <c r="BL501" i="25" s="1"/>
  <c r="BB500" i="25"/>
  <c r="BL500" i="25" s="1"/>
  <c r="BB499" i="25"/>
  <c r="BL499" i="25" s="1"/>
  <c r="BB497" i="25"/>
  <c r="BL497" i="25" s="1"/>
  <c r="BB496" i="25"/>
  <c r="BL496" i="25" s="1"/>
  <c r="BB495" i="25"/>
  <c r="BL495" i="25" s="1"/>
  <c r="BB494" i="25"/>
  <c r="BL494" i="25" s="1"/>
  <c r="BB493" i="25"/>
  <c r="BL493" i="25" s="1"/>
  <c r="BB492" i="25"/>
  <c r="BL492" i="25" s="1"/>
  <c r="BB491" i="25"/>
  <c r="BL491" i="25" s="1"/>
  <c r="BB490" i="25"/>
  <c r="BL490" i="25" s="1"/>
  <c r="AO539" i="22"/>
  <c r="Y539" i="22"/>
  <c r="AO538" i="22"/>
  <c r="AO537" i="22"/>
  <c r="Y537" i="22"/>
  <c r="AO536" i="22"/>
  <c r="Y536" i="22"/>
  <c r="AO535" i="22"/>
  <c r="Y535" i="22"/>
  <c r="AO534" i="22"/>
  <c r="Y534" i="22"/>
  <c r="AO533" i="22"/>
  <c r="Y533" i="22"/>
  <c r="AO532" i="22"/>
  <c r="Y532" i="22"/>
  <c r="AO531" i="22"/>
  <c r="Y531" i="22"/>
  <c r="AO530" i="22"/>
  <c r="Y530" i="22"/>
  <c r="AO529" i="22"/>
  <c r="Y529" i="22"/>
  <c r="AO528" i="22"/>
  <c r="Y528" i="22"/>
  <c r="AO527" i="22"/>
  <c r="Y527" i="22"/>
  <c r="AO526" i="22"/>
  <c r="Y526" i="22"/>
  <c r="AO525" i="22"/>
  <c r="Y525" i="22"/>
  <c r="AO524" i="22"/>
  <c r="Y524" i="22"/>
  <c r="AO523" i="22"/>
  <c r="Y523" i="22"/>
  <c r="AO522" i="22"/>
  <c r="Y522" i="22"/>
  <c r="AO521" i="22"/>
  <c r="Y521" i="22"/>
  <c r="AO520" i="22"/>
  <c r="Y520" i="22"/>
  <c r="AO519" i="22"/>
  <c r="Y519" i="22"/>
  <c r="AO518" i="22"/>
  <c r="Y518" i="22"/>
  <c r="AO517" i="22"/>
  <c r="Y517" i="22"/>
  <c r="AO516" i="22"/>
  <c r="Y516" i="22"/>
  <c r="AO515" i="22"/>
  <c r="Y515" i="22"/>
  <c r="AO514" i="22"/>
  <c r="Y514" i="22"/>
  <c r="AO512" i="22"/>
  <c r="Y512" i="22"/>
  <c r="AO511" i="22"/>
  <c r="Y511" i="22"/>
  <c r="AO510" i="22"/>
  <c r="Y510" i="22"/>
  <c r="AO509" i="22"/>
  <c r="Y509" i="22"/>
  <c r="AO508" i="22"/>
  <c r="Y508" i="22"/>
  <c r="AO507" i="22"/>
  <c r="Y507" i="22"/>
  <c r="AO506" i="22"/>
  <c r="Y506" i="22"/>
  <c r="AO505" i="22"/>
  <c r="Y505" i="22"/>
  <c r="AO504" i="22"/>
  <c r="Y504" i="22"/>
  <c r="AO503" i="22"/>
  <c r="Y503" i="22"/>
  <c r="AO502" i="22"/>
  <c r="AO501" i="22"/>
  <c r="Y501" i="22"/>
  <c r="AO500" i="22"/>
  <c r="Y500" i="22"/>
  <c r="AO499" i="22"/>
  <c r="Y499" i="22"/>
  <c r="AO497" i="22"/>
  <c r="Y497" i="22"/>
  <c r="AO496" i="22"/>
  <c r="Y496" i="22"/>
  <c r="AO495" i="22"/>
  <c r="Y495" i="22"/>
  <c r="AO494" i="22"/>
  <c r="Y494" i="22"/>
  <c r="AO493" i="22"/>
  <c r="Y493" i="22"/>
  <c r="AO492" i="22"/>
  <c r="AO491" i="22"/>
  <c r="Y491" i="22"/>
  <c r="Y490" i="22"/>
  <c r="Q539" i="26"/>
  <c r="K539" i="26"/>
  <c r="AK539" i="26" s="1"/>
  <c r="Q538" i="26"/>
  <c r="K538" i="26"/>
  <c r="AK538" i="26" s="1"/>
  <c r="Q537" i="26"/>
  <c r="K537" i="26"/>
  <c r="AK537" i="26" s="1"/>
  <c r="Q536" i="26"/>
  <c r="K536" i="26"/>
  <c r="AK536" i="26" s="1"/>
  <c r="Q535" i="26"/>
  <c r="K535" i="26"/>
  <c r="AK535" i="26" s="1"/>
  <c r="Q534" i="26"/>
  <c r="K534" i="26"/>
  <c r="AK534" i="26" s="1"/>
  <c r="Q533" i="26"/>
  <c r="K533" i="26"/>
  <c r="AK533" i="26" s="1"/>
  <c r="Q532" i="26"/>
  <c r="K532" i="26"/>
  <c r="AK532" i="26" s="1"/>
  <c r="Q531" i="26"/>
  <c r="K531" i="26"/>
  <c r="AK531" i="26" s="1"/>
  <c r="Q530" i="26"/>
  <c r="K530" i="26"/>
  <c r="AK530" i="26" s="1"/>
  <c r="Q529" i="26"/>
  <c r="K529" i="26"/>
  <c r="AK529" i="26" s="1"/>
  <c r="Q528" i="26"/>
  <c r="Q527" i="26"/>
  <c r="K527" i="26"/>
  <c r="AK527" i="26" s="1"/>
  <c r="Q526" i="26"/>
  <c r="K526" i="26"/>
  <c r="AK526" i="26" s="1"/>
  <c r="Q525" i="26"/>
  <c r="K525" i="26"/>
  <c r="AK525" i="26" s="1"/>
  <c r="Q524" i="26"/>
  <c r="K524" i="26"/>
  <c r="AK524" i="26" s="1"/>
  <c r="Q523" i="26"/>
  <c r="K523" i="26"/>
  <c r="AK523" i="26" s="1"/>
  <c r="Q522" i="26"/>
  <c r="K522" i="26"/>
  <c r="AK522" i="26" s="1"/>
  <c r="Q521" i="26"/>
  <c r="K521" i="26"/>
  <c r="AK521" i="26" s="1"/>
  <c r="Q520" i="26"/>
  <c r="K520" i="26"/>
  <c r="AK520" i="26" s="1"/>
  <c r="Q519" i="26"/>
  <c r="K519" i="26"/>
  <c r="AK519" i="26" s="1"/>
  <c r="Q518" i="26"/>
  <c r="K518" i="26"/>
  <c r="AK518" i="26" s="1"/>
  <c r="Q517" i="26"/>
  <c r="K517" i="26"/>
  <c r="AK517" i="26" s="1"/>
  <c r="Q516" i="26"/>
  <c r="K516" i="26"/>
  <c r="AK516" i="26" s="1"/>
  <c r="Q515" i="26"/>
  <c r="K515" i="26"/>
  <c r="AK515" i="26" s="1"/>
  <c r="Q514" i="26"/>
  <c r="Q512" i="26"/>
  <c r="K512" i="26"/>
  <c r="AK512" i="26" s="1"/>
  <c r="Q511" i="26"/>
  <c r="K511" i="26"/>
  <c r="AK511" i="26" s="1"/>
  <c r="Q510" i="26"/>
  <c r="K510" i="26"/>
  <c r="AK510" i="26" s="1"/>
  <c r="Q509" i="26"/>
  <c r="K509" i="26"/>
  <c r="AK509" i="26" s="1"/>
  <c r="Q508" i="26"/>
  <c r="K508" i="26"/>
  <c r="AK508" i="26" s="1"/>
  <c r="Q507" i="26"/>
  <c r="K507" i="26"/>
  <c r="AK507" i="26" s="1"/>
  <c r="Q506" i="26"/>
  <c r="K506" i="26"/>
  <c r="AK506" i="26" s="1"/>
  <c r="Q505" i="26"/>
  <c r="K505" i="26"/>
  <c r="AK505" i="26" s="1"/>
  <c r="Q504" i="26"/>
  <c r="K504" i="26"/>
  <c r="AK504" i="26" s="1"/>
  <c r="Q503" i="26"/>
  <c r="K503" i="26"/>
  <c r="AK503" i="26" s="1"/>
  <c r="Q502" i="26"/>
  <c r="K502" i="26"/>
  <c r="AK502" i="26" s="1"/>
  <c r="Q501" i="26"/>
  <c r="K501" i="26"/>
  <c r="AK501" i="26" s="1"/>
  <c r="Q500" i="26"/>
  <c r="K500" i="26"/>
  <c r="AK500" i="26" s="1"/>
  <c r="Q499" i="26"/>
  <c r="K499" i="26"/>
  <c r="AK499" i="26" s="1"/>
  <c r="Q497" i="26"/>
  <c r="K497" i="26"/>
  <c r="AK497" i="26" s="1"/>
  <c r="Q496" i="26"/>
  <c r="K496" i="26"/>
  <c r="AK496" i="26" s="1"/>
  <c r="Q495" i="26"/>
  <c r="K495" i="26"/>
  <c r="AK495" i="26" s="1"/>
  <c r="Q494" i="26"/>
  <c r="K494" i="26"/>
  <c r="AK494" i="26" s="1"/>
  <c r="Q493" i="26"/>
  <c r="K493" i="26"/>
  <c r="AK493" i="26" s="1"/>
  <c r="Q492" i="26"/>
  <c r="K492" i="26"/>
  <c r="AK492" i="26" s="1"/>
  <c r="Q491" i="26"/>
  <c r="K491" i="26"/>
  <c r="AK491" i="26" s="1"/>
  <c r="Q490" i="26"/>
  <c r="K490" i="26"/>
  <c r="AK490" i="26" s="1"/>
  <c r="BB539" i="2"/>
  <c r="BL539" i="2" s="1"/>
  <c r="BB538" i="2"/>
  <c r="BL538" i="2" s="1"/>
  <c r="BB537" i="2"/>
  <c r="BL537" i="2" s="1"/>
  <c r="BB536" i="2"/>
  <c r="BL536" i="2" s="1"/>
  <c r="BB535" i="2"/>
  <c r="BL535" i="2" s="1"/>
  <c r="BB534" i="2"/>
  <c r="BL534" i="2" s="1"/>
  <c r="BB533" i="2"/>
  <c r="BL533" i="2" s="1"/>
  <c r="BB532" i="2"/>
  <c r="BL532" i="2" s="1"/>
  <c r="BB531" i="2"/>
  <c r="BL531" i="2" s="1"/>
  <c r="BB530" i="2"/>
  <c r="BL530" i="2" s="1"/>
  <c r="BB529" i="2"/>
  <c r="BL529" i="2" s="1"/>
  <c r="BB528" i="2"/>
  <c r="BL528" i="2" s="1"/>
  <c r="BB527" i="2"/>
  <c r="BL527" i="2" s="1"/>
  <c r="BB526" i="2"/>
  <c r="BL526" i="2" s="1"/>
  <c r="BB525" i="2"/>
  <c r="BL525" i="2" s="1"/>
  <c r="BB524" i="2"/>
  <c r="BL524" i="2" s="1"/>
  <c r="BB523" i="2"/>
  <c r="BL523" i="2" s="1"/>
  <c r="BB522" i="2"/>
  <c r="BL522" i="2" s="1"/>
  <c r="BB521" i="2"/>
  <c r="BL521" i="2" s="1"/>
  <c r="BB520" i="2"/>
  <c r="BL520" i="2" s="1"/>
  <c r="BB519" i="2"/>
  <c r="BL519" i="2" s="1"/>
  <c r="BB518" i="2"/>
  <c r="BL518" i="2" s="1"/>
  <c r="BB517" i="2"/>
  <c r="BL517" i="2" s="1"/>
  <c r="BB516" i="2"/>
  <c r="BL516" i="2" s="1"/>
  <c r="BB515" i="2"/>
  <c r="BL515" i="2" s="1"/>
  <c r="BB514" i="2"/>
  <c r="BL514" i="2" s="1"/>
  <c r="BB512" i="2"/>
  <c r="BL512" i="2" s="1"/>
  <c r="BB511" i="2"/>
  <c r="BL511" i="2" s="1"/>
  <c r="BB510" i="2"/>
  <c r="BL510" i="2" s="1"/>
  <c r="BB509" i="2"/>
  <c r="BL509" i="2" s="1"/>
  <c r="BB508" i="2"/>
  <c r="BL508" i="2" s="1"/>
  <c r="BB507" i="2"/>
  <c r="BL507" i="2" s="1"/>
  <c r="BB506" i="2"/>
  <c r="BL506" i="2" s="1"/>
  <c r="BB505" i="2"/>
  <c r="BL505" i="2" s="1"/>
  <c r="BB504" i="2"/>
  <c r="BL504" i="2" s="1"/>
  <c r="BB503" i="2"/>
  <c r="BL503" i="2" s="1"/>
  <c r="BB502" i="2"/>
  <c r="BL502" i="2" s="1"/>
  <c r="BB501" i="2"/>
  <c r="BL501" i="2" s="1"/>
  <c r="BB500" i="2"/>
  <c r="BL500" i="2" s="1"/>
  <c r="BB499" i="2"/>
  <c r="BL499" i="2" s="1"/>
  <c r="BB497" i="2"/>
  <c r="BL497" i="2" s="1"/>
  <c r="BB496" i="2"/>
  <c r="BL496" i="2" s="1"/>
  <c r="BB495" i="2"/>
  <c r="BL495" i="2" s="1"/>
  <c r="BB494" i="2"/>
  <c r="BL494" i="2" s="1"/>
  <c r="BB493" i="2"/>
  <c r="BL493" i="2" s="1"/>
  <c r="BB492" i="2"/>
  <c r="BL492" i="2" s="1"/>
  <c r="BB491" i="2"/>
  <c r="BL491" i="2" s="1"/>
  <c r="BB490" i="2"/>
  <c r="BL490" i="2" s="1"/>
  <c r="AK539" i="1"/>
  <c r="Y539" i="1"/>
  <c r="AK538" i="1"/>
  <c r="Y538" i="1"/>
  <c r="AK537" i="1"/>
  <c r="Y537" i="1"/>
  <c r="AK536" i="1"/>
  <c r="Y536" i="1"/>
  <c r="AK535" i="1"/>
  <c r="Y535" i="1"/>
  <c r="AK534" i="1"/>
  <c r="Y534" i="1"/>
  <c r="AK533" i="1"/>
  <c r="Y533" i="1"/>
  <c r="AK532" i="1"/>
  <c r="Y532" i="1"/>
  <c r="AK531" i="1"/>
  <c r="Y531" i="1"/>
  <c r="AK530" i="1"/>
  <c r="Y530" i="1"/>
  <c r="AK529" i="1"/>
  <c r="Y529" i="1"/>
  <c r="Y528" i="1"/>
  <c r="AK527" i="1"/>
  <c r="Y527" i="1"/>
  <c r="AK526" i="1"/>
  <c r="Y526" i="1"/>
  <c r="AK525" i="1"/>
  <c r="Y525" i="1"/>
  <c r="Y524" i="1"/>
  <c r="AK523" i="1"/>
  <c r="Y523" i="1"/>
  <c r="AK522" i="1"/>
  <c r="Y522" i="1"/>
  <c r="AK521" i="1"/>
  <c r="Y521" i="1"/>
  <c r="AK520" i="1"/>
  <c r="Y520" i="1"/>
  <c r="AK519" i="1"/>
  <c r="Y519" i="1"/>
  <c r="AK518" i="1"/>
  <c r="Y518" i="1"/>
  <c r="AK517" i="1"/>
  <c r="Y517" i="1"/>
  <c r="AK516" i="1"/>
  <c r="Y516" i="1"/>
  <c r="AK515" i="1"/>
  <c r="Y515" i="1"/>
  <c r="AK514" i="1"/>
  <c r="Y514" i="1"/>
  <c r="AK512" i="1"/>
  <c r="Y512" i="1"/>
  <c r="AK511" i="1"/>
  <c r="Y511" i="1"/>
  <c r="AK510" i="1"/>
  <c r="Y510" i="1"/>
  <c r="AK509" i="1"/>
  <c r="Y509" i="1"/>
  <c r="AK508" i="1"/>
  <c r="Y508" i="1"/>
  <c r="AK507" i="1"/>
  <c r="Y507" i="1"/>
  <c r="AK506" i="1"/>
  <c r="Y506" i="1"/>
  <c r="AK505" i="1"/>
  <c r="Y505" i="1"/>
  <c r="AK504" i="1"/>
  <c r="Y504" i="1"/>
  <c r="AK503" i="1"/>
  <c r="Y503" i="1"/>
  <c r="AK502" i="1"/>
  <c r="Y502" i="1"/>
  <c r="AK501" i="1"/>
  <c r="Y501" i="1"/>
  <c r="AK500" i="1"/>
  <c r="Y500" i="1"/>
  <c r="AK499" i="1"/>
  <c r="Y499" i="1"/>
  <c r="AK497" i="1"/>
  <c r="Y497" i="1"/>
  <c r="AK496" i="1"/>
  <c r="Y496" i="1"/>
  <c r="AK495" i="1"/>
  <c r="Y495" i="1"/>
  <c r="AK494" i="1"/>
  <c r="Y494" i="1"/>
  <c r="AK493" i="1"/>
  <c r="Y493" i="1"/>
  <c r="AK492" i="1"/>
  <c r="Y492" i="1"/>
  <c r="AK491" i="1"/>
  <c r="Y491" i="1"/>
  <c r="AK490" i="1"/>
  <c r="Y490" i="1"/>
  <c r="AF512" i="16"/>
  <c r="AY512" i="17"/>
  <c r="AY538" i="17"/>
  <c r="AY531" i="17"/>
  <c r="AY515" i="17"/>
  <c r="AY492" i="17"/>
  <c r="AY490" i="17"/>
  <c r="AY491" i="17"/>
  <c r="AY493" i="17"/>
  <c r="AY494" i="17"/>
  <c r="AY495" i="17"/>
  <c r="AY496" i="17"/>
  <c r="AY497" i="17"/>
  <c r="AY499" i="17"/>
  <c r="AY500" i="17"/>
  <c r="AY501" i="17"/>
  <c r="AY502" i="17"/>
  <c r="AY503" i="17"/>
  <c r="AY504" i="17"/>
  <c r="AY505" i="17"/>
  <c r="AY506" i="17"/>
  <c r="AY507" i="17"/>
  <c r="AY508" i="17"/>
  <c r="AY509" i="17"/>
  <c r="AY510" i="17"/>
  <c r="AY511" i="17"/>
  <c r="AY514" i="17"/>
  <c r="AY516" i="17"/>
  <c r="AY517" i="17"/>
  <c r="AY518" i="17"/>
  <c r="AY519" i="17"/>
  <c r="AY520" i="17"/>
  <c r="AY521" i="17"/>
  <c r="AY522" i="17"/>
  <c r="AY523" i="17"/>
  <c r="AY524" i="17"/>
  <c r="AY525" i="17"/>
  <c r="AY526" i="17"/>
  <c r="AY527" i="17"/>
  <c r="AY528" i="17"/>
  <c r="AY529" i="17"/>
  <c r="AY530" i="17"/>
  <c r="AY532" i="17"/>
  <c r="AY533" i="17"/>
  <c r="AY534" i="17"/>
  <c r="AY535" i="17"/>
  <c r="AY536" i="17"/>
  <c r="AY537" i="17"/>
  <c r="AY539" i="17"/>
  <c r="M539" i="15"/>
  <c r="M538" i="15"/>
  <c r="M537" i="15"/>
  <c r="M536" i="15"/>
  <c r="M535" i="15"/>
  <c r="M534" i="15"/>
  <c r="M533" i="15"/>
  <c r="M532" i="15"/>
  <c r="M531" i="15"/>
  <c r="M530" i="15"/>
  <c r="M529" i="15"/>
  <c r="M528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AG514" i="15"/>
  <c r="M514" i="15"/>
  <c r="AG512" i="15"/>
  <c r="M512" i="15"/>
  <c r="M511" i="15"/>
  <c r="M510" i="15"/>
  <c r="AG509" i="15"/>
  <c r="M509" i="15"/>
  <c r="M508" i="15"/>
  <c r="AG507" i="15"/>
  <c r="M507" i="15"/>
  <c r="M506" i="15"/>
  <c r="M505" i="15"/>
  <c r="AG504" i="15"/>
  <c r="M504" i="15"/>
  <c r="M503" i="15"/>
  <c r="M502" i="15"/>
  <c r="M501" i="15"/>
  <c r="AG500" i="15"/>
  <c r="M500" i="15"/>
  <c r="M497" i="15"/>
  <c r="AG496" i="15"/>
  <c r="M496" i="15"/>
  <c r="M495" i="15"/>
  <c r="AG494" i="15"/>
  <c r="M494" i="15"/>
  <c r="AG493" i="15"/>
  <c r="M493" i="15"/>
  <c r="M492" i="15"/>
  <c r="AG491" i="15"/>
  <c r="M491" i="15"/>
  <c r="M490" i="15"/>
  <c r="AG490" i="15"/>
  <c r="AG492" i="15"/>
  <c r="AG495" i="15"/>
  <c r="AG497" i="15"/>
  <c r="AG499" i="15"/>
  <c r="AG501" i="15"/>
  <c r="AG502" i="15"/>
  <c r="AG503" i="15"/>
  <c r="AG505" i="15"/>
  <c r="AG506" i="15"/>
  <c r="AG508" i="15"/>
  <c r="AG510" i="15"/>
  <c r="AG511" i="15"/>
  <c r="AG515" i="15"/>
  <c r="AG516" i="15"/>
  <c r="AG517" i="15"/>
  <c r="AG518" i="15"/>
  <c r="AG519" i="15"/>
  <c r="AG520" i="15"/>
  <c r="AG521" i="15"/>
  <c r="AG522" i="15"/>
  <c r="AG523" i="15"/>
  <c r="AG524" i="15"/>
  <c r="AG525" i="15"/>
  <c r="AG526" i="15"/>
  <c r="AG527" i="15"/>
  <c r="AG528" i="15"/>
  <c r="AG529" i="15"/>
  <c r="AG530" i="15"/>
  <c r="AG531" i="15"/>
  <c r="AG532" i="15"/>
  <c r="AG533" i="15"/>
  <c r="AG534" i="15"/>
  <c r="AG535" i="15"/>
  <c r="AG536" i="15"/>
  <c r="AG537" i="15"/>
  <c r="AG538" i="15"/>
  <c r="AG539" i="15"/>
  <c r="M540" i="15"/>
  <c r="AG540" i="15"/>
  <c r="M541" i="15"/>
  <c r="AG541" i="15"/>
  <c r="S212" i="10"/>
  <c r="S211" i="10"/>
  <c r="S210" i="10"/>
  <c r="S209" i="10"/>
  <c r="S208" i="10"/>
  <c r="S204" i="10"/>
  <c r="S203" i="10"/>
  <c r="S202" i="10"/>
  <c r="S201" i="10"/>
  <c r="S200" i="10"/>
  <c r="S199" i="10"/>
  <c r="S198" i="10"/>
  <c r="S195" i="10"/>
  <c r="S193" i="10"/>
  <c r="S192" i="10"/>
  <c r="S187" i="10"/>
  <c r="S186" i="10"/>
  <c r="S185" i="10"/>
  <c r="S184" i="10"/>
  <c r="BB212" i="25"/>
  <c r="BL212" i="25" s="1"/>
  <c r="BB211" i="25"/>
  <c r="BL211" i="25" s="1"/>
  <c r="BB210" i="25"/>
  <c r="BL210" i="25" s="1"/>
  <c r="BB209" i="25"/>
  <c r="BL209" i="25" s="1"/>
  <c r="BB208" i="25"/>
  <c r="BL208" i="25" s="1"/>
  <c r="BB204" i="25"/>
  <c r="BL204" i="25" s="1"/>
  <c r="BB203" i="25"/>
  <c r="BL203" i="25" s="1"/>
  <c r="BB202" i="25"/>
  <c r="BL202" i="25" s="1"/>
  <c r="BB201" i="25"/>
  <c r="BL201" i="25" s="1"/>
  <c r="BB200" i="25"/>
  <c r="BL200" i="25" s="1"/>
  <c r="BB199" i="25"/>
  <c r="BL199" i="25" s="1"/>
  <c r="BB198" i="25"/>
  <c r="BL198" i="25" s="1"/>
  <c r="BB195" i="25"/>
  <c r="BL195" i="25" s="1"/>
  <c r="BB193" i="25"/>
  <c r="BL193" i="25" s="1"/>
  <c r="BB192" i="25"/>
  <c r="BL192" i="25" s="1"/>
  <c r="BB191" i="25"/>
  <c r="BL191" i="25" s="1"/>
  <c r="BB190" i="25"/>
  <c r="BL190" i="25" s="1"/>
  <c r="BB189" i="25"/>
  <c r="BL189" i="25" s="1"/>
  <c r="BL188" i="25"/>
  <c r="BB186" i="25"/>
  <c r="BL186" i="25" s="1"/>
  <c r="BB185" i="25"/>
  <c r="BL185" i="25" s="1"/>
  <c r="BB184" i="25"/>
  <c r="BL184" i="25" s="1"/>
  <c r="Y212" i="22"/>
  <c r="Y211" i="22"/>
  <c r="Y210" i="22"/>
  <c r="Y209" i="22"/>
  <c r="Y208" i="22"/>
  <c r="Y206" i="22"/>
  <c r="Y204" i="22"/>
  <c r="Y203" i="22"/>
  <c r="Y202" i="22"/>
  <c r="Y201" i="22"/>
  <c r="Y200" i="22"/>
  <c r="Y199" i="22"/>
  <c r="Y198" i="22"/>
  <c r="Y197" i="22"/>
  <c r="Y195" i="22"/>
  <c r="AQ195" i="22" s="1"/>
  <c r="Y193" i="22"/>
  <c r="Y192" i="22"/>
  <c r="Y191" i="22"/>
  <c r="Y190" i="22"/>
  <c r="Y189" i="22"/>
  <c r="Y186" i="22"/>
  <c r="Y185" i="22"/>
  <c r="Y184" i="22"/>
  <c r="Q212" i="26"/>
  <c r="K212" i="26"/>
  <c r="AK212" i="26" s="1"/>
  <c r="Q211" i="26"/>
  <c r="K211" i="26"/>
  <c r="AK211" i="26" s="1"/>
  <c r="Q210" i="26"/>
  <c r="K210" i="26"/>
  <c r="AK210" i="26" s="1"/>
  <c r="Q209" i="26"/>
  <c r="K209" i="26"/>
  <c r="AK209" i="26" s="1"/>
  <c r="Q208" i="26"/>
  <c r="K208" i="26"/>
  <c r="AK208" i="26" s="1"/>
  <c r="Q204" i="26"/>
  <c r="K204" i="26"/>
  <c r="AK204" i="26" s="1"/>
  <c r="Q203" i="26"/>
  <c r="K203" i="26"/>
  <c r="AK203" i="26" s="1"/>
  <c r="Q202" i="26"/>
  <c r="K202" i="26"/>
  <c r="AK202" i="26" s="1"/>
  <c r="Q201" i="26"/>
  <c r="K201" i="26"/>
  <c r="AK201" i="26" s="1"/>
  <c r="Q200" i="26"/>
  <c r="K200" i="26"/>
  <c r="AK200" i="26" s="1"/>
  <c r="Q199" i="26"/>
  <c r="K199" i="26"/>
  <c r="AK199" i="26" s="1"/>
  <c r="Q198" i="26"/>
  <c r="K198" i="26"/>
  <c r="AK198" i="26" s="1"/>
  <c r="Q197" i="26"/>
  <c r="Q195" i="26"/>
  <c r="K195" i="26"/>
  <c r="AK195" i="26" s="1"/>
  <c r="Q193" i="26"/>
  <c r="K193" i="26"/>
  <c r="AK193" i="26" s="1"/>
  <c r="Q192" i="26"/>
  <c r="K192" i="26"/>
  <c r="AK192" i="26" s="1"/>
  <c r="Q191" i="26"/>
  <c r="K191" i="26"/>
  <c r="AK191" i="26" s="1"/>
  <c r="Q190" i="26"/>
  <c r="K190" i="26"/>
  <c r="AK190" i="26" s="1"/>
  <c r="Q189" i="26"/>
  <c r="K189" i="26"/>
  <c r="AK189" i="26" s="1"/>
  <c r="Q188" i="26"/>
  <c r="Q186" i="26"/>
  <c r="K186" i="26"/>
  <c r="AK186" i="26" s="1"/>
  <c r="Q185" i="26"/>
  <c r="K185" i="26"/>
  <c r="AK185" i="26" s="1"/>
  <c r="Q184" i="26"/>
  <c r="K184" i="26"/>
  <c r="AK184" i="26" s="1"/>
  <c r="BB212" i="2"/>
  <c r="BL212" i="2" s="1"/>
  <c r="BB211" i="2"/>
  <c r="BL211" i="2" s="1"/>
  <c r="BB210" i="2"/>
  <c r="BL210" i="2" s="1"/>
  <c r="BB209" i="2"/>
  <c r="BL209" i="2" s="1"/>
  <c r="BB204" i="2"/>
  <c r="BL204" i="2" s="1"/>
  <c r="BV205" i="2" s="1"/>
  <c r="BX205" i="2" s="1"/>
  <c r="BB203" i="2"/>
  <c r="BL203" i="2" s="1"/>
  <c r="BB202" i="2"/>
  <c r="BL202" i="2" s="1"/>
  <c r="BB201" i="2"/>
  <c r="BL201" i="2" s="1"/>
  <c r="BB200" i="2"/>
  <c r="BL200" i="2" s="1"/>
  <c r="BB199" i="2"/>
  <c r="BL199" i="2" s="1"/>
  <c r="BB198" i="2"/>
  <c r="BL198" i="2" s="1"/>
  <c r="BB195" i="2"/>
  <c r="BL195" i="2" s="1"/>
  <c r="BB193" i="2"/>
  <c r="BL193" i="2" s="1"/>
  <c r="BB192" i="2"/>
  <c r="BL192" i="2" s="1"/>
  <c r="BB191" i="2"/>
  <c r="BL191" i="2" s="1"/>
  <c r="BB190" i="2"/>
  <c r="BL190" i="2" s="1"/>
  <c r="BB189" i="2"/>
  <c r="BL189" i="2" s="1"/>
  <c r="BB188" i="2"/>
  <c r="BL188" i="2" s="1"/>
  <c r="BB186" i="2"/>
  <c r="BL186" i="2" s="1"/>
  <c r="BB185" i="2"/>
  <c r="BL185" i="2" s="1"/>
  <c r="BB184" i="2"/>
  <c r="BL184" i="2" s="1"/>
  <c r="Y212" i="1"/>
  <c r="Y211" i="1"/>
  <c r="Y210" i="1"/>
  <c r="Y209" i="1"/>
  <c r="Y208" i="1"/>
  <c r="Y207" i="1"/>
  <c r="Y204" i="1"/>
  <c r="Y203" i="1"/>
  <c r="Y202" i="1"/>
  <c r="Y201" i="1"/>
  <c r="Y200" i="1"/>
  <c r="Y199" i="1"/>
  <c r="Y195" i="1"/>
  <c r="AM195" i="1" s="1"/>
  <c r="Y193" i="1"/>
  <c r="Y192" i="1"/>
  <c r="Y191" i="1"/>
  <c r="Y190" i="1"/>
  <c r="Y189" i="1"/>
  <c r="Y188" i="1"/>
  <c r="Y186" i="1"/>
  <c r="Y185" i="1"/>
  <c r="Y184" i="1"/>
  <c r="M212" i="15"/>
  <c r="M211" i="15"/>
  <c r="M210" i="15"/>
  <c r="M209" i="15"/>
  <c r="M207" i="15"/>
  <c r="AI207" i="15" s="1"/>
  <c r="BA207" i="17" s="1"/>
  <c r="BE207" i="17" s="1"/>
  <c r="BG207" i="17" s="1"/>
  <c r="M204" i="15"/>
  <c r="M203" i="15"/>
  <c r="M202" i="15"/>
  <c r="M201" i="15"/>
  <c r="M200" i="15"/>
  <c r="M199" i="15"/>
  <c r="M198" i="15"/>
  <c r="M197" i="15"/>
  <c r="M195" i="15"/>
  <c r="AI195" i="15" s="1"/>
  <c r="BA195" i="17" s="1"/>
  <c r="BE195" i="17" s="1"/>
  <c r="BG195" i="17" s="1"/>
  <c r="M193" i="15"/>
  <c r="M192" i="15"/>
  <c r="M191" i="15"/>
  <c r="M190" i="15"/>
  <c r="M189" i="15"/>
  <c r="AI189" i="15" s="1"/>
  <c r="BA189" i="17" s="1"/>
  <c r="BE189" i="17" s="1"/>
  <c r="BG189" i="17" s="1"/>
  <c r="M188" i="15"/>
  <c r="AI188" i="15" s="1"/>
  <c r="BA188" i="17" s="1"/>
  <c r="BE188" i="17" s="1"/>
  <c r="BG188" i="17" s="1"/>
  <c r="M186" i="15"/>
  <c r="AI186" i="15" s="1"/>
  <c r="BA186" i="17" s="1"/>
  <c r="BE186" i="17" s="1"/>
  <c r="BG186" i="17" s="1"/>
  <c r="M185" i="15"/>
  <c r="M184" i="15"/>
  <c r="AA212" i="16"/>
  <c r="AH212" i="16" s="1"/>
  <c r="AA211" i="16"/>
  <c r="AH211" i="16" s="1"/>
  <c r="AA210" i="16"/>
  <c r="AH210" i="16" s="1"/>
  <c r="AA209" i="16"/>
  <c r="AH209" i="16" s="1"/>
  <c r="AA208" i="16"/>
  <c r="AH208" i="16" s="1"/>
  <c r="AA204" i="16"/>
  <c r="AH204" i="16" s="1"/>
  <c r="AA203" i="16"/>
  <c r="AH203" i="16" s="1"/>
  <c r="AA202" i="16"/>
  <c r="AH202" i="16" s="1"/>
  <c r="AA201" i="16"/>
  <c r="AH201" i="16" s="1"/>
  <c r="AA200" i="16"/>
  <c r="AH200" i="16" s="1"/>
  <c r="AA199" i="16"/>
  <c r="AH199" i="16" s="1"/>
  <c r="AA198" i="16"/>
  <c r="AH198" i="16" s="1"/>
  <c r="AA197" i="16"/>
  <c r="AH197" i="16" s="1"/>
  <c r="AA193" i="16"/>
  <c r="AH193" i="16" s="1"/>
  <c r="AA192" i="16"/>
  <c r="AH192" i="16" s="1"/>
  <c r="AA191" i="16"/>
  <c r="AH191" i="16" s="1"/>
  <c r="AA190" i="16"/>
  <c r="AH190" i="16" s="1"/>
  <c r="AA189" i="16"/>
  <c r="AH189" i="16" s="1"/>
  <c r="AA188" i="16"/>
  <c r="AH188" i="16" s="1"/>
  <c r="AA187" i="16"/>
  <c r="AH187" i="16" s="1"/>
  <c r="AA186" i="16"/>
  <c r="AH186" i="16" s="1"/>
  <c r="AA185" i="16"/>
  <c r="AH185" i="16" s="1"/>
  <c r="AA184" i="16"/>
  <c r="AH184" i="16" s="1"/>
  <c r="AA90" i="16"/>
  <c r="AH90" i="16" s="1"/>
  <c r="AA91" i="16"/>
  <c r="AH91" i="16" s="1"/>
  <c r="M598" i="15"/>
  <c r="M597" i="15"/>
  <c r="M596" i="15"/>
  <c r="AG595" i="15"/>
  <c r="M595" i="15"/>
  <c r="AG594" i="15"/>
  <c r="M594" i="15"/>
  <c r="M593" i="15"/>
  <c r="M592" i="15"/>
  <c r="M591" i="15"/>
  <c r="AG590" i="15"/>
  <c r="M590" i="15"/>
  <c r="AG589" i="15"/>
  <c r="M589" i="15"/>
  <c r="AG588" i="15"/>
  <c r="M588" i="15"/>
  <c r="AG587" i="15"/>
  <c r="M587" i="15"/>
  <c r="AG586" i="15"/>
  <c r="M586" i="15"/>
  <c r="AG585" i="15"/>
  <c r="M585" i="15"/>
  <c r="M584" i="15"/>
  <c r="M583" i="15"/>
  <c r="M582" i="15"/>
  <c r="M578" i="15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78" i="1"/>
  <c r="BB598" i="2"/>
  <c r="BL598" i="2" s="1"/>
  <c r="BB597" i="2"/>
  <c r="BL597" i="2" s="1"/>
  <c r="BB596" i="2"/>
  <c r="BL596" i="2" s="1"/>
  <c r="BB595" i="2"/>
  <c r="BL595" i="2" s="1"/>
  <c r="BB594" i="2"/>
  <c r="BL594" i="2" s="1"/>
  <c r="BB593" i="2"/>
  <c r="BL593" i="2" s="1"/>
  <c r="BB592" i="2"/>
  <c r="BL592" i="2" s="1"/>
  <c r="BB591" i="2"/>
  <c r="BL591" i="2" s="1"/>
  <c r="BB590" i="2"/>
  <c r="BL590" i="2" s="1"/>
  <c r="BB589" i="2"/>
  <c r="BL589" i="2" s="1"/>
  <c r="BB588" i="2"/>
  <c r="BL588" i="2" s="1"/>
  <c r="BB587" i="2"/>
  <c r="BL587" i="2" s="1"/>
  <c r="BB586" i="2"/>
  <c r="BL586" i="2" s="1"/>
  <c r="BB585" i="2"/>
  <c r="BL585" i="2" s="1"/>
  <c r="BB584" i="2"/>
  <c r="BL584" i="2" s="1"/>
  <c r="BB583" i="2"/>
  <c r="BL583" i="2" s="1"/>
  <c r="BB582" i="2"/>
  <c r="BL582" i="2" s="1"/>
  <c r="BB578" i="2"/>
  <c r="BL578" i="2" s="1"/>
  <c r="Q598" i="26"/>
  <c r="K598" i="26"/>
  <c r="AK598" i="26" s="1"/>
  <c r="Q597" i="26"/>
  <c r="K597" i="26"/>
  <c r="AK597" i="26" s="1"/>
  <c r="Q596" i="26"/>
  <c r="K596" i="26"/>
  <c r="AK596" i="26" s="1"/>
  <c r="Q595" i="26"/>
  <c r="K595" i="26"/>
  <c r="AK595" i="26" s="1"/>
  <c r="Q594" i="26"/>
  <c r="K594" i="26"/>
  <c r="AK594" i="26" s="1"/>
  <c r="Q593" i="26"/>
  <c r="K593" i="26"/>
  <c r="AK593" i="26" s="1"/>
  <c r="Q592" i="26"/>
  <c r="K592" i="26"/>
  <c r="AK592" i="26" s="1"/>
  <c r="Q591" i="26"/>
  <c r="K591" i="26"/>
  <c r="AK591" i="26" s="1"/>
  <c r="Q590" i="26"/>
  <c r="K590" i="26"/>
  <c r="AK590" i="26" s="1"/>
  <c r="Q589" i="26"/>
  <c r="K589" i="26"/>
  <c r="AK589" i="26" s="1"/>
  <c r="Q588" i="26"/>
  <c r="K588" i="26"/>
  <c r="AK588" i="26" s="1"/>
  <c r="Q587" i="26"/>
  <c r="K587" i="26"/>
  <c r="AK587" i="26" s="1"/>
  <c r="Q586" i="26"/>
  <c r="K586" i="26"/>
  <c r="AK586" i="26" s="1"/>
  <c r="Q585" i="26"/>
  <c r="K585" i="26"/>
  <c r="AK585" i="26" s="1"/>
  <c r="Q584" i="26"/>
  <c r="K584" i="26"/>
  <c r="AK584" i="26" s="1"/>
  <c r="Q583" i="26"/>
  <c r="K583" i="26"/>
  <c r="AK583" i="26" s="1"/>
  <c r="Q582" i="26"/>
  <c r="K582" i="26"/>
  <c r="AK582" i="26" s="1"/>
  <c r="Q578" i="26"/>
  <c r="K578" i="26"/>
  <c r="AK578" i="26" s="1"/>
  <c r="Y598" i="22"/>
  <c r="Y597" i="22"/>
  <c r="Y595" i="22"/>
  <c r="Y594" i="22"/>
  <c r="Y593" i="22"/>
  <c r="Y592" i="22"/>
  <c r="Y591" i="22"/>
  <c r="Y590" i="22"/>
  <c r="AQ590" i="22" s="1"/>
  <c r="Y589" i="22"/>
  <c r="Y588" i="22"/>
  <c r="Y587" i="22"/>
  <c r="Y586" i="22"/>
  <c r="Y584" i="22"/>
  <c r="Y583" i="22"/>
  <c r="Y582" i="22"/>
  <c r="Y578" i="22"/>
  <c r="BB598" i="25"/>
  <c r="BL598" i="25" s="1"/>
  <c r="BB597" i="25"/>
  <c r="BL597" i="25" s="1"/>
  <c r="BB596" i="25"/>
  <c r="BL596" i="25" s="1"/>
  <c r="BB595" i="25"/>
  <c r="BL595" i="25" s="1"/>
  <c r="BB594" i="25"/>
  <c r="BL594" i="25" s="1"/>
  <c r="BB593" i="25"/>
  <c r="BL593" i="25" s="1"/>
  <c r="BB592" i="25"/>
  <c r="BL592" i="25" s="1"/>
  <c r="BB591" i="25"/>
  <c r="BL591" i="25" s="1"/>
  <c r="BB590" i="25"/>
  <c r="BL590" i="25" s="1"/>
  <c r="BB589" i="25"/>
  <c r="BL589" i="25" s="1"/>
  <c r="BB588" i="25"/>
  <c r="BL588" i="25" s="1"/>
  <c r="BB587" i="25"/>
  <c r="BL587" i="25" s="1"/>
  <c r="BB586" i="25"/>
  <c r="BL586" i="25" s="1"/>
  <c r="BB585" i="25"/>
  <c r="BL585" i="25" s="1"/>
  <c r="BB584" i="25"/>
  <c r="BL584" i="25" s="1"/>
  <c r="BB583" i="25"/>
  <c r="BL583" i="25" s="1"/>
  <c r="BB582" i="25"/>
  <c r="BL582" i="25" s="1"/>
  <c r="BB578" i="25"/>
  <c r="BL578" i="25" s="1"/>
  <c r="BL187" i="25"/>
  <c r="BB438" i="25"/>
  <c r="BL438" i="25" s="1"/>
  <c r="BB437" i="25"/>
  <c r="BL437" i="25" s="1"/>
  <c r="BB436" i="25"/>
  <c r="BL436" i="25" s="1"/>
  <c r="BB435" i="25"/>
  <c r="BL435" i="25" s="1"/>
  <c r="BB429" i="25"/>
  <c r="BL429" i="25" s="1"/>
  <c r="BB428" i="25"/>
  <c r="BL428" i="25" s="1"/>
  <c r="BB427" i="25"/>
  <c r="BL427" i="25" s="1"/>
  <c r="BB426" i="25"/>
  <c r="BL426" i="25" s="1"/>
  <c r="Y438" i="22"/>
  <c r="Y437" i="22"/>
  <c r="Y436" i="22"/>
  <c r="Y435" i="22"/>
  <c r="Y429" i="22"/>
  <c r="Y428" i="22"/>
  <c r="Y427" i="22"/>
  <c r="Y426" i="22"/>
  <c r="Q438" i="26"/>
  <c r="K438" i="26"/>
  <c r="AK438" i="26" s="1"/>
  <c r="Q437" i="26"/>
  <c r="K437" i="26"/>
  <c r="AK437" i="26" s="1"/>
  <c r="Q436" i="26"/>
  <c r="K436" i="26"/>
  <c r="AK436" i="26" s="1"/>
  <c r="Q435" i="26"/>
  <c r="K435" i="26"/>
  <c r="AK435" i="26" s="1"/>
  <c r="Q429" i="26"/>
  <c r="K429" i="26"/>
  <c r="AK429" i="26" s="1"/>
  <c r="Q428" i="26"/>
  <c r="K428" i="26"/>
  <c r="AK428" i="26" s="1"/>
  <c r="Q427" i="26"/>
  <c r="K427" i="26"/>
  <c r="AK427" i="26" s="1"/>
  <c r="Q426" i="26"/>
  <c r="K426" i="26"/>
  <c r="AK426" i="26" s="1"/>
  <c r="BB438" i="2"/>
  <c r="BL438" i="2" s="1"/>
  <c r="BB437" i="2"/>
  <c r="BL437" i="2" s="1"/>
  <c r="BB436" i="2"/>
  <c r="BL436" i="2" s="1"/>
  <c r="BB435" i="2"/>
  <c r="BL435" i="2" s="1"/>
  <c r="BB429" i="2"/>
  <c r="BL429" i="2" s="1"/>
  <c r="BB428" i="2"/>
  <c r="BL428" i="2" s="1"/>
  <c r="BB427" i="2"/>
  <c r="BL427" i="2" s="1"/>
  <c r="BB426" i="2"/>
  <c r="BL426" i="2" s="1"/>
  <c r="Y438" i="1"/>
  <c r="Y437" i="1"/>
  <c r="Y436" i="1"/>
  <c r="Y435" i="1"/>
  <c r="Y429" i="1"/>
  <c r="Y428" i="1"/>
  <c r="Y427" i="1"/>
  <c r="Y426" i="1"/>
  <c r="AG438" i="15"/>
  <c r="M438" i="15"/>
  <c r="AG437" i="15"/>
  <c r="M437" i="15"/>
  <c r="AG436" i="15"/>
  <c r="M436" i="15"/>
  <c r="AG435" i="15"/>
  <c r="M435" i="15"/>
  <c r="M429" i="15"/>
  <c r="M428" i="15"/>
  <c r="M427" i="15"/>
  <c r="M426" i="15"/>
  <c r="S161" i="10"/>
  <c r="S160" i="10"/>
  <c r="S159" i="10"/>
  <c r="S154" i="10"/>
  <c r="S153" i="10"/>
  <c r="S152" i="10"/>
  <c r="S150" i="10"/>
  <c r="S149" i="10"/>
  <c r="BB161" i="25"/>
  <c r="BL161" i="25" s="1"/>
  <c r="BB160" i="25"/>
  <c r="BL160" i="25" s="1"/>
  <c r="BB159" i="25"/>
  <c r="BL159" i="25" s="1"/>
  <c r="BB155" i="25"/>
  <c r="BL155" i="25" s="1"/>
  <c r="BB151" i="25"/>
  <c r="BL151" i="25" s="1"/>
  <c r="Y161" i="22"/>
  <c r="Y160" i="22"/>
  <c r="Y159" i="22"/>
  <c r="AQ159" i="22" s="1"/>
  <c r="Y155" i="22"/>
  <c r="AQ155" i="22" s="1"/>
  <c r="Y154" i="22"/>
  <c r="Q161" i="26"/>
  <c r="K161" i="26"/>
  <c r="AK161" i="26" s="1"/>
  <c r="Q160" i="26"/>
  <c r="Q155" i="26"/>
  <c r="Q154" i="26"/>
  <c r="BB161" i="2"/>
  <c r="BL161" i="2" s="1"/>
  <c r="BB160" i="2"/>
  <c r="BL160" i="2" s="1"/>
  <c r="BB159" i="2"/>
  <c r="BL159" i="2" s="1"/>
  <c r="BB155" i="2"/>
  <c r="BL155" i="2" s="1"/>
  <c r="BV156" i="2" s="1"/>
  <c r="BX156" i="2" s="1"/>
  <c r="BB154" i="2"/>
  <c r="BL154" i="2" s="1"/>
  <c r="BB153" i="2"/>
  <c r="BL153" i="2" s="1"/>
  <c r="BB151" i="2"/>
  <c r="BL151" i="2" s="1"/>
  <c r="BB150" i="2"/>
  <c r="BL150" i="2" s="1"/>
  <c r="Y161" i="1"/>
  <c r="Y160" i="1"/>
  <c r="Y151" i="1"/>
  <c r="AG155" i="15"/>
  <c r="BX99" i="25"/>
  <c r="BX97" i="25"/>
  <c r="BX93" i="25"/>
  <c r="BX91" i="25"/>
  <c r="Q632" i="26"/>
  <c r="Q631" i="26"/>
  <c r="Q630" i="26"/>
  <c r="Q629" i="26"/>
  <c r="Q627" i="26"/>
  <c r="Q626" i="26"/>
  <c r="Q625" i="26"/>
  <c r="Q624" i="26"/>
  <c r="Q623" i="26"/>
  <c r="Q622" i="26"/>
  <c r="Q621" i="26"/>
  <c r="Q620" i="26"/>
  <c r="Q619" i="26"/>
  <c r="Q618" i="26"/>
  <c r="Q617" i="26"/>
  <c r="Q616" i="26"/>
  <c r="Q615" i="26"/>
  <c r="Q614" i="26"/>
  <c r="Q613" i="26"/>
  <c r="Q612" i="26"/>
  <c r="Q611" i="26"/>
  <c r="Q610" i="26"/>
  <c r="Q609" i="26"/>
  <c r="Q608" i="26"/>
  <c r="Q607" i="26"/>
  <c r="Q606" i="26"/>
  <c r="Q605" i="26"/>
  <c r="Q604" i="26"/>
  <c r="Q603" i="26"/>
  <c r="Q602" i="26"/>
  <c r="Q601" i="26"/>
  <c r="Q600" i="26"/>
  <c r="Q577" i="26"/>
  <c r="Q574" i="26"/>
  <c r="Q573" i="26"/>
  <c r="Q572" i="26"/>
  <c r="Q570" i="26"/>
  <c r="Q569" i="26"/>
  <c r="Q568" i="26"/>
  <c r="Q567" i="26"/>
  <c r="Q566" i="26"/>
  <c r="Q565" i="26"/>
  <c r="Q564" i="26"/>
  <c r="Q563" i="26"/>
  <c r="Q562" i="26"/>
  <c r="Q561" i="26"/>
  <c r="Q560" i="26"/>
  <c r="Q559" i="26"/>
  <c r="Q558" i="26"/>
  <c r="Q557" i="26"/>
  <c r="Q556" i="26"/>
  <c r="Q555" i="26"/>
  <c r="Q554" i="26"/>
  <c r="Q553" i="26"/>
  <c r="Q552" i="26"/>
  <c r="Q551" i="26"/>
  <c r="Q550" i="26"/>
  <c r="Q549" i="26"/>
  <c r="Q547" i="26"/>
  <c r="Q546" i="26"/>
  <c r="Q545" i="26"/>
  <c r="Q544" i="26"/>
  <c r="Q543" i="26"/>
  <c r="Q542" i="26"/>
  <c r="Q541" i="26"/>
  <c r="Q540" i="26"/>
  <c r="Q489" i="26"/>
  <c r="Q488" i="26"/>
  <c r="Q487" i="26"/>
  <c r="Q486" i="26"/>
  <c r="Q485" i="26"/>
  <c r="Q484" i="26"/>
  <c r="Q483" i="26"/>
  <c r="Q482" i="26"/>
  <c r="Q481" i="26"/>
  <c r="Q480" i="26"/>
  <c r="Q479" i="26"/>
  <c r="Q478" i="26"/>
  <c r="Q477" i="26"/>
  <c r="Q476" i="26"/>
  <c r="Q475" i="26"/>
  <c r="Q474" i="26"/>
  <c r="Q473" i="26"/>
  <c r="Q472" i="26"/>
  <c r="Q471" i="26"/>
  <c r="Q470" i="26"/>
  <c r="Q469" i="26"/>
  <c r="Q468" i="26"/>
  <c r="Q467" i="26"/>
  <c r="Q465" i="26"/>
  <c r="Q464" i="26"/>
  <c r="Q463" i="26"/>
  <c r="Q462" i="26"/>
  <c r="Q461" i="26"/>
  <c r="Q460" i="26"/>
  <c r="Q459" i="26"/>
  <c r="Q458" i="26"/>
  <c r="Q457" i="26"/>
  <c r="Q456" i="26"/>
  <c r="Q455" i="26"/>
  <c r="Q454" i="26"/>
  <c r="Q453" i="26"/>
  <c r="Q452" i="26"/>
  <c r="Q451" i="26"/>
  <c r="Q449" i="26"/>
  <c r="Q448" i="26"/>
  <c r="Q447" i="26"/>
  <c r="Q446" i="26"/>
  <c r="Q445" i="26"/>
  <c r="Q444" i="26"/>
  <c r="Q443" i="26"/>
  <c r="Q442" i="26"/>
  <c r="Q441" i="26"/>
  <c r="Q440" i="26"/>
  <c r="Q439" i="26"/>
  <c r="Q424" i="26"/>
  <c r="Q422" i="26"/>
  <c r="Q421" i="26"/>
  <c r="Q409" i="26"/>
  <c r="Q375" i="26"/>
  <c r="Q374" i="26"/>
  <c r="Q373" i="26"/>
  <c r="Q372" i="26"/>
  <c r="Q371" i="26"/>
  <c r="Q370" i="26"/>
  <c r="Q369" i="26"/>
  <c r="Q368" i="26"/>
  <c r="Q367" i="26"/>
  <c r="Q366" i="26"/>
  <c r="Q365" i="26"/>
  <c r="Q364" i="26"/>
  <c r="Q363" i="26"/>
  <c r="Q362" i="26"/>
  <c r="Q361" i="26"/>
  <c r="Q360" i="26"/>
  <c r="Q359" i="26"/>
  <c r="Q358" i="26"/>
  <c r="Q357" i="26"/>
  <c r="Q355" i="26"/>
  <c r="Q354" i="26"/>
  <c r="Q353" i="26"/>
  <c r="Q352" i="26"/>
  <c r="Q351" i="26"/>
  <c r="Q350" i="26"/>
  <c r="Q349" i="26"/>
  <c r="Q348" i="26"/>
  <c r="Q347" i="26"/>
  <c r="Q346" i="26"/>
  <c r="Q345" i="26"/>
  <c r="Q344" i="26"/>
  <c r="Q343" i="26"/>
  <c r="Q342" i="26"/>
  <c r="Q341" i="26"/>
  <c r="Q340" i="26"/>
  <c r="Q339" i="26"/>
  <c r="Q338" i="26"/>
  <c r="Q336" i="26"/>
  <c r="Q335" i="26"/>
  <c r="Q334" i="26"/>
  <c r="Q333" i="26"/>
  <c r="Q332" i="26"/>
  <c r="Q331" i="26"/>
  <c r="Q330" i="26"/>
  <c r="Q329" i="26"/>
  <c r="Q327" i="26"/>
  <c r="Q325" i="26"/>
  <c r="Q323" i="26"/>
  <c r="Q322" i="26"/>
  <c r="Q321" i="26"/>
  <c r="Q320" i="26"/>
  <c r="Q319" i="26"/>
  <c r="Q318" i="26"/>
  <c r="Q317" i="26"/>
  <c r="Q316" i="26"/>
  <c r="Q315" i="26"/>
  <c r="Q314" i="26"/>
  <c r="Q313" i="26"/>
  <c r="Q312" i="26"/>
  <c r="Q311" i="26"/>
  <c r="Q310" i="26"/>
  <c r="Q309" i="26"/>
  <c r="Q308" i="26"/>
  <c r="Q307" i="26"/>
  <c r="Q306" i="26"/>
  <c r="Q304" i="26"/>
  <c r="Q303" i="26"/>
  <c r="Q299" i="26"/>
  <c r="Q302" i="26"/>
  <c r="Q301" i="26"/>
  <c r="Q300" i="26"/>
  <c r="Q298" i="26"/>
  <c r="Q297" i="26"/>
  <c r="Q295" i="26"/>
  <c r="Q294" i="26"/>
  <c r="Q292" i="26"/>
  <c r="Q291" i="26"/>
  <c r="Q290" i="26"/>
  <c r="Q289" i="26"/>
  <c r="Q288" i="26"/>
  <c r="Q287" i="26"/>
  <c r="Q283" i="26"/>
  <c r="Q282" i="26"/>
  <c r="Q281" i="26"/>
  <c r="Q280" i="26"/>
  <c r="Q279" i="26"/>
  <c r="Q278" i="26"/>
  <c r="Q257" i="26"/>
  <c r="Q256" i="26"/>
  <c r="Q255" i="26"/>
  <c r="Q254" i="26"/>
  <c r="Q253" i="26"/>
  <c r="Q252" i="26"/>
  <c r="Q250" i="26"/>
  <c r="Q249" i="26"/>
  <c r="Q247" i="26"/>
  <c r="Q246" i="26"/>
  <c r="Q245" i="26"/>
  <c r="Q244" i="26"/>
  <c r="Q243" i="26"/>
  <c r="Q242" i="26"/>
  <c r="Q241" i="26"/>
  <c r="Q240" i="26"/>
  <c r="Q239" i="26"/>
  <c r="Q238" i="26"/>
  <c r="Q237" i="26"/>
  <c r="Q234" i="26"/>
  <c r="Q233" i="26"/>
  <c r="Q232" i="26"/>
  <c r="Q231" i="26"/>
  <c r="Q230" i="26"/>
  <c r="Q183" i="26"/>
  <c r="Q182" i="26"/>
  <c r="Q177" i="26"/>
  <c r="Q176" i="26"/>
  <c r="Q174" i="26"/>
  <c r="Q170" i="26"/>
  <c r="Q169" i="26"/>
  <c r="Q168" i="26"/>
  <c r="Q167" i="26"/>
  <c r="Q166" i="26"/>
  <c r="Q163" i="26"/>
  <c r="Q162" i="26"/>
  <c r="Q146" i="26"/>
  <c r="Q145" i="26"/>
  <c r="Q143" i="26"/>
  <c r="Q142" i="26"/>
  <c r="Q141" i="26"/>
  <c r="Q140" i="26"/>
  <c r="Q139" i="26"/>
  <c r="Q138" i="26"/>
  <c r="Q137" i="26"/>
  <c r="Q136" i="26"/>
  <c r="Q135" i="26"/>
  <c r="Q134" i="26"/>
  <c r="Q133" i="26"/>
  <c r="Q132" i="26"/>
  <c r="Q131" i="26"/>
  <c r="Q130" i="26"/>
  <c r="Q129" i="26"/>
  <c r="Q128" i="26"/>
  <c r="Q127" i="26"/>
  <c r="Q125" i="26"/>
  <c r="Q124" i="26"/>
  <c r="Q123" i="26"/>
  <c r="Q122" i="26"/>
  <c r="Q121" i="26"/>
  <c r="Q119" i="26"/>
  <c r="Q118" i="26"/>
  <c r="Q117" i="26"/>
  <c r="Q116" i="26"/>
  <c r="Q115" i="26"/>
  <c r="Q114" i="26"/>
  <c r="Q113" i="26"/>
  <c r="Q112" i="26"/>
  <c r="Q111" i="26"/>
  <c r="Q110" i="26"/>
  <c r="Q109" i="26"/>
  <c r="Q108" i="26"/>
  <c r="Q107" i="26"/>
  <c r="Q106" i="26"/>
  <c r="Q105" i="26"/>
  <c r="Q104" i="26"/>
  <c r="Q103" i="26"/>
  <c r="Q102" i="26"/>
  <c r="Q101" i="26"/>
  <c r="Q100" i="26"/>
  <c r="Q99" i="26"/>
  <c r="Q98" i="26"/>
  <c r="Q97" i="26"/>
  <c r="Q95" i="26"/>
  <c r="Q96" i="26"/>
  <c r="Q94" i="26"/>
  <c r="Q93" i="26"/>
  <c r="Q92" i="26"/>
  <c r="Q91" i="26"/>
  <c r="K632" i="26"/>
  <c r="AK632" i="26" s="1"/>
  <c r="K631" i="26"/>
  <c r="AK631" i="26" s="1"/>
  <c r="K630" i="26"/>
  <c r="AK630" i="26" s="1"/>
  <c r="K629" i="26"/>
  <c r="AK629" i="26" s="1"/>
  <c r="K627" i="26"/>
  <c r="AK627" i="26" s="1"/>
  <c r="K626" i="26"/>
  <c r="AK626" i="26" s="1"/>
  <c r="K625" i="26"/>
  <c r="AK625" i="26" s="1"/>
  <c r="K624" i="26"/>
  <c r="AK624" i="26" s="1"/>
  <c r="K623" i="26"/>
  <c r="AK623" i="26" s="1"/>
  <c r="K622" i="26"/>
  <c r="AK622" i="26" s="1"/>
  <c r="K621" i="26"/>
  <c r="AK621" i="26" s="1"/>
  <c r="K620" i="26"/>
  <c r="AK620" i="26" s="1"/>
  <c r="K619" i="26"/>
  <c r="AK619" i="26" s="1"/>
  <c r="K618" i="26"/>
  <c r="AK618" i="26" s="1"/>
  <c r="K617" i="26"/>
  <c r="AK617" i="26" s="1"/>
  <c r="K616" i="26"/>
  <c r="AK616" i="26" s="1"/>
  <c r="K615" i="26"/>
  <c r="AK615" i="26" s="1"/>
  <c r="K614" i="26"/>
  <c r="AK614" i="26" s="1"/>
  <c r="K613" i="26"/>
  <c r="AK613" i="26" s="1"/>
  <c r="K612" i="26"/>
  <c r="AK612" i="26" s="1"/>
  <c r="K611" i="26"/>
  <c r="AK611" i="26" s="1"/>
  <c r="K610" i="26"/>
  <c r="AK610" i="26" s="1"/>
  <c r="K609" i="26"/>
  <c r="AK609" i="26" s="1"/>
  <c r="K608" i="26"/>
  <c r="AK608" i="26" s="1"/>
  <c r="K607" i="26"/>
  <c r="AK607" i="26" s="1"/>
  <c r="K606" i="26"/>
  <c r="AK606" i="26" s="1"/>
  <c r="K605" i="26"/>
  <c r="AK605" i="26" s="1"/>
  <c r="K604" i="26"/>
  <c r="AK604" i="26" s="1"/>
  <c r="K603" i="26"/>
  <c r="AK603" i="26" s="1"/>
  <c r="K602" i="26"/>
  <c r="AK602" i="26" s="1"/>
  <c r="K601" i="26"/>
  <c r="AK601" i="26" s="1"/>
  <c r="K600" i="26"/>
  <c r="AK600" i="26" s="1"/>
  <c r="K577" i="26"/>
  <c r="AK577" i="26" s="1"/>
  <c r="K574" i="26"/>
  <c r="AK574" i="26" s="1"/>
  <c r="K573" i="26"/>
  <c r="AK573" i="26" s="1"/>
  <c r="K572" i="26"/>
  <c r="AK572" i="26" s="1"/>
  <c r="K571" i="26"/>
  <c r="AK571" i="26" s="1"/>
  <c r="K570" i="26"/>
  <c r="AK570" i="26" s="1"/>
  <c r="K569" i="26"/>
  <c r="AK569" i="26" s="1"/>
  <c r="K568" i="26"/>
  <c r="AK568" i="26" s="1"/>
  <c r="K567" i="26"/>
  <c r="AK567" i="26" s="1"/>
  <c r="K566" i="26"/>
  <c r="AK566" i="26" s="1"/>
  <c r="K565" i="26"/>
  <c r="AK565" i="26" s="1"/>
  <c r="K564" i="26"/>
  <c r="AK564" i="26" s="1"/>
  <c r="K563" i="26"/>
  <c r="AK563" i="26" s="1"/>
  <c r="K562" i="26"/>
  <c r="AK562" i="26" s="1"/>
  <c r="K561" i="26"/>
  <c r="AK561" i="26" s="1"/>
  <c r="K560" i="26"/>
  <c r="AK560" i="26" s="1"/>
  <c r="K559" i="26"/>
  <c r="AK559" i="26" s="1"/>
  <c r="K558" i="26"/>
  <c r="AK558" i="26" s="1"/>
  <c r="K557" i="26"/>
  <c r="AK557" i="26" s="1"/>
  <c r="K556" i="26"/>
  <c r="AK556" i="26" s="1"/>
  <c r="K555" i="26"/>
  <c r="AK555" i="26" s="1"/>
  <c r="K554" i="26"/>
  <c r="AK554" i="26" s="1"/>
  <c r="K553" i="26"/>
  <c r="AK553" i="26" s="1"/>
  <c r="K552" i="26"/>
  <c r="AK552" i="26" s="1"/>
  <c r="K551" i="26"/>
  <c r="AK551" i="26" s="1"/>
  <c r="K550" i="26"/>
  <c r="AK550" i="26" s="1"/>
  <c r="K549" i="26"/>
  <c r="AK549" i="26" s="1"/>
  <c r="K547" i="26"/>
  <c r="AK547" i="26" s="1"/>
  <c r="K546" i="26"/>
  <c r="AK546" i="26" s="1"/>
  <c r="K545" i="26"/>
  <c r="AK545" i="26" s="1"/>
  <c r="K544" i="26"/>
  <c r="AK544" i="26" s="1"/>
  <c r="K543" i="26"/>
  <c r="AK543" i="26" s="1"/>
  <c r="K542" i="26"/>
  <c r="AK542" i="26" s="1"/>
  <c r="K541" i="26"/>
  <c r="AK541" i="26" s="1"/>
  <c r="K540" i="26"/>
  <c r="AK540" i="26" s="1"/>
  <c r="K489" i="26"/>
  <c r="AK489" i="26" s="1"/>
  <c r="K488" i="26"/>
  <c r="AK488" i="26" s="1"/>
  <c r="K487" i="26"/>
  <c r="AK487" i="26" s="1"/>
  <c r="K486" i="26"/>
  <c r="AK486" i="26" s="1"/>
  <c r="K485" i="26"/>
  <c r="AK485" i="26" s="1"/>
  <c r="K484" i="26"/>
  <c r="AK484" i="26" s="1"/>
  <c r="K483" i="26"/>
  <c r="AK483" i="26" s="1"/>
  <c r="K482" i="26"/>
  <c r="AK482" i="26" s="1"/>
  <c r="K481" i="26"/>
  <c r="AK481" i="26" s="1"/>
  <c r="K480" i="26"/>
  <c r="AK480" i="26" s="1"/>
  <c r="K479" i="26"/>
  <c r="AK479" i="26" s="1"/>
  <c r="K478" i="26"/>
  <c r="AK478" i="26" s="1"/>
  <c r="K477" i="26"/>
  <c r="AK477" i="26" s="1"/>
  <c r="K476" i="26"/>
  <c r="AK476" i="26" s="1"/>
  <c r="K475" i="26"/>
  <c r="AK475" i="26" s="1"/>
  <c r="K474" i="26"/>
  <c r="AK474" i="26" s="1"/>
  <c r="K473" i="26"/>
  <c r="AK473" i="26" s="1"/>
  <c r="K472" i="26"/>
  <c r="AK472" i="26" s="1"/>
  <c r="K471" i="26"/>
  <c r="AK471" i="26" s="1"/>
  <c r="K470" i="26"/>
  <c r="AK470" i="26" s="1"/>
  <c r="K469" i="26"/>
  <c r="AK469" i="26" s="1"/>
  <c r="K468" i="26"/>
  <c r="AK468" i="26" s="1"/>
  <c r="K467" i="26"/>
  <c r="AK467" i="26" s="1"/>
  <c r="K465" i="26"/>
  <c r="AK465" i="26" s="1"/>
  <c r="K464" i="26"/>
  <c r="AK464" i="26" s="1"/>
  <c r="K463" i="26"/>
  <c r="AK463" i="26" s="1"/>
  <c r="K462" i="26"/>
  <c r="AK462" i="26" s="1"/>
  <c r="K461" i="26"/>
  <c r="AK461" i="26" s="1"/>
  <c r="K460" i="26"/>
  <c r="AK460" i="26" s="1"/>
  <c r="K459" i="26"/>
  <c r="AK459" i="26" s="1"/>
  <c r="K458" i="26"/>
  <c r="AK458" i="26" s="1"/>
  <c r="K457" i="26"/>
  <c r="AK457" i="26" s="1"/>
  <c r="K456" i="26"/>
  <c r="AK456" i="26" s="1"/>
  <c r="K455" i="26"/>
  <c r="AK455" i="26" s="1"/>
  <c r="K454" i="26"/>
  <c r="AK454" i="26" s="1"/>
  <c r="K453" i="26"/>
  <c r="AK453" i="26" s="1"/>
  <c r="K452" i="26"/>
  <c r="AK452" i="26" s="1"/>
  <c r="K451" i="26"/>
  <c r="AK451" i="26" s="1"/>
  <c r="K449" i="26"/>
  <c r="AK449" i="26" s="1"/>
  <c r="K448" i="26"/>
  <c r="AK448" i="26" s="1"/>
  <c r="K447" i="26"/>
  <c r="AK447" i="26" s="1"/>
  <c r="K446" i="26"/>
  <c r="AK446" i="26" s="1"/>
  <c r="K445" i="26"/>
  <c r="AK445" i="26" s="1"/>
  <c r="K444" i="26"/>
  <c r="AK444" i="26" s="1"/>
  <c r="K443" i="26"/>
  <c r="AK443" i="26" s="1"/>
  <c r="K442" i="26"/>
  <c r="AK442" i="26" s="1"/>
  <c r="K441" i="26"/>
  <c r="AK441" i="26" s="1"/>
  <c r="K440" i="26"/>
  <c r="AK440" i="26" s="1"/>
  <c r="K439" i="26"/>
  <c r="AK439" i="26" s="1"/>
  <c r="K424" i="26"/>
  <c r="AK424" i="26" s="1"/>
  <c r="K422" i="26"/>
  <c r="AK422" i="26" s="1"/>
  <c r="K421" i="26"/>
  <c r="AK421" i="26" s="1"/>
  <c r="K409" i="26"/>
  <c r="AK409" i="26" s="1"/>
  <c r="K375" i="26"/>
  <c r="AK375" i="26" s="1"/>
  <c r="K374" i="26"/>
  <c r="AK374" i="26" s="1"/>
  <c r="K373" i="26"/>
  <c r="AK373" i="26" s="1"/>
  <c r="K372" i="26"/>
  <c r="AK372" i="26" s="1"/>
  <c r="K371" i="26"/>
  <c r="AK371" i="26" s="1"/>
  <c r="K370" i="26"/>
  <c r="AK370" i="26" s="1"/>
  <c r="K369" i="26"/>
  <c r="AK369" i="26" s="1"/>
  <c r="K368" i="26"/>
  <c r="AK368" i="26" s="1"/>
  <c r="K367" i="26"/>
  <c r="AK367" i="26" s="1"/>
  <c r="K366" i="26"/>
  <c r="AK366" i="26" s="1"/>
  <c r="K365" i="26"/>
  <c r="AK365" i="26" s="1"/>
  <c r="K364" i="26"/>
  <c r="AK364" i="26" s="1"/>
  <c r="K363" i="26"/>
  <c r="AK363" i="26" s="1"/>
  <c r="K362" i="26"/>
  <c r="AK362" i="26" s="1"/>
  <c r="K361" i="26"/>
  <c r="AK361" i="26" s="1"/>
  <c r="K360" i="26"/>
  <c r="AK360" i="26" s="1"/>
  <c r="K359" i="26"/>
  <c r="AK359" i="26" s="1"/>
  <c r="K358" i="26"/>
  <c r="AK358" i="26" s="1"/>
  <c r="K357" i="26"/>
  <c r="AK357" i="26" s="1"/>
  <c r="K355" i="26"/>
  <c r="AK355" i="26" s="1"/>
  <c r="K354" i="26"/>
  <c r="AK354" i="26" s="1"/>
  <c r="K353" i="26"/>
  <c r="AK353" i="26" s="1"/>
  <c r="K352" i="26"/>
  <c r="AK352" i="26" s="1"/>
  <c r="K351" i="26"/>
  <c r="AK351" i="26" s="1"/>
  <c r="K350" i="26"/>
  <c r="AK350" i="26" s="1"/>
  <c r="K349" i="26"/>
  <c r="AK349" i="26" s="1"/>
  <c r="K348" i="26"/>
  <c r="AK348" i="26" s="1"/>
  <c r="K347" i="26"/>
  <c r="AK347" i="26" s="1"/>
  <c r="K346" i="26"/>
  <c r="AK346" i="26" s="1"/>
  <c r="K345" i="26"/>
  <c r="AK345" i="26" s="1"/>
  <c r="K344" i="26"/>
  <c r="AK344" i="26" s="1"/>
  <c r="K343" i="26"/>
  <c r="AK343" i="26" s="1"/>
  <c r="K342" i="26"/>
  <c r="AK342" i="26" s="1"/>
  <c r="K341" i="26"/>
  <c r="AK341" i="26" s="1"/>
  <c r="K340" i="26"/>
  <c r="AK340" i="26" s="1"/>
  <c r="K339" i="26"/>
  <c r="AK339" i="26" s="1"/>
  <c r="K338" i="26"/>
  <c r="AK338" i="26" s="1"/>
  <c r="K336" i="26"/>
  <c r="AK336" i="26" s="1"/>
  <c r="K335" i="26"/>
  <c r="AK335" i="26" s="1"/>
  <c r="K334" i="26"/>
  <c r="AK334" i="26" s="1"/>
  <c r="K333" i="26"/>
  <c r="AK333" i="26" s="1"/>
  <c r="K332" i="26"/>
  <c r="AK332" i="26" s="1"/>
  <c r="K331" i="26"/>
  <c r="AK331" i="26" s="1"/>
  <c r="K330" i="26"/>
  <c r="AK330" i="26" s="1"/>
  <c r="K329" i="26"/>
  <c r="AK329" i="26" s="1"/>
  <c r="K327" i="26"/>
  <c r="AK327" i="26" s="1"/>
  <c r="K325" i="26"/>
  <c r="AK325" i="26" s="1"/>
  <c r="K323" i="26"/>
  <c r="AK323" i="26" s="1"/>
  <c r="K322" i="26"/>
  <c r="AK322" i="26" s="1"/>
  <c r="K321" i="26"/>
  <c r="AK321" i="26" s="1"/>
  <c r="K320" i="26"/>
  <c r="AK320" i="26" s="1"/>
  <c r="K319" i="26"/>
  <c r="AK319" i="26" s="1"/>
  <c r="K318" i="26"/>
  <c r="AK318" i="26" s="1"/>
  <c r="K317" i="26"/>
  <c r="AK317" i="26" s="1"/>
  <c r="K316" i="26"/>
  <c r="AK316" i="26" s="1"/>
  <c r="K315" i="26"/>
  <c r="AK315" i="26" s="1"/>
  <c r="K314" i="26"/>
  <c r="AK314" i="26" s="1"/>
  <c r="K313" i="26"/>
  <c r="AK313" i="26" s="1"/>
  <c r="K312" i="26"/>
  <c r="AK312" i="26" s="1"/>
  <c r="K311" i="26"/>
  <c r="AK311" i="26" s="1"/>
  <c r="K310" i="26"/>
  <c r="AK310" i="26" s="1"/>
  <c r="K309" i="26"/>
  <c r="AK309" i="26" s="1"/>
  <c r="K308" i="26"/>
  <c r="AK308" i="26" s="1"/>
  <c r="K307" i="26"/>
  <c r="AK307" i="26" s="1"/>
  <c r="K306" i="26"/>
  <c r="AK306" i="26" s="1"/>
  <c r="K304" i="26"/>
  <c r="AK304" i="26" s="1"/>
  <c r="K303" i="26"/>
  <c r="AK303" i="26" s="1"/>
  <c r="K299" i="26"/>
  <c r="AK299" i="26" s="1"/>
  <c r="K302" i="26"/>
  <c r="AK302" i="26" s="1"/>
  <c r="K301" i="26"/>
  <c r="AK301" i="26" s="1"/>
  <c r="K300" i="26"/>
  <c r="AK300" i="26" s="1"/>
  <c r="K298" i="26"/>
  <c r="AK298" i="26" s="1"/>
  <c r="K297" i="26"/>
  <c r="AK297" i="26" s="1"/>
  <c r="K295" i="26"/>
  <c r="AK295" i="26" s="1"/>
  <c r="K294" i="26"/>
  <c r="AK294" i="26" s="1"/>
  <c r="AK293" i="26"/>
  <c r="K292" i="26"/>
  <c r="AK292" i="26" s="1"/>
  <c r="K291" i="26"/>
  <c r="AK291" i="26" s="1"/>
  <c r="K290" i="26"/>
  <c r="AK290" i="26" s="1"/>
  <c r="K289" i="26"/>
  <c r="AK289" i="26" s="1"/>
  <c r="K288" i="26"/>
  <c r="AK288" i="26" s="1"/>
  <c r="K283" i="26"/>
  <c r="AK283" i="26" s="1"/>
  <c r="K282" i="26"/>
  <c r="AK282" i="26" s="1"/>
  <c r="K281" i="26"/>
  <c r="AK281" i="26" s="1"/>
  <c r="K280" i="26"/>
  <c r="AK280" i="26" s="1"/>
  <c r="K279" i="26"/>
  <c r="AK279" i="26" s="1"/>
  <c r="K278" i="26"/>
  <c r="AK278" i="26" s="1"/>
  <c r="K257" i="26"/>
  <c r="AK257" i="26" s="1"/>
  <c r="K256" i="26"/>
  <c r="AK256" i="26" s="1"/>
  <c r="K255" i="26"/>
  <c r="AK255" i="26" s="1"/>
  <c r="K254" i="26"/>
  <c r="AK254" i="26" s="1"/>
  <c r="K253" i="26"/>
  <c r="AK253" i="26" s="1"/>
  <c r="K252" i="26"/>
  <c r="AK252" i="26" s="1"/>
  <c r="K250" i="26"/>
  <c r="AK250" i="26" s="1"/>
  <c r="K249" i="26"/>
  <c r="AK249" i="26" s="1"/>
  <c r="K248" i="26"/>
  <c r="AK248" i="26" s="1"/>
  <c r="K247" i="26"/>
  <c r="AK247" i="26" s="1"/>
  <c r="K246" i="26"/>
  <c r="AK246" i="26" s="1"/>
  <c r="K245" i="26"/>
  <c r="AK245" i="26" s="1"/>
  <c r="K244" i="26"/>
  <c r="AK244" i="26" s="1"/>
  <c r="K243" i="26"/>
  <c r="AK243" i="26" s="1"/>
  <c r="K242" i="26"/>
  <c r="AK242" i="26" s="1"/>
  <c r="K241" i="26"/>
  <c r="AK241" i="26" s="1"/>
  <c r="K240" i="26"/>
  <c r="AK240" i="26" s="1"/>
  <c r="K239" i="26"/>
  <c r="AK239" i="26" s="1"/>
  <c r="K238" i="26"/>
  <c r="AK238" i="26" s="1"/>
  <c r="K237" i="26"/>
  <c r="AK237" i="26" s="1"/>
  <c r="K236" i="26"/>
  <c r="AK236" i="26" s="1"/>
  <c r="K235" i="26"/>
  <c r="AK235" i="26" s="1"/>
  <c r="K234" i="26"/>
  <c r="AK234" i="26" s="1"/>
  <c r="K233" i="26"/>
  <c r="AK233" i="26" s="1"/>
  <c r="K232" i="26"/>
  <c r="AK232" i="26" s="1"/>
  <c r="K231" i="26"/>
  <c r="AK231" i="26" s="1"/>
  <c r="K230" i="26"/>
  <c r="AK230" i="26" s="1"/>
  <c r="K229" i="26"/>
  <c r="AK229" i="26" s="1"/>
  <c r="K228" i="26"/>
  <c r="AK228" i="26" s="1"/>
  <c r="K227" i="26"/>
  <c r="AK227" i="26" s="1"/>
  <c r="K226" i="26"/>
  <c r="AK226" i="26" s="1"/>
  <c r="K225" i="26"/>
  <c r="AK225" i="26" s="1"/>
  <c r="K224" i="26"/>
  <c r="AK224" i="26" s="1"/>
  <c r="K223" i="26"/>
  <c r="AK223" i="26" s="1"/>
  <c r="K222" i="26"/>
  <c r="AK222" i="26" s="1"/>
  <c r="K221" i="26"/>
  <c r="AK221" i="26" s="1"/>
  <c r="K220" i="26"/>
  <c r="AK220" i="26" s="1"/>
  <c r="K219" i="26"/>
  <c r="AK219" i="26" s="1"/>
  <c r="K177" i="26"/>
  <c r="AK177" i="26" s="1"/>
  <c r="K176" i="26"/>
  <c r="AK176" i="26" s="1"/>
  <c r="K174" i="26"/>
  <c r="AK174" i="26" s="1"/>
  <c r="K173" i="26"/>
  <c r="AK173" i="26" s="1"/>
  <c r="K172" i="26"/>
  <c r="AK172" i="26" s="1"/>
  <c r="K171" i="26"/>
  <c r="AK171" i="26" s="1"/>
  <c r="K170" i="26"/>
  <c r="AK170" i="26" s="1"/>
  <c r="K169" i="26"/>
  <c r="AK169" i="26" s="1"/>
  <c r="K168" i="26"/>
  <c r="AK168" i="26" s="1"/>
  <c r="K167" i="26"/>
  <c r="AK167" i="26" s="1"/>
  <c r="K166" i="26"/>
  <c r="AK166" i="26" s="1"/>
  <c r="K165" i="26"/>
  <c r="AK165" i="26" s="1"/>
  <c r="K163" i="26"/>
  <c r="AK163" i="26" s="1"/>
  <c r="K162" i="26"/>
  <c r="AK162" i="26" s="1"/>
  <c r="K146" i="26"/>
  <c r="AK146" i="26" s="1"/>
  <c r="K145" i="26"/>
  <c r="AK145" i="26" s="1"/>
  <c r="K143" i="26"/>
  <c r="AK143" i="26" s="1"/>
  <c r="K142" i="26"/>
  <c r="AK142" i="26" s="1"/>
  <c r="K141" i="26"/>
  <c r="AK141" i="26" s="1"/>
  <c r="K140" i="26"/>
  <c r="AK140" i="26" s="1"/>
  <c r="K139" i="26"/>
  <c r="AK139" i="26" s="1"/>
  <c r="K138" i="26"/>
  <c r="AK138" i="26" s="1"/>
  <c r="K137" i="26"/>
  <c r="AK137" i="26" s="1"/>
  <c r="K136" i="26"/>
  <c r="AK136" i="26" s="1"/>
  <c r="K135" i="26"/>
  <c r="AK135" i="26" s="1"/>
  <c r="K134" i="26"/>
  <c r="AK134" i="26" s="1"/>
  <c r="K133" i="26"/>
  <c r="AK133" i="26" s="1"/>
  <c r="K132" i="26"/>
  <c r="AK132" i="26" s="1"/>
  <c r="K131" i="26"/>
  <c r="AK131" i="26" s="1"/>
  <c r="K130" i="26"/>
  <c r="AK130" i="26" s="1"/>
  <c r="K129" i="26"/>
  <c r="AK129" i="26" s="1"/>
  <c r="K128" i="26"/>
  <c r="AK128" i="26" s="1"/>
  <c r="K127" i="26"/>
  <c r="AK127" i="26" s="1"/>
  <c r="K125" i="26"/>
  <c r="AK125" i="26" s="1"/>
  <c r="K124" i="26"/>
  <c r="AK124" i="26" s="1"/>
  <c r="K123" i="26"/>
  <c r="AK123" i="26" s="1"/>
  <c r="K122" i="26"/>
  <c r="AK122" i="26" s="1"/>
  <c r="K121" i="26"/>
  <c r="AK121" i="26" s="1"/>
  <c r="K119" i="26"/>
  <c r="AK119" i="26" s="1"/>
  <c r="K118" i="26"/>
  <c r="AK118" i="26" s="1"/>
  <c r="K117" i="26"/>
  <c r="AK117" i="26" s="1"/>
  <c r="K116" i="26"/>
  <c r="AK116" i="26" s="1"/>
  <c r="K115" i="26"/>
  <c r="AK115" i="26" s="1"/>
  <c r="K114" i="26"/>
  <c r="AK114" i="26" s="1"/>
  <c r="K113" i="26"/>
  <c r="AK113" i="26" s="1"/>
  <c r="K112" i="26"/>
  <c r="AK112" i="26" s="1"/>
  <c r="K111" i="26"/>
  <c r="AK111" i="26" s="1"/>
  <c r="K110" i="26"/>
  <c r="AK110" i="26" s="1"/>
  <c r="K109" i="26"/>
  <c r="AK109" i="26" s="1"/>
  <c r="K108" i="26"/>
  <c r="AK108" i="26" s="1"/>
  <c r="K107" i="26"/>
  <c r="AK107" i="26" s="1"/>
  <c r="K106" i="26"/>
  <c r="AK106" i="26" s="1"/>
  <c r="K105" i="26"/>
  <c r="AK105" i="26" s="1"/>
  <c r="K104" i="26"/>
  <c r="AK104" i="26" s="1"/>
  <c r="K103" i="26"/>
  <c r="AK103" i="26" s="1"/>
  <c r="K102" i="26"/>
  <c r="AK102" i="26" s="1"/>
  <c r="K101" i="26"/>
  <c r="AK101" i="26" s="1"/>
  <c r="K100" i="26"/>
  <c r="AK100" i="26" s="1"/>
  <c r="K99" i="26"/>
  <c r="AK99" i="26" s="1"/>
  <c r="K98" i="26"/>
  <c r="AK98" i="26" s="1"/>
  <c r="K97" i="26"/>
  <c r="AK97" i="26" s="1"/>
  <c r="K95" i="26"/>
  <c r="AK95" i="26" s="1"/>
  <c r="K96" i="26"/>
  <c r="AK96" i="26" s="1"/>
  <c r="K94" i="26"/>
  <c r="AK94" i="26" s="1"/>
  <c r="K93" i="26"/>
  <c r="AK93" i="26" s="1"/>
  <c r="K92" i="26"/>
  <c r="AK92" i="26" s="1"/>
  <c r="K91" i="26"/>
  <c r="AK91" i="26" s="1"/>
  <c r="BB632" i="25"/>
  <c r="BL632" i="25" s="1"/>
  <c r="BB631" i="25"/>
  <c r="BL631" i="25" s="1"/>
  <c r="BB630" i="25"/>
  <c r="BL630" i="25" s="1"/>
  <c r="BB629" i="25"/>
  <c r="BL629" i="25" s="1"/>
  <c r="BB627" i="25"/>
  <c r="BL627" i="25" s="1"/>
  <c r="BB626" i="25"/>
  <c r="BL626" i="25" s="1"/>
  <c r="BB625" i="25"/>
  <c r="BL625" i="25" s="1"/>
  <c r="BB624" i="25"/>
  <c r="BL624" i="25" s="1"/>
  <c r="BB623" i="25"/>
  <c r="BL623" i="25" s="1"/>
  <c r="BB622" i="25"/>
  <c r="BL622" i="25" s="1"/>
  <c r="BB621" i="25"/>
  <c r="BL621" i="25" s="1"/>
  <c r="BB620" i="25"/>
  <c r="BL620" i="25" s="1"/>
  <c r="BB619" i="25"/>
  <c r="BL619" i="25" s="1"/>
  <c r="BB618" i="25"/>
  <c r="BL618" i="25" s="1"/>
  <c r="BB617" i="25"/>
  <c r="BL617" i="25" s="1"/>
  <c r="BB616" i="25"/>
  <c r="BL616" i="25" s="1"/>
  <c r="BB615" i="25"/>
  <c r="BL615" i="25" s="1"/>
  <c r="BB614" i="25"/>
  <c r="BL614" i="25" s="1"/>
  <c r="BB613" i="25"/>
  <c r="BL613" i="25" s="1"/>
  <c r="BB612" i="25"/>
  <c r="BL612" i="25" s="1"/>
  <c r="BB611" i="25"/>
  <c r="BL611" i="25" s="1"/>
  <c r="BB610" i="25"/>
  <c r="BL610" i="25" s="1"/>
  <c r="BB609" i="25"/>
  <c r="BL609" i="25" s="1"/>
  <c r="BB608" i="25"/>
  <c r="BL608" i="25" s="1"/>
  <c r="BB607" i="25"/>
  <c r="BL607" i="25" s="1"/>
  <c r="BB606" i="25"/>
  <c r="BL606" i="25" s="1"/>
  <c r="BB605" i="25"/>
  <c r="BL605" i="25" s="1"/>
  <c r="BB604" i="25"/>
  <c r="BL604" i="25" s="1"/>
  <c r="BB603" i="25"/>
  <c r="BL603" i="25" s="1"/>
  <c r="BB602" i="25"/>
  <c r="BL602" i="25" s="1"/>
  <c r="BB601" i="25"/>
  <c r="BL601" i="25" s="1"/>
  <c r="BB600" i="25"/>
  <c r="BL600" i="25" s="1"/>
  <c r="BB577" i="25"/>
  <c r="BL577" i="25" s="1"/>
  <c r="BB575" i="25"/>
  <c r="BL575" i="25" s="1"/>
  <c r="BB574" i="25"/>
  <c r="BL574" i="25" s="1"/>
  <c r="BB573" i="25"/>
  <c r="BL573" i="25" s="1"/>
  <c r="BB572" i="25"/>
  <c r="BL572" i="25" s="1"/>
  <c r="BB571" i="25"/>
  <c r="BL571" i="25" s="1"/>
  <c r="BB570" i="25"/>
  <c r="BL570" i="25" s="1"/>
  <c r="BB569" i="25"/>
  <c r="BL569" i="25" s="1"/>
  <c r="BB568" i="25"/>
  <c r="BL568" i="25" s="1"/>
  <c r="BB567" i="25"/>
  <c r="BL567" i="25" s="1"/>
  <c r="BB566" i="25"/>
  <c r="BL566" i="25" s="1"/>
  <c r="BB565" i="25"/>
  <c r="BL565" i="25" s="1"/>
  <c r="BB564" i="25"/>
  <c r="BL564" i="25" s="1"/>
  <c r="BB563" i="25"/>
  <c r="BL563" i="25" s="1"/>
  <c r="BB562" i="25"/>
  <c r="BL562" i="25" s="1"/>
  <c r="BB561" i="25"/>
  <c r="BL561" i="25" s="1"/>
  <c r="BB560" i="25"/>
  <c r="BL560" i="25" s="1"/>
  <c r="BB559" i="25"/>
  <c r="BL559" i="25" s="1"/>
  <c r="BB558" i="25"/>
  <c r="BL558" i="25" s="1"/>
  <c r="BB557" i="25"/>
  <c r="BL557" i="25" s="1"/>
  <c r="BB556" i="25"/>
  <c r="BL556" i="25" s="1"/>
  <c r="BB555" i="25"/>
  <c r="BL555" i="25" s="1"/>
  <c r="BB554" i="25"/>
  <c r="BL554" i="25" s="1"/>
  <c r="BB553" i="25"/>
  <c r="BL553" i="25" s="1"/>
  <c r="BB552" i="25"/>
  <c r="BL552" i="25" s="1"/>
  <c r="BB551" i="25"/>
  <c r="BL551" i="25" s="1"/>
  <c r="BB550" i="25"/>
  <c r="BL550" i="25" s="1"/>
  <c r="BB549" i="25"/>
  <c r="BL549" i="25" s="1"/>
  <c r="BB547" i="25"/>
  <c r="BL547" i="25" s="1"/>
  <c r="BB546" i="25"/>
  <c r="BL546" i="25" s="1"/>
  <c r="BB545" i="25"/>
  <c r="BL545" i="25" s="1"/>
  <c r="BB544" i="25"/>
  <c r="BL544" i="25" s="1"/>
  <c r="BB543" i="25"/>
  <c r="BL543" i="25" s="1"/>
  <c r="BB542" i="25"/>
  <c r="BL542" i="25" s="1"/>
  <c r="BB541" i="25"/>
  <c r="BL541" i="25" s="1"/>
  <c r="BB540" i="25"/>
  <c r="BL540" i="25" s="1"/>
  <c r="BB489" i="25"/>
  <c r="BL489" i="25" s="1"/>
  <c r="BB488" i="25"/>
  <c r="BL488" i="25" s="1"/>
  <c r="BB487" i="25"/>
  <c r="BL487" i="25" s="1"/>
  <c r="BB486" i="25"/>
  <c r="BL486" i="25" s="1"/>
  <c r="BB485" i="25"/>
  <c r="BL485" i="25" s="1"/>
  <c r="BB484" i="25"/>
  <c r="BL484" i="25" s="1"/>
  <c r="BB483" i="25"/>
  <c r="BL483" i="25" s="1"/>
  <c r="BB482" i="25"/>
  <c r="BL482" i="25" s="1"/>
  <c r="BB481" i="25"/>
  <c r="BL481" i="25" s="1"/>
  <c r="BB480" i="25"/>
  <c r="BL480" i="25" s="1"/>
  <c r="BB479" i="25"/>
  <c r="BL479" i="25" s="1"/>
  <c r="BB478" i="25"/>
  <c r="BL478" i="25" s="1"/>
  <c r="BB477" i="25"/>
  <c r="BL477" i="25" s="1"/>
  <c r="BB476" i="25"/>
  <c r="BL476" i="25" s="1"/>
  <c r="BB475" i="25"/>
  <c r="BL475" i="25" s="1"/>
  <c r="BB474" i="25"/>
  <c r="BL474" i="25" s="1"/>
  <c r="BB473" i="25"/>
  <c r="BL473" i="25" s="1"/>
  <c r="BB472" i="25"/>
  <c r="BL472" i="25" s="1"/>
  <c r="BB471" i="25"/>
  <c r="BL471" i="25" s="1"/>
  <c r="BB470" i="25"/>
  <c r="BL470" i="25" s="1"/>
  <c r="BB469" i="25"/>
  <c r="BL469" i="25" s="1"/>
  <c r="BB468" i="25"/>
  <c r="BL468" i="25" s="1"/>
  <c r="BB467" i="25"/>
  <c r="BL467" i="25" s="1"/>
  <c r="BB465" i="25"/>
  <c r="BL465" i="25" s="1"/>
  <c r="BB464" i="25"/>
  <c r="BL464" i="25" s="1"/>
  <c r="BB463" i="25"/>
  <c r="BL463" i="25" s="1"/>
  <c r="BB462" i="25"/>
  <c r="BL462" i="25" s="1"/>
  <c r="BB461" i="25"/>
  <c r="BL461" i="25" s="1"/>
  <c r="BB460" i="25"/>
  <c r="BL460" i="25" s="1"/>
  <c r="BB459" i="25"/>
  <c r="BL459" i="25" s="1"/>
  <c r="BB458" i="25"/>
  <c r="BL458" i="25" s="1"/>
  <c r="BB457" i="25"/>
  <c r="BL457" i="25" s="1"/>
  <c r="BB456" i="25"/>
  <c r="BL456" i="25" s="1"/>
  <c r="BB455" i="25"/>
  <c r="BL455" i="25" s="1"/>
  <c r="BB454" i="25"/>
  <c r="BL454" i="25" s="1"/>
  <c r="BB453" i="25"/>
  <c r="BL453" i="25" s="1"/>
  <c r="BB452" i="25"/>
  <c r="BL452" i="25" s="1"/>
  <c r="BB451" i="25"/>
  <c r="BL451" i="25" s="1"/>
  <c r="BB449" i="25"/>
  <c r="BL449" i="25" s="1"/>
  <c r="BB448" i="25"/>
  <c r="BL448" i="25" s="1"/>
  <c r="BB447" i="25"/>
  <c r="BL447" i="25" s="1"/>
  <c r="BB446" i="25"/>
  <c r="BL446" i="25" s="1"/>
  <c r="BB445" i="25"/>
  <c r="BL445" i="25" s="1"/>
  <c r="BB444" i="25"/>
  <c r="BL444" i="25" s="1"/>
  <c r="BB443" i="25"/>
  <c r="BL443" i="25" s="1"/>
  <c r="BB442" i="25"/>
  <c r="BL442" i="25" s="1"/>
  <c r="BB441" i="25"/>
  <c r="BL441" i="25" s="1"/>
  <c r="BB440" i="25"/>
  <c r="BL440" i="25" s="1"/>
  <c r="BB439" i="25"/>
  <c r="BL439" i="25" s="1"/>
  <c r="BB424" i="25"/>
  <c r="BL424" i="25" s="1"/>
  <c r="BB422" i="25"/>
  <c r="BL422" i="25" s="1"/>
  <c r="BB421" i="25"/>
  <c r="BL421" i="25" s="1"/>
  <c r="BB416" i="25"/>
  <c r="BL416" i="25" s="1"/>
  <c r="BB409" i="25"/>
  <c r="BL409" i="25" s="1"/>
  <c r="BB375" i="25"/>
  <c r="BL375" i="25" s="1"/>
  <c r="BB374" i="25"/>
  <c r="BL374" i="25" s="1"/>
  <c r="BB373" i="25"/>
  <c r="BL373" i="25" s="1"/>
  <c r="BB372" i="25"/>
  <c r="BL372" i="25" s="1"/>
  <c r="BB371" i="25"/>
  <c r="BL371" i="25" s="1"/>
  <c r="BB370" i="25"/>
  <c r="BL370" i="25" s="1"/>
  <c r="BB369" i="25"/>
  <c r="BL369" i="25" s="1"/>
  <c r="BB368" i="25"/>
  <c r="BL368" i="25" s="1"/>
  <c r="BB367" i="25"/>
  <c r="BL367" i="25" s="1"/>
  <c r="BB366" i="25"/>
  <c r="BL366" i="25" s="1"/>
  <c r="BB365" i="25"/>
  <c r="BL365" i="25" s="1"/>
  <c r="BB364" i="25"/>
  <c r="BL364" i="25" s="1"/>
  <c r="BB363" i="25"/>
  <c r="BL363" i="25" s="1"/>
  <c r="BB362" i="25"/>
  <c r="BL362" i="25" s="1"/>
  <c r="BB361" i="25"/>
  <c r="BL361" i="25" s="1"/>
  <c r="BB360" i="25"/>
  <c r="BL360" i="25" s="1"/>
  <c r="BB359" i="25"/>
  <c r="BL359" i="25" s="1"/>
  <c r="BB358" i="25"/>
  <c r="BL358" i="25" s="1"/>
  <c r="BB357" i="25"/>
  <c r="BL357" i="25" s="1"/>
  <c r="BB355" i="25"/>
  <c r="BL355" i="25" s="1"/>
  <c r="BB354" i="25"/>
  <c r="BL354" i="25" s="1"/>
  <c r="BB353" i="25"/>
  <c r="BL353" i="25" s="1"/>
  <c r="BB352" i="25"/>
  <c r="BL352" i="25" s="1"/>
  <c r="BB351" i="25"/>
  <c r="BL351" i="25" s="1"/>
  <c r="BB350" i="25"/>
  <c r="BL350" i="25" s="1"/>
  <c r="BB349" i="25"/>
  <c r="BL349" i="25" s="1"/>
  <c r="BB348" i="25"/>
  <c r="BL348" i="25" s="1"/>
  <c r="BB347" i="25"/>
  <c r="BL347" i="25" s="1"/>
  <c r="BB346" i="25"/>
  <c r="BL346" i="25" s="1"/>
  <c r="BB345" i="25"/>
  <c r="BL345" i="25" s="1"/>
  <c r="BB344" i="25"/>
  <c r="BL344" i="25" s="1"/>
  <c r="BB343" i="25"/>
  <c r="BL343" i="25" s="1"/>
  <c r="BB342" i="25"/>
  <c r="BL342" i="25" s="1"/>
  <c r="BB341" i="25"/>
  <c r="BL341" i="25" s="1"/>
  <c r="BB340" i="25"/>
  <c r="BL340" i="25" s="1"/>
  <c r="BB339" i="25"/>
  <c r="BL339" i="25" s="1"/>
  <c r="BB336" i="25"/>
  <c r="BL336" i="25" s="1"/>
  <c r="BB335" i="25"/>
  <c r="BL335" i="25" s="1"/>
  <c r="BB334" i="25"/>
  <c r="BL334" i="25" s="1"/>
  <c r="BB333" i="25"/>
  <c r="BL333" i="25" s="1"/>
  <c r="BB332" i="25"/>
  <c r="BL332" i="25" s="1"/>
  <c r="BB331" i="25"/>
  <c r="BL331" i="25" s="1"/>
  <c r="BB330" i="25"/>
  <c r="BL330" i="25" s="1"/>
  <c r="BB329" i="25"/>
  <c r="BL329" i="25" s="1"/>
  <c r="BB327" i="25"/>
  <c r="BL327" i="25" s="1"/>
  <c r="BB325" i="25"/>
  <c r="BL325" i="25" s="1"/>
  <c r="BB323" i="25"/>
  <c r="BL323" i="25" s="1"/>
  <c r="BB322" i="25"/>
  <c r="BL322" i="25" s="1"/>
  <c r="BB321" i="25"/>
  <c r="BL321" i="25" s="1"/>
  <c r="BB320" i="25"/>
  <c r="BL320" i="25" s="1"/>
  <c r="BB319" i="25"/>
  <c r="BL319" i="25" s="1"/>
  <c r="BB318" i="25"/>
  <c r="BL318" i="25" s="1"/>
  <c r="BB317" i="25"/>
  <c r="BL317" i="25" s="1"/>
  <c r="BB316" i="25"/>
  <c r="BL316" i="25" s="1"/>
  <c r="BB315" i="25"/>
  <c r="BL315" i="25" s="1"/>
  <c r="BB314" i="25"/>
  <c r="BL314" i="25" s="1"/>
  <c r="BB313" i="25"/>
  <c r="BL313" i="25" s="1"/>
  <c r="BB312" i="25"/>
  <c r="BL312" i="25" s="1"/>
  <c r="BB311" i="25"/>
  <c r="BL311" i="25" s="1"/>
  <c r="BB310" i="25"/>
  <c r="BL310" i="25" s="1"/>
  <c r="BB309" i="25"/>
  <c r="BL309" i="25" s="1"/>
  <c r="BB308" i="25"/>
  <c r="BL308" i="25" s="1"/>
  <c r="BN306" i="25"/>
  <c r="BV306" i="25" s="1"/>
  <c r="BX306" i="25" s="1"/>
  <c r="BB304" i="25"/>
  <c r="BL304" i="25" s="1"/>
  <c r="BB303" i="25"/>
  <c r="BL303" i="25" s="1"/>
  <c r="BB299" i="25"/>
  <c r="BL299" i="25" s="1"/>
  <c r="BB302" i="25"/>
  <c r="BL302" i="25" s="1"/>
  <c r="BB301" i="25"/>
  <c r="BL301" i="25" s="1"/>
  <c r="BB300" i="25"/>
  <c r="BL300" i="25" s="1"/>
  <c r="BB298" i="25"/>
  <c r="BL298" i="25" s="1"/>
  <c r="BB297" i="25"/>
  <c r="BL297" i="25" s="1"/>
  <c r="BB295" i="25"/>
  <c r="BL295" i="25" s="1"/>
  <c r="BB294" i="25"/>
  <c r="BL294" i="25" s="1"/>
  <c r="BB293" i="25"/>
  <c r="BL293" i="25" s="1"/>
  <c r="BB292" i="25"/>
  <c r="BL292" i="25" s="1"/>
  <c r="BB291" i="25"/>
  <c r="BL291" i="25" s="1"/>
  <c r="BB290" i="25"/>
  <c r="BL290" i="25" s="1"/>
  <c r="BB289" i="25"/>
  <c r="BL289" i="25" s="1"/>
  <c r="BB288" i="25"/>
  <c r="BL288" i="25" s="1"/>
  <c r="BB287" i="25"/>
  <c r="BL287" i="25" s="1"/>
  <c r="BB283" i="25"/>
  <c r="BL283" i="25" s="1"/>
  <c r="BB282" i="25"/>
  <c r="BL282" i="25" s="1"/>
  <c r="BB281" i="25"/>
  <c r="BL281" i="25" s="1"/>
  <c r="BB280" i="25"/>
  <c r="BL280" i="25" s="1"/>
  <c r="BB279" i="25"/>
  <c r="BL279" i="25" s="1"/>
  <c r="BB278" i="25"/>
  <c r="BL278" i="25" s="1"/>
  <c r="BB277" i="25"/>
  <c r="BL277" i="25" s="1"/>
  <c r="BB257" i="25"/>
  <c r="BL257" i="25" s="1"/>
  <c r="BB256" i="25"/>
  <c r="BL256" i="25" s="1"/>
  <c r="BB255" i="25"/>
  <c r="BL255" i="25" s="1"/>
  <c r="BB254" i="25"/>
  <c r="BL254" i="25" s="1"/>
  <c r="BB253" i="25"/>
  <c r="BL253" i="25" s="1"/>
  <c r="BB252" i="25"/>
  <c r="BL252" i="25" s="1"/>
  <c r="BB250" i="25"/>
  <c r="BL250" i="25" s="1"/>
  <c r="BB249" i="25"/>
  <c r="BL249" i="25" s="1"/>
  <c r="BB248" i="25"/>
  <c r="BL248" i="25" s="1"/>
  <c r="BB247" i="25"/>
  <c r="BL247" i="25" s="1"/>
  <c r="BB246" i="25"/>
  <c r="BL246" i="25" s="1"/>
  <c r="BB245" i="25"/>
  <c r="BL245" i="25" s="1"/>
  <c r="BB244" i="25"/>
  <c r="BL244" i="25" s="1"/>
  <c r="BB243" i="25"/>
  <c r="BL243" i="25" s="1"/>
  <c r="BB242" i="25"/>
  <c r="BL242" i="25" s="1"/>
  <c r="BB241" i="25"/>
  <c r="BL241" i="25" s="1"/>
  <c r="BB240" i="25"/>
  <c r="BL240" i="25" s="1"/>
  <c r="BB239" i="25"/>
  <c r="BL239" i="25" s="1"/>
  <c r="BB238" i="25"/>
  <c r="BL238" i="25" s="1"/>
  <c r="BB237" i="25"/>
  <c r="BL237" i="25" s="1"/>
  <c r="BB236" i="25"/>
  <c r="BL236" i="25" s="1"/>
  <c r="BB235" i="25"/>
  <c r="BL235" i="25" s="1"/>
  <c r="BL234" i="25"/>
  <c r="BB232" i="25"/>
  <c r="BL232" i="25" s="1"/>
  <c r="BB231" i="25"/>
  <c r="BL231" i="25" s="1"/>
  <c r="BB230" i="25"/>
  <c r="BL230" i="25" s="1"/>
  <c r="BB229" i="25"/>
  <c r="BL229" i="25" s="1"/>
  <c r="BB228" i="25"/>
  <c r="BL228" i="25" s="1"/>
  <c r="BB227" i="25"/>
  <c r="BL227" i="25" s="1"/>
  <c r="BB226" i="25"/>
  <c r="BL226" i="25" s="1"/>
  <c r="BB225" i="25"/>
  <c r="BL225" i="25" s="1"/>
  <c r="BB224" i="25"/>
  <c r="BL224" i="25" s="1"/>
  <c r="BB223" i="25"/>
  <c r="BL223" i="25" s="1"/>
  <c r="BB222" i="25"/>
  <c r="BL222" i="25" s="1"/>
  <c r="BB221" i="25"/>
  <c r="BL221" i="25" s="1"/>
  <c r="BB220" i="25"/>
  <c r="BL220" i="25" s="1"/>
  <c r="BB219" i="25"/>
  <c r="BL219" i="25" s="1"/>
  <c r="BB218" i="25"/>
  <c r="BL218" i="25" s="1"/>
  <c r="BB217" i="25"/>
  <c r="BL217" i="25" s="1"/>
  <c r="BB215" i="25"/>
  <c r="BL215" i="25" s="1"/>
  <c r="BB214" i="25"/>
  <c r="BL214" i="25" s="1"/>
  <c r="BB213" i="25"/>
  <c r="BL213" i="25" s="1"/>
  <c r="BB183" i="25"/>
  <c r="BL183" i="25" s="1"/>
  <c r="BB182" i="25"/>
  <c r="BL182" i="25" s="1"/>
  <c r="BB177" i="25"/>
  <c r="BL177" i="25" s="1"/>
  <c r="BB176" i="25"/>
  <c r="BL176" i="25" s="1"/>
  <c r="BB174" i="25"/>
  <c r="BL174" i="25" s="1"/>
  <c r="BB173" i="25"/>
  <c r="BL173" i="25" s="1"/>
  <c r="BB170" i="25"/>
  <c r="BL170" i="25" s="1"/>
  <c r="BB169" i="25"/>
  <c r="BL169" i="25" s="1"/>
  <c r="BB168" i="25"/>
  <c r="BL168" i="25" s="1"/>
  <c r="BB167" i="25"/>
  <c r="BL167" i="25" s="1"/>
  <c r="BB166" i="25"/>
  <c r="BL166" i="25" s="1"/>
  <c r="BB163" i="25"/>
  <c r="BL163" i="25" s="1"/>
  <c r="BB162" i="25"/>
  <c r="BL162" i="25" s="1"/>
  <c r="BB146" i="25"/>
  <c r="BL146" i="25" s="1"/>
  <c r="BB145" i="25"/>
  <c r="BL145" i="25" s="1"/>
  <c r="BB143" i="25"/>
  <c r="BL143" i="25" s="1"/>
  <c r="BB142" i="25"/>
  <c r="BL142" i="25" s="1"/>
  <c r="BB141" i="25"/>
  <c r="BL141" i="25" s="1"/>
  <c r="BB140" i="25"/>
  <c r="BL140" i="25" s="1"/>
  <c r="BB139" i="25"/>
  <c r="BL139" i="25" s="1"/>
  <c r="BB138" i="25"/>
  <c r="BL138" i="25" s="1"/>
  <c r="BB137" i="25"/>
  <c r="BL137" i="25" s="1"/>
  <c r="BB136" i="25"/>
  <c r="BL136" i="25" s="1"/>
  <c r="BB135" i="25"/>
  <c r="BL135" i="25" s="1"/>
  <c r="BB134" i="25"/>
  <c r="BL134" i="25" s="1"/>
  <c r="BB133" i="25"/>
  <c r="BL133" i="25" s="1"/>
  <c r="BB132" i="25"/>
  <c r="BL132" i="25" s="1"/>
  <c r="BB131" i="25"/>
  <c r="BL131" i="25" s="1"/>
  <c r="BB130" i="25"/>
  <c r="BL130" i="25" s="1"/>
  <c r="BB129" i="25"/>
  <c r="BL129" i="25" s="1"/>
  <c r="BB128" i="25"/>
  <c r="BL128" i="25" s="1"/>
  <c r="BB127" i="25"/>
  <c r="BL127" i="25" s="1"/>
  <c r="BB125" i="25"/>
  <c r="BL125" i="25" s="1"/>
  <c r="BB124" i="25"/>
  <c r="BL124" i="25" s="1"/>
  <c r="BB123" i="25"/>
  <c r="BL123" i="25" s="1"/>
  <c r="BB122" i="25"/>
  <c r="BL122" i="25" s="1"/>
  <c r="BB121" i="25"/>
  <c r="BL121" i="25" s="1"/>
  <c r="BB119" i="25"/>
  <c r="BL119" i="25" s="1"/>
  <c r="BB118" i="25"/>
  <c r="BL118" i="25" s="1"/>
  <c r="BB117" i="25"/>
  <c r="BL117" i="25" s="1"/>
  <c r="BB116" i="25"/>
  <c r="BL116" i="25" s="1"/>
  <c r="BB115" i="25"/>
  <c r="BL115" i="25" s="1"/>
  <c r="BB114" i="25"/>
  <c r="BL114" i="25" s="1"/>
  <c r="BB113" i="25"/>
  <c r="BL113" i="25" s="1"/>
  <c r="BB112" i="25"/>
  <c r="BL112" i="25" s="1"/>
  <c r="BB111" i="25"/>
  <c r="BB110" i="25"/>
  <c r="BL110" i="25" s="1"/>
  <c r="BB109" i="25"/>
  <c r="BB108" i="25"/>
  <c r="BL108" i="25" s="1"/>
  <c r="BB107" i="25"/>
  <c r="BL107" i="25" s="1"/>
  <c r="BB106" i="25"/>
  <c r="BL106" i="25" s="1"/>
  <c r="BB105" i="25"/>
  <c r="BL105" i="25" s="1"/>
  <c r="BB104" i="25"/>
  <c r="BL104" i="25" s="1"/>
  <c r="BB103" i="25"/>
  <c r="BL103" i="25" s="1"/>
  <c r="BB102" i="25"/>
  <c r="BL102" i="25" s="1"/>
  <c r="BB100" i="25"/>
  <c r="BL100" i="25" s="1"/>
  <c r="AO632" i="22"/>
  <c r="AO631" i="22"/>
  <c r="AO630" i="22"/>
  <c r="AO629" i="22"/>
  <c r="AO626" i="22"/>
  <c r="AO625" i="22"/>
  <c r="AO624" i="22"/>
  <c r="AO623" i="22"/>
  <c r="AO622" i="22"/>
  <c r="AO621" i="22"/>
  <c r="AO620" i="22"/>
  <c r="AO619" i="22"/>
  <c r="AO618" i="22"/>
  <c r="AO617" i="22"/>
  <c r="AO616" i="22"/>
  <c r="AO615" i="22"/>
  <c r="AO614" i="22"/>
  <c r="AO613" i="22"/>
  <c r="AO612" i="22"/>
  <c r="AO611" i="22"/>
  <c r="AO610" i="22"/>
  <c r="AO609" i="22"/>
  <c r="AO607" i="22"/>
  <c r="AO606" i="22"/>
  <c r="AO605" i="22"/>
  <c r="AO604" i="22"/>
  <c r="AO603" i="22"/>
  <c r="AO602" i="22"/>
  <c r="AO601" i="22"/>
  <c r="AO600" i="22"/>
  <c r="AO598" i="22"/>
  <c r="AO597" i="22"/>
  <c r="AO596" i="22"/>
  <c r="AO595" i="22"/>
  <c r="AO594" i="22"/>
  <c r="AO593" i="22"/>
  <c r="AO592" i="22"/>
  <c r="AO591" i="22"/>
  <c r="AO589" i="22"/>
  <c r="AO588" i="22"/>
  <c r="AO587" i="22"/>
  <c r="AO586" i="22"/>
  <c r="AO585" i="22"/>
  <c r="AO584" i="22"/>
  <c r="AQ584" i="22" s="1"/>
  <c r="AO583" i="22"/>
  <c r="AO582" i="22"/>
  <c r="AO578" i="22"/>
  <c r="AO577" i="22"/>
  <c r="AO575" i="22"/>
  <c r="AO574" i="22"/>
  <c r="AO573" i="22"/>
  <c r="AO572" i="22"/>
  <c r="AO571" i="22"/>
  <c r="AO569" i="22"/>
  <c r="AO568" i="22"/>
  <c r="AO567" i="22"/>
  <c r="AO566" i="22"/>
  <c r="AO565" i="22"/>
  <c r="AO564" i="22"/>
  <c r="AO563" i="22"/>
  <c r="AO562" i="22"/>
  <c r="AO561" i="22"/>
  <c r="AO560" i="22"/>
  <c r="AO559" i="22"/>
  <c r="AO558" i="22"/>
  <c r="AO557" i="22"/>
  <c r="AO556" i="22"/>
  <c r="AO555" i="22"/>
  <c r="AO554" i="22"/>
  <c r="AO553" i="22"/>
  <c r="AO552" i="22"/>
  <c r="AO551" i="22"/>
  <c r="AO550" i="22"/>
  <c r="AO549" i="22"/>
  <c r="AO547" i="22"/>
  <c r="AO546" i="22"/>
  <c r="AO545" i="22"/>
  <c r="AO544" i="22"/>
  <c r="AO543" i="22"/>
  <c r="AO542" i="22"/>
  <c r="AO541" i="22"/>
  <c r="AO540" i="22"/>
  <c r="AO489" i="22"/>
  <c r="AO488" i="22"/>
  <c r="AO487" i="22"/>
  <c r="AO486" i="22"/>
  <c r="AO485" i="22"/>
  <c r="AO484" i="22"/>
  <c r="AO483" i="22"/>
  <c r="AO482" i="22"/>
  <c r="AO481" i="22"/>
  <c r="AO480" i="22"/>
  <c r="AO479" i="22"/>
  <c r="AO478" i="22"/>
  <c r="AO477" i="22"/>
  <c r="AO476" i="22"/>
  <c r="AO475" i="22"/>
  <c r="AO474" i="22"/>
  <c r="AO473" i="22"/>
  <c r="AO472" i="22"/>
  <c r="AO471" i="22"/>
  <c r="AO470" i="22"/>
  <c r="AO469" i="22"/>
  <c r="AO468" i="22"/>
  <c r="AO467" i="22"/>
  <c r="AO465" i="22"/>
  <c r="AO464" i="22"/>
  <c r="AO463" i="22"/>
  <c r="AO462" i="22"/>
  <c r="AO461" i="22"/>
  <c r="AO460" i="22"/>
  <c r="AO459" i="22"/>
  <c r="AO458" i="22"/>
  <c r="AO457" i="22"/>
  <c r="AO456" i="22"/>
  <c r="AO455" i="22"/>
  <c r="AO454" i="22"/>
  <c r="AO453" i="22"/>
  <c r="AO452" i="22"/>
  <c r="AO451" i="22"/>
  <c r="AO449" i="22"/>
  <c r="AO448" i="22"/>
  <c r="AO447" i="22"/>
  <c r="AO445" i="22"/>
  <c r="AO444" i="22"/>
  <c r="AO443" i="22"/>
  <c r="AO442" i="22"/>
  <c r="AO441" i="22"/>
  <c r="AO440" i="22"/>
  <c r="AO439" i="22"/>
  <c r="AO438" i="22"/>
  <c r="AO437" i="22"/>
  <c r="AO436" i="22"/>
  <c r="AO435" i="22"/>
  <c r="AO429" i="22"/>
  <c r="AO428" i="22"/>
  <c r="AO427" i="22"/>
  <c r="AO426" i="22"/>
  <c r="AO424" i="22"/>
  <c r="AO422" i="22"/>
  <c r="AO421" i="22"/>
  <c r="AO375" i="22"/>
  <c r="AO374" i="22"/>
  <c r="AO373" i="22"/>
  <c r="AO372" i="22"/>
  <c r="AO371" i="22"/>
  <c r="AO370" i="22"/>
  <c r="AO369" i="22"/>
  <c r="AO368" i="22"/>
  <c r="AO367" i="22"/>
  <c r="AO366" i="22"/>
  <c r="AO365" i="22"/>
  <c r="AO364" i="22"/>
  <c r="AO363" i="22"/>
  <c r="AO362" i="22"/>
  <c r="AO361" i="22"/>
  <c r="AO360" i="22"/>
  <c r="AO359" i="22"/>
  <c r="AO358" i="22"/>
  <c r="AO357" i="22"/>
  <c r="AO354" i="22"/>
  <c r="AO353" i="22"/>
  <c r="AO352" i="22"/>
  <c r="AO351" i="22"/>
  <c r="AO350" i="22"/>
  <c r="AO349" i="22"/>
  <c r="AO348" i="22"/>
  <c r="AO347" i="22"/>
  <c r="AO346" i="22"/>
  <c r="AO345" i="22"/>
  <c r="AO344" i="22"/>
  <c r="AO343" i="22"/>
  <c r="AO342" i="22"/>
  <c r="AO341" i="22"/>
  <c r="AO340" i="22"/>
  <c r="AO339" i="22"/>
  <c r="AO338" i="22"/>
  <c r="AO336" i="22"/>
  <c r="AO335" i="22"/>
  <c r="AO334" i="22"/>
  <c r="AO333" i="22"/>
  <c r="AO332" i="22"/>
  <c r="AO327" i="22"/>
  <c r="AO325" i="22"/>
  <c r="AO323" i="22"/>
  <c r="AO322" i="22"/>
  <c r="AO321" i="22"/>
  <c r="AO320" i="22"/>
  <c r="AO319" i="22"/>
  <c r="AO318" i="22"/>
  <c r="AO317" i="22"/>
  <c r="AO316" i="22"/>
  <c r="AO315" i="22"/>
  <c r="AO314" i="22"/>
  <c r="AO313" i="22"/>
  <c r="AO312" i="22"/>
  <c r="AO311" i="22"/>
  <c r="AO310" i="22"/>
  <c r="AO309" i="22"/>
  <c r="AO308" i="22"/>
  <c r="AO304" i="22"/>
  <c r="AO303" i="22"/>
  <c r="AO299" i="22"/>
  <c r="AO302" i="22"/>
  <c r="AO301" i="22"/>
  <c r="AO300" i="22"/>
  <c r="AO298" i="22"/>
  <c r="AO297" i="22"/>
  <c r="AO295" i="22"/>
  <c r="AO294" i="22"/>
  <c r="AO293" i="22"/>
  <c r="AO292" i="22"/>
  <c r="AO291" i="22"/>
  <c r="AO290" i="22"/>
  <c r="AO289" i="22"/>
  <c r="AO288" i="22"/>
  <c r="AO287" i="22"/>
  <c r="AO283" i="22"/>
  <c r="AO282" i="22"/>
  <c r="AO281" i="22"/>
  <c r="AO280" i="22"/>
  <c r="AO279" i="22"/>
  <c r="AO278" i="22"/>
  <c r="AO277" i="22"/>
  <c r="AO275" i="22"/>
  <c r="AO274" i="22"/>
  <c r="AO273" i="22"/>
  <c r="AO257" i="22"/>
  <c r="AO256" i="22"/>
  <c r="AO255" i="22"/>
  <c r="AO254" i="22"/>
  <c r="AO253" i="22"/>
  <c r="AO252" i="22"/>
  <c r="AO250" i="22"/>
  <c r="AO249" i="22"/>
  <c r="AO248" i="22"/>
  <c r="AO246" i="22"/>
  <c r="AO245" i="22"/>
  <c r="AO244" i="22"/>
  <c r="AO243" i="22"/>
  <c r="AO242" i="22"/>
  <c r="AO241" i="22"/>
  <c r="AO240" i="22"/>
  <c r="AO239" i="22"/>
  <c r="AQ239" i="22" s="1"/>
  <c r="AO238" i="22"/>
  <c r="AO237" i="22"/>
  <c r="AO236" i="22"/>
  <c r="AO235" i="22"/>
  <c r="AO234" i="22"/>
  <c r="AO233" i="22"/>
  <c r="AO232" i="22"/>
  <c r="AO231" i="22"/>
  <c r="AO230" i="22"/>
  <c r="AO229" i="22"/>
  <c r="AO228" i="22"/>
  <c r="AO227" i="22"/>
  <c r="AO226" i="22"/>
  <c r="AO225" i="22"/>
  <c r="AO224" i="22"/>
  <c r="AO223" i="22"/>
  <c r="AO222" i="22"/>
  <c r="AO221" i="22"/>
  <c r="AO220" i="22"/>
  <c r="AO219" i="22"/>
  <c r="AO218" i="22"/>
  <c r="AO217" i="22"/>
  <c r="AO216" i="22"/>
  <c r="AO215" i="22"/>
  <c r="AO213" i="22"/>
  <c r="AO212" i="22"/>
  <c r="AO210" i="22"/>
  <c r="AO209" i="22"/>
  <c r="AO208" i="22"/>
  <c r="AO206" i="22"/>
  <c r="AQ206" i="22" s="1"/>
  <c r="AO204" i="22"/>
  <c r="AO203" i="22"/>
  <c r="AO202" i="22"/>
  <c r="AO200" i="22"/>
  <c r="AO199" i="22"/>
  <c r="AO198" i="22"/>
  <c r="AO197" i="22"/>
  <c r="AO193" i="22"/>
  <c r="AO192" i="22"/>
  <c r="AO191" i="22"/>
  <c r="AO190" i="22"/>
  <c r="AO188" i="22"/>
  <c r="AO187" i="22"/>
  <c r="AQ187" i="22" s="1"/>
  <c r="AO186" i="22"/>
  <c r="AO185" i="22"/>
  <c r="AO184" i="22"/>
  <c r="AO183" i="22"/>
  <c r="AO182" i="22"/>
  <c r="AQ182" i="22" s="1"/>
  <c r="AO177" i="22"/>
  <c r="AO174" i="22"/>
  <c r="AO173" i="22"/>
  <c r="AO171" i="22"/>
  <c r="AO170" i="22"/>
  <c r="AO169" i="22"/>
  <c r="AO168" i="22"/>
  <c r="AO167" i="22"/>
  <c r="AO166" i="22"/>
  <c r="AQ166" i="22" s="1"/>
  <c r="AO165" i="22"/>
  <c r="AO163" i="22"/>
  <c r="AO161" i="22"/>
  <c r="AO160" i="22"/>
  <c r="AO158" i="22"/>
  <c r="AO157" i="22"/>
  <c r="AO154" i="22"/>
  <c r="AO153" i="22"/>
  <c r="AQ151" i="22"/>
  <c r="AQ150" i="22"/>
  <c r="Y632" i="22"/>
  <c r="Y631" i="22"/>
  <c r="Y630" i="22"/>
  <c r="Y629" i="22"/>
  <c r="Y626" i="22"/>
  <c r="Y625" i="22"/>
  <c r="Y624" i="22"/>
  <c r="Y623" i="22"/>
  <c r="Y622" i="22"/>
  <c r="Y621" i="22"/>
  <c r="Y620" i="22"/>
  <c r="Y619" i="22"/>
  <c r="Y618" i="22"/>
  <c r="Y617" i="22"/>
  <c r="Y616" i="22"/>
  <c r="Y615" i="22"/>
  <c r="Y614" i="22"/>
  <c r="Y613" i="22"/>
  <c r="Y612" i="22"/>
  <c r="Y611" i="22"/>
  <c r="Y610" i="22"/>
  <c r="Y609" i="22"/>
  <c r="Y608" i="22"/>
  <c r="Y607" i="22"/>
  <c r="Y606" i="22"/>
  <c r="Y605" i="22"/>
  <c r="Y604" i="22"/>
  <c r="Y603" i="22"/>
  <c r="Y602" i="22"/>
  <c r="Y601" i="22"/>
  <c r="Y600" i="22"/>
  <c r="Y577" i="22"/>
  <c r="Y575" i="22"/>
  <c r="Y574" i="22"/>
  <c r="Y573" i="22"/>
  <c r="Y572" i="22"/>
  <c r="Y571" i="22"/>
  <c r="Y570" i="22"/>
  <c r="AQ570" i="22" s="1"/>
  <c r="Y569" i="22"/>
  <c r="Y568" i="22"/>
  <c r="Y567" i="22"/>
  <c r="Y566" i="22"/>
  <c r="AQ566" i="22" s="1"/>
  <c r="Y565" i="22"/>
  <c r="Y564" i="22"/>
  <c r="Y563" i="22"/>
  <c r="Y562" i="22"/>
  <c r="Y561" i="22"/>
  <c r="Y560" i="22"/>
  <c r="Y559" i="22"/>
  <c r="Y558" i="22"/>
  <c r="Y557" i="22"/>
  <c r="Y556" i="22"/>
  <c r="Y555" i="22"/>
  <c r="Y554" i="22"/>
  <c r="AQ554" i="22" s="1"/>
  <c r="Y553" i="22"/>
  <c r="Y552" i="22"/>
  <c r="Y551" i="22"/>
  <c r="Y550" i="22"/>
  <c r="Y549" i="22"/>
  <c r="Y547" i="22"/>
  <c r="Y546" i="22"/>
  <c r="Y545" i="22"/>
  <c r="Y544" i="22"/>
  <c r="Y543" i="22"/>
  <c r="Y542" i="22"/>
  <c r="Y541" i="22"/>
  <c r="Y540" i="22"/>
  <c r="Y489" i="22"/>
  <c r="Y488" i="22"/>
  <c r="Y487" i="22"/>
  <c r="Y486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5" i="22"/>
  <c r="Y464" i="22"/>
  <c r="Y463" i="22"/>
  <c r="Y462" i="22"/>
  <c r="Y461" i="22"/>
  <c r="Y460" i="22"/>
  <c r="Y459" i="22"/>
  <c r="Y458" i="22"/>
  <c r="AQ458" i="22" s="1"/>
  <c r="Y457" i="22"/>
  <c r="Y456" i="22"/>
  <c r="Y455" i="22"/>
  <c r="Y454" i="22"/>
  <c r="Y453" i="22"/>
  <c r="Y452" i="22"/>
  <c r="Y451" i="22"/>
  <c r="Y449" i="22"/>
  <c r="Y448" i="22"/>
  <c r="Y447" i="22"/>
  <c r="Y446" i="22"/>
  <c r="Y445" i="22"/>
  <c r="Y444" i="22"/>
  <c r="AQ444" i="22" s="1"/>
  <c r="Y443" i="22"/>
  <c r="Y442" i="22"/>
  <c r="Y441" i="22"/>
  <c r="Y440" i="22"/>
  <c r="AQ440" i="22" s="1"/>
  <c r="Y439" i="22"/>
  <c r="Y424" i="22"/>
  <c r="Y422" i="22"/>
  <c r="Y421" i="22"/>
  <c r="Y416" i="22"/>
  <c r="AQ416" i="22" s="1"/>
  <c r="Y409" i="22"/>
  <c r="Y375" i="22"/>
  <c r="Y374" i="22"/>
  <c r="Y373" i="22"/>
  <c r="Y372" i="22"/>
  <c r="Y371" i="22"/>
  <c r="Y370" i="22"/>
  <c r="Y369" i="22"/>
  <c r="Y368" i="22"/>
  <c r="Y367" i="22"/>
  <c r="Y366" i="22"/>
  <c r="Y365" i="22"/>
  <c r="Y364" i="22"/>
  <c r="Y363" i="22"/>
  <c r="Y362" i="22"/>
  <c r="Y361" i="22"/>
  <c r="Y360" i="22"/>
  <c r="Y359" i="22"/>
  <c r="Y358" i="22"/>
  <c r="Y357" i="22"/>
  <c r="Y355" i="22"/>
  <c r="Y354" i="22"/>
  <c r="Y353" i="22"/>
  <c r="Y352" i="22"/>
  <c r="Y351" i="22"/>
  <c r="Y350" i="22"/>
  <c r="Y349" i="22"/>
  <c r="Y348" i="22"/>
  <c r="Y347" i="22"/>
  <c r="Y346" i="22"/>
  <c r="Y345" i="22"/>
  <c r="Y344" i="22"/>
  <c r="Y343" i="22"/>
  <c r="Y342" i="22"/>
  <c r="Y341" i="22"/>
  <c r="Y340" i="22"/>
  <c r="Y339" i="22"/>
  <c r="Y338" i="22"/>
  <c r="Y336" i="22"/>
  <c r="Y335" i="22"/>
  <c r="Y334" i="22"/>
  <c r="Y333" i="22"/>
  <c r="Y332" i="22"/>
  <c r="AQ332" i="22" s="1"/>
  <c r="Y331" i="22"/>
  <c r="Y330" i="22"/>
  <c r="Y329" i="22"/>
  <c r="Y327" i="22"/>
  <c r="Y325" i="22"/>
  <c r="Y323" i="22"/>
  <c r="Y322" i="22"/>
  <c r="Y321" i="22"/>
  <c r="Y320" i="22"/>
  <c r="Y319" i="22"/>
  <c r="AQ319" i="22" s="1"/>
  <c r="Y318" i="22"/>
  <c r="Y317" i="22"/>
  <c r="Y316" i="22"/>
  <c r="Y315" i="22"/>
  <c r="Y314" i="22"/>
  <c r="Y313" i="22"/>
  <c r="Y312" i="22"/>
  <c r="Y311" i="22"/>
  <c r="Y310" i="22"/>
  <c r="Y309" i="22"/>
  <c r="Y308" i="22"/>
  <c r="Y307" i="22"/>
  <c r="Y304" i="22"/>
  <c r="Y303" i="22"/>
  <c r="Y299" i="22"/>
  <c r="Y302" i="22"/>
  <c r="Y301" i="22"/>
  <c r="Y300" i="22"/>
  <c r="Y298" i="22"/>
  <c r="Y297" i="22"/>
  <c r="Y295" i="22"/>
  <c r="Y294" i="22"/>
  <c r="Y293" i="22"/>
  <c r="Y292" i="22"/>
  <c r="Y291" i="22"/>
  <c r="Y290" i="22"/>
  <c r="Y289" i="22"/>
  <c r="Y288" i="22"/>
  <c r="Y287" i="22"/>
  <c r="Y283" i="22"/>
  <c r="Y282" i="22"/>
  <c r="Y281" i="22"/>
  <c r="Y280" i="22"/>
  <c r="Y279" i="22"/>
  <c r="Y278" i="22"/>
  <c r="Y277" i="22"/>
  <c r="Y257" i="22"/>
  <c r="Y256" i="22"/>
  <c r="Y255" i="22"/>
  <c r="Y254" i="22"/>
  <c r="Y253" i="22"/>
  <c r="Y250" i="22"/>
  <c r="Y249" i="22"/>
  <c r="Y248" i="22"/>
  <c r="Y247" i="22"/>
  <c r="Y246" i="22"/>
  <c r="Y245" i="22"/>
  <c r="Y244" i="22"/>
  <c r="Y243" i="22"/>
  <c r="Y242" i="22"/>
  <c r="Y241" i="22"/>
  <c r="Y240" i="22"/>
  <c r="Y238" i="22"/>
  <c r="Y237" i="22"/>
  <c r="Y236" i="22"/>
  <c r="Y235" i="22"/>
  <c r="Y234" i="22"/>
  <c r="Y232" i="22"/>
  <c r="Y231" i="22"/>
  <c r="Y230" i="22"/>
  <c r="Y229" i="22"/>
  <c r="Y228" i="22"/>
  <c r="Y227" i="22"/>
  <c r="Y226" i="22"/>
  <c r="Y225" i="22"/>
  <c r="Y224" i="22"/>
  <c r="Y223" i="22"/>
  <c r="Y222" i="22"/>
  <c r="Y221" i="22"/>
  <c r="Y220" i="22"/>
  <c r="Y219" i="22"/>
  <c r="Y218" i="22"/>
  <c r="Y217" i="22"/>
  <c r="Y215" i="22"/>
  <c r="Y214" i="22"/>
  <c r="Y213" i="22"/>
  <c r="Y183" i="22"/>
  <c r="Y177" i="22"/>
  <c r="Y176" i="22"/>
  <c r="AQ176" i="22" s="1"/>
  <c r="Y174" i="22"/>
  <c r="Y173" i="22"/>
  <c r="Y170" i="22"/>
  <c r="Y169" i="22"/>
  <c r="Y168" i="22"/>
  <c r="Y167" i="22"/>
  <c r="Y163" i="22"/>
  <c r="Y162" i="22"/>
  <c r="Y146" i="22"/>
  <c r="Y145" i="22"/>
  <c r="Y143" i="22"/>
  <c r="Y142" i="22"/>
  <c r="Y141" i="22"/>
  <c r="Y140" i="22"/>
  <c r="Y139" i="22"/>
  <c r="Y138" i="22"/>
  <c r="Y137" i="22"/>
  <c r="Y136" i="22"/>
  <c r="Y135" i="22"/>
  <c r="Y134" i="22"/>
  <c r="Y133" i="22"/>
  <c r="Y132" i="22"/>
  <c r="Y130" i="22"/>
  <c r="Y129" i="22"/>
  <c r="Y128" i="22"/>
  <c r="Y127" i="22"/>
  <c r="Y125" i="22"/>
  <c r="Y124" i="22"/>
  <c r="Y123" i="22"/>
  <c r="AQ123" i="22" s="1"/>
  <c r="Y122" i="22"/>
  <c r="Y121" i="22"/>
  <c r="Y119" i="22"/>
  <c r="Y118" i="22"/>
  <c r="Y117" i="22"/>
  <c r="Y116" i="22"/>
  <c r="Y115" i="22"/>
  <c r="Y114" i="22"/>
  <c r="Y113" i="22"/>
  <c r="Y112" i="22"/>
  <c r="AQ112" i="22" s="1"/>
  <c r="Y111" i="22"/>
  <c r="AQ111" i="22" s="1"/>
  <c r="Y110" i="22"/>
  <c r="AQ110" i="22" s="1"/>
  <c r="Y109" i="22"/>
  <c r="AQ109" i="22" s="1"/>
  <c r="Y108" i="22"/>
  <c r="AQ108" i="22" s="1"/>
  <c r="Y107" i="22"/>
  <c r="AQ107" i="22" s="1"/>
  <c r="Y106" i="22"/>
  <c r="AQ106" i="22" s="1"/>
  <c r="Y105" i="22"/>
  <c r="AQ105" i="22" s="1"/>
  <c r="Y104" i="22"/>
  <c r="AQ104" i="22" s="1"/>
  <c r="Y103" i="22"/>
  <c r="AQ103" i="22" s="1"/>
  <c r="Y101" i="22"/>
  <c r="AQ101" i="22" s="1"/>
  <c r="Y100" i="22"/>
  <c r="AQ100" i="22" s="1"/>
  <c r="AG415" i="15"/>
  <c r="AG408" i="15"/>
  <c r="AG406" i="15"/>
  <c r="AG405" i="15"/>
  <c r="AF390" i="16"/>
  <c r="AF387" i="16"/>
  <c r="AG320" i="15"/>
  <c r="AG314" i="15"/>
  <c r="AG308" i="15"/>
  <c r="AG303" i="15"/>
  <c r="AG302" i="15"/>
  <c r="AG300" i="15"/>
  <c r="AG298" i="15"/>
  <c r="AG290" i="15"/>
  <c r="AG288" i="15"/>
  <c r="AG278" i="15"/>
  <c r="AG142" i="15"/>
  <c r="AG137" i="15"/>
  <c r="M133" i="15"/>
  <c r="AG130" i="15"/>
  <c r="AG119" i="15"/>
  <c r="AG106" i="15"/>
  <c r="AG98" i="15"/>
  <c r="AG96" i="15"/>
  <c r="AG95" i="15"/>
  <c r="AG91" i="15"/>
  <c r="AG575" i="15"/>
  <c r="AG571" i="15"/>
  <c r="AG563" i="15"/>
  <c r="AG561" i="15"/>
  <c r="AG551" i="15"/>
  <c r="AG550" i="15"/>
  <c r="AG546" i="15"/>
  <c r="BB543" i="2"/>
  <c r="BL543" i="2" s="1"/>
  <c r="AG543" i="15"/>
  <c r="AG483" i="15"/>
  <c r="AG482" i="15"/>
  <c r="S481" i="10"/>
  <c r="AG479" i="15"/>
  <c r="AG477" i="15"/>
  <c r="AG476" i="15"/>
  <c r="AG474" i="15"/>
  <c r="AG470" i="15"/>
  <c r="AG465" i="15"/>
  <c r="AG461" i="15"/>
  <c r="AG459" i="15"/>
  <c r="AG457" i="15"/>
  <c r="AG455" i="15"/>
  <c r="AG454" i="15"/>
  <c r="AG452" i="15"/>
  <c r="Y449" i="1"/>
  <c r="AG449" i="15"/>
  <c r="AK446" i="1"/>
  <c r="M90" i="15"/>
  <c r="AY91" i="17"/>
  <c r="M91" i="15"/>
  <c r="AY92" i="17"/>
  <c r="AY93" i="17"/>
  <c r="AG93" i="15"/>
  <c r="M93" i="15"/>
  <c r="AY94" i="17"/>
  <c r="AG94" i="15"/>
  <c r="M94" i="15"/>
  <c r="AY96" i="17"/>
  <c r="M96" i="15"/>
  <c r="AY95" i="17"/>
  <c r="M95" i="15"/>
  <c r="AY97" i="17"/>
  <c r="AG97" i="15"/>
  <c r="M97" i="15"/>
  <c r="AY98" i="17"/>
  <c r="M98" i="15"/>
  <c r="AY99" i="17"/>
  <c r="AG99" i="15"/>
  <c r="M99" i="15"/>
  <c r="AY100" i="17"/>
  <c r="AG100" i="15"/>
  <c r="M100" i="15"/>
  <c r="AY101" i="17"/>
  <c r="AG101" i="15"/>
  <c r="M101" i="15"/>
  <c r="AY102" i="17"/>
  <c r="AG102" i="15"/>
  <c r="M102" i="15"/>
  <c r="AY103" i="17"/>
  <c r="AG103" i="15"/>
  <c r="M103" i="15"/>
  <c r="AY104" i="17"/>
  <c r="AG104" i="15"/>
  <c r="M104" i="15"/>
  <c r="AY105" i="17"/>
  <c r="AG105" i="15"/>
  <c r="M105" i="15"/>
  <c r="AY106" i="17"/>
  <c r="M106" i="15"/>
  <c r="AY107" i="17"/>
  <c r="AG107" i="15"/>
  <c r="M107" i="15"/>
  <c r="AY108" i="17"/>
  <c r="AG108" i="15"/>
  <c r="M108" i="15"/>
  <c r="AY109" i="17"/>
  <c r="AG109" i="15"/>
  <c r="M109" i="15"/>
  <c r="AY110" i="17"/>
  <c r="AG110" i="15"/>
  <c r="M110" i="15"/>
  <c r="AY111" i="17"/>
  <c r="AG111" i="15"/>
  <c r="M111" i="15"/>
  <c r="AY112" i="17"/>
  <c r="AG112" i="15"/>
  <c r="M112" i="15"/>
  <c r="AY113" i="17"/>
  <c r="AG113" i="15"/>
  <c r="M113" i="15"/>
  <c r="AY114" i="17"/>
  <c r="AG114" i="15"/>
  <c r="M114" i="15"/>
  <c r="AY115" i="17"/>
  <c r="AG115" i="15"/>
  <c r="M115" i="15"/>
  <c r="AY116" i="17"/>
  <c r="M116" i="15"/>
  <c r="AY117" i="17"/>
  <c r="AG117" i="15"/>
  <c r="M117" i="15"/>
  <c r="AY118" i="17"/>
  <c r="AG118" i="15"/>
  <c r="M118" i="15"/>
  <c r="AY119" i="17"/>
  <c r="M119" i="15"/>
  <c r="AY121" i="17"/>
  <c r="AG121" i="15"/>
  <c r="M121" i="15"/>
  <c r="AY122" i="17"/>
  <c r="AG122" i="15"/>
  <c r="M122" i="15"/>
  <c r="AY123" i="17"/>
  <c r="AG123" i="15"/>
  <c r="M123" i="15"/>
  <c r="AY124" i="17"/>
  <c r="AG124" i="15"/>
  <c r="M124" i="15"/>
  <c r="AY125" i="17"/>
  <c r="AG125" i="15"/>
  <c r="M125" i="15"/>
  <c r="AY127" i="17"/>
  <c r="AG127" i="15"/>
  <c r="M127" i="15"/>
  <c r="AY128" i="17"/>
  <c r="AG128" i="15"/>
  <c r="M128" i="15"/>
  <c r="AY129" i="17"/>
  <c r="AG129" i="15"/>
  <c r="M129" i="15"/>
  <c r="AY130" i="17"/>
  <c r="M130" i="15"/>
  <c r="AY131" i="17"/>
  <c r="AG131" i="15"/>
  <c r="M131" i="15"/>
  <c r="AY132" i="17"/>
  <c r="AG132" i="15"/>
  <c r="M132" i="15"/>
  <c r="AY133" i="17"/>
  <c r="AG133" i="15"/>
  <c r="AY134" i="17"/>
  <c r="AG134" i="15"/>
  <c r="M134" i="15"/>
  <c r="AY135" i="17"/>
  <c r="AG135" i="15"/>
  <c r="M135" i="15"/>
  <c r="AY136" i="17"/>
  <c r="AG136" i="15"/>
  <c r="M136" i="15"/>
  <c r="AY137" i="17"/>
  <c r="M137" i="15"/>
  <c r="AY138" i="17"/>
  <c r="AG138" i="15"/>
  <c r="M138" i="15"/>
  <c r="AY139" i="17"/>
  <c r="AG139" i="15"/>
  <c r="M139" i="15"/>
  <c r="AY140" i="17"/>
  <c r="AY141" i="17"/>
  <c r="AG141" i="15"/>
  <c r="M141" i="15"/>
  <c r="AY142" i="17"/>
  <c r="M142" i="15"/>
  <c r="AY143" i="17"/>
  <c r="AG143" i="15"/>
  <c r="M143" i="15"/>
  <c r="AY145" i="17"/>
  <c r="AG145" i="15"/>
  <c r="M145" i="15"/>
  <c r="AY146" i="17"/>
  <c r="AG146" i="15"/>
  <c r="M146" i="15"/>
  <c r="M147" i="15"/>
  <c r="AI147" i="15" s="1"/>
  <c r="BA147" i="17" s="1"/>
  <c r="BE147" i="17" s="1"/>
  <c r="BG147" i="17" s="1"/>
  <c r="AY148" i="17"/>
  <c r="M148" i="15"/>
  <c r="AI148" i="15" s="1"/>
  <c r="AY150" i="17"/>
  <c r="M150" i="15"/>
  <c r="AI150" i="15" s="1"/>
  <c r="AY151" i="17"/>
  <c r="M151" i="15"/>
  <c r="M153" i="15"/>
  <c r="AI153" i="15" s="1"/>
  <c r="AY154" i="17"/>
  <c r="AG154" i="15"/>
  <c r="M154" i="15"/>
  <c r="AY155" i="17"/>
  <c r="M155" i="15"/>
  <c r="M157" i="15"/>
  <c r="AI157" i="15" s="1"/>
  <c r="BA157" i="17" s="1"/>
  <c r="BE157" i="17" s="1"/>
  <c r="BG157" i="17" s="1"/>
  <c r="AY158" i="17"/>
  <c r="AG158" i="15"/>
  <c r="M158" i="15"/>
  <c r="AY159" i="17"/>
  <c r="AG159" i="15"/>
  <c r="M159" i="15"/>
  <c r="AY160" i="17"/>
  <c r="AG160" i="15"/>
  <c r="M160" i="15"/>
  <c r="AY161" i="17"/>
  <c r="AG161" i="15"/>
  <c r="M161" i="15"/>
  <c r="AY162" i="17"/>
  <c r="AG162" i="15"/>
  <c r="M162" i="15"/>
  <c r="AY163" i="17"/>
  <c r="AG163" i="15"/>
  <c r="M163" i="15"/>
  <c r="AG165" i="15"/>
  <c r="M165" i="15"/>
  <c r="AY166" i="17"/>
  <c r="AG166" i="15"/>
  <c r="M166" i="15"/>
  <c r="AY167" i="17"/>
  <c r="AG167" i="15"/>
  <c r="M167" i="15"/>
  <c r="AY168" i="17"/>
  <c r="AG168" i="15"/>
  <c r="M168" i="15"/>
  <c r="AY169" i="17"/>
  <c r="AG169" i="15"/>
  <c r="M169" i="15"/>
  <c r="AY170" i="17"/>
  <c r="AG170" i="15"/>
  <c r="M170" i="15"/>
  <c r="M171" i="15"/>
  <c r="AI171" i="15" s="1"/>
  <c r="BA171" i="17" s="1"/>
  <c r="BE171" i="17" s="1"/>
  <c r="BG171" i="17" s="1"/>
  <c r="M172" i="15"/>
  <c r="AI172" i="15" s="1"/>
  <c r="BA172" i="17" s="1"/>
  <c r="BE172" i="17" s="1"/>
  <c r="BG172" i="17" s="1"/>
  <c r="AY173" i="17"/>
  <c r="AG173" i="15"/>
  <c r="M173" i="15"/>
  <c r="AY174" i="17"/>
  <c r="AG174" i="15"/>
  <c r="M174" i="15"/>
  <c r="AY176" i="17"/>
  <c r="AG176" i="15"/>
  <c r="M176" i="15"/>
  <c r="AY177" i="17"/>
  <c r="AG177" i="15"/>
  <c r="M177" i="15"/>
  <c r="M181" i="15"/>
  <c r="AI181" i="15" s="1"/>
  <c r="BA181" i="17" s="1"/>
  <c r="BE181" i="17" s="1"/>
  <c r="BG181" i="17" s="1"/>
  <c r="AY182" i="17"/>
  <c r="M182" i="15"/>
  <c r="AI182" i="15" s="1"/>
  <c r="AY183" i="17"/>
  <c r="M183" i="15"/>
  <c r="AI183" i="15" s="1"/>
  <c r="AY184" i="17"/>
  <c r="AG184" i="15"/>
  <c r="AG185" i="15"/>
  <c r="AG190" i="15"/>
  <c r="AY191" i="17"/>
  <c r="AG191" i="15"/>
  <c r="AY192" i="17"/>
  <c r="AG192" i="15"/>
  <c r="AY193" i="17"/>
  <c r="AG193" i="15"/>
  <c r="AG197" i="15"/>
  <c r="AY198" i="17"/>
  <c r="AG198" i="15"/>
  <c r="AY199" i="17"/>
  <c r="AG199" i="15"/>
  <c r="AG200" i="15"/>
  <c r="AY201" i="17"/>
  <c r="AG201" i="15"/>
  <c r="AY202" i="17"/>
  <c r="AG202" i="15"/>
  <c r="AY203" i="17"/>
  <c r="AG203" i="15"/>
  <c r="AY204" i="17"/>
  <c r="AG204" i="15"/>
  <c r="AY208" i="17"/>
  <c r="AY209" i="17"/>
  <c r="AG209" i="15"/>
  <c r="AY210" i="17"/>
  <c r="AG210" i="15"/>
  <c r="AY211" i="17"/>
  <c r="AG211" i="15"/>
  <c r="AY212" i="17"/>
  <c r="AG212" i="15"/>
  <c r="AY213" i="17"/>
  <c r="AY214" i="17"/>
  <c r="AY215" i="17"/>
  <c r="AY216" i="17"/>
  <c r="AY217" i="17"/>
  <c r="AY218" i="17"/>
  <c r="M219" i="15"/>
  <c r="AI219" i="15" s="1"/>
  <c r="BA219" i="17" s="1"/>
  <c r="BE219" i="17" s="1"/>
  <c r="BG219" i="17" s="1"/>
  <c r="AY220" i="17"/>
  <c r="AG220" i="15"/>
  <c r="M220" i="15"/>
  <c r="AY221" i="17"/>
  <c r="AG221" i="15"/>
  <c r="M221" i="15"/>
  <c r="AY222" i="17"/>
  <c r="AG222" i="15"/>
  <c r="M222" i="15"/>
  <c r="AY223" i="17"/>
  <c r="AG223" i="15"/>
  <c r="M223" i="15"/>
  <c r="AY224" i="17"/>
  <c r="AG224" i="15"/>
  <c r="M224" i="15"/>
  <c r="AY225" i="17"/>
  <c r="AG225" i="15"/>
  <c r="M225" i="15"/>
  <c r="AY226" i="17"/>
  <c r="AG226" i="15"/>
  <c r="M226" i="15"/>
  <c r="AY227" i="17"/>
  <c r="AG227" i="15"/>
  <c r="M227" i="15"/>
  <c r="AY228" i="17"/>
  <c r="AG228" i="15"/>
  <c r="M228" i="15"/>
  <c r="AY229" i="17"/>
  <c r="AG229" i="15"/>
  <c r="M229" i="15"/>
  <c r="AY230" i="17"/>
  <c r="AG230" i="15"/>
  <c r="M230" i="15"/>
  <c r="AY231" i="17"/>
  <c r="AG231" i="15"/>
  <c r="M231" i="15"/>
  <c r="AY232" i="17"/>
  <c r="AG232" i="15"/>
  <c r="M232" i="15"/>
  <c r="M233" i="15"/>
  <c r="AI233" i="15" s="1"/>
  <c r="BA233" i="17" s="1"/>
  <c r="BE233" i="17" s="1"/>
  <c r="BG233" i="17" s="1"/>
  <c r="AY234" i="17"/>
  <c r="M234" i="15"/>
  <c r="AI234" i="15" s="1"/>
  <c r="AG235" i="15"/>
  <c r="M235" i="15"/>
  <c r="AY236" i="17"/>
  <c r="AG236" i="15"/>
  <c r="M236" i="15"/>
  <c r="AY237" i="17"/>
  <c r="AG237" i="15"/>
  <c r="M237" i="15"/>
  <c r="AG238" i="15"/>
  <c r="M238" i="15"/>
  <c r="AY240" i="17"/>
  <c r="AG240" i="15"/>
  <c r="AI240" i="15" s="1"/>
  <c r="AY241" i="17"/>
  <c r="AG241" i="15"/>
  <c r="M241" i="15"/>
  <c r="AY242" i="17"/>
  <c r="M242" i="15"/>
  <c r="AY243" i="17"/>
  <c r="AG243" i="15"/>
  <c r="M243" i="15"/>
  <c r="AY244" i="17"/>
  <c r="AG244" i="15"/>
  <c r="M244" i="15"/>
  <c r="AY245" i="17"/>
  <c r="AG245" i="15"/>
  <c r="M245" i="15"/>
  <c r="AY246" i="17"/>
  <c r="AG246" i="15"/>
  <c r="M246" i="15"/>
  <c r="AY247" i="17"/>
  <c r="AG247" i="15"/>
  <c r="M247" i="15"/>
  <c r="AY248" i="17"/>
  <c r="AG248" i="15"/>
  <c r="M248" i="15"/>
  <c r="AY249" i="17"/>
  <c r="AG249" i="15"/>
  <c r="M249" i="15"/>
  <c r="AY250" i="17"/>
  <c r="M250" i="15"/>
  <c r="AY252" i="17"/>
  <c r="AG252" i="15"/>
  <c r="M252" i="15"/>
  <c r="AY253" i="17"/>
  <c r="AG253" i="15"/>
  <c r="M253" i="15"/>
  <c r="AY254" i="17"/>
  <c r="AG254" i="15"/>
  <c r="M254" i="15"/>
  <c r="AY255" i="17"/>
  <c r="AG255" i="15"/>
  <c r="M255" i="15"/>
  <c r="AY256" i="17"/>
  <c r="AG256" i="15"/>
  <c r="M256" i="15"/>
  <c r="AY257" i="17"/>
  <c r="AG257" i="15"/>
  <c r="M257" i="15"/>
  <c r="AG259" i="15"/>
  <c r="M259" i="15"/>
  <c r="AY275" i="17"/>
  <c r="AY277" i="17"/>
  <c r="AG277" i="15"/>
  <c r="M277" i="15"/>
  <c r="AY278" i="17"/>
  <c r="M278" i="15"/>
  <c r="AY279" i="17"/>
  <c r="AG279" i="15"/>
  <c r="M279" i="15"/>
  <c r="AY280" i="17"/>
  <c r="AG280" i="15"/>
  <c r="M280" i="15"/>
  <c r="AY281" i="17"/>
  <c r="AG281" i="15"/>
  <c r="M281" i="15"/>
  <c r="AY282" i="17"/>
  <c r="AG282" i="15"/>
  <c r="M282" i="15"/>
  <c r="AY283" i="17"/>
  <c r="AG283" i="15"/>
  <c r="BG286" i="17"/>
  <c r="AG287" i="15"/>
  <c r="AY288" i="17"/>
  <c r="AY289" i="17"/>
  <c r="AG289" i="15"/>
  <c r="AI289" i="15" s="1"/>
  <c r="AY290" i="17"/>
  <c r="M290" i="15"/>
  <c r="AY291" i="17"/>
  <c r="M291" i="15"/>
  <c r="AY292" i="17"/>
  <c r="AG292" i="15"/>
  <c r="M292" i="15"/>
  <c r="AY293" i="17"/>
  <c r="AG293" i="15"/>
  <c r="AY294" i="17"/>
  <c r="AG294" i="15"/>
  <c r="M294" i="15"/>
  <c r="AY295" i="17"/>
  <c r="AG295" i="15"/>
  <c r="M295" i="15"/>
  <c r="AY297" i="17"/>
  <c r="AG297" i="15"/>
  <c r="M297" i="15"/>
  <c r="AY298" i="17"/>
  <c r="M298" i="15"/>
  <c r="AY300" i="17"/>
  <c r="M300" i="15"/>
  <c r="AY301" i="17"/>
  <c r="AG301" i="15"/>
  <c r="M301" i="15"/>
  <c r="AY302" i="17"/>
  <c r="M302" i="15"/>
  <c r="AY299" i="17"/>
  <c r="AG299" i="15"/>
  <c r="M299" i="15"/>
  <c r="AY303" i="17"/>
  <c r="M303" i="15"/>
  <c r="AY304" i="17"/>
  <c r="AG304" i="15"/>
  <c r="M304" i="15"/>
  <c r="M306" i="15"/>
  <c r="AI306" i="15" s="1"/>
  <c r="BA306" i="17" s="1"/>
  <c r="BE306" i="17" s="1"/>
  <c r="BG306" i="17" s="1"/>
  <c r="M307" i="15"/>
  <c r="AI307" i="15" s="1"/>
  <c r="BA307" i="17" s="1"/>
  <c r="BE307" i="17" s="1"/>
  <c r="BG307" i="17" s="1"/>
  <c r="M308" i="15"/>
  <c r="AY309" i="17"/>
  <c r="AG309" i="15"/>
  <c r="M309" i="15"/>
  <c r="AG310" i="15"/>
  <c r="M310" i="15"/>
  <c r="AG311" i="15"/>
  <c r="M311" i="15"/>
  <c r="AG312" i="15"/>
  <c r="M312" i="15"/>
  <c r="AG313" i="15"/>
  <c r="M313" i="15"/>
  <c r="M314" i="15"/>
  <c r="AG315" i="15"/>
  <c r="M315" i="15"/>
  <c r="AG316" i="15"/>
  <c r="M316" i="15"/>
  <c r="AG317" i="15"/>
  <c r="M317" i="15"/>
  <c r="AY318" i="17"/>
  <c r="AG318" i="15"/>
  <c r="M318" i="15"/>
  <c r="AY319" i="17"/>
  <c r="AG319" i="15"/>
  <c r="M319" i="15"/>
  <c r="AY320" i="17"/>
  <c r="M320" i="15"/>
  <c r="AY321" i="17"/>
  <c r="AG321" i="15"/>
  <c r="M321" i="15"/>
  <c r="AY322" i="17"/>
  <c r="AG322" i="15"/>
  <c r="M322" i="15"/>
  <c r="AY323" i="17"/>
  <c r="AG323" i="15"/>
  <c r="M323" i="15"/>
  <c r="AY325" i="17"/>
  <c r="AG325" i="15"/>
  <c r="M325" i="15"/>
  <c r="AY327" i="17"/>
  <c r="AG327" i="15"/>
  <c r="M327" i="15"/>
  <c r="AY329" i="17"/>
  <c r="AG329" i="15"/>
  <c r="M329" i="15"/>
  <c r="AY330" i="17"/>
  <c r="AG330" i="15"/>
  <c r="M330" i="15"/>
  <c r="AY331" i="17"/>
  <c r="AG331" i="15"/>
  <c r="M331" i="15"/>
  <c r="AY332" i="17"/>
  <c r="AG332" i="15"/>
  <c r="M332" i="15"/>
  <c r="AY333" i="17"/>
  <c r="AG333" i="15"/>
  <c r="M333" i="15"/>
  <c r="AY334" i="17"/>
  <c r="AG334" i="15"/>
  <c r="M334" i="15"/>
  <c r="AY335" i="17"/>
  <c r="AG335" i="15"/>
  <c r="M335" i="15"/>
  <c r="AY336" i="17"/>
  <c r="AG336" i="15"/>
  <c r="M336" i="15"/>
  <c r="AY338" i="17"/>
  <c r="AG338" i="15"/>
  <c r="M338" i="15"/>
  <c r="AY339" i="17"/>
  <c r="AG339" i="15"/>
  <c r="M339" i="15"/>
  <c r="AY340" i="17"/>
  <c r="AG340" i="15"/>
  <c r="M340" i="15"/>
  <c r="AY341" i="17"/>
  <c r="AG341" i="15"/>
  <c r="M341" i="15"/>
  <c r="AY342" i="17"/>
  <c r="AG342" i="15"/>
  <c r="M342" i="15"/>
  <c r="AY343" i="17"/>
  <c r="AG343" i="15"/>
  <c r="M343" i="15"/>
  <c r="AY344" i="17"/>
  <c r="AG344" i="15"/>
  <c r="M344" i="15"/>
  <c r="AY345" i="17"/>
  <c r="AG345" i="15"/>
  <c r="M345" i="15"/>
  <c r="AG346" i="15"/>
  <c r="M346" i="15"/>
  <c r="AY347" i="17"/>
  <c r="AG347" i="15"/>
  <c r="M347" i="15"/>
  <c r="AY348" i="17"/>
  <c r="AG348" i="15"/>
  <c r="M348" i="15"/>
  <c r="AY349" i="17"/>
  <c r="AG349" i="15"/>
  <c r="M349" i="15"/>
  <c r="AY350" i="17"/>
  <c r="AG350" i="15"/>
  <c r="M350" i="15"/>
  <c r="AY351" i="17"/>
  <c r="AG351" i="15"/>
  <c r="M351" i="15"/>
  <c r="AY352" i="17"/>
  <c r="AG352" i="15"/>
  <c r="M352" i="15"/>
  <c r="AY353" i="17"/>
  <c r="AG353" i="15"/>
  <c r="M353" i="15"/>
  <c r="AY354" i="17"/>
  <c r="AG354" i="15"/>
  <c r="M354" i="15"/>
  <c r="AY355" i="17"/>
  <c r="AG355" i="15"/>
  <c r="M355" i="15"/>
  <c r="AY357" i="17"/>
  <c r="AG357" i="15"/>
  <c r="M357" i="15"/>
  <c r="AY358" i="17"/>
  <c r="AG358" i="15"/>
  <c r="M358" i="15"/>
  <c r="AY359" i="17"/>
  <c r="AG359" i="15"/>
  <c r="M359" i="15"/>
  <c r="AY360" i="17"/>
  <c r="AG360" i="15"/>
  <c r="M360" i="15"/>
  <c r="AY361" i="17"/>
  <c r="AG361" i="15"/>
  <c r="M361" i="15"/>
  <c r="AY362" i="17"/>
  <c r="AG362" i="15"/>
  <c r="M362" i="15"/>
  <c r="AY363" i="17"/>
  <c r="AG363" i="15"/>
  <c r="M363" i="15"/>
  <c r="AY364" i="17"/>
  <c r="AG364" i="15"/>
  <c r="M364" i="15"/>
  <c r="AY365" i="17"/>
  <c r="AG365" i="15"/>
  <c r="M365" i="15"/>
  <c r="AY366" i="17"/>
  <c r="AG366" i="15"/>
  <c r="M366" i="15"/>
  <c r="AY367" i="17"/>
  <c r="AG367" i="15"/>
  <c r="M367" i="15"/>
  <c r="AY368" i="17"/>
  <c r="AG368" i="15"/>
  <c r="M368" i="15"/>
  <c r="AY369" i="17"/>
  <c r="AG369" i="15"/>
  <c r="M369" i="15"/>
  <c r="AY370" i="17"/>
  <c r="AG370" i="15"/>
  <c r="M370" i="15"/>
  <c r="AY371" i="17"/>
  <c r="AG371" i="15"/>
  <c r="M371" i="15"/>
  <c r="AY372" i="17"/>
  <c r="AG372" i="15"/>
  <c r="M372" i="15"/>
  <c r="AY373" i="17"/>
  <c r="AG373" i="15"/>
  <c r="M373" i="15"/>
  <c r="AY374" i="17"/>
  <c r="AG374" i="15"/>
  <c r="M374" i="15"/>
  <c r="AY375" i="17"/>
  <c r="AG375" i="15"/>
  <c r="M375" i="15"/>
  <c r="AG404" i="15"/>
  <c r="AG407" i="15"/>
  <c r="AG409" i="15"/>
  <c r="M409" i="15"/>
  <c r="AI414" i="15"/>
  <c r="BA414" i="17" s="1"/>
  <c r="AG416" i="15"/>
  <c r="AY422" i="17"/>
  <c r="AG422" i="15"/>
  <c r="M422" i="15"/>
  <c r="AY424" i="17"/>
  <c r="AG424" i="15"/>
  <c r="M424" i="15"/>
  <c r="AY426" i="17"/>
  <c r="AG426" i="15"/>
  <c r="AY427" i="17"/>
  <c r="AG427" i="15"/>
  <c r="AY428" i="17"/>
  <c r="AG428" i="15"/>
  <c r="AY429" i="17"/>
  <c r="AG429" i="15"/>
  <c r="AG430" i="15"/>
  <c r="AI430" i="15" s="1"/>
  <c r="AG431" i="15"/>
  <c r="AG432" i="15"/>
  <c r="AI432" i="15" s="1"/>
  <c r="BA432" i="17" s="1"/>
  <c r="AG433" i="15"/>
  <c r="AG434" i="15"/>
  <c r="AI434" i="15" s="1"/>
  <c r="BA434" i="17" s="1"/>
  <c r="AY435" i="17"/>
  <c r="AY436" i="17"/>
  <c r="AY437" i="17"/>
  <c r="AY438" i="17"/>
  <c r="AY439" i="17"/>
  <c r="AG439" i="15"/>
  <c r="M439" i="15"/>
  <c r="AY440" i="17"/>
  <c r="AG440" i="15"/>
  <c r="M440" i="15"/>
  <c r="AY441" i="17"/>
  <c r="AG441" i="15"/>
  <c r="M441" i="15"/>
  <c r="AY442" i="17"/>
  <c r="AG442" i="15"/>
  <c r="M442" i="15"/>
  <c r="AY443" i="17"/>
  <c r="AG443" i="15"/>
  <c r="M443" i="15"/>
  <c r="AY444" i="17"/>
  <c r="AG444" i="15"/>
  <c r="M444" i="15"/>
  <c r="AY445" i="17"/>
  <c r="AG445" i="15"/>
  <c r="M445" i="15"/>
  <c r="AY446" i="17"/>
  <c r="AG446" i="15"/>
  <c r="M446" i="15"/>
  <c r="AY447" i="17"/>
  <c r="AG447" i="15"/>
  <c r="M447" i="15"/>
  <c r="AY448" i="17"/>
  <c r="AG448" i="15"/>
  <c r="M448" i="15"/>
  <c r="AY449" i="17"/>
  <c r="M449" i="15"/>
  <c r="AY451" i="17"/>
  <c r="AG451" i="15"/>
  <c r="M451" i="15"/>
  <c r="AY452" i="17"/>
  <c r="M452" i="15"/>
  <c r="AY453" i="17"/>
  <c r="AG453" i="15"/>
  <c r="M453" i="15"/>
  <c r="AY454" i="17"/>
  <c r="M454" i="15"/>
  <c r="AY455" i="17"/>
  <c r="M455" i="15"/>
  <c r="AY456" i="17"/>
  <c r="AG456" i="15"/>
  <c r="M456" i="15"/>
  <c r="AY457" i="17"/>
  <c r="M457" i="15"/>
  <c r="AY458" i="17"/>
  <c r="AG458" i="15"/>
  <c r="M458" i="15"/>
  <c r="AY459" i="17"/>
  <c r="M459" i="15"/>
  <c r="AY460" i="17"/>
  <c r="AG460" i="15"/>
  <c r="M460" i="15"/>
  <c r="AY461" i="17"/>
  <c r="M461" i="15"/>
  <c r="AY462" i="17"/>
  <c r="AG462" i="15"/>
  <c r="M462" i="15"/>
  <c r="AY463" i="17"/>
  <c r="AG463" i="15"/>
  <c r="M463" i="15"/>
  <c r="AY464" i="17"/>
  <c r="AG464" i="15"/>
  <c r="M464" i="15"/>
  <c r="AY465" i="17"/>
  <c r="M465" i="15"/>
  <c r="AY467" i="17"/>
  <c r="AG467" i="15"/>
  <c r="M467" i="15"/>
  <c r="AY468" i="17"/>
  <c r="AG468" i="15"/>
  <c r="M468" i="15"/>
  <c r="AY469" i="17"/>
  <c r="AG469" i="15"/>
  <c r="M469" i="15"/>
  <c r="AY470" i="17"/>
  <c r="M470" i="15"/>
  <c r="AY471" i="17"/>
  <c r="AG471" i="15"/>
  <c r="M471" i="15"/>
  <c r="AY472" i="17"/>
  <c r="AG472" i="15"/>
  <c r="M472" i="15"/>
  <c r="AY473" i="17"/>
  <c r="AG473" i="15"/>
  <c r="M473" i="15"/>
  <c r="AY474" i="17"/>
  <c r="M474" i="15"/>
  <c r="AY475" i="17"/>
  <c r="AG475" i="15"/>
  <c r="M475" i="15"/>
  <c r="AY476" i="17"/>
  <c r="M476" i="15"/>
  <c r="AY477" i="17"/>
  <c r="M477" i="15"/>
  <c r="AY478" i="17"/>
  <c r="AG478" i="15"/>
  <c r="M478" i="15"/>
  <c r="AY479" i="17"/>
  <c r="M479" i="15"/>
  <c r="AY480" i="17"/>
  <c r="M480" i="15"/>
  <c r="AY481" i="17"/>
  <c r="AG481" i="15"/>
  <c r="M481" i="15"/>
  <c r="AY482" i="17"/>
  <c r="M482" i="15"/>
  <c r="AY483" i="17"/>
  <c r="M483" i="15"/>
  <c r="AY484" i="17"/>
  <c r="AG484" i="15"/>
  <c r="M484" i="15"/>
  <c r="AY485" i="17"/>
  <c r="AG485" i="15"/>
  <c r="M485" i="15"/>
  <c r="AY486" i="17"/>
  <c r="AG486" i="15"/>
  <c r="M486" i="15"/>
  <c r="AY487" i="17"/>
  <c r="AG487" i="15"/>
  <c r="M487" i="15"/>
  <c r="AY488" i="17"/>
  <c r="AG488" i="15"/>
  <c r="M488" i="15"/>
  <c r="AY489" i="17"/>
  <c r="AG489" i="15"/>
  <c r="M489" i="15"/>
  <c r="AY540" i="17"/>
  <c r="AY541" i="17"/>
  <c r="AY542" i="17"/>
  <c r="AG542" i="15"/>
  <c r="M542" i="15"/>
  <c r="AY543" i="17"/>
  <c r="M543" i="15"/>
  <c r="AY544" i="17"/>
  <c r="AG544" i="15"/>
  <c r="M544" i="15"/>
  <c r="AY545" i="17"/>
  <c r="AG545" i="15"/>
  <c r="M545" i="15"/>
  <c r="AY546" i="17"/>
  <c r="M546" i="15"/>
  <c r="AY547" i="17"/>
  <c r="AG547" i="15"/>
  <c r="M547" i="15"/>
  <c r="AY549" i="17"/>
  <c r="AG549" i="15"/>
  <c r="M549" i="15"/>
  <c r="AY550" i="17"/>
  <c r="M550" i="15"/>
  <c r="AY551" i="17"/>
  <c r="M551" i="15"/>
  <c r="AG552" i="15"/>
  <c r="M552" i="15"/>
  <c r="AY553" i="17"/>
  <c r="AG553" i="15"/>
  <c r="M553" i="15"/>
  <c r="AY554" i="17"/>
  <c r="AG554" i="15"/>
  <c r="M554" i="15"/>
  <c r="AY555" i="17"/>
  <c r="AG555" i="15"/>
  <c r="M555" i="15"/>
  <c r="AY556" i="17"/>
  <c r="AG556" i="15"/>
  <c r="M556" i="15"/>
  <c r="AY557" i="17"/>
  <c r="AG557" i="15"/>
  <c r="M557" i="15"/>
  <c r="AY558" i="17"/>
  <c r="AG558" i="15"/>
  <c r="M558" i="15"/>
  <c r="AY559" i="17"/>
  <c r="AG559" i="15"/>
  <c r="M559" i="15"/>
  <c r="AY560" i="17"/>
  <c r="AG560" i="15"/>
  <c r="M560" i="15"/>
  <c r="AY561" i="17"/>
  <c r="M561" i="15"/>
  <c r="AY562" i="17"/>
  <c r="AG562" i="15"/>
  <c r="M562" i="15"/>
  <c r="AY563" i="17"/>
  <c r="M563" i="15"/>
  <c r="AY564" i="17"/>
  <c r="AG564" i="15"/>
  <c r="M564" i="15"/>
  <c r="AY565" i="17"/>
  <c r="AG565" i="15"/>
  <c r="M565" i="15"/>
  <c r="AY566" i="17"/>
  <c r="AG566" i="15"/>
  <c r="M566" i="15"/>
  <c r="AY567" i="17"/>
  <c r="AG567" i="15"/>
  <c r="M567" i="15"/>
  <c r="AY568" i="17"/>
  <c r="AG568" i="15"/>
  <c r="M568" i="15"/>
  <c r="AY569" i="17"/>
  <c r="AG569" i="15"/>
  <c r="M569" i="15"/>
  <c r="AY570" i="17"/>
  <c r="AG570" i="15"/>
  <c r="M570" i="15"/>
  <c r="AY571" i="17"/>
  <c r="M571" i="15"/>
  <c r="AY572" i="17"/>
  <c r="AG572" i="15"/>
  <c r="M572" i="15"/>
  <c r="AY573" i="17"/>
  <c r="AG573" i="15"/>
  <c r="M573" i="15"/>
  <c r="AY574" i="17"/>
  <c r="AG574" i="15"/>
  <c r="M574" i="15"/>
  <c r="AY575" i="17"/>
  <c r="M575" i="15"/>
  <c r="AY577" i="17"/>
  <c r="AG577" i="15"/>
  <c r="M577" i="15"/>
  <c r="AY578" i="17"/>
  <c r="AG578" i="15"/>
  <c r="AY582" i="17"/>
  <c r="AG582" i="15"/>
  <c r="AY583" i="17"/>
  <c r="AG583" i="15"/>
  <c r="AY584" i="17"/>
  <c r="AG584" i="15"/>
  <c r="AY585" i="17"/>
  <c r="AY586" i="17"/>
  <c r="AY587" i="17"/>
  <c r="AY588" i="17"/>
  <c r="AY589" i="17"/>
  <c r="AY590" i="17"/>
  <c r="AY591" i="17"/>
  <c r="AG591" i="15"/>
  <c r="AY592" i="17"/>
  <c r="AG592" i="15"/>
  <c r="AY593" i="17"/>
  <c r="AG593" i="15"/>
  <c r="AY594" i="17"/>
  <c r="AY595" i="17"/>
  <c r="AY596" i="17"/>
  <c r="AG596" i="15"/>
  <c r="AY597" i="17"/>
  <c r="AG597" i="15"/>
  <c r="AY598" i="17"/>
  <c r="AG598" i="15"/>
  <c r="AY600" i="17"/>
  <c r="AG600" i="15"/>
  <c r="M600" i="15"/>
  <c r="AY601" i="17"/>
  <c r="AG601" i="15"/>
  <c r="M601" i="15"/>
  <c r="AY602" i="17"/>
  <c r="AG602" i="15"/>
  <c r="M602" i="15"/>
  <c r="AY603" i="17"/>
  <c r="AG603" i="15"/>
  <c r="M603" i="15"/>
  <c r="AY604" i="17"/>
  <c r="AG604" i="15"/>
  <c r="M604" i="15"/>
  <c r="AY605" i="17"/>
  <c r="AG605" i="15"/>
  <c r="M605" i="15"/>
  <c r="AY606" i="17"/>
  <c r="AG606" i="15"/>
  <c r="M606" i="15"/>
  <c r="AY607" i="17"/>
  <c r="AG607" i="15"/>
  <c r="M607" i="15"/>
  <c r="AY608" i="17"/>
  <c r="AG608" i="15"/>
  <c r="M608" i="15"/>
  <c r="AY609" i="17"/>
  <c r="AG609" i="15"/>
  <c r="M609" i="15"/>
  <c r="AY610" i="17"/>
  <c r="AG610" i="15"/>
  <c r="M610" i="15"/>
  <c r="AY611" i="17"/>
  <c r="AG611" i="15"/>
  <c r="M611" i="15"/>
  <c r="AY612" i="17"/>
  <c r="AG612" i="15"/>
  <c r="M612" i="15"/>
  <c r="AY613" i="17"/>
  <c r="AG613" i="15"/>
  <c r="M613" i="15"/>
  <c r="AY614" i="17"/>
  <c r="AG614" i="15"/>
  <c r="M614" i="15"/>
  <c r="AY615" i="17"/>
  <c r="AG615" i="15"/>
  <c r="M615" i="15"/>
  <c r="AY616" i="17"/>
  <c r="AG616" i="15"/>
  <c r="M616" i="15"/>
  <c r="AY617" i="17"/>
  <c r="AG617" i="15"/>
  <c r="M617" i="15"/>
  <c r="AY618" i="17"/>
  <c r="AG618" i="15"/>
  <c r="M618" i="15"/>
  <c r="AY619" i="17"/>
  <c r="AG619" i="15"/>
  <c r="M619" i="15"/>
  <c r="AY620" i="17"/>
  <c r="AG620" i="15"/>
  <c r="M620" i="15"/>
  <c r="AY621" i="17"/>
  <c r="AG621" i="15"/>
  <c r="M621" i="15"/>
  <c r="AY622" i="17"/>
  <c r="AG622" i="15"/>
  <c r="M622" i="15"/>
  <c r="AY623" i="17"/>
  <c r="AG623" i="15"/>
  <c r="M623" i="15"/>
  <c r="AY624" i="17"/>
  <c r="AG624" i="15"/>
  <c r="M624" i="15"/>
  <c r="AY625" i="17"/>
  <c r="AG625" i="15"/>
  <c r="M625" i="15"/>
  <c r="AY626" i="17"/>
  <c r="AG626" i="15"/>
  <c r="M626" i="15"/>
  <c r="AY627" i="17"/>
  <c r="AG627" i="15"/>
  <c r="M627" i="15"/>
  <c r="AY629" i="17"/>
  <c r="AG629" i="15"/>
  <c r="M629" i="15"/>
  <c r="AY630" i="17"/>
  <c r="AG630" i="15"/>
  <c r="M630" i="15"/>
  <c r="AY631" i="17"/>
  <c r="AG631" i="15"/>
  <c r="M631" i="15"/>
  <c r="AY632" i="17"/>
  <c r="AG632" i="15"/>
  <c r="M632" i="15"/>
  <c r="W577" i="10"/>
  <c r="W575" i="10"/>
  <c r="W574" i="10"/>
  <c r="W573" i="10"/>
  <c r="W572" i="10"/>
  <c r="W571" i="10"/>
  <c r="W570" i="10"/>
  <c r="W569" i="10"/>
  <c r="W568" i="10"/>
  <c r="W567" i="10"/>
  <c r="W566" i="10"/>
  <c r="W565" i="10"/>
  <c r="W564" i="10"/>
  <c r="W563" i="10"/>
  <c r="W562" i="10"/>
  <c r="W561" i="10"/>
  <c r="W560" i="10"/>
  <c r="W559" i="10"/>
  <c r="W558" i="10"/>
  <c r="W557" i="10"/>
  <c r="W556" i="10"/>
  <c r="W555" i="10"/>
  <c r="W554" i="10"/>
  <c r="W553" i="10"/>
  <c r="W552" i="10"/>
  <c r="W551" i="10"/>
  <c r="W550" i="10"/>
  <c r="W549" i="10"/>
  <c r="W547" i="10"/>
  <c r="W546" i="10"/>
  <c r="W545" i="10"/>
  <c r="W544" i="10"/>
  <c r="W543" i="10"/>
  <c r="W542" i="10"/>
  <c r="W541" i="10"/>
  <c r="W540" i="10"/>
  <c r="W539" i="10"/>
  <c r="W538" i="10"/>
  <c r="W537" i="10"/>
  <c r="W536" i="10"/>
  <c r="W535" i="10"/>
  <c r="W534" i="10"/>
  <c r="W532" i="10"/>
  <c r="W531" i="10"/>
  <c r="W530" i="10"/>
  <c r="W529" i="10"/>
  <c r="W528" i="10"/>
  <c r="S577" i="10"/>
  <c r="S575" i="10"/>
  <c r="S574" i="10"/>
  <c r="S573" i="10"/>
  <c r="S572" i="10"/>
  <c r="S571" i="10"/>
  <c r="S570" i="10"/>
  <c r="S569" i="10"/>
  <c r="S568" i="10"/>
  <c r="S567" i="10"/>
  <c r="S566" i="10"/>
  <c r="S565" i="10"/>
  <c r="S564" i="10"/>
  <c r="S563" i="10"/>
  <c r="S562" i="10"/>
  <c r="S561" i="10"/>
  <c r="S560" i="10"/>
  <c r="S559" i="10"/>
  <c r="S558" i="10"/>
  <c r="S557" i="10"/>
  <c r="S556" i="10"/>
  <c r="S555" i="10"/>
  <c r="S554" i="10"/>
  <c r="S553" i="10"/>
  <c r="S552" i="10"/>
  <c r="S551" i="10"/>
  <c r="S549" i="10"/>
  <c r="S547" i="10"/>
  <c r="S546" i="10"/>
  <c r="S545" i="10"/>
  <c r="S544" i="10"/>
  <c r="S543" i="10"/>
  <c r="S542" i="10"/>
  <c r="S541" i="10"/>
  <c r="S540" i="10"/>
  <c r="W525" i="10"/>
  <c r="W524" i="10"/>
  <c r="W523" i="10"/>
  <c r="W522" i="10"/>
  <c r="W521" i="10"/>
  <c r="W520" i="10"/>
  <c r="W519" i="10"/>
  <c r="W518" i="10"/>
  <c r="W517" i="10"/>
  <c r="W516" i="10"/>
  <c r="W515" i="10"/>
  <c r="W514" i="10"/>
  <c r="W511" i="10"/>
  <c r="W510" i="10"/>
  <c r="W509" i="10"/>
  <c r="W508" i="10"/>
  <c r="W507" i="10"/>
  <c r="W506" i="10"/>
  <c r="W505" i="10"/>
  <c r="W504" i="10"/>
  <c r="W503" i="10"/>
  <c r="W502" i="10"/>
  <c r="W501" i="10"/>
  <c r="W500" i="10"/>
  <c r="W499" i="10"/>
  <c r="W497" i="10"/>
  <c r="W496" i="10"/>
  <c r="W495" i="10"/>
  <c r="W494" i="10"/>
  <c r="W493" i="10"/>
  <c r="W492" i="10"/>
  <c r="W491" i="10"/>
  <c r="W490" i="10"/>
  <c r="W489" i="10"/>
  <c r="W488" i="10"/>
  <c r="W487" i="10"/>
  <c r="W486" i="10"/>
  <c r="W485" i="10"/>
  <c r="W484" i="10"/>
  <c r="W483" i="10"/>
  <c r="W482" i="10"/>
  <c r="W481" i="10"/>
  <c r="W480" i="10"/>
  <c r="W479" i="10"/>
  <c r="W478" i="10"/>
  <c r="W477" i="10"/>
  <c r="W476" i="10"/>
  <c r="W475" i="10"/>
  <c r="W474" i="10"/>
  <c r="W473" i="10"/>
  <c r="W472" i="10"/>
  <c r="W471" i="10"/>
  <c r="W470" i="10"/>
  <c r="W469" i="10"/>
  <c r="W468" i="10"/>
  <c r="W467" i="10"/>
  <c r="W465" i="10"/>
  <c r="W464" i="10"/>
  <c r="W463" i="10"/>
  <c r="W462" i="10"/>
  <c r="W461" i="10"/>
  <c r="W460" i="10"/>
  <c r="W459" i="10"/>
  <c r="W458" i="10"/>
  <c r="W457" i="10"/>
  <c r="W456" i="10"/>
  <c r="W455" i="10"/>
  <c r="W449" i="10"/>
  <c r="W448" i="10"/>
  <c r="W447" i="10"/>
  <c r="W446" i="10"/>
  <c r="W445" i="10"/>
  <c r="W444" i="10"/>
  <c r="W443" i="10"/>
  <c r="W442" i="10"/>
  <c r="W441" i="10"/>
  <c r="W440" i="10"/>
  <c r="W439" i="10"/>
  <c r="S489" i="10"/>
  <c r="S488" i="10"/>
  <c r="S487" i="10"/>
  <c r="S486" i="10"/>
  <c r="S485" i="10"/>
  <c r="S484" i="10"/>
  <c r="S483" i="10"/>
  <c r="S482" i="10"/>
  <c r="S480" i="10"/>
  <c r="S479" i="10"/>
  <c r="S478" i="10"/>
  <c r="S477" i="10"/>
  <c r="S476" i="10"/>
  <c r="S475" i="10"/>
  <c r="S474" i="10"/>
  <c r="S473" i="10"/>
  <c r="S472" i="10"/>
  <c r="S471" i="10"/>
  <c r="S470" i="10"/>
  <c r="S469" i="10"/>
  <c r="S468" i="10"/>
  <c r="S467" i="10"/>
  <c r="S465" i="10"/>
  <c r="S464" i="10"/>
  <c r="S463" i="10"/>
  <c r="S462" i="10"/>
  <c r="S461" i="10"/>
  <c r="S460" i="10"/>
  <c r="S459" i="10"/>
  <c r="S458" i="10"/>
  <c r="S457" i="10"/>
  <c r="S456" i="10"/>
  <c r="S455" i="10"/>
  <c r="S454" i="10"/>
  <c r="S449" i="10"/>
  <c r="S448" i="10"/>
  <c r="S447" i="10"/>
  <c r="S446" i="10"/>
  <c r="S445" i="10"/>
  <c r="S444" i="10"/>
  <c r="S443" i="10"/>
  <c r="S442" i="10"/>
  <c r="S441" i="10"/>
  <c r="AK489" i="1"/>
  <c r="Y489" i="1"/>
  <c r="BB489" i="2"/>
  <c r="BL489" i="2" s="1"/>
  <c r="AK577" i="1"/>
  <c r="Y577" i="1"/>
  <c r="BB577" i="2"/>
  <c r="BL577" i="2" s="1"/>
  <c r="AK575" i="1"/>
  <c r="Y575" i="1"/>
  <c r="BB575" i="2"/>
  <c r="BL575" i="2" s="1"/>
  <c r="BB574" i="2"/>
  <c r="BL574" i="2" s="1"/>
  <c r="AK574" i="1"/>
  <c r="Y574" i="1"/>
  <c r="AK573" i="1"/>
  <c r="Y573" i="1"/>
  <c r="BB573" i="2"/>
  <c r="BL573" i="2" s="1"/>
  <c r="BB572" i="2"/>
  <c r="BL572" i="2" s="1"/>
  <c r="AK572" i="1"/>
  <c r="Y572" i="1"/>
  <c r="AK571" i="1"/>
  <c r="Y571" i="1"/>
  <c r="BB571" i="2"/>
  <c r="BL571" i="2" s="1"/>
  <c r="AK570" i="1"/>
  <c r="Y570" i="1"/>
  <c r="BB570" i="2"/>
  <c r="BL570" i="2" s="1"/>
  <c r="AK569" i="1"/>
  <c r="Y569" i="1"/>
  <c r="BB569" i="2"/>
  <c r="BL569" i="2" s="1"/>
  <c r="AK568" i="1"/>
  <c r="Y568" i="1"/>
  <c r="BB568" i="2"/>
  <c r="BL568" i="2" s="1"/>
  <c r="AK567" i="1"/>
  <c r="Y567" i="1"/>
  <c r="BB567" i="2"/>
  <c r="BL567" i="2" s="1"/>
  <c r="AK566" i="1"/>
  <c r="Y566" i="1"/>
  <c r="BB566" i="2"/>
  <c r="BL566" i="2" s="1"/>
  <c r="AK565" i="1"/>
  <c r="Y565" i="1"/>
  <c r="BB565" i="2"/>
  <c r="BL565" i="2" s="1"/>
  <c r="BB564" i="2"/>
  <c r="BL564" i="2" s="1"/>
  <c r="AK564" i="1"/>
  <c r="Y564" i="1"/>
  <c r="AK563" i="1"/>
  <c r="Y563" i="1"/>
  <c r="BB563" i="2"/>
  <c r="BL563" i="2" s="1"/>
  <c r="AK562" i="1"/>
  <c r="Y562" i="1"/>
  <c r="BB562" i="2"/>
  <c r="BL562" i="2" s="1"/>
  <c r="AK561" i="1"/>
  <c r="Y561" i="1"/>
  <c r="BB561" i="2"/>
  <c r="BL561" i="2" s="1"/>
  <c r="AK560" i="1"/>
  <c r="Y560" i="1"/>
  <c r="BB560" i="2"/>
  <c r="BL560" i="2" s="1"/>
  <c r="AK559" i="1"/>
  <c r="Y559" i="1"/>
  <c r="BB559" i="2"/>
  <c r="BL559" i="2" s="1"/>
  <c r="AK558" i="1"/>
  <c r="Y558" i="1"/>
  <c r="BB558" i="2"/>
  <c r="BL558" i="2" s="1"/>
  <c r="AK557" i="1"/>
  <c r="Y557" i="1"/>
  <c r="BB557" i="2"/>
  <c r="BL557" i="2" s="1"/>
  <c r="AK556" i="1"/>
  <c r="Y556" i="1"/>
  <c r="BB556" i="2"/>
  <c r="BL556" i="2" s="1"/>
  <c r="AK555" i="1"/>
  <c r="Y555" i="1"/>
  <c r="BB555" i="2"/>
  <c r="BL555" i="2" s="1"/>
  <c r="AK554" i="1"/>
  <c r="Y554" i="1"/>
  <c r="BB554" i="2"/>
  <c r="BL554" i="2" s="1"/>
  <c r="AK553" i="1"/>
  <c r="Y553" i="1"/>
  <c r="BB553" i="2"/>
  <c r="BL553" i="2" s="1"/>
  <c r="AK552" i="1"/>
  <c r="Y552" i="1"/>
  <c r="BB552" i="2"/>
  <c r="BL552" i="2" s="1"/>
  <c r="AK551" i="1"/>
  <c r="Y551" i="1"/>
  <c r="BB551" i="2"/>
  <c r="BL551" i="2" s="1"/>
  <c r="AK550" i="1"/>
  <c r="Y550" i="1"/>
  <c r="BB550" i="2"/>
  <c r="BL550" i="2" s="1"/>
  <c r="AK549" i="1"/>
  <c r="Y549" i="1"/>
  <c r="BB549" i="2"/>
  <c r="BL549" i="2" s="1"/>
  <c r="AK547" i="1"/>
  <c r="Y547" i="1"/>
  <c r="BB547" i="2"/>
  <c r="BL547" i="2" s="1"/>
  <c r="AK546" i="1"/>
  <c r="Y546" i="1"/>
  <c r="BB546" i="2"/>
  <c r="BL546" i="2" s="1"/>
  <c r="AK545" i="1"/>
  <c r="Y545" i="1"/>
  <c r="BB545" i="2"/>
  <c r="BL545" i="2" s="1"/>
  <c r="AK544" i="1"/>
  <c r="Y544" i="1"/>
  <c r="BB544" i="2"/>
  <c r="BL544" i="2" s="1"/>
  <c r="AK543" i="1"/>
  <c r="Y543" i="1"/>
  <c r="AK542" i="1"/>
  <c r="Y542" i="1"/>
  <c r="BB542" i="2"/>
  <c r="BL542" i="2" s="1"/>
  <c r="AK541" i="1"/>
  <c r="Y541" i="1"/>
  <c r="BB541" i="2"/>
  <c r="BL541" i="2" s="1"/>
  <c r="AK540" i="1"/>
  <c r="Y540" i="1"/>
  <c r="BB540" i="2"/>
  <c r="BL540" i="2" s="1"/>
  <c r="AK487" i="1"/>
  <c r="Y487" i="1"/>
  <c r="BB487" i="2"/>
  <c r="BL487" i="2" s="1"/>
  <c r="AK486" i="1"/>
  <c r="Y486" i="1"/>
  <c r="BL486" i="2"/>
  <c r="BB485" i="2"/>
  <c r="BL485" i="2" s="1"/>
  <c r="AK485" i="1"/>
  <c r="Y485" i="1"/>
  <c r="AK484" i="1"/>
  <c r="Y484" i="1"/>
  <c r="BB484" i="2"/>
  <c r="BL484" i="2" s="1"/>
  <c r="AK483" i="1"/>
  <c r="Y483" i="1"/>
  <c r="BB483" i="2"/>
  <c r="BL483" i="2" s="1"/>
  <c r="AK482" i="1"/>
  <c r="BB482" i="2"/>
  <c r="BL482" i="2" s="1"/>
  <c r="AK481" i="1"/>
  <c r="Y481" i="1"/>
  <c r="BB481" i="2"/>
  <c r="BL481" i="2" s="1"/>
  <c r="AK480" i="1"/>
  <c r="Y480" i="1"/>
  <c r="BB480" i="2"/>
  <c r="BL480" i="2" s="1"/>
  <c r="AK479" i="1"/>
  <c r="Y479" i="1"/>
  <c r="BB479" i="2"/>
  <c r="BL479" i="2" s="1"/>
  <c r="AK478" i="1"/>
  <c r="Y478" i="1"/>
  <c r="BB478" i="2"/>
  <c r="BL478" i="2" s="1"/>
  <c r="AK477" i="1"/>
  <c r="Y477" i="1"/>
  <c r="BB477" i="2"/>
  <c r="BL477" i="2" s="1"/>
  <c r="AK476" i="1"/>
  <c r="Y476" i="1"/>
  <c r="BB476" i="2"/>
  <c r="BL476" i="2" s="1"/>
  <c r="AK475" i="1"/>
  <c r="Y475" i="1"/>
  <c r="BB475" i="2"/>
  <c r="BL475" i="2" s="1"/>
  <c r="AK474" i="1"/>
  <c r="Y474" i="1"/>
  <c r="BB474" i="2"/>
  <c r="BL474" i="2" s="1"/>
  <c r="AK473" i="1"/>
  <c r="Y473" i="1"/>
  <c r="BB473" i="2"/>
  <c r="BL473" i="2" s="1"/>
  <c r="AK472" i="1"/>
  <c r="Y472" i="1"/>
  <c r="BB472" i="2"/>
  <c r="BL472" i="2" s="1"/>
  <c r="AK471" i="1"/>
  <c r="Y471" i="1"/>
  <c r="BB471" i="2"/>
  <c r="BL471" i="2" s="1"/>
  <c r="AK470" i="1"/>
  <c r="Y470" i="1"/>
  <c r="BB470" i="2"/>
  <c r="BL470" i="2" s="1"/>
  <c r="BB469" i="2"/>
  <c r="BL469" i="2" s="1"/>
  <c r="AK469" i="1"/>
  <c r="Y469" i="1"/>
  <c r="AK468" i="1"/>
  <c r="Y468" i="1"/>
  <c r="BB468" i="2"/>
  <c r="BL468" i="2" s="1"/>
  <c r="AK467" i="1"/>
  <c r="Y467" i="1"/>
  <c r="BB467" i="2"/>
  <c r="BL467" i="2" s="1"/>
  <c r="AK465" i="1"/>
  <c r="Y465" i="1"/>
  <c r="BB465" i="2"/>
  <c r="BL465" i="2" s="1"/>
  <c r="AK464" i="1"/>
  <c r="Y464" i="1"/>
  <c r="BB464" i="2"/>
  <c r="BL464" i="2" s="1"/>
  <c r="BB463" i="2"/>
  <c r="BL463" i="2" s="1"/>
  <c r="AK463" i="1"/>
  <c r="Y463" i="1"/>
  <c r="AK462" i="1"/>
  <c r="Y462" i="1"/>
  <c r="BB462" i="2"/>
  <c r="BL462" i="2" s="1"/>
  <c r="AK461" i="1"/>
  <c r="Y461" i="1"/>
  <c r="BB461" i="2"/>
  <c r="BL461" i="2" s="1"/>
  <c r="AK460" i="1"/>
  <c r="Y460" i="1"/>
  <c r="BB460" i="2"/>
  <c r="BL460" i="2" s="1"/>
  <c r="AK459" i="1"/>
  <c r="Y459" i="1"/>
  <c r="BB459" i="2"/>
  <c r="BL459" i="2" s="1"/>
  <c r="AK458" i="1"/>
  <c r="Y458" i="1"/>
  <c r="BB458" i="2"/>
  <c r="BL458" i="2" s="1"/>
  <c r="AK457" i="1"/>
  <c r="Y457" i="1"/>
  <c r="BB457" i="2"/>
  <c r="BL457" i="2" s="1"/>
  <c r="AK456" i="1"/>
  <c r="Y456" i="1"/>
  <c r="BB456" i="2"/>
  <c r="BL456" i="2" s="1"/>
  <c r="AK455" i="1"/>
  <c r="Y455" i="1"/>
  <c r="BB455" i="2"/>
  <c r="BL455" i="2" s="1"/>
  <c r="AK454" i="1"/>
  <c r="Y454" i="1"/>
  <c r="BB454" i="2"/>
  <c r="BL454" i="2" s="1"/>
  <c r="AK453" i="1"/>
  <c r="Y453" i="1"/>
  <c r="BB453" i="2"/>
  <c r="BL453" i="2" s="1"/>
  <c r="AK452" i="1"/>
  <c r="Y452" i="1"/>
  <c r="BB452" i="2"/>
  <c r="BL452" i="2" s="1"/>
  <c r="BB451" i="2"/>
  <c r="BL451" i="2" s="1"/>
  <c r="AK451" i="1"/>
  <c r="Y451" i="1"/>
  <c r="AK449" i="1"/>
  <c r="BB449" i="2"/>
  <c r="BL449" i="2" s="1"/>
  <c r="BB448" i="2"/>
  <c r="BL448" i="2" s="1"/>
  <c r="AK448" i="1"/>
  <c r="Y448" i="1"/>
  <c r="AK447" i="1"/>
  <c r="Y447" i="1"/>
  <c r="BB447" i="2"/>
  <c r="BL447" i="2" s="1"/>
  <c r="Y446" i="1"/>
  <c r="BB446" i="2"/>
  <c r="BL446" i="2" s="1"/>
  <c r="AK445" i="1"/>
  <c r="Y445" i="1"/>
  <c r="BB445" i="2"/>
  <c r="BL445" i="2" s="1"/>
  <c r="AK444" i="1"/>
  <c r="Y444" i="1"/>
  <c r="BB444" i="2"/>
  <c r="BL444" i="2" s="1"/>
  <c r="BB443" i="2"/>
  <c r="BL443" i="2" s="1"/>
  <c r="AK443" i="1"/>
  <c r="Y443" i="1"/>
  <c r="BB442" i="2"/>
  <c r="BL442" i="2" s="1"/>
  <c r="AK442" i="1"/>
  <c r="Y442" i="1"/>
  <c r="AK441" i="1"/>
  <c r="Y441" i="1"/>
  <c r="BB441" i="2"/>
  <c r="BL441" i="2" s="1"/>
  <c r="AK488" i="1"/>
  <c r="Y488" i="1"/>
  <c r="AF577" i="16"/>
  <c r="AF575" i="16"/>
  <c r="AF574" i="16"/>
  <c r="AF573" i="16"/>
  <c r="AF572" i="16"/>
  <c r="AF571" i="16"/>
  <c r="AF570" i="16"/>
  <c r="AF569" i="16"/>
  <c r="AF568" i="16"/>
  <c r="AF567" i="16"/>
  <c r="AF566" i="16"/>
  <c r="AF565" i="16"/>
  <c r="AF564" i="16"/>
  <c r="AF563" i="16"/>
  <c r="AF562" i="16"/>
  <c r="AF561" i="16"/>
  <c r="AF560" i="16"/>
  <c r="AF559" i="16"/>
  <c r="AF558" i="16"/>
  <c r="AF557" i="16"/>
  <c r="AF556" i="16"/>
  <c r="AF555" i="16"/>
  <c r="AF554" i="16"/>
  <c r="AF553" i="16"/>
  <c r="AF552" i="16"/>
  <c r="AF551" i="16"/>
  <c r="AF550" i="16"/>
  <c r="AF549" i="16"/>
  <c r="AF547" i="16"/>
  <c r="AF546" i="16"/>
  <c r="AF545" i="16"/>
  <c r="AF544" i="16"/>
  <c r="AF543" i="16"/>
  <c r="AF542" i="16"/>
  <c r="AF541" i="16"/>
  <c r="AF540" i="16"/>
  <c r="AF539" i="16"/>
  <c r="AF538" i="16"/>
  <c r="AF537" i="16"/>
  <c r="AF536" i="16"/>
  <c r="AF535" i="16"/>
  <c r="AF534" i="16"/>
  <c r="AF533" i="16"/>
  <c r="AF532" i="16"/>
  <c r="AF531" i="16"/>
  <c r="AF530" i="16"/>
  <c r="AF529" i="16"/>
  <c r="AF527" i="16"/>
  <c r="AF526" i="16"/>
  <c r="AF525" i="16"/>
  <c r="AF524" i="16"/>
  <c r="AF523" i="16"/>
  <c r="AF522" i="16"/>
  <c r="AF521" i="16"/>
  <c r="AF520" i="16"/>
  <c r="AF519" i="16"/>
  <c r="AF518" i="16"/>
  <c r="AF517" i="16"/>
  <c r="AF516" i="16"/>
  <c r="AF515" i="16"/>
  <c r="AF514" i="16"/>
  <c r="AF511" i="16"/>
  <c r="AF510" i="16"/>
  <c r="AF508" i="16"/>
  <c r="AF507" i="16"/>
  <c r="AF506" i="16"/>
  <c r="AF505" i="16"/>
  <c r="AF504" i="16"/>
  <c r="AF503" i="16"/>
  <c r="AF502" i="16"/>
  <c r="AF501" i="16"/>
  <c r="AF500" i="16"/>
  <c r="AF499" i="16"/>
  <c r="AF497" i="16"/>
  <c r="AF496" i="16"/>
  <c r="AF495" i="16"/>
  <c r="AF494" i="16"/>
  <c r="AF493" i="16"/>
  <c r="AF492" i="16"/>
  <c r="AF491" i="16"/>
  <c r="AF490" i="16"/>
  <c r="AF489" i="16"/>
  <c r="AF488" i="16"/>
  <c r="AF487" i="16"/>
  <c r="AF486" i="16"/>
  <c r="AF485" i="16"/>
  <c r="AF484" i="16"/>
  <c r="AF483" i="16"/>
  <c r="AF482" i="16"/>
  <c r="AF481" i="16"/>
  <c r="AF480" i="16"/>
  <c r="AF479" i="16"/>
  <c r="AF478" i="16"/>
  <c r="AF477" i="16"/>
  <c r="AF476" i="16"/>
  <c r="AF475" i="16"/>
  <c r="AF474" i="16"/>
  <c r="AF473" i="16"/>
  <c r="AF472" i="16"/>
  <c r="AF471" i="16"/>
  <c r="AF470" i="16"/>
  <c r="AF469" i="16"/>
  <c r="AF468" i="16"/>
  <c r="AF467" i="16"/>
  <c r="AF465" i="16"/>
  <c r="AF464" i="16"/>
  <c r="AF463" i="16"/>
  <c r="AF462" i="16"/>
  <c r="AF461" i="16"/>
  <c r="AF460" i="16"/>
  <c r="AF459" i="16"/>
  <c r="AF458" i="16"/>
  <c r="AF457" i="16"/>
  <c r="AF456" i="16"/>
  <c r="AF455" i="16"/>
  <c r="AF454" i="16"/>
  <c r="AF453" i="16"/>
  <c r="AF452" i="16"/>
  <c r="AF451" i="16"/>
  <c r="AF449" i="16"/>
  <c r="AF448" i="16"/>
  <c r="AF447" i="16"/>
  <c r="AF446" i="16"/>
  <c r="AF445" i="16"/>
  <c r="AF444" i="16"/>
  <c r="AF443" i="16"/>
  <c r="AF442" i="16"/>
  <c r="AF441" i="16"/>
  <c r="AK440" i="1"/>
  <c r="Y440" i="1"/>
  <c r="BB440" i="2"/>
  <c r="BL440" i="2" s="1"/>
  <c r="AK439" i="1"/>
  <c r="Y439" i="1"/>
  <c r="BB439" i="2"/>
  <c r="BL439" i="2" s="1"/>
  <c r="AK438" i="1"/>
  <c r="AK437" i="1"/>
  <c r="AK436" i="1"/>
  <c r="AK435" i="1"/>
  <c r="AM433" i="1"/>
  <c r="BN433" i="2" s="1"/>
  <c r="W397" i="10"/>
  <c r="W387" i="10"/>
  <c r="W438" i="10"/>
  <c r="W437" i="10"/>
  <c r="W436" i="10"/>
  <c r="W435" i="10"/>
  <c r="W434" i="10"/>
  <c r="W433" i="10"/>
  <c r="W432" i="10"/>
  <c r="W431" i="10"/>
  <c r="W430" i="10"/>
  <c r="W429" i="10"/>
  <c r="W428" i="10"/>
  <c r="W427" i="10"/>
  <c r="W426" i="10"/>
  <c r="W424" i="10"/>
  <c r="W422" i="10"/>
  <c r="W421" i="10"/>
  <c r="W420" i="10"/>
  <c r="W418" i="10"/>
  <c r="W417" i="10"/>
  <c r="W416" i="10"/>
  <c r="W415" i="10"/>
  <c r="W414" i="10"/>
  <c r="W413" i="10"/>
  <c r="W412" i="10"/>
  <c r="W411" i="10"/>
  <c r="W409" i="10"/>
  <c r="W408" i="10"/>
  <c r="W407" i="10"/>
  <c r="W406" i="10"/>
  <c r="W405" i="10"/>
  <c r="W404" i="10"/>
  <c r="W403" i="10"/>
  <c r="W402" i="10"/>
  <c r="W401" i="10"/>
  <c r="W400" i="10"/>
  <c r="W399" i="10"/>
  <c r="W398" i="10"/>
  <c r="W396" i="10"/>
  <c r="W395" i="10"/>
  <c r="W394" i="10"/>
  <c r="W393" i="10"/>
  <c r="W392" i="10"/>
  <c r="W391" i="10"/>
  <c r="W390" i="10"/>
  <c r="W389" i="10"/>
  <c r="W388" i="10"/>
  <c r="W386" i="10"/>
  <c r="W384" i="10"/>
  <c r="W383" i="10"/>
  <c r="W382" i="10"/>
  <c r="W385" i="10"/>
  <c r="W381" i="10"/>
  <c r="W380" i="10"/>
  <c r="W379" i="10"/>
  <c r="W378" i="10"/>
  <c r="W376" i="10"/>
  <c r="W339" i="10"/>
  <c r="W374" i="10"/>
  <c r="W373" i="10"/>
  <c r="W372" i="10"/>
  <c r="W371" i="10"/>
  <c r="W370" i="10"/>
  <c r="W369" i="10"/>
  <c r="W368" i="10"/>
  <c r="W367" i="10"/>
  <c r="W366" i="10"/>
  <c r="W365" i="10"/>
  <c r="W364" i="10"/>
  <c r="W363" i="10"/>
  <c r="W362" i="10"/>
  <c r="W361" i="10"/>
  <c r="W360" i="10"/>
  <c r="W359" i="10"/>
  <c r="W358" i="10"/>
  <c r="W357" i="10"/>
  <c r="W355" i="10"/>
  <c r="W354" i="10"/>
  <c r="W353" i="10"/>
  <c r="W352" i="10"/>
  <c r="W351" i="10"/>
  <c r="W350" i="10"/>
  <c r="W349" i="10"/>
  <c r="W348" i="10"/>
  <c r="W347" i="10"/>
  <c r="W346" i="10"/>
  <c r="W345" i="10"/>
  <c r="W344" i="10"/>
  <c r="W343" i="10"/>
  <c r="W342" i="10"/>
  <c r="W341" i="10"/>
  <c r="W340" i="10"/>
  <c r="W338" i="10"/>
  <c r="W336" i="10"/>
  <c r="W335" i="10"/>
  <c r="W334" i="10"/>
  <c r="W333" i="10"/>
  <c r="W332" i="10"/>
  <c r="W331" i="10"/>
  <c r="W330" i="10"/>
  <c r="W329" i="10"/>
  <c r="W327" i="10"/>
  <c r="W325" i="10"/>
  <c r="Y257" i="1"/>
  <c r="Y256" i="1"/>
  <c r="AK256" i="1"/>
  <c r="BB256" i="2"/>
  <c r="BL256" i="2" s="1"/>
  <c r="Y255" i="1"/>
  <c r="Y250" i="1"/>
  <c r="Y249" i="1"/>
  <c r="Y247" i="1"/>
  <c r="Y245" i="1"/>
  <c r="Y238" i="1"/>
  <c r="AK238" i="1"/>
  <c r="BB238" i="2"/>
  <c r="BL238" i="2" s="1"/>
  <c r="AK257" i="1"/>
  <c r="BB257" i="2"/>
  <c r="BL257" i="2" s="1"/>
  <c r="AK255" i="1"/>
  <c r="BB255" i="2"/>
  <c r="BL255" i="2" s="1"/>
  <c r="Y254" i="1"/>
  <c r="AK254" i="1"/>
  <c r="BB254" i="2"/>
  <c r="BL254" i="2" s="1"/>
  <c r="AK253" i="1"/>
  <c r="BB253" i="2"/>
  <c r="BL253" i="2" s="1"/>
  <c r="Y252" i="1"/>
  <c r="AK252" i="1"/>
  <c r="BB252" i="2"/>
  <c r="BL252" i="2" s="1"/>
  <c r="AK250" i="1"/>
  <c r="BB250" i="2"/>
  <c r="BL250" i="2" s="1"/>
  <c r="AK249" i="1"/>
  <c r="BB249" i="2"/>
  <c r="BL249" i="2" s="1"/>
  <c r="AK248" i="1"/>
  <c r="Y248" i="1"/>
  <c r="AK247" i="1"/>
  <c r="BB247" i="2"/>
  <c r="BL247" i="2" s="1"/>
  <c r="Y246" i="1"/>
  <c r="AK246" i="1"/>
  <c r="BB246" i="2"/>
  <c r="BL246" i="2" s="1"/>
  <c r="AK245" i="1"/>
  <c r="BB245" i="2"/>
  <c r="BL245" i="2" s="1"/>
  <c r="AK244" i="1"/>
  <c r="Y244" i="1"/>
  <c r="BB244" i="2"/>
  <c r="BL244" i="2" s="1"/>
  <c r="Y243" i="1"/>
  <c r="AK243" i="1"/>
  <c r="BB243" i="2"/>
  <c r="BL243" i="2" s="1"/>
  <c r="Y242" i="1"/>
  <c r="AK242" i="1"/>
  <c r="BB242" i="2"/>
  <c r="BL242" i="2" s="1"/>
  <c r="Y241" i="1"/>
  <c r="AK241" i="1"/>
  <c r="BB241" i="2"/>
  <c r="BL241" i="2" s="1"/>
  <c r="AK240" i="1"/>
  <c r="BB240" i="2"/>
  <c r="BL240" i="2" s="1"/>
  <c r="AK239" i="1"/>
  <c r="AM239" i="1" s="1"/>
  <c r="BN239" i="2" s="1"/>
  <c r="Y237" i="1"/>
  <c r="AK237" i="1"/>
  <c r="BB237" i="2"/>
  <c r="BL237" i="2" s="1"/>
  <c r="BB236" i="2"/>
  <c r="BL236" i="2" s="1"/>
  <c r="AK236" i="1"/>
  <c r="Y236" i="1"/>
  <c r="AK235" i="1"/>
  <c r="Y235" i="1"/>
  <c r="BB235" i="2"/>
  <c r="BL235" i="2" s="1"/>
  <c r="BB234" i="2"/>
  <c r="BL234" i="2" s="1"/>
  <c r="AK234" i="1"/>
  <c r="Y234" i="1"/>
  <c r="W375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AK375" i="1"/>
  <c r="Y375" i="1"/>
  <c r="BB375" i="2"/>
  <c r="BL375" i="2" s="1"/>
  <c r="AK374" i="1"/>
  <c r="Y374" i="1"/>
  <c r="BB374" i="2"/>
  <c r="BL374" i="2" s="1"/>
  <c r="AK373" i="1"/>
  <c r="Y373" i="1"/>
  <c r="BB373" i="2"/>
  <c r="BL373" i="2" s="1"/>
  <c r="AK372" i="1"/>
  <c r="Y372" i="1"/>
  <c r="BB372" i="2"/>
  <c r="BL372" i="2" s="1"/>
  <c r="AK371" i="1"/>
  <c r="Y371" i="1"/>
  <c r="BB371" i="2"/>
  <c r="BL371" i="2" s="1"/>
  <c r="AK370" i="1"/>
  <c r="Y370" i="1"/>
  <c r="BB370" i="2"/>
  <c r="BL370" i="2" s="1"/>
  <c r="AK369" i="1"/>
  <c r="Y369" i="1"/>
  <c r="BB369" i="2"/>
  <c r="BL369" i="2" s="1"/>
  <c r="AK368" i="1"/>
  <c r="Y368" i="1"/>
  <c r="BB368" i="2"/>
  <c r="BL368" i="2" s="1"/>
  <c r="AK367" i="1"/>
  <c r="Y367" i="1"/>
  <c r="BB367" i="2"/>
  <c r="BL367" i="2" s="1"/>
  <c r="AK366" i="1"/>
  <c r="Y366" i="1"/>
  <c r="BB366" i="2"/>
  <c r="BL366" i="2" s="1"/>
  <c r="AK365" i="1"/>
  <c r="Y365" i="1"/>
  <c r="BB365" i="2"/>
  <c r="BL365" i="2" s="1"/>
  <c r="AK364" i="1"/>
  <c r="Y364" i="1"/>
  <c r="BB364" i="2"/>
  <c r="BL364" i="2" s="1"/>
  <c r="Y363" i="1"/>
  <c r="AK363" i="1"/>
  <c r="BB363" i="2"/>
  <c r="BL363" i="2" s="1"/>
  <c r="Y362" i="1"/>
  <c r="AK362" i="1"/>
  <c r="BB362" i="2"/>
  <c r="BL362" i="2" s="1"/>
  <c r="AK361" i="1"/>
  <c r="Y361" i="1"/>
  <c r="BB361" i="2"/>
  <c r="BL361" i="2" s="1"/>
  <c r="AK360" i="1"/>
  <c r="Y360" i="1"/>
  <c r="BB360" i="2"/>
  <c r="BL360" i="2" s="1"/>
  <c r="Y359" i="1"/>
  <c r="AK359" i="1"/>
  <c r="BB359" i="2"/>
  <c r="BL359" i="2" s="1"/>
  <c r="Y358" i="1"/>
  <c r="AK358" i="1"/>
  <c r="BB358" i="2"/>
  <c r="BL358" i="2" s="1"/>
  <c r="Y357" i="1"/>
  <c r="AK357" i="1"/>
  <c r="BB357" i="2"/>
  <c r="BL357" i="2" s="1"/>
  <c r="Y355" i="1"/>
  <c r="AK355" i="1"/>
  <c r="BB355" i="2"/>
  <c r="BL355" i="2" s="1"/>
  <c r="Y354" i="1"/>
  <c r="AK354" i="1"/>
  <c r="BB354" i="2"/>
  <c r="BL354" i="2" s="1"/>
  <c r="Y353" i="1"/>
  <c r="AK353" i="1"/>
  <c r="BB353" i="2"/>
  <c r="BL353" i="2" s="1"/>
  <c r="Y352" i="1"/>
  <c r="AK352" i="1"/>
  <c r="BB352" i="2"/>
  <c r="BL352" i="2" s="1"/>
  <c r="Y351" i="1"/>
  <c r="AK351" i="1"/>
  <c r="BB351" i="2"/>
  <c r="BL351" i="2" s="1"/>
  <c r="Y350" i="1"/>
  <c r="AK350" i="1"/>
  <c r="BB350" i="2"/>
  <c r="BL350" i="2" s="1"/>
  <c r="Y349" i="1"/>
  <c r="AK349" i="1"/>
  <c r="BB349" i="2"/>
  <c r="BL349" i="2" s="1"/>
  <c r="AK348" i="1"/>
  <c r="Y348" i="1"/>
  <c r="BB348" i="2"/>
  <c r="BL348" i="2" s="1"/>
  <c r="AK347" i="1"/>
  <c r="Y347" i="1"/>
  <c r="BB347" i="2"/>
  <c r="BL347" i="2" s="1"/>
  <c r="AA375" i="16"/>
  <c r="AH375" i="16" s="1"/>
  <c r="AA374" i="16"/>
  <c r="AH374" i="16" s="1"/>
  <c r="AA373" i="16"/>
  <c r="AH373" i="16" s="1"/>
  <c r="AA372" i="16"/>
  <c r="AH372" i="16" s="1"/>
  <c r="AA371" i="16"/>
  <c r="AH371" i="16" s="1"/>
  <c r="AA370" i="16"/>
  <c r="AH370" i="16" s="1"/>
  <c r="AA369" i="16"/>
  <c r="AH369" i="16" s="1"/>
  <c r="AA368" i="16"/>
  <c r="AH368" i="16" s="1"/>
  <c r="AA367" i="16"/>
  <c r="AH367" i="16" s="1"/>
  <c r="AA366" i="16"/>
  <c r="AH366" i="16" s="1"/>
  <c r="AA365" i="16"/>
  <c r="AH365" i="16" s="1"/>
  <c r="AA364" i="16"/>
  <c r="AH364" i="16" s="1"/>
  <c r="AF364" i="16"/>
  <c r="AF365" i="16"/>
  <c r="AF366" i="16"/>
  <c r="AF367" i="16"/>
  <c r="AF368" i="16"/>
  <c r="AF369" i="16"/>
  <c r="AF370" i="16"/>
  <c r="AF371" i="16"/>
  <c r="AF372" i="16"/>
  <c r="AF373" i="16"/>
  <c r="AF374" i="16"/>
  <c r="AF375" i="16"/>
  <c r="W257" i="10"/>
  <c r="W256" i="10"/>
  <c r="W255" i="10"/>
  <c r="W254" i="10"/>
  <c r="W253" i="10"/>
  <c r="W252" i="10"/>
  <c r="W250" i="10"/>
  <c r="W249" i="10"/>
  <c r="W248" i="10"/>
  <c r="W247" i="10"/>
  <c r="W246" i="10"/>
  <c r="W245" i="10"/>
  <c r="W244" i="10"/>
  <c r="W243" i="10"/>
  <c r="W242" i="10"/>
  <c r="W241" i="10"/>
  <c r="W240" i="10"/>
  <c r="W238" i="10"/>
  <c r="W237" i="10"/>
  <c r="W236" i="10"/>
  <c r="W235" i="10"/>
  <c r="W234" i="10"/>
  <c r="W232" i="10"/>
  <c r="W231" i="10"/>
  <c r="W230" i="10"/>
  <c r="W229" i="10"/>
  <c r="W228" i="10"/>
  <c r="W227" i="10"/>
  <c r="Y226" i="1"/>
  <c r="AK226" i="1"/>
  <c r="BB226" i="2"/>
  <c r="BL226" i="2" s="1"/>
  <c r="AK225" i="1"/>
  <c r="Y225" i="1"/>
  <c r="BB225" i="2"/>
  <c r="BL225" i="2" s="1"/>
  <c r="W226" i="10"/>
  <c r="W225" i="10"/>
  <c r="W224" i="10"/>
  <c r="AA225" i="16"/>
  <c r="AH225" i="16" s="1"/>
  <c r="AA224" i="16"/>
  <c r="AH224" i="16" s="1"/>
  <c r="AF224" i="16"/>
  <c r="AA220" i="16"/>
  <c r="AH220" i="16" s="1"/>
  <c r="AF220" i="16"/>
  <c r="AK210" i="1"/>
  <c r="W185" i="10"/>
  <c r="AK185" i="1"/>
  <c r="AF185" i="16"/>
  <c r="AK204" i="1"/>
  <c r="AK203" i="1"/>
  <c r="AK202" i="1"/>
  <c r="AK201" i="1"/>
  <c r="AK200" i="1"/>
  <c r="AK199" i="1"/>
  <c r="AK198" i="1"/>
  <c r="AM198" i="1" s="1"/>
  <c r="AM197" i="1"/>
  <c r="BN197" i="2" s="1"/>
  <c r="AK193" i="1"/>
  <c r="AK192" i="1"/>
  <c r="AK191" i="1"/>
  <c r="AK190" i="1"/>
  <c r="AK189" i="1"/>
  <c r="AK188" i="1"/>
  <c r="AK187" i="1"/>
  <c r="AM187" i="1" s="1"/>
  <c r="BN187" i="2" s="1"/>
  <c r="AK186" i="1"/>
  <c r="AK184" i="1"/>
  <c r="AK183" i="1"/>
  <c r="Y183" i="1"/>
  <c r="BB183" i="2"/>
  <c r="BL183" i="2" s="1"/>
  <c r="AK182" i="1"/>
  <c r="AM182" i="1" s="1"/>
  <c r="BL182" i="2"/>
  <c r="AK181" i="1"/>
  <c r="AM181" i="1" s="1"/>
  <c r="BN181" i="2" s="1"/>
  <c r="W223" i="10"/>
  <c r="W222" i="10"/>
  <c r="W221" i="10"/>
  <c r="W220" i="10"/>
  <c r="W212" i="10"/>
  <c r="W211" i="10"/>
  <c r="W210" i="10"/>
  <c r="W209" i="10"/>
  <c r="W208" i="10"/>
  <c r="W204" i="10"/>
  <c r="W203" i="10"/>
  <c r="W202" i="10"/>
  <c r="W201" i="10"/>
  <c r="W200" i="10"/>
  <c r="W199" i="10"/>
  <c r="W198" i="10"/>
  <c r="W193" i="10"/>
  <c r="W192" i="10"/>
  <c r="W186" i="10"/>
  <c r="W184" i="10"/>
  <c r="W183" i="10"/>
  <c r="W177" i="10"/>
  <c r="W174" i="10"/>
  <c r="W173" i="10"/>
  <c r="W170" i="10"/>
  <c r="W169" i="10"/>
  <c r="W168" i="10"/>
  <c r="W167" i="10"/>
  <c r="W163" i="10"/>
  <c r="W162" i="10"/>
  <c r="W161" i="10"/>
  <c r="W160" i="10"/>
  <c r="W159" i="10"/>
  <c r="W155" i="10"/>
  <c r="W154" i="10"/>
  <c r="W151" i="10"/>
  <c r="W150" i="10"/>
  <c r="W605" i="10"/>
  <c r="W604" i="10"/>
  <c r="W603" i="10"/>
  <c r="W632" i="10"/>
  <c r="W631" i="10"/>
  <c r="W630" i="10"/>
  <c r="W629" i="10"/>
  <c r="W627" i="10"/>
  <c r="W626" i="10"/>
  <c r="W625" i="10"/>
  <c r="W624" i="10"/>
  <c r="W623" i="10"/>
  <c r="W622" i="10"/>
  <c r="W621" i="10"/>
  <c r="W620" i="10"/>
  <c r="W619" i="10"/>
  <c r="W618" i="10"/>
  <c r="W617" i="10"/>
  <c r="W616" i="10"/>
  <c r="W615" i="10"/>
  <c r="W614" i="10"/>
  <c r="W613" i="10"/>
  <c r="W612" i="10"/>
  <c r="W611" i="10"/>
  <c r="W610" i="10"/>
  <c r="W609" i="10"/>
  <c r="W608" i="10"/>
  <c r="W607" i="10"/>
  <c r="W606" i="10"/>
  <c r="W602" i="10"/>
  <c r="W601" i="10"/>
  <c r="W600" i="10"/>
  <c r="W598" i="10"/>
  <c r="W597" i="10"/>
  <c r="W596" i="10"/>
  <c r="W595" i="10"/>
  <c r="W594" i="10"/>
  <c r="W593" i="10"/>
  <c r="W592" i="10"/>
  <c r="W591" i="10"/>
  <c r="W590" i="10"/>
  <c r="W589" i="10"/>
  <c r="W588" i="10"/>
  <c r="W587" i="10"/>
  <c r="W586" i="10"/>
  <c r="W585" i="10"/>
  <c r="W584" i="10"/>
  <c r="W583" i="10"/>
  <c r="W582" i="10"/>
  <c r="W578" i="10"/>
  <c r="S632" i="10"/>
  <c r="S631" i="10"/>
  <c r="S630" i="10"/>
  <c r="S629" i="10"/>
  <c r="S627" i="10"/>
  <c r="S626" i="10"/>
  <c r="S625" i="10"/>
  <c r="S624" i="10"/>
  <c r="S623" i="10"/>
  <c r="S622" i="10"/>
  <c r="S621" i="10"/>
  <c r="S620" i="10"/>
  <c r="S619" i="10"/>
  <c r="S618" i="10"/>
  <c r="S617" i="10"/>
  <c r="S616" i="10"/>
  <c r="S615" i="10"/>
  <c r="S614" i="10"/>
  <c r="S613" i="10"/>
  <c r="S612" i="10"/>
  <c r="S611" i="10"/>
  <c r="S610" i="10"/>
  <c r="S609" i="10"/>
  <c r="S608" i="10"/>
  <c r="S607" i="10"/>
  <c r="S606" i="10"/>
  <c r="S605" i="10"/>
  <c r="S604" i="10"/>
  <c r="S603" i="10"/>
  <c r="S602" i="10"/>
  <c r="S601" i="10"/>
  <c r="S600" i="10"/>
  <c r="S598" i="10"/>
  <c r="S597" i="10"/>
  <c r="S596" i="10"/>
  <c r="S595" i="10"/>
  <c r="S594" i="10"/>
  <c r="S593" i="10"/>
  <c r="S592" i="10"/>
  <c r="S591" i="10"/>
  <c r="S590" i="10"/>
  <c r="S589" i="10"/>
  <c r="S588" i="10"/>
  <c r="S587" i="10"/>
  <c r="S586" i="10"/>
  <c r="S585" i="10"/>
  <c r="S584" i="10"/>
  <c r="S583" i="10"/>
  <c r="S582" i="10"/>
  <c r="S578" i="10"/>
  <c r="AK632" i="1"/>
  <c r="Y632" i="1"/>
  <c r="BB632" i="2"/>
  <c r="BL632" i="2" s="1"/>
  <c r="AK631" i="1"/>
  <c r="Y631" i="1"/>
  <c r="BB631" i="2"/>
  <c r="BL631" i="2" s="1"/>
  <c r="AK630" i="1"/>
  <c r="Y630" i="1"/>
  <c r="BB630" i="2"/>
  <c r="BL630" i="2" s="1"/>
  <c r="AK629" i="1"/>
  <c r="Y629" i="1"/>
  <c r="BB629" i="2"/>
  <c r="BL629" i="2" s="1"/>
  <c r="AK627" i="1"/>
  <c r="Y627" i="1"/>
  <c r="BB627" i="2"/>
  <c r="BL627" i="2" s="1"/>
  <c r="AK626" i="1"/>
  <c r="Y626" i="1"/>
  <c r="BB626" i="2"/>
  <c r="BL626" i="2" s="1"/>
  <c r="BB625" i="2"/>
  <c r="BL625" i="2" s="1"/>
  <c r="AK625" i="1"/>
  <c r="Y625" i="1"/>
  <c r="AK624" i="1"/>
  <c r="Y624" i="1"/>
  <c r="BB624" i="2"/>
  <c r="BL624" i="2" s="1"/>
  <c r="AK623" i="1"/>
  <c r="Y623" i="1"/>
  <c r="BB623" i="2"/>
  <c r="BL623" i="2" s="1"/>
  <c r="AK622" i="1"/>
  <c r="Y622" i="1"/>
  <c r="BB622" i="2"/>
  <c r="BL622" i="2" s="1"/>
  <c r="AK621" i="1"/>
  <c r="Y621" i="1"/>
  <c r="BB621" i="2"/>
  <c r="BL621" i="2" s="1"/>
  <c r="AK620" i="1"/>
  <c r="Y620" i="1"/>
  <c r="BB620" i="2"/>
  <c r="BL620" i="2" s="1"/>
  <c r="AK619" i="1"/>
  <c r="Y619" i="1"/>
  <c r="BB619" i="2"/>
  <c r="BL619" i="2" s="1"/>
  <c r="AK618" i="1"/>
  <c r="Y618" i="1"/>
  <c r="BB618" i="2"/>
  <c r="BL618" i="2" s="1"/>
  <c r="AK617" i="1"/>
  <c r="Y617" i="1"/>
  <c r="BB617" i="2"/>
  <c r="BL617" i="2" s="1"/>
  <c r="AK616" i="1"/>
  <c r="Y616" i="1"/>
  <c r="BB616" i="2"/>
  <c r="BL616" i="2" s="1"/>
  <c r="AK615" i="1"/>
  <c r="Y615" i="1"/>
  <c r="BB615" i="2"/>
  <c r="BL615" i="2" s="1"/>
  <c r="AK614" i="1"/>
  <c r="Y614" i="1"/>
  <c r="BB614" i="2"/>
  <c r="BL614" i="2" s="1"/>
  <c r="AK613" i="1"/>
  <c r="Y613" i="1"/>
  <c r="BB613" i="2"/>
  <c r="BL613" i="2" s="1"/>
  <c r="AK612" i="1"/>
  <c r="Y612" i="1"/>
  <c r="BB612" i="2"/>
  <c r="BL612" i="2" s="1"/>
  <c r="AK611" i="1"/>
  <c r="Y611" i="1"/>
  <c r="BB611" i="2"/>
  <c r="BL611" i="2" s="1"/>
  <c r="BB610" i="2"/>
  <c r="BL610" i="2" s="1"/>
  <c r="AK610" i="1"/>
  <c r="Y610" i="1"/>
  <c r="AK609" i="1"/>
  <c r="Y609" i="1"/>
  <c r="BB609" i="2"/>
  <c r="BL609" i="2" s="1"/>
  <c r="AK608" i="1"/>
  <c r="Y608" i="1"/>
  <c r="BB608" i="2"/>
  <c r="BL608" i="2" s="1"/>
  <c r="AK607" i="1"/>
  <c r="Y607" i="1"/>
  <c r="BB607" i="2"/>
  <c r="BL607" i="2" s="1"/>
  <c r="AK606" i="1"/>
  <c r="Y606" i="1"/>
  <c r="BB606" i="2"/>
  <c r="BL606" i="2" s="1"/>
  <c r="AK605" i="1"/>
  <c r="Y605" i="1"/>
  <c r="BB605" i="2"/>
  <c r="BL605" i="2" s="1"/>
  <c r="AK604" i="1"/>
  <c r="Y604" i="1"/>
  <c r="BB604" i="2"/>
  <c r="BL604" i="2" s="1"/>
  <c r="AK603" i="1"/>
  <c r="Y603" i="1"/>
  <c r="BB603" i="2"/>
  <c r="BL603" i="2" s="1"/>
  <c r="AK602" i="1"/>
  <c r="Y602" i="1"/>
  <c r="BB602" i="2"/>
  <c r="BL602" i="2" s="1"/>
  <c r="AK601" i="1"/>
  <c r="Y601" i="1"/>
  <c r="BB601" i="2"/>
  <c r="BL601" i="2" s="1"/>
  <c r="AK600" i="1"/>
  <c r="Y600" i="1"/>
  <c r="BB600" i="2"/>
  <c r="BL600" i="2" s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2" i="1"/>
  <c r="AK578" i="1"/>
  <c r="AK583" i="1"/>
  <c r="AF632" i="16"/>
  <c r="AF631" i="16"/>
  <c r="AF630" i="16"/>
  <c r="AF629" i="16"/>
  <c r="AF627" i="16"/>
  <c r="AF626" i="16"/>
  <c r="AF625" i="16"/>
  <c r="AF624" i="16"/>
  <c r="AF623" i="16"/>
  <c r="AF622" i="16"/>
  <c r="AF621" i="16"/>
  <c r="AF620" i="16"/>
  <c r="AF619" i="16"/>
  <c r="AF618" i="16"/>
  <c r="AF617" i="16"/>
  <c r="AF616" i="16"/>
  <c r="AF615" i="16"/>
  <c r="AF614" i="16"/>
  <c r="AF613" i="16"/>
  <c r="AF612" i="16"/>
  <c r="AF611" i="16"/>
  <c r="AF610" i="16"/>
  <c r="AF609" i="16"/>
  <c r="AF608" i="16"/>
  <c r="AF607" i="16"/>
  <c r="AF606" i="16"/>
  <c r="AF605" i="16"/>
  <c r="AF604" i="16"/>
  <c r="AF603" i="16"/>
  <c r="AF602" i="16"/>
  <c r="AF601" i="16"/>
  <c r="AF600" i="16"/>
  <c r="AF598" i="16"/>
  <c r="AF597" i="16"/>
  <c r="AF596" i="16"/>
  <c r="AF595" i="16"/>
  <c r="AF594" i="16"/>
  <c r="AF593" i="16"/>
  <c r="AF592" i="16"/>
  <c r="AF591" i="16"/>
  <c r="AF590" i="16"/>
  <c r="AF589" i="16"/>
  <c r="AF588" i="16"/>
  <c r="AF587" i="16"/>
  <c r="AF586" i="16"/>
  <c r="AF585" i="16"/>
  <c r="AF584" i="16"/>
  <c r="AF583" i="16"/>
  <c r="AF582" i="16"/>
  <c r="AF578" i="16"/>
  <c r="W323" i="10"/>
  <c r="W322" i="10"/>
  <c r="W321" i="10"/>
  <c r="W320" i="10"/>
  <c r="W319" i="10"/>
  <c r="W318" i="10"/>
  <c r="W317" i="10"/>
  <c r="W316" i="10"/>
  <c r="W315" i="10"/>
  <c r="W314" i="10"/>
  <c r="W304" i="10"/>
  <c r="W303" i="10"/>
  <c r="W299" i="10"/>
  <c r="W302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4" i="10"/>
  <c r="S303" i="10"/>
  <c r="S299" i="10"/>
  <c r="S302" i="10"/>
  <c r="W300" i="10"/>
  <c r="W298" i="10"/>
  <c r="W297" i="10"/>
  <c r="W295" i="10"/>
  <c r="W294" i="10"/>
  <c r="W293" i="10"/>
  <c r="W292" i="10"/>
  <c r="W291" i="10"/>
  <c r="W290" i="10"/>
  <c r="W289" i="10"/>
  <c r="W288" i="10"/>
  <c r="S300" i="10"/>
  <c r="S298" i="10"/>
  <c r="S297" i="10"/>
  <c r="S295" i="10"/>
  <c r="S294" i="10"/>
  <c r="S293" i="10"/>
  <c r="S292" i="10"/>
  <c r="S291" i="10"/>
  <c r="S290" i="10"/>
  <c r="S289" i="10"/>
  <c r="S288" i="10"/>
  <c r="S287" i="10"/>
  <c r="S283" i="10"/>
  <c r="S282" i="10"/>
  <c r="S281" i="10"/>
  <c r="Y323" i="1"/>
  <c r="AK323" i="1"/>
  <c r="BB323" i="2"/>
  <c r="BL323" i="2" s="1"/>
  <c r="Y322" i="1"/>
  <c r="AK322" i="1"/>
  <c r="BB322" i="2"/>
  <c r="BL322" i="2" s="1"/>
  <c r="Y321" i="1"/>
  <c r="AK321" i="1"/>
  <c r="BB321" i="2"/>
  <c r="BL321" i="2" s="1"/>
  <c r="AK320" i="1"/>
  <c r="Y320" i="1"/>
  <c r="BB320" i="2"/>
  <c r="BL320" i="2" s="1"/>
  <c r="AK319" i="1"/>
  <c r="Y319" i="1"/>
  <c r="BB319" i="2"/>
  <c r="BL319" i="2" s="1"/>
  <c r="AK318" i="1"/>
  <c r="Y318" i="1"/>
  <c r="BB318" i="2"/>
  <c r="BL318" i="2" s="1"/>
  <c r="AK317" i="1"/>
  <c r="Y317" i="1"/>
  <c r="BB317" i="2"/>
  <c r="BL317" i="2" s="1"/>
  <c r="AK316" i="1"/>
  <c r="Y316" i="1"/>
  <c r="BB316" i="2"/>
  <c r="BL316" i="2" s="1"/>
  <c r="AK315" i="1"/>
  <c r="Y315" i="1"/>
  <c r="AK314" i="1"/>
  <c r="Y314" i="1"/>
  <c r="BB314" i="2"/>
  <c r="BL314" i="2" s="1"/>
  <c r="AK313" i="1"/>
  <c r="Y313" i="1"/>
  <c r="BB313" i="2"/>
  <c r="BL313" i="2" s="1"/>
  <c r="AK312" i="1"/>
  <c r="Y312" i="1"/>
  <c r="BB312" i="2"/>
  <c r="BL312" i="2" s="1"/>
  <c r="AK311" i="1"/>
  <c r="Y311" i="1"/>
  <c r="BB311" i="2"/>
  <c r="BL311" i="2" s="1"/>
  <c r="AK310" i="1"/>
  <c r="Y310" i="1"/>
  <c r="BB310" i="2"/>
  <c r="BL310" i="2" s="1"/>
  <c r="AK309" i="1"/>
  <c r="Y309" i="1"/>
  <c r="BB309" i="2"/>
  <c r="BL309" i="2" s="1"/>
  <c r="AK308" i="1"/>
  <c r="Y308" i="1"/>
  <c r="BB308" i="2"/>
  <c r="BL308" i="2" s="1"/>
  <c r="AK304" i="1"/>
  <c r="Y304" i="1"/>
  <c r="BB304" i="2"/>
  <c r="BL304" i="2" s="1"/>
  <c r="AK303" i="1"/>
  <c r="Y303" i="1"/>
  <c r="BB303" i="2"/>
  <c r="BL303" i="2" s="1"/>
  <c r="AK299" i="1"/>
  <c r="Y299" i="1"/>
  <c r="BB299" i="2"/>
  <c r="BL299" i="2" s="1"/>
  <c r="AK302" i="1"/>
  <c r="Y302" i="1"/>
  <c r="BB302" i="2"/>
  <c r="BL302" i="2" s="1"/>
  <c r="AK301" i="1"/>
  <c r="Y301" i="1"/>
  <c r="BB301" i="2"/>
  <c r="BL301" i="2" s="1"/>
  <c r="AK300" i="1"/>
  <c r="Y300" i="1"/>
  <c r="BB300" i="2"/>
  <c r="BL300" i="2" s="1"/>
  <c r="Y327" i="1"/>
  <c r="AK327" i="1"/>
  <c r="BB327" i="2"/>
  <c r="BL327" i="2" s="1"/>
  <c r="Y325" i="1"/>
  <c r="AK325" i="1"/>
  <c r="BL325" i="2"/>
  <c r="AK298" i="1"/>
  <c r="Y298" i="1"/>
  <c r="BB298" i="2"/>
  <c r="BL298" i="2" s="1"/>
  <c r="AK295" i="1"/>
  <c r="Y295" i="1"/>
  <c r="BB295" i="2"/>
  <c r="BL295" i="2" s="1"/>
  <c r="AK293" i="1"/>
  <c r="Y293" i="1"/>
  <c r="BB293" i="2"/>
  <c r="BL293" i="2" s="1"/>
  <c r="AK292" i="1"/>
  <c r="Y292" i="1"/>
  <c r="BB292" i="2"/>
  <c r="BL292" i="2" s="1"/>
  <c r="AK291" i="1"/>
  <c r="Y291" i="1"/>
  <c r="BB291" i="2"/>
  <c r="BL291" i="2" s="1"/>
  <c r="AK290" i="1"/>
  <c r="Y290" i="1"/>
  <c r="BB290" i="2"/>
  <c r="BL290" i="2" s="1"/>
  <c r="AK289" i="1"/>
  <c r="Y289" i="1"/>
  <c r="BB289" i="2"/>
  <c r="BL289" i="2" s="1"/>
  <c r="AK288" i="1"/>
  <c r="Y288" i="1"/>
  <c r="BB288" i="2"/>
  <c r="BL288" i="2" s="1"/>
  <c r="AK287" i="1"/>
  <c r="Y287" i="1"/>
  <c r="BB287" i="2"/>
  <c r="BL287" i="2" s="1"/>
  <c r="AK283" i="1"/>
  <c r="Y283" i="1"/>
  <c r="BB283" i="2"/>
  <c r="BL283" i="2" s="1"/>
  <c r="AK282" i="1"/>
  <c r="Y282" i="1"/>
  <c r="BB282" i="2"/>
  <c r="BL282" i="2" s="1"/>
  <c r="AK281" i="1"/>
  <c r="Y281" i="1"/>
  <c r="BB281" i="2"/>
  <c r="BL281" i="2" s="1"/>
  <c r="AK280" i="1"/>
  <c r="Y280" i="1"/>
  <c r="BB280" i="2"/>
  <c r="BL280" i="2" s="1"/>
  <c r="AK279" i="1"/>
  <c r="Y279" i="1"/>
  <c r="BB279" i="2"/>
  <c r="BL279" i="2" s="1"/>
  <c r="AK278" i="1"/>
  <c r="Y278" i="1"/>
  <c r="BB278" i="2"/>
  <c r="BL278" i="2" s="1"/>
  <c r="AK277" i="1"/>
  <c r="Y277" i="1"/>
  <c r="BB277" i="2"/>
  <c r="BL277" i="2" s="1"/>
  <c r="AK275" i="1"/>
  <c r="Y275" i="1"/>
  <c r="BB275" i="2"/>
  <c r="BL275" i="2" s="1"/>
  <c r="AK274" i="1"/>
  <c r="AM274" i="1" s="1"/>
  <c r="BN274" i="2" s="1"/>
  <c r="AK273" i="1"/>
  <c r="AM273" i="1" s="1"/>
  <c r="BN273" i="2" s="1"/>
  <c r="BB297" i="2"/>
  <c r="BL297" i="2" s="1"/>
  <c r="AK297" i="1"/>
  <c r="Y297" i="1"/>
  <c r="AA320" i="16"/>
  <c r="AH320" i="16" s="1"/>
  <c r="AA319" i="16"/>
  <c r="AH319" i="16" s="1"/>
  <c r="AA318" i="16"/>
  <c r="AH318" i="16" s="1"/>
  <c r="AA317" i="16"/>
  <c r="AH317" i="16" s="1"/>
  <c r="AA316" i="16"/>
  <c r="AH316" i="16" s="1"/>
  <c r="AA315" i="16"/>
  <c r="AH315" i="16" s="1"/>
  <c r="AA314" i="16"/>
  <c r="AH314" i="16" s="1"/>
  <c r="AA308" i="16"/>
  <c r="AH308" i="16" s="1"/>
  <c r="AA304" i="16"/>
  <c r="AH304" i="16" s="1"/>
  <c r="AF304" i="16"/>
  <c r="AA303" i="16"/>
  <c r="AH303" i="16" s="1"/>
  <c r="AF303" i="16"/>
  <c r="AA299" i="16"/>
  <c r="AH299" i="16" s="1"/>
  <c r="AF299" i="16"/>
  <c r="AA302" i="16"/>
  <c r="AH302" i="16" s="1"/>
  <c r="AF302" i="16"/>
  <c r="AA301" i="16"/>
  <c r="AH301" i="16" s="1"/>
  <c r="AF301" i="16"/>
  <c r="AA298" i="16"/>
  <c r="AH298" i="16" s="1"/>
  <c r="AF298" i="16"/>
  <c r="AA297" i="16"/>
  <c r="AH297" i="16" s="1"/>
  <c r="AF297" i="16"/>
  <c r="AA295" i="16"/>
  <c r="AH295" i="16" s="1"/>
  <c r="AA294" i="16"/>
  <c r="AH294" i="16" s="1"/>
  <c r="AF294" i="16"/>
  <c r="AA293" i="16"/>
  <c r="AH293" i="16" s="1"/>
  <c r="AF293" i="16"/>
  <c r="AA292" i="16"/>
  <c r="AH292" i="16" s="1"/>
  <c r="AF292" i="16"/>
  <c r="AA291" i="16"/>
  <c r="AH291" i="16" s="1"/>
  <c r="AF291" i="16"/>
  <c r="AA290" i="16"/>
  <c r="AH290" i="16" s="1"/>
  <c r="AF290" i="16"/>
  <c r="AA289" i="16"/>
  <c r="AH289" i="16" s="1"/>
  <c r="AF289" i="16"/>
  <c r="AF288" i="16"/>
  <c r="AF287" i="16"/>
  <c r="AF286" i="16"/>
  <c r="AH284" i="16"/>
  <c r="AA283" i="16"/>
  <c r="AH283" i="16" s="1"/>
  <c r="AA282" i="16"/>
  <c r="AH282" i="16" s="1"/>
  <c r="AA281" i="16"/>
  <c r="AH281" i="16" s="1"/>
  <c r="AA280" i="16"/>
  <c r="AH280" i="16" s="1"/>
  <c r="AA279" i="16"/>
  <c r="AH279" i="16" s="1"/>
  <c r="AF279" i="16"/>
  <c r="AA278" i="16"/>
  <c r="AH278" i="16" s="1"/>
  <c r="AA269" i="16"/>
  <c r="AH269" i="16" s="1"/>
  <c r="AF269" i="16"/>
  <c r="AA268" i="16"/>
  <c r="AH268" i="16" s="1"/>
  <c r="AF268" i="16"/>
  <c r="AA267" i="16"/>
  <c r="AH267" i="16" s="1"/>
  <c r="AF267" i="16"/>
  <c r="AA259" i="16"/>
  <c r="AH259" i="16" s="1"/>
  <c r="AF259" i="16"/>
  <c r="Y106" i="1"/>
  <c r="Y98" i="1"/>
  <c r="AK106" i="1"/>
  <c r="BB106" i="2"/>
  <c r="BL106" i="2" s="1"/>
  <c r="Y105" i="1"/>
  <c r="AK105" i="1"/>
  <c r="BB105" i="2"/>
  <c r="BL105" i="2" s="1"/>
  <c r="AK104" i="1"/>
  <c r="Y104" i="1"/>
  <c r="BB104" i="2"/>
  <c r="BL104" i="2" s="1"/>
  <c r="AK103" i="1"/>
  <c r="Y103" i="1"/>
  <c r="BB103" i="2"/>
  <c r="BL103" i="2" s="1"/>
  <c r="AK102" i="1"/>
  <c r="Y102" i="1"/>
  <c r="BB102" i="2"/>
  <c r="BL102" i="2" s="1"/>
  <c r="Y101" i="1"/>
  <c r="AK101" i="1"/>
  <c r="AK100" i="1"/>
  <c r="Y100" i="1"/>
  <c r="AK99" i="1"/>
  <c r="Y99" i="1"/>
  <c r="AK98" i="1"/>
  <c r="AK97" i="1"/>
  <c r="Y97" i="1"/>
  <c r="AK95" i="1"/>
  <c r="Y95" i="1"/>
  <c r="AK96" i="1"/>
  <c r="Y96" i="1"/>
  <c r="AA96" i="16"/>
  <c r="AH96" i="16" s="1"/>
  <c r="AF96" i="16"/>
  <c r="AA95" i="16"/>
  <c r="AH95" i="16" s="1"/>
  <c r="AF95" i="16"/>
  <c r="W148" i="10"/>
  <c r="W147" i="10"/>
  <c r="W146" i="10"/>
  <c r="W143" i="10"/>
  <c r="W142" i="10"/>
  <c r="W141" i="10"/>
  <c r="W140" i="10"/>
  <c r="W139" i="10"/>
  <c r="W138" i="10"/>
  <c r="W137" i="10"/>
  <c r="W136" i="10"/>
  <c r="W135" i="10"/>
  <c r="W134" i="10"/>
  <c r="W133" i="10"/>
  <c r="W132" i="10"/>
  <c r="W131" i="10"/>
  <c r="W130" i="10"/>
  <c r="W129" i="10"/>
  <c r="W128" i="10"/>
  <c r="W127" i="10"/>
  <c r="W125" i="10"/>
  <c r="W124" i="10"/>
  <c r="W123" i="10"/>
  <c r="W122" i="10"/>
  <c r="W121" i="10"/>
  <c r="W119" i="10"/>
  <c r="W118" i="10"/>
  <c r="W117" i="10"/>
  <c r="W116" i="10"/>
  <c r="W115" i="10"/>
  <c r="W114" i="10"/>
  <c r="W113" i="10"/>
  <c r="W112" i="10"/>
  <c r="W111" i="10"/>
  <c r="W110" i="10"/>
  <c r="W109" i="10"/>
  <c r="W108" i="10"/>
  <c r="W107" i="10"/>
  <c r="W106" i="10"/>
  <c r="W105" i="10"/>
  <c r="W104" i="10"/>
  <c r="W103" i="10"/>
  <c r="W102" i="10"/>
  <c r="W101" i="10"/>
  <c r="W100" i="10"/>
  <c r="W99" i="10"/>
  <c r="S227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4" i="10"/>
  <c r="S422" i="10"/>
  <c r="S421" i="10"/>
  <c r="S420" i="10"/>
  <c r="S418" i="10"/>
  <c r="S417" i="10"/>
  <c r="S416" i="10"/>
  <c r="S415" i="10"/>
  <c r="S409" i="10"/>
  <c r="S408" i="10"/>
  <c r="S407" i="10"/>
  <c r="S406" i="10"/>
  <c r="S405" i="10"/>
  <c r="S404" i="10"/>
  <c r="S363" i="10"/>
  <c r="S362" i="10"/>
  <c r="S361" i="10"/>
  <c r="S360" i="10"/>
  <c r="S359" i="10"/>
  <c r="S358" i="10"/>
  <c r="S357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6" i="10"/>
  <c r="S335" i="10"/>
  <c r="S334" i="10"/>
  <c r="S333" i="10"/>
  <c r="S332" i="10"/>
  <c r="S331" i="10"/>
  <c r="S330" i="10"/>
  <c r="S329" i="10"/>
  <c r="S327" i="10"/>
  <c r="S323" i="10"/>
  <c r="S322" i="10"/>
  <c r="S321" i="10"/>
  <c r="S257" i="10"/>
  <c r="S256" i="10"/>
  <c r="S255" i="10"/>
  <c r="S252" i="10"/>
  <c r="S250" i="10"/>
  <c r="S249" i="10"/>
  <c r="S248" i="10"/>
  <c r="S247" i="10"/>
  <c r="S246" i="10"/>
  <c r="S245" i="10"/>
  <c r="S244" i="10"/>
  <c r="S243" i="10"/>
  <c r="S242" i="10"/>
  <c r="S241" i="10"/>
  <c r="S240" i="10"/>
  <c r="S238" i="10"/>
  <c r="S237" i="10"/>
  <c r="S236" i="10"/>
  <c r="S235" i="10"/>
  <c r="S234" i="10"/>
  <c r="S232" i="10"/>
  <c r="S231" i="10"/>
  <c r="S230" i="10"/>
  <c r="S229" i="10"/>
  <c r="S228" i="10"/>
  <c r="S226" i="10"/>
  <c r="S224" i="10"/>
  <c r="S223" i="10"/>
  <c r="S222" i="10"/>
  <c r="S221" i="10"/>
  <c r="S220" i="10"/>
  <c r="S177" i="10"/>
  <c r="S176" i="10"/>
  <c r="S174" i="10"/>
  <c r="S172" i="10"/>
  <c r="S169" i="10"/>
  <c r="S168" i="10"/>
  <c r="S167" i="10"/>
  <c r="S166" i="10"/>
  <c r="S163" i="10"/>
  <c r="S162" i="10"/>
  <c r="S148" i="10"/>
  <c r="S147" i="10"/>
  <c r="S146" i="10"/>
  <c r="S145" i="10"/>
  <c r="S143" i="10"/>
  <c r="S142" i="10"/>
  <c r="S141" i="10"/>
  <c r="S140" i="10"/>
  <c r="S139" i="10"/>
  <c r="S138" i="10"/>
  <c r="S137" i="10"/>
  <c r="S136" i="10"/>
  <c r="S135" i="10"/>
  <c r="S134" i="10"/>
  <c r="S133" i="10"/>
  <c r="S131" i="10"/>
  <c r="S130" i="10"/>
  <c r="S129" i="10"/>
  <c r="S128" i="10"/>
  <c r="S127" i="10"/>
  <c r="S125" i="10"/>
  <c r="S124" i="10"/>
  <c r="S123" i="10"/>
  <c r="S122" i="10"/>
  <c r="S121" i="10"/>
  <c r="S119" i="10"/>
  <c r="S118" i="10"/>
  <c r="S117" i="10"/>
  <c r="S115" i="10"/>
  <c r="S114" i="10"/>
  <c r="S113" i="10"/>
  <c r="S112" i="10"/>
  <c r="S111" i="10"/>
  <c r="S110" i="10"/>
  <c r="S109" i="10"/>
  <c r="S108" i="10"/>
  <c r="S106" i="10"/>
  <c r="S105" i="10"/>
  <c r="S104" i="10"/>
  <c r="S102" i="10"/>
  <c r="S101" i="10"/>
  <c r="S100" i="10"/>
  <c r="S99" i="10"/>
  <c r="S98" i="10"/>
  <c r="S97" i="10"/>
  <c r="S95" i="10"/>
  <c r="S96" i="10"/>
  <c r="S94" i="10"/>
  <c r="S93" i="10"/>
  <c r="S92" i="10"/>
  <c r="S91" i="10"/>
  <c r="S90" i="10"/>
  <c r="BB488" i="2"/>
  <c r="BL488" i="2" s="1"/>
  <c r="AK206" i="1"/>
  <c r="BB107" i="2"/>
  <c r="BL107" i="2" s="1"/>
  <c r="Y107" i="1"/>
  <c r="AK107" i="1"/>
  <c r="AM430" i="1"/>
  <c r="BN430" i="2" s="1"/>
  <c r="AK429" i="1"/>
  <c r="AK428" i="1"/>
  <c r="AK427" i="1"/>
  <c r="AK426" i="1"/>
  <c r="BB424" i="2"/>
  <c r="BL424" i="2" s="1"/>
  <c r="Y424" i="1"/>
  <c r="AK424" i="1"/>
  <c r="BB422" i="2"/>
  <c r="BL422" i="2" s="1"/>
  <c r="Y422" i="1"/>
  <c r="AK422" i="1"/>
  <c r="BB409" i="2"/>
  <c r="BL409" i="2" s="1"/>
  <c r="Y409" i="1"/>
  <c r="AK409" i="1"/>
  <c r="BB346" i="2"/>
  <c r="BL346" i="2" s="1"/>
  <c r="Y346" i="1"/>
  <c r="AK346" i="1"/>
  <c r="BB345" i="2"/>
  <c r="BL345" i="2" s="1"/>
  <c r="Y345" i="1"/>
  <c r="AK345" i="1"/>
  <c r="BB344" i="2"/>
  <c r="BL344" i="2" s="1"/>
  <c r="Y344" i="1"/>
  <c r="AK344" i="1"/>
  <c r="BB343" i="2"/>
  <c r="BL343" i="2" s="1"/>
  <c r="Y343" i="1"/>
  <c r="AK343" i="1"/>
  <c r="BB342" i="2"/>
  <c r="BL342" i="2" s="1"/>
  <c r="Y342" i="1"/>
  <c r="AK342" i="1"/>
  <c r="BB341" i="2"/>
  <c r="BL341" i="2" s="1"/>
  <c r="Y341" i="1"/>
  <c r="AK341" i="1"/>
  <c r="BB340" i="2"/>
  <c r="BL340" i="2" s="1"/>
  <c r="Y340" i="1"/>
  <c r="AK340" i="1"/>
  <c r="BB339" i="2"/>
  <c r="BL339" i="2" s="1"/>
  <c r="Y339" i="1"/>
  <c r="AK339" i="1"/>
  <c r="BL338" i="2"/>
  <c r="Y338" i="1"/>
  <c r="AK338" i="1"/>
  <c r="BB336" i="2"/>
  <c r="BL336" i="2" s="1"/>
  <c r="AK336" i="1"/>
  <c r="Y336" i="1"/>
  <c r="BB335" i="2"/>
  <c r="BL335" i="2" s="1"/>
  <c r="AK335" i="1"/>
  <c r="Y335" i="1"/>
  <c r="BB334" i="2"/>
  <c r="BL334" i="2" s="1"/>
  <c r="AK334" i="1"/>
  <c r="Y334" i="1"/>
  <c r="BB333" i="2"/>
  <c r="BL333" i="2" s="1"/>
  <c r="AK333" i="1"/>
  <c r="Y333" i="1"/>
  <c r="BB332" i="2"/>
  <c r="BL332" i="2" s="1"/>
  <c r="Y332" i="1"/>
  <c r="AK332" i="1"/>
  <c r="BB331" i="2"/>
  <c r="BL331" i="2" s="1"/>
  <c r="Y331" i="1"/>
  <c r="AK331" i="1"/>
  <c r="BB330" i="2"/>
  <c r="BL330" i="2" s="1"/>
  <c r="Y330" i="1"/>
  <c r="AK330" i="1"/>
  <c r="BB329" i="2"/>
  <c r="BL329" i="2" s="1"/>
  <c r="AK329" i="1"/>
  <c r="Y329" i="1"/>
  <c r="Y233" i="1"/>
  <c r="AK233" i="1"/>
  <c r="BB232" i="2"/>
  <c r="BL232" i="2" s="1"/>
  <c r="Y232" i="1"/>
  <c r="AK232" i="1"/>
  <c r="BB231" i="2"/>
  <c r="BL231" i="2" s="1"/>
  <c r="Y231" i="1"/>
  <c r="AK231" i="1"/>
  <c r="BB230" i="2"/>
  <c r="BL230" i="2" s="1"/>
  <c r="Y230" i="1"/>
  <c r="AK230" i="1"/>
  <c r="BB229" i="2"/>
  <c r="BL229" i="2" s="1"/>
  <c r="Y229" i="1"/>
  <c r="AK229" i="1"/>
  <c r="BB228" i="2"/>
  <c r="BL228" i="2" s="1"/>
  <c r="Y228" i="1"/>
  <c r="AK228" i="1"/>
  <c r="BB227" i="2"/>
  <c r="BL227" i="2" s="1"/>
  <c r="Y227" i="1"/>
  <c r="AK227" i="1"/>
  <c r="BB224" i="2"/>
  <c r="BL224" i="2" s="1"/>
  <c r="Y224" i="1"/>
  <c r="AK224" i="1"/>
  <c r="BB223" i="2"/>
  <c r="BL223" i="2" s="1"/>
  <c r="AK223" i="1"/>
  <c r="Y223" i="1"/>
  <c r="BB222" i="2"/>
  <c r="BL222" i="2" s="1"/>
  <c r="Y222" i="1"/>
  <c r="AK222" i="1"/>
  <c r="BB221" i="2"/>
  <c r="BL221" i="2" s="1"/>
  <c r="Y221" i="1"/>
  <c r="AK221" i="1"/>
  <c r="BB220" i="2"/>
  <c r="BL220" i="2" s="1"/>
  <c r="Y220" i="1"/>
  <c r="AK220" i="1"/>
  <c r="BL219" i="2"/>
  <c r="AK219" i="1"/>
  <c r="AM219" i="1" s="1"/>
  <c r="BB218" i="2"/>
  <c r="BL218" i="2" s="1"/>
  <c r="AK218" i="1"/>
  <c r="Y218" i="1"/>
  <c r="BB217" i="2"/>
  <c r="BL217" i="2" s="1"/>
  <c r="Y217" i="1"/>
  <c r="AK217" i="1"/>
  <c r="AK216" i="1"/>
  <c r="AM216" i="1" s="1"/>
  <c r="BN216" i="2" s="1"/>
  <c r="BB215" i="2"/>
  <c r="BL215" i="2" s="1"/>
  <c r="AK215" i="1"/>
  <c r="Y215" i="1"/>
  <c r="BB214" i="2"/>
  <c r="BL214" i="2" s="1"/>
  <c r="Y214" i="1"/>
  <c r="AK214" i="1"/>
  <c r="BB213" i="2"/>
  <c r="BL213" i="2" s="1"/>
  <c r="AK213" i="1"/>
  <c r="Y213" i="1"/>
  <c r="AK212" i="1"/>
  <c r="AK211" i="1"/>
  <c r="AK209" i="1"/>
  <c r="AK208" i="1"/>
  <c r="AK207" i="1"/>
  <c r="BB177" i="2"/>
  <c r="BL177" i="2" s="1"/>
  <c r="Y177" i="1"/>
  <c r="AK177" i="1"/>
  <c r="BB176" i="2"/>
  <c r="BL176" i="2" s="1"/>
  <c r="Y176" i="1"/>
  <c r="AK176" i="1"/>
  <c r="BB174" i="2"/>
  <c r="BL174" i="2" s="1"/>
  <c r="AK174" i="1"/>
  <c r="Y174" i="1"/>
  <c r="BB173" i="2"/>
  <c r="BL173" i="2" s="1"/>
  <c r="Y173" i="1"/>
  <c r="AK173" i="1"/>
  <c r="BL172" i="2"/>
  <c r="AK172" i="1"/>
  <c r="AM172" i="1" s="1"/>
  <c r="AK171" i="1"/>
  <c r="AM171" i="1" s="1"/>
  <c r="BN171" i="2" s="1"/>
  <c r="BB170" i="2"/>
  <c r="BL170" i="2" s="1"/>
  <c r="AK170" i="1"/>
  <c r="Y170" i="1"/>
  <c r="BB169" i="2"/>
  <c r="BL169" i="2" s="1"/>
  <c r="Y169" i="1"/>
  <c r="AK169" i="1"/>
  <c r="BB168" i="2"/>
  <c r="BL168" i="2" s="1"/>
  <c r="Y168" i="1"/>
  <c r="AK168" i="1"/>
  <c r="BB167" i="2"/>
  <c r="BL167" i="2" s="1"/>
  <c r="Y167" i="1"/>
  <c r="AK167" i="1"/>
  <c r="BL166" i="2"/>
  <c r="AK166" i="1"/>
  <c r="AM166" i="1" s="1"/>
  <c r="AK165" i="1"/>
  <c r="AM165" i="1" s="1"/>
  <c r="BN165" i="2" s="1"/>
  <c r="BB163" i="2"/>
  <c r="BL163" i="2" s="1"/>
  <c r="AK163" i="1"/>
  <c r="Y163" i="1"/>
  <c r="BB162" i="2"/>
  <c r="BL162" i="2" s="1"/>
  <c r="Y162" i="1"/>
  <c r="AK162" i="1"/>
  <c r="AK161" i="1"/>
  <c r="AK160" i="1"/>
  <c r="AK159" i="1"/>
  <c r="AK158" i="1"/>
  <c r="AK157" i="1"/>
  <c r="AM157" i="1" s="1"/>
  <c r="AK155" i="1"/>
  <c r="AM155" i="1" s="1"/>
  <c r="AK154" i="1"/>
  <c r="AK153" i="1"/>
  <c r="AM153" i="1" s="1"/>
  <c r="AK152" i="1"/>
  <c r="AM152" i="1" s="1"/>
  <c r="BN152" i="2" s="1"/>
  <c r="AK151" i="1"/>
  <c r="AK150" i="1"/>
  <c r="AM150" i="1" s="1"/>
  <c r="AK149" i="1"/>
  <c r="AM149" i="1" s="1"/>
  <c r="BN149" i="2" s="1"/>
  <c r="BB148" i="2"/>
  <c r="BL148" i="2" s="1"/>
  <c r="Y148" i="1"/>
  <c r="AK148" i="1"/>
  <c r="BL147" i="2"/>
  <c r="AK147" i="1"/>
  <c r="AM147" i="1" s="1"/>
  <c r="BB146" i="2"/>
  <c r="BL146" i="2" s="1"/>
  <c r="Y146" i="1"/>
  <c r="AK146" i="1"/>
  <c r="BB145" i="2"/>
  <c r="BL145" i="2" s="1"/>
  <c r="Y145" i="1"/>
  <c r="AK145" i="1"/>
  <c r="BB143" i="2"/>
  <c r="BL143" i="2" s="1"/>
  <c r="Y143" i="1"/>
  <c r="AK143" i="1"/>
  <c r="BB142" i="2"/>
  <c r="BL142" i="2" s="1"/>
  <c r="Y142" i="1"/>
  <c r="AK142" i="1"/>
  <c r="BB141" i="2"/>
  <c r="BL141" i="2" s="1"/>
  <c r="Y141" i="1"/>
  <c r="AK141" i="1"/>
  <c r="BB140" i="2"/>
  <c r="BL140" i="2" s="1"/>
  <c r="Y140" i="1"/>
  <c r="AK140" i="1"/>
  <c r="BB139" i="2"/>
  <c r="BL139" i="2" s="1"/>
  <c r="Y139" i="1"/>
  <c r="AK139" i="1"/>
  <c r="BB138" i="2"/>
  <c r="BL138" i="2" s="1"/>
  <c r="Y138" i="1"/>
  <c r="AK138" i="1"/>
  <c r="BB137" i="2"/>
  <c r="BL137" i="2" s="1"/>
  <c r="AK137" i="1"/>
  <c r="Y137" i="1"/>
  <c r="BB136" i="2"/>
  <c r="BL136" i="2" s="1"/>
  <c r="Y136" i="1"/>
  <c r="AK136" i="1"/>
  <c r="BB135" i="2"/>
  <c r="BL135" i="2" s="1"/>
  <c r="AK135" i="1"/>
  <c r="Y135" i="1"/>
  <c r="BB134" i="2"/>
  <c r="BL134" i="2" s="1"/>
  <c r="Y134" i="1"/>
  <c r="AK134" i="1"/>
  <c r="BB133" i="2"/>
  <c r="BL133" i="2" s="1"/>
  <c r="Y133" i="1"/>
  <c r="AK133" i="1"/>
  <c r="BB132" i="2"/>
  <c r="BL132" i="2" s="1"/>
  <c r="AK132" i="1"/>
  <c r="Y132" i="1"/>
  <c r="BB131" i="2"/>
  <c r="BL131" i="2" s="1"/>
  <c r="Y131" i="1"/>
  <c r="AK131" i="1"/>
  <c r="BB130" i="2"/>
  <c r="BL130" i="2" s="1"/>
  <c r="Y130" i="1"/>
  <c r="AK130" i="1"/>
  <c r="BB129" i="2"/>
  <c r="BL129" i="2" s="1"/>
  <c r="Y129" i="1"/>
  <c r="AK129" i="1"/>
  <c r="BB128" i="2"/>
  <c r="BL128" i="2" s="1"/>
  <c r="Y128" i="1"/>
  <c r="AK128" i="1"/>
  <c r="BB127" i="2"/>
  <c r="BL127" i="2" s="1"/>
  <c r="AK127" i="1"/>
  <c r="Y127" i="1"/>
  <c r="BB125" i="2"/>
  <c r="BL125" i="2" s="1"/>
  <c r="Y125" i="1"/>
  <c r="AK125" i="1"/>
  <c r="BB124" i="2"/>
  <c r="BL124" i="2" s="1"/>
  <c r="Y124" i="1"/>
  <c r="AK124" i="1"/>
  <c r="BB123" i="2"/>
  <c r="BL123" i="2" s="1"/>
  <c r="Y123" i="1"/>
  <c r="AK123" i="1"/>
  <c r="BB122" i="2"/>
  <c r="BL122" i="2" s="1"/>
  <c r="Y122" i="1"/>
  <c r="AK122" i="1"/>
  <c r="BB121" i="2"/>
  <c r="BL121" i="2" s="1"/>
  <c r="Y121" i="1"/>
  <c r="AK121" i="1"/>
  <c r="BB119" i="2"/>
  <c r="BL119" i="2" s="1"/>
  <c r="Y119" i="1"/>
  <c r="AK119" i="1"/>
  <c r="BB118" i="2"/>
  <c r="BL118" i="2" s="1"/>
  <c r="Y118" i="1"/>
  <c r="AK118" i="1"/>
  <c r="BB117" i="2"/>
  <c r="BL117" i="2" s="1"/>
  <c r="Y117" i="1"/>
  <c r="AK117" i="1"/>
  <c r="BB116" i="2"/>
  <c r="BL116" i="2" s="1"/>
  <c r="Y116" i="1"/>
  <c r="AK116" i="1"/>
  <c r="BB115" i="2"/>
  <c r="BL115" i="2" s="1"/>
  <c r="Y115" i="1"/>
  <c r="AK115" i="1"/>
  <c r="BB114" i="2"/>
  <c r="BL114" i="2" s="1"/>
  <c r="Y114" i="1"/>
  <c r="AK114" i="1"/>
  <c r="BB113" i="2"/>
  <c r="BL113" i="2" s="1"/>
  <c r="AK113" i="1"/>
  <c r="Y113" i="1"/>
  <c r="BB112" i="2"/>
  <c r="BL112" i="2" s="1"/>
  <c r="AK112" i="1"/>
  <c r="Y112" i="1"/>
  <c r="BB111" i="2"/>
  <c r="BL111" i="2" s="1"/>
  <c r="Y111" i="1"/>
  <c r="AK111" i="1"/>
  <c r="BB110" i="2"/>
  <c r="BL110" i="2" s="1"/>
  <c r="Y110" i="1"/>
  <c r="AK110" i="1"/>
  <c r="BB109" i="2"/>
  <c r="BL109" i="2" s="1"/>
  <c r="Y109" i="1"/>
  <c r="AK109" i="1"/>
  <c r="BB108" i="2"/>
  <c r="BL108" i="2" s="1"/>
  <c r="Y108" i="1"/>
  <c r="AK108" i="1"/>
  <c r="Y94" i="1"/>
  <c r="AK94" i="1"/>
  <c r="AG92" i="15"/>
  <c r="M92" i="15"/>
  <c r="AA363" i="16"/>
  <c r="AH363" i="16" s="1"/>
  <c r="AA362" i="16"/>
  <c r="AH362" i="16" s="1"/>
  <c r="AA361" i="16"/>
  <c r="AH361" i="16" s="1"/>
  <c r="AA360" i="16"/>
  <c r="AH360" i="16" s="1"/>
  <c r="AA359" i="16"/>
  <c r="AH359" i="16" s="1"/>
  <c r="AA358" i="16"/>
  <c r="AH358" i="16" s="1"/>
  <c r="AA357" i="16"/>
  <c r="AH357" i="16" s="1"/>
  <c r="AA355" i="16"/>
  <c r="AH355" i="16" s="1"/>
  <c r="AA354" i="16"/>
  <c r="AH354" i="16" s="1"/>
  <c r="AA353" i="16"/>
  <c r="AH353" i="16" s="1"/>
  <c r="AA352" i="16"/>
  <c r="AH352" i="16" s="1"/>
  <c r="AA351" i="16"/>
  <c r="AH351" i="16" s="1"/>
  <c r="AA350" i="16"/>
  <c r="AH350" i="16" s="1"/>
  <c r="AA349" i="16"/>
  <c r="AH349" i="16" s="1"/>
  <c r="AA348" i="16"/>
  <c r="AH348" i="16" s="1"/>
  <c r="AA347" i="16"/>
  <c r="AH347" i="16" s="1"/>
  <c r="AA346" i="16"/>
  <c r="AH346" i="16" s="1"/>
  <c r="AA345" i="16"/>
  <c r="AH345" i="16" s="1"/>
  <c r="AA344" i="16"/>
  <c r="AH344" i="16" s="1"/>
  <c r="AA343" i="16"/>
  <c r="AH343" i="16" s="1"/>
  <c r="AA342" i="16"/>
  <c r="AH342" i="16" s="1"/>
  <c r="AA341" i="16"/>
  <c r="AH341" i="16" s="1"/>
  <c r="AA340" i="16"/>
  <c r="AH340" i="16" s="1"/>
  <c r="AA339" i="16"/>
  <c r="AH339" i="16" s="1"/>
  <c r="AA338" i="16"/>
  <c r="AH338" i="16" s="1"/>
  <c r="AA336" i="16"/>
  <c r="AH336" i="16" s="1"/>
  <c r="AA335" i="16"/>
  <c r="AH335" i="16" s="1"/>
  <c r="AA334" i="16"/>
  <c r="AH334" i="16" s="1"/>
  <c r="AA333" i="16"/>
  <c r="AH333" i="16" s="1"/>
  <c r="AA332" i="16"/>
  <c r="AH332" i="16" s="1"/>
  <c r="AA331" i="16"/>
  <c r="AH331" i="16" s="1"/>
  <c r="AA330" i="16"/>
  <c r="AH330" i="16" s="1"/>
  <c r="AA329" i="16"/>
  <c r="AH329" i="16" s="1"/>
  <c r="AA327" i="16"/>
  <c r="AH327" i="16" s="1"/>
  <c r="AA325" i="16"/>
  <c r="AH325" i="16" s="1"/>
  <c r="AA323" i="16"/>
  <c r="AH323" i="16" s="1"/>
  <c r="AA322" i="16"/>
  <c r="AH322" i="16" s="1"/>
  <c r="AA321" i="16"/>
  <c r="AH321" i="16" s="1"/>
  <c r="AA257" i="16"/>
  <c r="AH257" i="16" s="1"/>
  <c r="AA256" i="16"/>
  <c r="AH256" i="16" s="1"/>
  <c r="AA255" i="16"/>
  <c r="AH255" i="16" s="1"/>
  <c r="AA254" i="16"/>
  <c r="AH254" i="16" s="1"/>
  <c r="AA253" i="16"/>
  <c r="AH253" i="16" s="1"/>
  <c r="AA252" i="16"/>
  <c r="AH252" i="16" s="1"/>
  <c r="AA250" i="16"/>
  <c r="AH250" i="16" s="1"/>
  <c r="AA249" i="16"/>
  <c r="AH249" i="16" s="1"/>
  <c r="AA248" i="16"/>
  <c r="AH248" i="16" s="1"/>
  <c r="AA247" i="16"/>
  <c r="AH247" i="16" s="1"/>
  <c r="AA246" i="16"/>
  <c r="AH246" i="16" s="1"/>
  <c r="AA245" i="16"/>
  <c r="AH245" i="16" s="1"/>
  <c r="AA244" i="16"/>
  <c r="AH244" i="16" s="1"/>
  <c r="AA243" i="16"/>
  <c r="AH243" i="16" s="1"/>
  <c r="AA242" i="16"/>
  <c r="AH242" i="16" s="1"/>
  <c r="AA241" i="16"/>
  <c r="AH241" i="16" s="1"/>
  <c r="AA239" i="16"/>
  <c r="AH239" i="16" s="1"/>
  <c r="AA238" i="16"/>
  <c r="AH238" i="16" s="1"/>
  <c r="AA237" i="16"/>
  <c r="AH237" i="16" s="1"/>
  <c r="AA236" i="16"/>
  <c r="AH236" i="16" s="1"/>
  <c r="AA235" i="16"/>
  <c r="AH235" i="16" s="1"/>
  <c r="AA233" i="16"/>
  <c r="AH233" i="16" s="1"/>
  <c r="AA232" i="16"/>
  <c r="AH232" i="16" s="1"/>
  <c r="AA231" i="16"/>
  <c r="AH231" i="16" s="1"/>
  <c r="AA230" i="16"/>
  <c r="AH230" i="16" s="1"/>
  <c r="AA229" i="16"/>
  <c r="AH229" i="16" s="1"/>
  <c r="AA228" i="16"/>
  <c r="AH228" i="16" s="1"/>
  <c r="AA227" i="16"/>
  <c r="AH227" i="16" s="1"/>
  <c r="AA226" i="16"/>
  <c r="AH226" i="16" s="1"/>
  <c r="AA223" i="16"/>
  <c r="AH223" i="16" s="1"/>
  <c r="AA222" i="16"/>
  <c r="AH222" i="16" s="1"/>
  <c r="AA221" i="16"/>
  <c r="AH221" i="16" s="1"/>
  <c r="AA219" i="16"/>
  <c r="AH219" i="16" s="1"/>
  <c r="AH218" i="16"/>
  <c r="AH217" i="16"/>
  <c r="AH216" i="16"/>
  <c r="AH215" i="16"/>
  <c r="AH214" i="16"/>
  <c r="AH213" i="16"/>
  <c r="AA183" i="16"/>
  <c r="AH183" i="16" s="1"/>
  <c r="AA182" i="16"/>
  <c r="AH182" i="16" s="1"/>
  <c r="AA177" i="16"/>
  <c r="AH177" i="16" s="1"/>
  <c r="AA176" i="16"/>
  <c r="AH176" i="16" s="1"/>
  <c r="AA174" i="16"/>
  <c r="AH174" i="16" s="1"/>
  <c r="AA170" i="16"/>
  <c r="AH170" i="16" s="1"/>
  <c r="AA169" i="16"/>
  <c r="AH169" i="16" s="1"/>
  <c r="AA168" i="16"/>
  <c r="AH168" i="16" s="1"/>
  <c r="AA167" i="16"/>
  <c r="AH167" i="16" s="1"/>
  <c r="AA166" i="16"/>
  <c r="AH166" i="16" s="1"/>
  <c r="AA163" i="16"/>
  <c r="AH163" i="16" s="1"/>
  <c r="AA162" i="16"/>
  <c r="AH162" i="16" s="1"/>
  <c r="AA161" i="16"/>
  <c r="AH161" i="16" s="1"/>
  <c r="AA160" i="16"/>
  <c r="AH160" i="16" s="1"/>
  <c r="AA159" i="16"/>
  <c r="AH159" i="16" s="1"/>
  <c r="AA158" i="16"/>
  <c r="AH158" i="16" s="1"/>
  <c r="AA155" i="16"/>
  <c r="AH155" i="16" s="1"/>
  <c r="AA154" i="16"/>
  <c r="AH154" i="16" s="1"/>
  <c r="AA153" i="16"/>
  <c r="AH153" i="16" s="1"/>
  <c r="AA151" i="16"/>
  <c r="AH151" i="16" s="1"/>
  <c r="AA150" i="16"/>
  <c r="AH150" i="16" s="1"/>
  <c r="AA149" i="16"/>
  <c r="AH149" i="16" s="1"/>
  <c r="AA148" i="16"/>
  <c r="AH148" i="16" s="1"/>
  <c r="AA147" i="16"/>
  <c r="AH147" i="16" s="1"/>
  <c r="AA146" i="16"/>
  <c r="AH146" i="16" s="1"/>
  <c r="AA143" i="16"/>
  <c r="AH143" i="16" s="1"/>
  <c r="AA142" i="16"/>
  <c r="AH142" i="16" s="1"/>
  <c r="AA141" i="16"/>
  <c r="AH141" i="16" s="1"/>
  <c r="AH140" i="16"/>
  <c r="AA138" i="16"/>
  <c r="AH138" i="16" s="1"/>
  <c r="AA137" i="16"/>
  <c r="AH137" i="16" s="1"/>
  <c r="AA136" i="16"/>
  <c r="AH136" i="16" s="1"/>
  <c r="AA135" i="16"/>
  <c r="AH135" i="16" s="1"/>
  <c r="AA134" i="16"/>
  <c r="AH134" i="16" s="1"/>
  <c r="AA133" i="16"/>
  <c r="AH133" i="16" s="1"/>
  <c r="AA132" i="16"/>
  <c r="AH132" i="16" s="1"/>
  <c r="AA131" i="16"/>
  <c r="AH131" i="16" s="1"/>
  <c r="AA130" i="16"/>
  <c r="AH130" i="16" s="1"/>
  <c r="AA129" i="16"/>
  <c r="AH129" i="16" s="1"/>
  <c r="AA128" i="16"/>
  <c r="AH128" i="16" s="1"/>
  <c r="AA127" i="16"/>
  <c r="AH127" i="16" s="1"/>
  <c r="AA125" i="16"/>
  <c r="AH125" i="16" s="1"/>
  <c r="AA124" i="16"/>
  <c r="AH124" i="16" s="1"/>
  <c r="AA123" i="16"/>
  <c r="AH123" i="16" s="1"/>
  <c r="AA122" i="16"/>
  <c r="AH122" i="16" s="1"/>
  <c r="AA121" i="16"/>
  <c r="AH121" i="16" s="1"/>
  <c r="AA119" i="16"/>
  <c r="AH119" i="16" s="1"/>
  <c r="AA118" i="16"/>
  <c r="AH118" i="16" s="1"/>
  <c r="AA117" i="16"/>
  <c r="AH117" i="16" s="1"/>
  <c r="AA115" i="16"/>
  <c r="AH115" i="16" s="1"/>
  <c r="AA114" i="16"/>
  <c r="AH114" i="16" s="1"/>
  <c r="AA113" i="16"/>
  <c r="AH113" i="16" s="1"/>
  <c r="AA112" i="16"/>
  <c r="AH112" i="16" s="1"/>
  <c r="AA111" i="16"/>
  <c r="AH111" i="16" s="1"/>
  <c r="AA110" i="16"/>
  <c r="AH110" i="16" s="1"/>
  <c r="AA109" i="16"/>
  <c r="AH109" i="16" s="1"/>
  <c r="AA108" i="16"/>
  <c r="AH108" i="16" s="1"/>
  <c r="AA107" i="16"/>
  <c r="AH107" i="16" s="1"/>
  <c r="AA106" i="16"/>
  <c r="AH106" i="16" s="1"/>
  <c r="AA105" i="16"/>
  <c r="AH105" i="16" s="1"/>
  <c r="AA104" i="16"/>
  <c r="AH104" i="16" s="1"/>
  <c r="AA103" i="16"/>
  <c r="AH103" i="16" s="1"/>
  <c r="AA102" i="16"/>
  <c r="AH102" i="16" s="1"/>
  <c r="AA101" i="16"/>
  <c r="AH101" i="16" s="1"/>
  <c r="AA100" i="16"/>
  <c r="AH100" i="16" s="1"/>
  <c r="AA99" i="16"/>
  <c r="AH99" i="16" s="1"/>
  <c r="AA98" i="16"/>
  <c r="AH98" i="16" s="1"/>
  <c r="AA97" i="16"/>
  <c r="AH97" i="16" s="1"/>
  <c r="AA94" i="16"/>
  <c r="AH94" i="16" s="1"/>
  <c r="AA93" i="16"/>
  <c r="AH93" i="16" s="1"/>
  <c r="AA92" i="16"/>
  <c r="AH92" i="16" s="1"/>
  <c r="S301" i="10"/>
  <c r="BB294" i="2"/>
  <c r="BL294" i="2" s="1"/>
  <c r="Y294" i="1"/>
  <c r="AF336" i="16"/>
  <c r="AF338" i="16"/>
  <c r="AF189" i="16"/>
  <c r="AF191" i="16"/>
  <c r="AF188" i="16"/>
  <c r="AF166" i="16"/>
  <c r="AF149" i="16"/>
  <c r="AF245" i="16"/>
  <c r="AF246" i="16"/>
  <c r="AF236" i="16"/>
  <c r="AF232" i="16"/>
  <c r="AF231" i="16"/>
  <c r="AA234" i="16"/>
  <c r="AH234" i="16" s="1"/>
  <c r="AA157" i="16"/>
  <c r="AH157" i="16" s="1"/>
  <c r="AF379" i="16"/>
  <c r="AF102" i="16"/>
  <c r="AF350" i="16"/>
  <c r="AF395" i="16"/>
  <c r="AF327" i="16"/>
  <c r="AF335" i="16"/>
  <c r="AF209" i="16"/>
  <c r="AF190" i="16"/>
  <c r="AF183" i="16"/>
  <c r="AF440" i="16"/>
  <c r="AF434" i="16"/>
  <c r="AF429" i="16"/>
  <c r="AF402" i="16"/>
  <c r="AF399" i="16"/>
  <c r="AF361" i="16"/>
  <c r="AF347" i="16"/>
  <c r="AF219" i="16"/>
  <c r="AF218" i="16"/>
  <c r="AF203" i="16"/>
  <c r="AF192" i="16"/>
  <c r="AF172" i="16"/>
  <c r="AF160" i="16"/>
  <c r="AF150" i="16"/>
  <c r="AF112" i="16"/>
  <c r="W527" i="10"/>
  <c r="W526" i="10"/>
  <c r="AF323" i="16"/>
  <c r="AK294" i="1"/>
  <c r="W301" i="10"/>
  <c r="AF439" i="16"/>
  <c r="AF438" i="16"/>
  <c r="AF437" i="16"/>
  <c r="AF436" i="16"/>
  <c r="AF435" i="16"/>
  <c r="AF433" i="16"/>
  <c r="AF432" i="16"/>
  <c r="AF431" i="16"/>
  <c r="AF430" i="16"/>
  <c r="AF428" i="16"/>
  <c r="AF427" i="16"/>
  <c r="AF426" i="16"/>
  <c r="AF424" i="16"/>
  <c r="AF422" i="16"/>
  <c r="AF421" i="16"/>
  <c r="AF420" i="16"/>
  <c r="AF418" i="16"/>
  <c r="AF417" i="16"/>
  <c r="AF416" i="16"/>
  <c r="AF415" i="16"/>
  <c r="AF414" i="16"/>
  <c r="AF413" i="16"/>
  <c r="AF412" i="16"/>
  <c r="AF411" i="16"/>
  <c r="AF409" i="16"/>
  <c r="AF408" i="16"/>
  <c r="AF407" i="16"/>
  <c r="AF406" i="16"/>
  <c r="AF405" i="16"/>
  <c r="AF404" i="16"/>
  <c r="AF403" i="16"/>
  <c r="AF401" i="16"/>
  <c r="AF400" i="16"/>
  <c r="AF398" i="16"/>
  <c r="AF397" i="16"/>
  <c r="AF396" i="16"/>
  <c r="AF394" i="16"/>
  <c r="AF393" i="16"/>
  <c r="AF392" i="16"/>
  <c r="AF391" i="16"/>
  <c r="AF389" i="16"/>
  <c r="AF388" i="16"/>
  <c r="AF386" i="16"/>
  <c r="AF385" i="16"/>
  <c r="AF384" i="16"/>
  <c r="AF383" i="16"/>
  <c r="AF382" i="16"/>
  <c r="AF381" i="16"/>
  <c r="AF380" i="16"/>
  <c r="AF378" i="16"/>
  <c r="AF376" i="16"/>
  <c r="AF363" i="16"/>
  <c r="AF362" i="16"/>
  <c r="AF360" i="16"/>
  <c r="AF359" i="16"/>
  <c r="AF358" i="16"/>
  <c r="AF357" i="16"/>
  <c r="AF355" i="16"/>
  <c r="AF354" i="16"/>
  <c r="AF353" i="16"/>
  <c r="AF352" i="16"/>
  <c r="AF351" i="16"/>
  <c r="AF349" i="16"/>
  <c r="AF348" i="16"/>
  <c r="AF346" i="16"/>
  <c r="AF345" i="16"/>
  <c r="AF344" i="16"/>
  <c r="AF343" i="16"/>
  <c r="AF342" i="16"/>
  <c r="AF341" i="16"/>
  <c r="AF340" i="16"/>
  <c r="AF339" i="16"/>
  <c r="AF334" i="16"/>
  <c r="AF333" i="16"/>
  <c r="AF332" i="16"/>
  <c r="AF331" i="16"/>
  <c r="AF330" i="16"/>
  <c r="AF329" i="16"/>
  <c r="AF325" i="16"/>
  <c r="AF322" i="16"/>
  <c r="AF321" i="16"/>
  <c r="AF257" i="16"/>
  <c r="AF256" i="16"/>
  <c r="AF255" i="16"/>
  <c r="AF254" i="16"/>
  <c r="AF253" i="16"/>
  <c r="AF252" i="16"/>
  <c r="AF250" i="16"/>
  <c r="AF249" i="16"/>
  <c r="AF248" i="16"/>
  <c r="AF247" i="16"/>
  <c r="AF244" i="16"/>
  <c r="AF243" i="16"/>
  <c r="AF242" i="16"/>
  <c r="AF241" i="16"/>
  <c r="AF240" i="16"/>
  <c r="AF239" i="16"/>
  <c r="AF238" i="16"/>
  <c r="AF237" i="16"/>
  <c r="AF235" i="16"/>
  <c r="AF234" i="16"/>
  <c r="AF233" i="16"/>
  <c r="AF230" i="16"/>
  <c r="AF229" i="16"/>
  <c r="AF228" i="16"/>
  <c r="AF227" i="16"/>
  <c r="AF226" i="16"/>
  <c r="AF223" i="16"/>
  <c r="AF222" i="16"/>
  <c r="AF221" i="16"/>
  <c r="AF217" i="16"/>
  <c r="AF216" i="16"/>
  <c r="AF215" i="16"/>
  <c r="AF214" i="16"/>
  <c r="AF213" i="16"/>
  <c r="AF212" i="16"/>
  <c r="AF211" i="16"/>
  <c r="AF210" i="16"/>
  <c r="AF208" i="16"/>
  <c r="AF207" i="16"/>
  <c r="AF204" i="16"/>
  <c r="AF202" i="16"/>
  <c r="AF201" i="16"/>
  <c r="AF200" i="16"/>
  <c r="AF199" i="16"/>
  <c r="AF198" i="16"/>
  <c r="AF197" i="16"/>
  <c r="AF195" i="16"/>
  <c r="AF193" i="16"/>
  <c r="AF187" i="16"/>
  <c r="AF186" i="16"/>
  <c r="AF184" i="16"/>
  <c r="AF182" i="16"/>
  <c r="AF181" i="16"/>
  <c r="AF177" i="16"/>
  <c r="AF176" i="16"/>
  <c r="AF174" i="16"/>
  <c r="AF173" i="16"/>
  <c r="AF170" i="16"/>
  <c r="AF169" i="16"/>
  <c r="AF168" i="16"/>
  <c r="AF167" i="16"/>
  <c r="AF163" i="16"/>
  <c r="AF162" i="16"/>
  <c r="AF161" i="16"/>
  <c r="AF159" i="16"/>
  <c r="AF158" i="16"/>
  <c r="AF157" i="16"/>
  <c r="AF155" i="16"/>
  <c r="AF154" i="16"/>
  <c r="AF153" i="16"/>
  <c r="AF152" i="16"/>
  <c r="AF151" i="16"/>
  <c r="AF111" i="16"/>
  <c r="AF110" i="16"/>
  <c r="AF109" i="16"/>
  <c r="AF108" i="16"/>
  <c r="AF107" i="16"/>
  <c r="AF106" i="16"/>
  <c r="AF105" i="16"/>
  <c r="AF104" i="16"/>
  <c r="AF103" i="16"/>
  <c r="AF101" i="16"/>
  <c r="AF100" i="16"/>
  <c r="AF99" i="16"/>
  <c r="AF98" i="16"/>
  <c r="AF97" i="16"/>
  <c r="AF94" i="16"/>
  <c r="AF93" i="16"/>
  <c r="AF92" i="16"/>
  <c r="AF91" i="16"/>
  <c r="AF90" i="16"/>
  <c r="BV389" i="2"/>
  <c r="BX389" i="2" s="1"/>
  <c r="AG291" i="15"/>
  <c r="BE398" i="17"/>
  <c r="BG398" i="17" s="1"/>
  <c r="BA376" i="17"/>
  <c r="BE376" i="17" s="1"/>
  <c r="BG376" i="17" s="1"/>
  <c r="BE390" i="17"/>
  <c r="BG390" i="17" s="1"/>
  <c r="BA384" i="17"/>
  <c r="BE384" i="17" s="1"/>
  <c r="BG384" i="17" s="1"/>
  <c r="AG480" i="15"/>
  <c r="BB538" i="25"/>
  <c r="BL538" i="25" s="1"/>
  <c r="Y492" i="22"/>
  <c r="Y502" i="22"/>
  <c r="Y538" i="22"/>
  <c r="K528" i="26"/>
  <c r="AK528" i="26" s="1"/>
  <c r="BE396" i="17"/>
  <c r="BG396" i="17" s="1"/>
  <c r="AF295" i="16"/>
  <c r="AQ173" i="22" l="1"/>
  <c r="AQ183" i="22"/>
  <c r="AQ574" i="22"/>
  <c r="BN574" i="25" s="1"/>
  <c r="BV574" i="25" s="1"/>
  <c r="BX574" i="25" s="1"/>
  <c r="AQ445" i="22"/>
  <c r="AQ366" i="22"/>
  <c r="AQ361" i="22"/>
  <c r="AQ596" i="22"/>
  <c r="BN596" i="25" s="1"/>
  <c r="BV596" i="25" s="1"/>
  <c r="BX596" i="25" s="1"/>
  <c r="AQ585" i="22"/>
  <c r="AM479" i="1"/>
  <c r="AQ448" i="22"/>
  <c r="AM572" i="1"/>
  <c r="AI281" i="15"/>
  <c r="BA281" i="17" s="1"/>
  <c r="BE281" i="17" s="1"/>
  <c r="BG281" i="17" s="1"/>
  <c r="AI501" i="15"/>
  <c r="BA501" i="17" s="1"/>
  <c r="BE501" i="17" s="1"/>
  <c r="BG501" i="17" s="1"/>
  <c r="AM558" i="1"/>
  <c r="AQ244" i="22"/>
  <c r="BN244" i="25" s="1"/>
  <c r="BV244" i="25" s="1"/>
  <c r="BX244" i="25" s="1"/>
  <c r="AQ586" i="22"/>
  <c r="BN586" i="25" s="1"/>
  <c r="BV586" i="25" s="1"/>
  <c r="BX586" i="25" s="1"/>
  <c r="AQ594" i="22"/>
  <c r="BN594" i="25" s="1"/>
  <c r="BV594" i="25" s="1"/>
  <c r="BX594" i="25" s="1"/>
  <c r="AQ464" i="22"/>
  <c r="BN464" i="25" s="1"/>
  <c r="BV464" i="25" s="1"/>
  <c r="BX464" i="25" s="1"/>
  <c r="AQ560" i="22"/>
  <c r="BN560" i="25" s="1"/>
  <c r="BV560" i="25" s="1"/>
  <c r="BX560" i="25" s="1"/>
  <c r="AQ564" i="22"/>
  <c r="BN564" i="25" s="1"/>
  <c r="BV564" i="25" s="1"/>
  <c r="BX564" i="25" s="1"/>
  <c r="AQ619" i="22"/>
  <c r="BN619" i="25" s="1"/>
  <c r="BV619" i="25" s="1"/>
  <c r="BX619" i="25" s="1"/>
  <c r="AQ186" i="22"/>
  <c r="BN186" i="25" s="1"/>
  <c r="BV186" i="25" s="1"/>
  <c r="BX186" i="25" s="1"/>
  <c r="AQ224" i="22"/>
  <c r="BN224" i="25" s="1"/>
  <c r="BV224" i="25" s="1"/>
  <c r="BX224" i="25" s="1"/>
  <c r="AQ349" i="22"/>
  <c r="BN349" i="25" s="1"/>
  <c r="BV349" i="25" s="1"/>
  <c r="BX349" i="25" s="1"/>
  <c r="AQ438" i="22"/>
  <c r="BN438" i="25" s="1"/>
  <c r="BV438" i="25" s="1"/>
  <c r="BX438" i="25" s="1"/>
  <c r="AM591" i="1"/>
  <c r="BN591" i="2" s="1"/>
  <c r="BV591" i="2" s="1"/>
  <c r="BX591" i="2" s="1"/>
  <c r="AM190" i="1"/>
  <c r="BN190" i="2" s="1"/>
  <c r="AM185" i="1"/>
  <c r="BN185" i="2" s="1"/>
  <c r="AM253" i="1"/>
  <c r="AM507" i="1"/>
  <c r="BN507" i="2" s="1"/>
  <c r="AI476" i="15"/>
  <c r="AI203" i="15"/>
  <c r="AI597" i="15"/>
  <c r="BA597" i="17" s="1"/>
  <c r="BE597" i="17" s="1"/>
  <c r="BG597" i="17" s="1"/>
  <c r="AM595" i="1"/>
  <c r="BN595" i="2" s="1"/>
  <c r="BV595" i="2" s="1"/>
  <c r="BX595" i="2" s="1"/>
  <c r="AM587" i="1"/>
  <c r="BN587" i="2" s="1"/>
  <c r="BV587" i="2" s="1"/>
  <c r="BX587" i="2" s="1"/>
  <c r="AQ578" i="22"/>
  <c r="BN578" i="25" s="1"/>
  <c r="BV578" i="25" s="1"/>
  <c r="BX578" i="25" s="1"/>
  <c r="AM257" i="1"/>
  <c r="BN257" i="2" s="1"/>
  <c r="AI253" i="15"/>
  <c r="BA253" i="17" s="1"/>
  <c r="BE253" i="17" s="1"/>
  <c r="BG253" i="17" s="1"/>
  <c r="AQ212" i="22"/>
  <c r="BN212" i="25" s="1"/>
  <c r="BV212" i="25" s="1"/>
  <c r="BX212" i="25" s="1"/>
  <c r="AM208" i="1"/>
  <c r="BN208" i="2" s="1"/>
  <c r="BV208" i="2" s="1"/>
  <c r="BX208" i="2" s="1"/>
  <c r="AM202" i="1"/>
  <c r="BN202" i="2" s="1"/>
  <c r="BV202" i="2" s="1"/>
  <c r="BX202" i="2" s="1"/>
  <c r="AQ200" i="22"/>
  <c r="BN200" i="25" s="1"/>
  <c r="BV200" i="25" s="1"/>
  <c r="BX200" i="25" s="1"/>
  <c r="BN195" i="25"/>
  <c r="BV195" i="25" s="1"/>
  <c r="BX195" i="25" s="1"/>
  <c r="AI193" i="15"/>
  <c r="BA193" i="17" s="1"/>
  <c r="BE193" i="17" s="1"/>
  <c r="BG193" i="17" s="1"/>
  <c r="AQ185" i="22"/>
  <c r="BN185" i="25" s="1"/>
  <c r="BV185" i="25" s="1"/>
  <c r="BX185" i="25" s="1"/>
  <c r="AQ160" i="22"/>
  <c r="BN160" i="25" s="1"/>
  <c r="BV160" i="25" s="1"/>
  <c r="BX160" i="25" s="1"/>
  <c r="BN153" i="2"/>
  <c r="BV153" i="2" s="1"/>
  <c r="BX153" i="2" s="1"/>
  <c r="AQ154" i="22"/>
  <c r="BN154" i="25" s="1"/>
  <c r="BV154" i="25" s="1"/>
  <c r="BX154" i="25" s="1"/>
  <c r="AM596" i="1"/>
  <c r="BN596" i="2" s="1"/>
  <c r="BV596" i="2" s="1"/>
  <c r="BX596" i="2" s="1"/>
  <c r="AM249" i="1"/>
  <c r="BN249" i="2" s="1"/>
  <c r="AM161" i="1"/>
  <c r="BN161" i="2" s="1"/>
  <c r="BV161" i="2" s="1"/>
  <c r="BX161" i="2" s="1"/>
  <c r="AM567" i="1"/>
  <c r="BN567" i="2" s="1"/>
  <c r="AI133" i="15"/>
  <c r="BA133" i="17" s="1"/>
  <c r="BE133" i="17" s="1"/>
  <c r="BG133" i="17" s="1"/>
  <c r="AI592" i="15"/>
  <c r="BA592" i="17" s="1"/>
  <c r="BE592" i="17" s="1"/>
  <c r="BG592" i="17" s="1"/>
  <c r="AI544" i="15"/>
  <c r="BA544" i="17" s="1"/>
  <c r="BE544" i="17" s="1"/>
  <c r="BG544" i="17" s="1"/>
  <c r="AI441" i="15"/>
  <c r="BA441" i="17" s="1"/>
  <c r="BE441" i="17" s="1"/>
  <c r="BG441" i="17" s="1"/>
  <c r="AI341" i="15"/>
  <c r="BA341" i="17" s="1"/>
  <c r="BE341" i="17" s="1"/>
  <c r="BG341" i="17" s="1"/>
  <c r="AI279" i="15"/>
  <c r="BA279" i="17" s="1"/>
  <c r="BE279" i="17" s="1"/>
  <c r="BG279" i="17" s="1"/>
  <c r="AI236" i="15"/>
  <c r="BA236" i="17" s="1"/>
  <c r="BE236" i="17" s="1"/>
  <c r="BG236" i="17" s="1"/>
  <c r="AI224" i="15"/>
  <c r="BA224" i="17" s="1"/>
  <c r="BE224" i="17" s="1"/>
  <c r="BG224" i="17" s="1"/>
  <c r="AI596" i="15"/>
  <c r="BA596" i="17" s="1"/>
  <c r="BE596" i="17" s="1"/>
  <c r="BG596" i="17" s="1"/>
  <c r="AI584" i="15"/>
  <c r="BA584" i="17" s="1"/>
  <c r="BE584" i="17" s="1"/>
  <c r="BG584" i="17" s="1"/>
  <c r="AI192" i="15"/>
  <c r="BA192" i="17" s="1"/>
  <c r="BE192" i="17" s="1"/>
  <c r="BG192" i="17" s="1"/>
  <c r="AI461" i="15"/>
  <c r="BA461" i="17" s="1"/>
  <c r="BE461" i="17" s="1"/>
  <c r="BG461" i="17" s="1"/>
  <c r="AQ615" i="22"/>
  <c r="BN615" i="25" s="1"/>
  <c r="BV615" i="25" s="1"/>
  <c r="BX615" i="25" s="1"/>
  <c r="AQ241" i="22"/>
  <c r="BN241" i="25" s="1"/>
  <c r="BV241" i="25" s="1"/>
  <c r="BX241" i="25" s="1"/>
  <c r="BN572" i="2"/>
  <c r="BN147" i="2"/>
  <c r="BN155" i="2"/>
  <c r="BV155" i="2" s="1"/>
  <c r="BX155" i="2" s="1"/>
  <c r="AM467" i="1"/>
  <c r="BN467" i="2" s="1"/>
  <c r="BV467" i="2" s="1"/>
  <c r="BX467" i="2" s="1"/>
  <c r="AM207" i="1"/>
  <c r="BN207" i="2" s="1"/>
  <c r="BV207" i="2" s="1"/>
  <c r="BX207" i="2" s="1"/>
  <c r="AM427" i="1"/>
  <c r="BN427" i="2" s="1"/>
  <c r="BV427" i="2" s="1"/>
  <c r="BX427" i="2" s="1"/>
  <c r="AM360" i="1"/>
  <c r="BN360" i="2" s="1"/>
  <c r="AM252" i="1"/>
  <c r="BN252" i="2" s="1"/>
  <c r="AM459" i="1"/>
  <c r="BN459" i="2" s="1"/>
  <c r="AM529" i="1"/>
  <c r="BN529" i="2" s="1"/>
  <c r="AM622" i="1"/>
  <c r="BN622" i="2" s="1"/>
  <c r="AM211" i="1"/>
  <c r="BN211" i="2" s="1"/>
  <c r="BV211" i="2" s="1"/>
  <c r="BX211" i="2" s="1"/>
  <c r="AM593" i="1"/>
  <c r="BN593" i="2" s="1"/>
  <c r="BV593" i="2" s="1"/>
  <c r="BX593" i="2" s="1"/>
  <c r="AQ202" i="22"/>
  <c r="BN202" i="25" s="1"/>
  <c r="BV202" i="25" s="1"/>
  <c r="BX202" i="25" s="1"/>
  <c r="AQ198" i="22"/>
  <c r="BN198" i="25" s="1"/>
  <c r="BV198" i="25" s="1"/>
  <c r="BX198" i="25" s="1"/>
  <c r="AQ208" i="22"/>
  <c r="BN208" i="25" s="1"/>
  <c r="BV208" i="25" s="1"/>
  <c r="BX208" i="25" s="1"/>
  <c r="AI499" i="15"/>
  <c r="BA499" i="17" s="1"/>
  <c r="BE499" i="17" s="1"/>
  <c r="BG499" i="17" s="1"/>
  <c r="AI523" i="15"/>
  <c r="BA523" i="17" s="1"/>
  <c r="BE523" i="17" s="1"/>
  <c r="BG523" i="17" s="1"/>
  <c r="AQ457" i="22"/>
  <c r="BN457" i="25" s="1"/>
  <c r="BV457" i="25" s="1"/>
  <c r="BX457" i="25" s="1"/>
  <c r="AQ426" i="22"/>
  <c r="BN426" i="25" s="1"/>
  <c r="BV426" i="25" s="1"/>
  <c r="BX426" i="25" s="1"/>
  <c r="AQ435" i="22"/>
  <c r="BN435" i="25" s="1"/>
  <c r="BV435" i="25" s="1"/>
  <c r="BX435" i="25" s="1"/>
  <c r="AQ427" i="22"/>
  <c r="BN427" i="25" s="1"/>
  <c r="BV427" i="25" s="1"/>
  <c r="BX427" i="25" s="1"/>
  <c r="AQ569" i="22"/>
  <c r="BN569" i="25" s="1"/>
  <c r="BV569" i="25" s="1"/>
  <c r="BX569" i="25" s="1"/>
  <c r="AM478" i="1"/>
  <c r="BN478" i="2" s="1"/>
  <c r="AM444" i="1"/>
  <c r="BN444" i="2" s="1"/>
  <c r="AM470" i="1"/>
  <c r="BN470" i="2" s="1"/>
  <c r="AM465" i="1"/>
  <c r="BN465" i="2" s="1"/>
  <c r="AM426" i="1"/>
  <c r="BN426" i="2" s="1"/>
  <c r="BV426" i="2" s="1"/>
  <c r="BX426" i="2" s="1"/>
  <c r="AM536" i="1"/>
  <c r="BN536" i="2" s="1"/>
  <c r="AM460" i="1"/>
  <c r="BN460" i="2" s="1"/>
  <c r="BV460" i="2" s="1"/>
  <c r="BX460" i="2" s="1"/>
  <c r="AM209" i="1"/>
  <c r="BN209" i="2" s="1"/>
  <c r="BV209" i="2" s="1"/>
  <c r="BX209" i="2" s="1"/>
  <c r="AM203" i="1"/>
  <c r="AI160" i="15"/>
  <c r="BA160" i="17" s="1"/>
  <c r="BE160" i="17" s="1"/>
  <c r="BG160" i="17" s="1"/>
  <c r="AI136" i="15"/>
  <c r="BA136" i="17" s="1"/>
  <c r="BE136" i="17" s="1"/>
  <c r="BG136" i="17" s="1"/>
  <c r="AI114" i="15"/>
  <c r="BA114" i="17" s="1"/>
  <c r="BE114" i="17" s="1"/>
  <c r="BG114" i="17" s="1"/>
  <c r="AI201" i="15"/>
  <c r="BA201" i="17" s="1"/>
  <c r="BE201" i="17" s="1"/>
  <c r="BG201" i="17" s="1"/>
  <c r="AI185" i="15"/>
  <c r="BA185" i="17" s="1"/>
  <c r="BE185" i="17" s="1"/>
  <c r="BG185" i="17" s="1"/>
  <c r="AI505" i="15"/>
  <c r="BA505" i="17" s="1"/>
  <c r="BE505" i="17" s="1"/>
  <c r="BG505" i="17" s="1"/>
  <c r="AI477" i="15"/>
  <c r="BA477" i="17" s="1"/>
  <c r="BE477" i="17" s="1"/>
  <c r="BG477" i="17" s="1"/>
  <c r="AQ614" i="22"/>
  <c r="BN614" i="25" s="1"/>
  <c r="BV614" i="25" s="1"/>
  <c r="BX614" i="25" s="1"/>
  <c r="AQ618" i="22"/>
  <c r="BN618" i="25" s="1"/>
  <c r="BV618" i="25" s="1"/>
  <c r="BX618" i="25" s="1"/>
  <c r="AQ622" i="22"/>
  <c r="BN622" i="25" s="1"/>
  <c r="BV622" i="25" s="1"/>
  <c r="BX622" i="25" s="1"/>
  <c r="AQ582" i="22"/>
  <c r="BN582" i="25" s="1"/>
  <c r="AQ587" i="22"/>
  <c r="BN587" i="25" s="1"/>
  <c r="BV587" i="25" s="1"/>
  <c r="BX587" i="25" s="1"/>
  <c r="AQ595" i="22"/>
  <c r="BN595" i="25" s="1"/>
  <c r="BV595" i="25" s="1"/>
  <c r="BX595" i="25" s="1"/>
  <c r="AM592" i="1"/>
  <c r="BN592" i="2" s="1"/>
  <c r="BV592" i="2" s="1"/>
  <c r="BX592" i="2" s="1"/>
  <c r="AM609" i="1"/>
  <c r="BN609" i="2" s="1"/>
  <c r="AM588" i="1"/>
  <c r="BN588" i="2" s="1"/>
  <c r="BV588" i="2" s="1"/>
  <c r="BX588" i="2" s="1"/>
  <c r="AI598" i="15"/>
  <c r="BA598" i="17" s="1"/>
  <c r="BE598" i="17" s="1"/>
  <c r="BG598" i="17" s="1"/>
  <c r="AI582" i="15"/>
  <c r="BA582" i="17" s="1"/>
  <c r="BE582" i="17" s="1"/>
  <c r="BG582" i="17" s="1"/>
  <c r="AM577" i="1"/>
  <c r="BN577" i="2" s="1"/>
  <c r="BV577" i="2" s="1"/>
  <c r="BX577" i="2" s="1"/>
  <c r="AM575" i="1"/>
  <c r="BN575" i="2" s="1"/>
  <c r="AM570" i="1"/>
  <c r="BN570" i="2" s="1"/>
  <c r="AI570" i="15"/>
  <c r="BA570" i="17" s="1"/>
  <c r="BE570" i="17" s="1"/>
  <c r="BG570" i="17" s="1"/>
  <c r="AM561" i="1"/>
  <c r="BN561" i="2" s="1"/>
  <c r="AI561" i="15"/>
  <c r="BA561" i="17" s="1"/>
  <c r="BE561" i="17" s="1"/>
  <c r="BG561" i="17" s="1"/>
  <c r="BN558" i="2"/>
  <c r="AM553" i="1"/>
  <c r="BN553" i="2" s="1"/>
  <c r="BV553" i="2" s="1"/>
  <c r="BX553" i="2" s="1"/>
  <c r="AI128" i="15"/>
  <c r="BA128" i="17" s="1"/>
  <c r="BE128" i="17" s="1"/>
  <c r="BG128" i="17" s="1"/>
  <c r="AM546" i="1"/>
  <c r="BN546" i="2" s="1"/>
  <c r="AI546" i="15"/>
  <c r="BA546" i="17" s="1"/>
  <c r="BE546" i="17" s="1"/>
  <c r="BG546" i="17" s="1"/>
  <c r="AM544" i="1"/>
  <c r="BN544" i="2" s="1"/>
  <c r="AI543" i="15"/>
  <c r="BA543" i="17" s="1"/>
  <c r="BE543" i="17" s="1"/>
  <c r="BG543" i="17" s="1"/>
  <c r="AM538" i="1"/>
  <c r="BN538" i="2" s="1"/>
  <c r="AM534" i="1"/>
  <c r="BN534" i="2" s="1"/>
  <c r="AI531" i="15"/>
  <c r="BA531" i="17" s="1"/>
  <c r="BE531" i="17" s="1"/>
  <c r="BG531" i="17" s="1"/>
  <c r="AM517" i="1"/>
  <c r="BN517" i="2" s="1"/>
  <c r="AM510" i="1"/>
  <c r="BN510" i="2" s="1"/>
  <c r="AM508" i="1"/>
  <c r="BN508" i="2" s="1"/>
  <c r="BV508" i="2" s="1"/>
  <c r="BX508" i="2" s="1"/>
  <c r="AI503" i="15"/>
  <c r="BA503" i="17" s="1"/>
  <c r="BE503" i="17" s="1"/>
  <c r="BG503" i="17" s="1"/>
  <c r="AM496" i="1"/>
  <c r="BN496" i="2" s="1"/>
  <c r="BV496" i="2" s="1"/>
  <c r="BX496" i="2" s="1"/>
  <c r="AM495" i="1"/>
  <c r="BN495" i="2" s="1"/>
  <c r="AM491" i="1"/>
  <c r="BN491" i="2" s="1"/>
  <c r="AQ583" i="22"/>
  <c r="BN583" i="25" s="1"/>
  <c r="BV583" i="25" s="1"/>
  <c r="BX583" i="25" s="1"/>
  <c r="AM523" i="1"/>
  <c r="BN523" i="2" s="1"/>
  <c r="AM428" i="1"/>
  <c r="BN428" i="2" s="1"/>
  <c r="BV428" i="2" s="1"/>
  <c r="BX428" i="2" s="1"/>
  <c r="AM597" i="1"/>
  <c r="BN597" i="2" s="1"/>
  <c r="BV597" i="2" s="1"/>
  <c r="BX597" i="2" s="1"/>
  <c r="AM552" i="1"/>
  <c r="BN552" i="2" s="1"/>
  <c r="AI256" i="15"/>
  <c r="BA256" i="17" s="1"/>
  <c r="BE256" i="17" s="1"/>
  <c r="BG256" i="17" s="1"/>
  <c r="AM163" i="1"/>
  <c r="BN163" i="2" s="1"/>
  <c r="AM589" i="1"/>
  <c r="BN589" i="2" s="1"/>
  <c r="BV589" i="2" s="1"/>
  <c r="BX589" i="2" s="1"/>
  <c r="AM210" i="1"/>
  <c r="BN210" i="2" s="1"/>
  <c r="BV210" i="2" s="1"/>
  <c r="BX210" i="2" s="1"/>
  <c r="AI515" i="15"/>
  <c r="BA515" i="17" s="1"/>
  <c r="BE515" i="17" s="1"/>
  <c r="BG515" i="17" s="1"/>
  <c r="AM497" i="1"/>
  <c r="BN497" i="2" s="1"/>
  <c r="BV497" i="2" s="1"/>
  <c r="BX497" i="2" s="1"/>
  <c r="AM539" i="1"/>
  <c r="BN539" i="2" s="1"/>
  <c r="BV539" i="2" s="1"/>
  <c r="BX539" i="2" s="1"/>
  <c r="AM192" i="1"/>
  <c r="BN192" i="2" s="1"/>
  <c r="AM441" i="1"/>
  <c r="BN441" i="2" s="1"/>
  <c r="AM452" i="1"/>
  <c r="BN452" i="2" s="1"/>
  <c r="AM481" i="1"/>
  <c r="BN481" i="2" s="1"/>
  <c r="AI550" i="15"/>
  <c r="BA550" i="17" s="1"/>
  <c r="BE550" i="17" s="1"/>
  <c r="BG550" i="17" s="1"/>
  <c r="AI456" i="15"/>
  <c r="BA456" i="17" s="1"/>
  <c r="BE456" i="17" s="1"/>
  <c r="BG456" i="17" s="1"/>
  <c r="AI409" i="15"/>
  <c r="BA409" i="17" s="1"/>
  <c r="BE409" i="17" s="1"/>
  <c r="BG409" i="17" s="1"/>
  <c r="AI96" i="15"/>
  <c r="BA96" i="17" s="1"/>
  <c r="BE96" i="17" s="1"/>
  <c r="BG96" i="17" s="1"/>
  <c r="AQ616" i="22"/>
  <c r="BN616" i="25" s="1"/>
  <c r="BV616" i="25" s="1"/>
  <c r="BX616" i="25" s="1"/>
  <c r="AQ620" i="22"/>
  <c r="BN620" i="25" s="1"/>
  <c r="BV620" i="25" s="1"/>
  <c r="BX620" i="25" s="1"/>
  <c r="AQ161" i="22"/>
  <c r="BN161" i="25" s="1"/>
  <c r="BV161" i="25" s="1"/>
  <c r="BX161" i="25" s="1"/>
  <c r="AQ588" i="22"/>
  <c r="BN588" i="25" s="1"/>
  <c r="BV588" i="25" s="1"/>
  <c r="BX588" i="25" s="1"/>
  <c r="AM151" i="1"/>
  <c r="BN151" i="2" s="1"/>
  <c r="BV151" i="2" s="1"/>
  <c r="BX151" i="2" s="1"/>
  <c r="AM160" i="1"/>
  <c r="BN160" i="2" s="1"/>
  <c r="AM582" i="1"/>
  <c r="BN582" i="2" s="1"/>
  <c r="BV582" i="2" s="1"/>
  <c r="BX582" i="2" s="1"/>
  <c r="AM586" i="1"/>
  <c r="BN586" i="2" s="1"/>
  <c r="AM590" i="1"/>
  <c r="BN590" i="2" s="1"/>
  <c r="BV590" i="2" s="1"/>
  <c r="BX590" i="2" s="1"/>
  <c r="AM594" i="1"/>
  <c r="BN594" i="2" s="1"/>
  <c r="BV594" i="2" s="1"/>
  <c r="BX594" i="2" s="1"/>
  <c r="AM204" i="1"/>
  <c r="BN204" i="2" s="1"/>
  <c r="BV204" i="2" s="1"/>
  <c r="BX204" i="2" s="1"/>
  <c r="AI571" i="15"/>
  <c r="BA571" i="17" s="1"/>
  <c r="BE571" i="17" s="1"/>
  <c r="BG571" i="17" s="1"/>
  <c r="AQ360" i="22"/>
  <c r="BN360" i="25" s="1"/>
  <c r="BV360" i="25" s="1"/>
  <c r="BX360" i="25" s="1"/>
  <c r="AQ368" i="22"/>
  <c r="BN368" i="25" s="1"/>
  <c r="BV368" i="25" s="1"/>
  <c r="BX368" i="25" s="1"/>
  <c r="AQ409" i="22"/>
  <c r="BN409" i="25" s="1"/>
  <c r="BV409" i="25" s="1"/>
  <c r="BX409" i="25" s="1"/>
  <c r="AQ442" i="22"/>
  <c r="BN442" i="25" s="1"/>
  <c r="BV442" i="25" s="1"/>
  <c r="BX442" i="25" s="1"/>
  <c r="AQ459" i="22"/>
  <c r="BN459" i="25" s="1"/>
  <c r="BV459" i="25" s="1"/>
  <c r="BX459" i="25" s="1"/>
  <c r="AQ563" i="22"/>
  <c r="BN563" i="25" s="1"/>
  <c r="BV563" i="25" s="1"/>
  <c r="BX563" i="25" s="1"/>
  <c r="AQ567" i="22"/>
  <c r="BN567" i="25" s="1"/>
  <c r="BV567" i="25" s="1"/>
  <c r="BX567" i="25" s="1"/>
  <c r="AQ184" i="22"/>
  <c r="BN184" i="25" s="1"/>
  <c r="BV184" i="25" s="1"/>
  <c r="BX184" i="25" s="1"/>
  <c r="AQ199" i="22"/>
  <c r="BN199" i="25" s="1"/>
  <c r="BV199" i="25" s="1"/>
  <c r="BX199" i="25" s="1"/>
  <c r="AQ204" i="22"/>
  <c r="BN204" i="25" s="1"/>
  <c r="BV204" i="25" s="1"/>
  <c r="BX204" i="25" s="1"/>
  <c r="AQ428" i="22"/>
  <c r="BN428" i="25" s="1"/>
  <c r="BV428" i="25" s="1"/>
  <c r="BX428" i="25" s="1"/>
  <c r="AQ437" i="22"/>
  <c r="BN437" i="25" s="1"/>
  <c r="BV437" i="25" s="1"/>
  <c r="BX437" i="25" s="1"/>
  <c r="AQ598" i="22"/>
  <c r="BN598" i="25" s="1"/>
  <c r="BV598" i="25" s="1"/>
  <c r="BX598" i="25" s="1"/>
  <c r="AM429" i="1"/>
  <c r="BN429" i="2" s="1"/>
  <c r="BV429" i="2" s="1"/>
  <c r="BX429" i="2" s="1"/>
  <c r="AM578" i="1"/>
  <c r="BN578" i="2" s="1"/>
  <c r="BV578" i="2" s="1"/>
  <c r="BX578" i="2" s="1"/>
  <c r="AM598" i="1"/>
  <c r="BN598" i="2" s="1"/>
  <c r="BV598" i="2" s="1"/>
  <c r="BX598" i="2" s="1"/>
  <c r="AM201" i="1"/>
  <c r="BN201" i="2" s="1"/>
  <c r="BV201" i="2" s="1"/>
  <c r="BX201" i="2" s="1"/>
  <c r="AI483" i="15"/>
  <c r="BA483" i="17" s="1"/>
  <c r="BE483" i="17" s="1"/>
  <c r="BG483" i="17" s="1"/>
  <c r="AI452" i="15"/>
  <c r="BA452" i="17" s="1"/>
  <c r="BE452" i="17" s="1"/>
  <c r="BG452" i="17" s="1"/>
  <c r="AQ221" i="22"/>
  <c r="BN221" i="25" s="1"/>
  <c r="BV221" i="25" s="1"/>
  <c r="BX221" i="25" s="1"/>
  <c r="AQ613" i="22"/>
  <c r="BN613" i="25" s="1"/>
  <c r="BV613" i="25" s="1"/>
  <c r="BX613" i="25" s="1"/>
  <c r="AQ617" i="22"/>
  <c r="BN617" i="25" s="1"/>
  <c r="BV617" i="25" s="1"/>
  <c r="BX617" i="25" s="1"/>
  <c r="AQ621" i="22"/>
  <c r="BN621" i="25" s="1"/>
  <c r="BV621" i="25" s="1"/>
  <c r="BX621" i="25" s="1"/>
  <c r="AQ589" i="22"/>
  <c r="BN589" i="25" s="1"/>
  <c r="BV589" i="25" s="1"/>
  <c r="BX589" i="25" s="1"/>
  <c r="AQ597" i="22"/>
  <c r="BN597" i="25" s="1"/>
  <c r="BV597" i="25" s="1"/>
  <c r="BX597" i="25" s="1"/>
  <c r="AM314" i="1"/>
  <c r="BN314" i="2" s="1"/>
  <c r="AI454" i="15"/>
  <c r="BA454" i="17" s="1"/>
  <c r="BE454" i="17" s="1"/>
  <c r="BG454" i="17" s="1"/>
  <c r="AI446" i="15"/>
  <c r="BA446" i="17" s="1"/>
  <c r="BE446" i="17" s="1"/>
  <c r="BG446" i="17" s="1"/>
  <c r="AQ436" i="22"/>
  <c r="BN436" i="25" s="1"/>
  <c r="BV436" i="25" s="1"/>
  <c r="BX436" i="25" s="1"/>
  <c r="AI364" i="15"/>
  <c r="BA364" i="17" s="1"/>
  <c r="BE364" i="17" s="1"/>
  <c r="BG364" i="17" s="1"/>
  <c r="AI357" i="15"/>
  <c r="BA357" i="17" s="1"/>
  <c r="BE357" i="17" s="1"/>
  <c r="BG357" i="17" s="1"/>
  <c r="AI278" i="15"/>
  <c r="BA278" i="17" s="1"/>
  <c r="BE278" i="17" s="1"/>
  <c r="BG278" i="17" s="1"/>
  <c r="AI282" i="15"/>
  <c r="BA282" i="17" s="1"/>
  <c r="BE282" i="17" s="1"/>
  <c r="BG282" i="17" s="1"/>
  <c r="AQ252" i="22"/>
  <c r="BN252" i="25" s="1"/>
  <c r="BV252" i="25" s="1"/>
  <c r="BX252" i="25" s="1"/>
  <c r="AM247" i="1"/>
  <c r="BN247" i="2" s="1"/>
  <c r="AI245" i="15"/>
  <c r="BA245" i="17" s="1"/>
  <c r="BE245" i="17" s="1"/>
  <c r="BG245" i="17" s="1"/>
  <c r="BX286" i="2"/>
  <c r="BN263" i="2"/>
  <c r="BV263" i="2" s="1"/>
  <c r="BX263" i="2" s="1"/>
  <c r="BN203" i="2"/>
  <c r="BV203" i="2" s="1"/>
  <c r="BX203" i="2" s="1"/>
  <c r="BN253" i="2"/>
  <c r="BV253" i="2" s="1"/>
  <c r="BX253" i="2" s="1"/>
  <c r="BN479" i="2"/>
  <c r="BV479" i="2" s="1"/>
  <c r="BX479" i="2" s="1"/>
  <c r="BV272" i="2"/>
  <c r="BX272" i="2" s="1"/>
  <c r="BN271" i="2"/>
  <c r="BN219" i="2"/>
  <c r="AM212" i="1"/>
  <c r="BN212" i="2" s="1"/>
  <c r="BV212" i="2" s="1"/>
  <c r="BX212" i="2" s="1"/>
  <c r="AQ211" i="22"/>
  <c r="BN211" i="25" s="1"/>
  <c r="BV211" i="25" s="1"/>
  <c r="BX211" i="25" s="1"/>
  <c r="AQ201" i="22"/>
  <c r="BN201" i="25" s="1"/>
  <c r="BV201" i="25" s="1"/>
  <c r="BX201" i="25" s="1"/>
  <c r="AM200" i="1"/>
  <c r="BN200" i="2" s="1"/>
  <c r="BN198" i="2"/>
  <c r="BV198" i="2" s="1"/>
  <c r="BX198" i="2" s="1"/>
  <c r="AQ197" i="22"/>
  <c r="BN195" i="2"/>
  <c r="BV195" i="2" s="1"/>
  <c r="BX195" i="2" s="1"/>
  <c r="AQ193" i="22"/>
  <c r="BN193" i="25" s="1"/>
  <c r="BV193" i="25" s="1"/>
  <c r="BX193" i="25" s="1"/>
  <c r="AQ191" i="22"/>
  <c r="BN191" i="25" s="1"/>
  <c r="BV191" i="25" s="1"/>
  <c r="BX191" i="25" s="1"/>
  <c r="AQ189" i="22"/>
  <c r="BN189" i="25" s="1"/>
  <c r="BV189" i="25" s="1"/>
  <c r="BX189" i="25" s="1"/>
  <c r="AQ188" i="22"/>
  <c r="BN188" i="25" s="1"/>
  <c r="BV188" i="25" s="1"/>
  <c r="BX188" i="25" s="1"/>
  <c r="BN182" i="2"/>
  <c r="BV182" i="2" s="1"/>
  <c r="BX182" i="2" s="1"/>
  <c r="BN172" i="2"/>
  <c r="BV172" i="2" s="1"/>
  <c r="BX172" i="2" s="1"/>
  <c r="BN166" i="2"/>
  <c r="BV166" i="2" s="1"/>
  <c r="BX166" i="2" s="1"/>
  <c r="BV196" i="2"/>
  <c r="BX196" i="2" s="1"/>
  <c r="BV576" i="2"/>
  <c r="BX576" i="2" s="1"/>
  <c r="BV599" i="2"/>
  <c r="BX599" i="2" s="1"/>
  <c r="BN157" i="2"/>
  <c r="BV157" i="2" s="1"/>
  <c r="BX157" i="2" s="1"/>
  <c r="BV164" i="2"/>
  <c r="BX164" i="2" s="1"/>
  <c r="BN150" i="2"/>
  <c r="BV150" i="2" s="1"/>
  <c r="BX150" i="2" s="1"/>
  <c r="BV498" i="2"/>
  <c r="BX498" i="2" s="1"/>
  <c r="BV149" i="2"/>
  <c r="BX149" i="2" s="1"/>
  <c r="BV165" i="2"/>
  <c r="BX165" i="2" s="1"/>
  <c r="BV274" i="2"/>
  <c r="BX274" i="2" s="1"/>
  <c r="BX285" i="2"/>
  <c r="BV197" i="2"/>
  <c r="BX197" i="2" s="1"/>
  <c r="BV270" i="2"/>
  <c r="BX270" i="2" s="1"/>
  <c r="BV152" i="2"/>
  <c r="BX152" i="2" s="1"/>
  <c r="BV273" i="2"/>
  <c r="BX273" i="2" s="1"/>
  <c r="BV262" i="2"/>
  <c r="BX262" i="2" s="1"/>
  <c r="AI553" i="15"/>
  <c r="BA553" i="17" s="1"/>
  <c r="BE553" i="17" s="1"/>
  <c r="BG553" i="17" s="1"/>
  <c r="BA476" i="17"/>
  <c r="BE476" i="17" s="1"/>
  <c r="BG476" i="17" s="1"/>
  <c r="BA430" i="17"/>
  <c r="BE430" i="17" s="1"/>
  <c r="BG430" i="17" s="1"/>
  <c r="BA289" i="17"/>
  <c r="BE289" i="17" s="1"/>
  <c r="BG289" i="17" s="1"/>
  <c r="AI291" i="15"/>
  <c r="BA291" i="17" s="1"/>
  <c r="BE291" i="17" s="1"/>
  <c r="BG291" i="17" s="1"/>
  <c r="AI632" i="15"/>
  <c r="BA632" i="17" s="1"/>
  <c r="BE632" i="17" s="1"/>
  <c r="BG632" i="17" s="1"/>
  <c r="AI631" i="15"/>
  <c r="BA631" i="17" s="1"/>
  <c r="BE631" i="17" s="1"/>
  <c r="BG631" i="17" s="1"/>
  <c r="AI623" i="15"/>
  <c r="AI620" i="15"/>
  <c r="BA620" i="17" s="1"/>
  <c r="BE620" i="17" s="1"/>
  <c r="BG620" i="17" s="1"/>
  <c r="AI612" i="15"/>
  <c r="BA612" i="17" s="1"/>
  <c r="BE612" i="17" s="1"/>
  <c r="BG612" i="17" s="1"/>
  <c r="AI601" i="15"/>
  <c r="BA601" i="17" s="1"/>
  <c r="AI465" i="15"/>
  <c r="BA465" i="17" s="1"/>
  <c r="BE465" i="17" s="1"/>
  <c r="BG465" i="17" s="1"/>
  <c r="AI457" i="15"/>
  <c r="BA457" i="17" s="1"/>
  <c r="BE457" i="17" s="1"/>
  <c r="BG457" i="17" s="1"/>
  <c r="AI428" i="15"/>
  <c r="BA428" i="17" s="1"/>
  <c r="BE428" i="17" s="1"/>
  <c r="BG428" i="17" s="1"/>
  <c r="AI426" i="15"/>
  <c r="BA426" i="17" s="1"/>
  <c r="BE426" i="17" s="1"/>
  <c r="BG426" i="17" s="1"/>
  <c r="AI242" i="15"/>
  <c r="BA242" i="17" s="1"/>
  <c r="BE242" i="17" s="1"/>
  <c r="BG242" i="17" s="1"/>
  <c r="AI190" i="15"/>
  <c r="BA190" i="17" s="1"/>
  <c r="BE190" i="17" s="1"/>
  <c r="BG190" i="17" s="1"/>
  <c r="BA183" i="17"/>
  <c r="BE183" i="17" s="1"/>
  <c r="BG183" i="17" s="1"/>
  <c r="AQ518" i="22"/>
  <c r="BN518" i="25" s="1"/>
  <c r="BV518" i="25" s="1"/>
  <c r="BX518" i="25" s="1"/>
  <c r="AQ519" i="22"/>
  <c r="BN519" i="25" s="1"/>
  <c r="BV519" i="25" s="1"/>
  <c r="BX519" i="25" s="1"/>
  <c r="AQ521" i="22"/>
  <c r="BN521" i="25" s="1"/>
  <c r="BV521" i="25" s="1"/>
  <c r="BX521" i="25" s="1"/>
  <c r="AQ522" i="22"/>
  <c r="BN522" i="25" s="1"/>
  <c r="BV522" i="25" s="1"/>
  <c r="BX522" i="25" s="1"/>
  <c r="AI292" i="15"/>
  <c r="BA292" i="17" s="1"/>
  <c r="BE292" i="17" s="1"/>
  <c r="BG292" i="17" s="1"/>
  <c r="AI280" i="15"/>
  <c r="BA280" i="17" s="1"/>
  <c r="BE280" i="17" s="1"/>
  <c r="BG280" i="17" s="1"/>
  <c r="AI257" i="15"/>
  <c r="BA257" i="17" s="1"/>
  <c r="BE257" i="17" s="1"/>
  <c r="BG257" i="17" s="1"/>
  <c r="AI226" i="15"/>
  <c r="BA226" i="17" s="1"/>
  <c r="BE226" i="17" s="1"/>
  <c r="BG226" i="17" s="1"/>
  <c r="AI222" i="15"/>
  <c r="BA222" i="17" s="1"/>
  <c r="BE222" i="17" s="1"/>
  <c r="BG222" i="17" s="1"/>
  <c r="BA213" i="17"/>
  <c r="BE213" i="17" s="1"/>
  <c r="BG213" i="17" s="1"/>
  <c r="AI212" i="15"/>
  <c r="BA212" i="17" s="1"/>
  <c r="BE212" i="17" s="1"/>
  <c r="BG212" i="17" s="1"/>
  <c r="AI210" i="15"/>
  <c r="BA210" i="17" s="1"/>
  <c r="BE210" i="17" s="1"/>
  <c r="BG210" i="17" s="1"/>
  <c r="AI202" i="15"/>
  <c r="BA202" i="17" s="1"/>
  <c r="BE202" i="17" s="1"/>
  <c r="BG202" i="17" s="1"/>
  <c r="AI200" i="15"/>
  <c r="BA200" i="17" s="1"/>
  <c r="BE200" i="17" s="1"/>
  <c r="BG200" i="17" s="1"/>
  <c r="AQ530" i="22"/>
  <c r="BN530" i="25" s="1"/>
  <c r="BV530" i="25" s="1"/>
  <c r="BX530" i="25" s="1"/>
  <c r="AQ526" i="22"/>
  <c r="BN526" i="25" s="1"/>
  <c r="BV526" i="25" s="1"/>
  <c r="BX526" i="25" s="1"/>
  <c r="AQ264" i="22"/>
  <c r="BN264" i="25" s="1"/>
  <c r="BV264" i="25" s="1"/>
  <c r="BX264" i="25" s="1"/>
  <c r="AQ265" i="22"/>
  <c r="BN265" i="25" s="1"/>
  <c r="BV265" i="25" s="1"/>
  <c r="BX265" i="25" s="1"/>
  <c r="AQ266" i="22"/>
  <c r="BN266" i="25" s="1"/>
  <c r="BV266" i="25" s="1"/>
  <c r="BX266" i="25" s="1"/>
  <c r="AI564" i="15"/>
  <c r="BA564" i="17" s="1"/>
  <c r="BE564" i="17" s="1"/>
  <c r="BG564" i="17" s="1"/>
  <c r="AI560" i="15"/>
  <c r="AI547" i="15"/>
  <c r="BA547" i="17" s="1"/>
  <c r="BE547" i="17" s="1"/>
  <c r="BG547" i="17" s="1"/>
  <c r="AI478" i="15"/>
  <c r="AQ500" i="22"/>
  <c r="BN500" i="25" s="1"/>
  <c r="BV500" i="25" s="1"/>
  <c r="BX500" i="25" s="1"/>
  <c r="AQ499" i="22"/>
  <c r="BN499" i="25" s="1"/>
  <c r="BV499" i="25" s="1"/>
  <c r="BX499" i="25" s="1"/>
  <c r="AQ496" i="22"/>
  <c r="BN496" i="25" s="1"/>
  <c r="BV496" i="25" s="1"/>
  <c r="BX496" i="25" s="1"/>
  <c r="AQ495" i="22"/>
  <c r="BN495" i="25" s="1"/>
  <c r="BV495" i="25" s="1"/>
  <c r="BX495" i="25" s="1"/>
  <c r="AQ494" i="22"/>
  <c r="BN494" i="25" s="1"/>
  <c r="BV494" i="25" s="1"/>
  <c r="BX494" i="25" s="1"/>
  <c r="AQ493" i="22"/>
  <c r="BN493" i="25" s="1"/>
  <c r="BV493" i="25" s="1"/>
  <c r="BX493" i="25" s="1"/>
  <c r="AQ260" i="22"/>
  <c r="BN260" i="25" s="1"/>
  <c r="BV260" i="25" s="1"/>
  <c r="BX260" i="25" s="1"/>
  <c r="AQ259" i="22"/>
  <c r="BN259" i="25" s="1"/>
  <c r="BV259" i="25" s="1"/>
  <c r="BX259" i="25" s="1"/>
  <c r="AQ258" i="22"/>
  <c r="BN258" i="25" s="1"/>
  <c r="BV258" i="25" s="1"/>
  <c r="BX258" i="25" s="1"/>
  <c r="AQ528" i="22"/>
  <c r="BN528" i="25" s="1"/>
  <c r="BV528" i="25" s="1"/>
  <c r="BX528" i="25" s="1"/>
  <c r="AQ531" i="22"/>
  <c r="BN531" i="25" s="1"/>
  <c r="BV531" i="25" s="1"/>
  <c r="BX531" i="25" s="1"/>
  <c r="AQ351" i="22"/>
  <c r="BN351" i="25" s="1"/>
  <c r="BV351" i="25" s="1"/>
  <c r="BX351" i="25" s="1"/>
  <c r="AQ353" i="22"/>
  <c r="BN353" i="25" s="1"/>
  <c r="BV353" i="25" s="1"/>
  <c r="BX353" i="25" s="1"/>
  <c r="AQ355" i="22"/>
  <c r="BN355" i="25" s="1"/>
  <c r="BV355" i="25" s="1"/>
  <c r="BX355" i="25" s="1"/>
  <c r="AQ358" i="22"/>
  <c r="BN358" i="25" s="1"/>
  <c r="BV358" i="25" s="1"/>
  <c r="BX358" i="25" s="1"/>
  <c r="AQ362" i="22"/>
  <c r="BN362" i="25" s="1"/>
  <c r="BV362" i="25" s="1"/>
  <c r="BX362" i="25" s="1"/>
  <c r="AQ364" i="22"/>
  <c r="BN364" i="25" s="1"/>
  <c r="BV364" i="25" s="1"/>
  <c r="BX364" i="25" s="1"/>
  <c r="AQ370" i="22"/>
  <c r="BN370" i="25" s="1"/>
  <c r="BV370" i="25" s="1"/>
  <c r="BX370" i="25" s="1"/>
  <c r="AQ372" i="22"/>
  <c r="BN372" i="25" s="1"/>
  <c r="BV372" i="25" s="1"/>
  <c r="BX372" i="25" s="1"/>
  <c r="AQ374" i="22"/>
  <c r="BN374" i="25" s="1"/>
  <c r="BV374" i="25" s="1"/>
  <c r="BX374" i="25" s="1"/>
  <c r="AQ421" i="22"/>
  <c r="BN421" i="25" s="1"/>
  <c r="BV421" i="25" s="1"/>
  <c r="BX421" i="25" s="1"/>
  <c r="AQ424" i="22"/>
  <c r="BN424" i="25" s="1"/>
  <c r="BV424" i="25" s="1"/>
  <c r="BX424" i="25" s="1"/>
  <c r="AQ446" i="22"/>
  <c r="BN446" i="25" s="1"/>
  <c r="BV446" i="25" s="1"/>
  <c r="BX446" i="25" s="1"/>
  <c r="AQ451" i="22"/>
  <c r="BN451" i="25" s="1"/>
  <c r="BV451" i="25" s="1"/>
  <c r="BX451" i="25" s="1"/>
  <c r="AQ453" i="22"/>
  <c r="BN453" i="25" s="1"/>
  <c r="BV453" i="25" s="1"/>
  <c r="BX453" i="25" s="1"/>
  <c r="AQ455" i="22"/>
  <c r="BN455" i="25" s="1"/>
  <c r="BV455" i="25" s="1"/>
  <c r="BX455" i="25" s="1"/>
  <c r="AQ460" i="22"/>
  <c r="BN460" i="25" s="1"/>
  <c r="BV460" i="25" s="1"/>
  <c r="BX460" i="25" s="1"/>
  <c r="AQ462" i="22"/>
  <c r="BN462" i="25" s="1"/>
  <c r="BV462" i="25" s="1"/>
  <c r="BX462" i="25" s="1"/>
  <c r="AQ467" i="22"/>
  <c r="BN467" i="25" s="1"/>
  <c r="BV467" i="25" s="1"/>
  <c r="BX467" i="25" s="1"/>
  <c r="AQ469" i="22"/>
  <c r="BN469" i="25" s="1"/>
  <c r="BV469" i="25" s="1"/>
  <c r="BX469" i="25" s="1"/>
  <c r="AQ471" i="22"/>
  <c r="BN471" i="25" s="1"/>
  <c r="BV471" i="25" s="1"/>
  <c r="BX471" i="25" s="1"/>
  <c r="AQ473" i="22"/>
  <c r="BN473" i="25" s="1"/>
  <c r="BV473" i="25" s="1"/>
  <c r="BX473" i="25" s="1"/>
  <c r="AQ475" i="22"/>
  <c r="BN475" i="25" s="1"/>
  <c r="BV475" i="25" s="1"/>
  <c r="BX475" i="25" s="1"/>
  <c r="AQ477" i="22"/>
  <c r="BN477" i="25" s="1"/>
  <c r="BV477" i="25" s="1"/>
  <c r="BX477" i="25" s="1"/>
  <c r="AQ479" i="22"/>
  <c r="BN479" i="25" s="1"/>
  <c r="BV479" i="25" s="1"/>
  <c r="BX479" i="25" s="1"/>
  <c r="AQ481" i="22"/>
  <c r="BN481" i="25" s="1"/>
  <c r="BV481" i="25" s="1"/>
  <c r="BX481" i="25" s="1"/>
  <c r="AQ483" i="22"/>
  <c r="BN483" i="25" s="1"/>
  <c r="BV483" i="25" s="1"/>
  <c r="BX483" i="25" s="1"/>
  <c r="AQ485" i="22"/>
  <c r="BN485" i="25" s="1"/>
  <c r="BV485" i="25" s="1"/>
  <c r="BX485" i="25" s="1"/>
  <c r="AQ487" i="22"/>
  <c r="BN487" i="25" s="1"/>
  <c r="BV487" i="25" s="1"/>
  <c r="BX487" i="25" s="1"/>
  <c r="AQ489" i="22"/>
  <c r="BN489" i="25" s="1"/>
  <c r="BV489" i="25" s="1"/>
  <c r="BX489" i="25" s="1"/>
  <c r="AQ541" i="22"/>
  <c r="BN541" i="25" s="1"/>
  <c r="BV541" i="25" s="1"/>
  <c r="BX541" i="25" s="1"/>
  <c r="AQ543" i="22"/>
  <c r="BN543" i="25" s="1"/>
  <c r="BV543" i="25" s="1"/>
  <c r="BX543" i="25" s="1"/>
  <c r="AQ545" i="22"/>
  <c r="BN545" i="25" s="1"/>
  <c r="BV545" i="25" s="1"/>
  <c r="BX545" i="25" s="1"/>
  <c r="AQ547" i="22"/>
  <c r="BN547" i="25" s="1"/>
  <c r="BV547" i="25" s="1"/>
  <c r="BX547" i="25" s="1"/>
  <c r="AQ550" i="22"/>
  <c r="BN550" i="25" s="1"/>
  <c r="BV550" i="25" s="1"/>
  <c r="BX550" i="25" s="1"/>
  <c r="AQ552" i="22"/>
  <c r="BN552" i="25" s="1"/>
  <c r="BV552" i="25" s="1"/>
  <c r="BX552" i="25" s="1"/>
  <c r="AQ556" i="22"/>
  <c r="BN556" i="25" s="1"/>
  <c r="BV556" i="25" s="1"/>
  <c r="BX556" i="25" s="1"/>
  <c r="AQ558" i="22"/>
  <c r="BN558" i="25" s="1"/>
  <c r="BV558" i="25" s="1"/>
  <c r="BX558" i="25" s="1"/>
  <c r="AQ562" i="22"/>
  <c r="BN562" i="25" s="1"/>
  <c r="BV562" i="25" s="1"/>
  <c r="BX562" i="25" s="1"/>
  <c r="AQ568" i="22"/>
  <c r="BN568" i="25" s="1"/>
  <c r="BV568" i="25" s="1"/>
  <c r="BX568" i="25" s="1"/>
  <c r="BN570" i="25"/>
  <c r="BV570" i="25" s="1"/>
  <c r="BX570" i="25" s="1"/>
  <c r="AQ572" i="22"/>
  <c r="BN572" i="25" s="1"/>
  <c r="BV572" i="25" s="1"/>
  <c r="BX572" i="25" s="1"/>
  <c r="AQ577" i="22"/>
  <c r="BN577" i="25" s="1"/>
  <c r="BV577" i="25" s="1"/>
  <c r="BX577" i="25" s="1"/>
  <c r="AQ601" i="22"/>
  <c r="BN601" i="25" s="1"/>
  <c r="BV601" i="25" s="1"/>
  <c r="BX601" i="25" s="1"/>
  <c r="AQ603" i="22"/>
  <c r="BN603" i="25" s="1"/>
  <c r="BV603" i="25" s="1"/>
  <c r="BX603" i="25" s="1"/>
  <c r="AQ605" i="22"/>
  <c r="BN605" i="25" s="1"/>
  <c r="BV605" i="25" s="1"/>
  <c r="BX605" i="25" s="1"/>
  <c r="AQ607" i="22"/>
  <c r="BN607" i="25" s="1"/>
  <c r="BV607" i="25" s="1"/>
  <c r="BX607" i="25" s="1"/>
  <c r="AQ609" i="22"/>
  <c r="BN609" i="25" s="1"/>
  <c r="AQ611" i="22"/>
  <c r="BN611" i="25" s="1"/>
  <c r="BV611" i="25" s="1"/>
  <c r="BX611" i="25" s="1"/>
  <c r="AQ623" i="22"/>
  <c r="BN623" i="25" s="1"/>
  <c r="BV623" i="25" s="1"/>
  <c r="BX623" i="25" s="1"/>
  <c r="AQ625" i="22"/>
  <c r="BN625" i="25" s="1"/>
  <c r="BV625" i="25" s="1"/>
  <c r="BX625" i="25" s="1"/>
  <c r="AQ627" i="22"/>
  <c r="BN627" i="25" s="1"/>
  <c r="BV627" i="25" s="1"/>
  <c r="BX627" i="25" s="1"/>
  <c r="AQ630" i="22"/>
  <c r="BN630" i="25" s="1"/>
  <c r="BV630" i="25" s="1"/>
  <c r="BX630" i="25" s="1"/>
  <c r="AQ632" i="22"/>
  <c r="BN632" i="25" s="1"/>
  <c r="BV632" i="25" s="1"/>
  <c r="BX632" i="25" s="1"/>
  <c r="AQ591" i="22"/>
  <c r="BN591" i="25" s="1"/>
  <c r="BV591" i="25" s="1"/>
  <c r="BX591" i="25" s="1"/>
  <c r="AQ593" i="22"/>
  <c r="BN593" i="25" s="1"/>
  <c r="BV593" i="25" s="1"/>
  <c r="BX593" i="25" s="1"/>
  <c r="AQ490" i="22"/>
  <c r="BN490" i="25" s="1"/>
  <c r="BV490" i="25" s="1"/>
  <c r="BX490" i="25" s="1"/>
  <c r="AQ491" i="22"/>
  <c r="BN491" i="25" s="1"/>
  <c r="BV491" i="25" s="1"/>
  <c r="BX491" i="25" s="1"/>
  <c r="AQ502" i="22"/>
  <c r="BN502" i="25" s="1"/>
  <c r="BV502" i="25" s="1"/>
  <c r="BX502" i="25" s="1"/>
  <c r="AQ503" i="22"/>
  <c r="BN503" i="25" s="1"/>
  <c r="BV503" i="25" s="1"/>
  <c r="BX503" i="25" s="1"/>
  <c r="AQ504" i="22"/>
  <c r="BN504" i="25" s="1"/>
  <c r="BV504" i="25" s="1"/>
  <c r="BX504" i="25" s="1"/>
  <c r="AQ505" i="22"/>
  <c r="BN505" i="25" s="1"/>
  <c r="BV505" i="25" s="1"/>
  <c r="BX505" i="25" s="1"/>
  <c r="AQ506" i="22"/>
  <c r="BN506" i="25" s="1"/>
  <c r="BV506" i="25" s="1"/>
  <c r="BX506" i="25" s="1"/>
  <c r="AQ507" i="22"/>
  <c r="BN507" i="25" s="1"/>
  <c r="BV507" i="25" s="1"/>
  <c r="BX507" i="25" s="1"/>
  <c r="AQ508" i="22"/>
  <c r="BN508" i="25" s="1"/>
  <c r="BV508" i="25" s="1"/>
  <c r="BX508" i="25" s="1"/>
  <c r="AQ509" i="22"/>
  <c r="BN509" i="25" s="1"/>
  <c r="BV509" i="25" s="1"/>
  <c r="BX509" i="25" s="1"/>
  <c r="AQ510" i="22"/>
  <c r="BN510" i="25" s="1"/>
  <c r="BV510" i="25" s="1"/>
  <c r="BX510" i="25" s="1"/>
  <c r="AQ511" i="22"/>
  <c r="BN511" i="25" s="1"/>
  <c r="BV511" i="25" s="1"/>
  <c r="BX511" i="25" s="1"/>
  <c r="AQ512" i="22"/>
  <c r="BN512" i="25" s="1"/>
  <c r="BV512" i="25" s="1"/>
  <c r="BX512" i="25" s="1"/>
  <c r="AQ514" i="22"/>
  <c r="BN514" i="25" s="1"/>
  <c r="BV514" i="25" s="1"/>
  <c r="BX514" i="25" s="1"/>
  <c r="AQ515" i="22"/>
  <c r="BN515" i="25" s="1"/>
  <c r="BV515" i="25" s="1"/>
  <c r="BX515" i="25" s="1"/>
  <c r="AQ516" i="22"/>
  <c r="BN516" i="25" s="1"/>
  <c r="BV516" i="25" s="1"/>
  <c r="BX516" i="25" s="1"/>
  <c r="AQ517" i="22"/>
  <c r="BN517" i="25" s="1"/>
  <c r="BV517" i="25" s="1"/>
  <c r="BX517" i="25" s="1"/>
  <c r="AQ520" i="22"/>
  <c r="BN520" i="25" s="1"/>
  <c r="BV520" i="25" s="1"/>
  <c r="BX520" i="25" s="1"/>
  <c r="AQ523" i="22"/>
  <c r="BN523" i="25" s="1"/>
  <c r="BV523" i="25" s="1"/>
  <c r="BX523" i="25" s="1"/>
  <c r="AQ524" i="22"/>
  <c r="BN524" i="25" s="1"/>
  <c r="BV524" i="25" s="1"/>
  <c r="BX524" i="25" s="1"/>
  <c r="AQ525" i="22"/>
  <c r="BN525" i="25" s="1"/>
  <c r="BV525" i="25" s="1"/>
  <c r="BX525" i="25" s="1"/>
  <c r="AQ529" i="22"/>
  <c r="BN529" i="25" s="1"/>
  <c r="BV529" i="25" s="1"/>
  <c r="BX529" i="25" s="1"/>
  <c r="AQ532" i="22"/>
  <c r="BN532" i="25" s="1"/>
  <c r="BV532" i="25" s="1"/>
  <c r="BX532" i="25" s="1"/>
  <c r="AQ533" i="22"/>
  <c r="BN533" i="25" s="1"/>
  <c r="BV533" i="25" s="1"/>
  <c r="BX533" i="25" s="1"/>
  <c r="AQ534" i="22"/>
  <c r="BN534" i="25" s="1"/>
  <c r="BV534" i="25" s="1"/>
  <c r="BX534" i="25" s="1"/>
  <c r="AQ535" i="22"/>
  <c r="BN535" i="25" s="1"/>
  <c r="BV535" i="25" s="1"/>
  <c r="BX535" i="25" s="1"/>
  <c r="AQ536" i="22"/>
  <c r="BN536" i="25" s="1"/>
  <c r="BV536" i="25" s="1"/>
  <c r="BX536" i="25" s="1"/>
  <c r="AQ537" i="22"/>
  <c r="BN537" i="25" s="1"/>
  <c r="BV537" i="25" s="1"/>
  <c r="BX537" i="25" s="1"/>
  <c r="AQ439" i="22"/>
  <c r="BN439" i="25" s="1"/>
  <c r="BV439" i="25" s="1"/>
  <c r="BX439" i="25" s="1"/>
  <c r="AQ350" i="22"/>
  <c r="BN350" i="25" s="1"/>
  <c r="BV350" i="25" s="1"/>
  <c r="BX350" i="25" s="1"/>
  <c r="AQ352" i="22"/>
  <c r="BN352" i="25" s="1"/>
  <c r="BV352" i="25" s="1"/>
  <c r="BX352" i="25" s="1"/>
  <c r="AQ354" i="22"/>
  <c r="BN354" i="25" s="1"/>
  <c r="BV354" i="25" s="1"/>
  <c r="BX354" i="25" s="1"/>
  <c r="AQ357" i="22"/>
  <c r="BN357" i="25" s="1"/>
  <c r="BV357" i="25" s="1"/>
  <c r="BX357" i="25" s="1"/>
  <c r="AQ359" i="22"/>
  <c r="BN359" i="25" s="1"/>
  <c r="BV359" i="25" s="1"/>
  <c r="BX359" i="25" s="1"/>
  <c r="AQ363" i="22"/>
  <c r="BN363" i="25" s="1"/>
  <c r="BV363" i="25" s="1"/>
  <c r="BX363" i="25" s="1"/>
  <c r="AQ365" i="22"/>
  <c r="BN365" i="25" s="1"/>
  <c r="BV365" i="25" s="1"/>
  <c r="BX365" i="25" s="1"/>
  <c r="AQ367" i="22"/>
  <c r="BN367" i="25" s="1"/>
  <c r="BV367" i="25" s="1"/>
  <c r="BX367" i="25" s="1"/>
  <c r="AQ369" i="22"/>
  <c r="BN369" i="25" s="1"/>
  <c r="BV369" i="25" s="1"/>
  <c r="BX369" i="25" s="1"/>
  <c r="AQ371" i="22"/>
  <c r="BN371" i="25" s="1"/>
  <c r="BV371" i="25" s="1"/>
  <c r="BX371" i="25" s="1"/>
  <c r="AQ373" i="22"/>
  <c r="BN373" i="25" s="1"/>
  <c r="BV373" i="25" s="1"/>
  <c r="BX373" i="25" s="1"/>
  <c r="AQ375" i="22"/>
  <c r="AQ422" i="22"/>
  <c r="BN422" i="25" s="1"/>
  <c r="BV422" i="25" s="1"/>
  <c r="BX422" i="25" s="1"/>
  <c r="AQ443" i="22"/>
  <c r="BN443" i="25" s="1"/>
  <c r="BV443" i="25" s="1"/>
  <c r="BX443" i="25" s="1"/>
  <c r="AQ447" i="22"/>
  <c r="BN447" i="25" s="1"/>
  <c r="BV447" i="25" s="1"/>
  <c r="BX447" i="25" s="1"/>
  <c r="AQ449" i="22"/>
  <c r="BN449" i="25" s="1"/>
  <c r="BV449" i="25" s="1"/>
  <c r="BX449" i="25" s="1"/>
  <c r="AQ452" i="22"/>
  <c r="BN452" i="25" s="1"/>
  <c r="BV452" i="25" s="1"/>
  <c r="BX452" i="25" s="1"/>
  <c r="AQ454" i="22"/>
  <c r="BN454" i="25" s="1"/>
  <c r="BV454" i="25" s="1"/>
  <c r="BX454" i="25" s="1"/>
  <c r="AQ456" i="22"/>
  <c r="BN456" i="25" s="1"/>
  <c r="BV456" i="25" s="1"/>
  <c r="BX456" i="25" s="1"/>
  <c r="AQ461" i="22"/>
  <c r="BN461" i="25" s="1"/>
  <c r="BV461" i="25" s="1"/>
  <c r="BX461" i="25" s="1"/>
  <c r="AQ463" i="22"/>
  <c r="BN463" i="25" s="1"/>
  <c r="BV463" i="25" s="1"/>
  <c r="BX463" i="25" s="1"/>
  <c r="AQ465" i="22"/>
  <c r="BN465" i="25" s="1"/>
  <c r="BV465" i="25" s="1"/>
  <c r="BX465" i="25" s="1"/>
  <c r="AQ468" i="22"/>
  <c r="BN468" i="25" s="1"/>
  <c r="BV468" i="25" s="1"/>
  <c r="BX468" i="25" s="1"/>
  <c r="AQ470" i="22"/>
  <c r="BN470" i="25" s="1"/>
  <c r="BV470" i="25" s="1"/>
  <c r="BX470" i="25" s="1"/>
  <c r="AQ472" i="22"/>
  <c r="BN472" i="25" s="1"/>
  <c r="BV472" i="25" s="1"/>
  <c r="BX472" i="25" s="1"/>
  <c r="AQ474" i="22"/>
  <c r="BN474" i="25" s="1"/>
  <c r="BV474" i="25" s="1"/>
  <c r="BX474" i="25" s="1"/>
  <c r="AQ476" i="22"/>
  <c r="BN476" i="25" s="1"/>
  <c r="BV476" i="25" s="1"/>
  <c r="BX476" i="25" s="1"/>
  <c r="AQ478" i="22"/>
  <c r="BN478" i="25" s="1"/>
  <c r="BV478" i="25" s="1"/>
  <c r="BX478" i="25" s="1"/>
  <c r="AQ480" i="22"/>
  <c r="BN480" i="25" s="1"/>
  <c r="BV480" i="25" s="1"/>
  <c r="BX480" i="25" s="1"/>
  <c r="AQ482" i="22"/>
  <c r="BN482" i="25" s="1"/>
  <c r="BV482" i="25" s="1"/>
  <c r="BX482" i="25" s="1"/>
  <c r="AQ484" i="22"/>
  <c r="BN484" i="25" s="1"/>
  <c r="BV484" i="25" s="1"/>
  <c r="BX484" i="25" s="1"/>
  <c r="AQ486" i="22"/>
  <c r="BN486" i="25" s="1"/>
  <c r="BV486" i="25" s="1"/>
  <c r="BX486" i="25" s="1"/>
  <c r="AQ488" i="22"/>
  <c r="BN488" i="25" s="1"/>
  <c r="BV488" i="25" s="1"/>
  <c r="BX488" i="25" s="1"/>
  <c r="AQ540" i="22"/>
  <c r="BN540" i="25" s="1"/>
  <c r="BV540" i="25" s="1"/>
  <c r="BX540" i="25" s="1"/>
  <c r="AQ542" i="22"/>
  <c r="BN542" i="25" s="1"/>
  <c r="BV542" i="25" s="1"/>
  <c r="BX542" i="25" s="1"/>
  <c r="AQ544" i="22"/>
  <c r="BN544" i="25" s="1"/>
  <c r="BV544" i="25" s="1"/>
  <c r="BX544" i="25" s="1"/>
  <c r="AQ546" i="22"/>
  <c r="BN546" i="25" s="1"/>
  <c r="BV546" i="25" s="1"/>
  <c r="BX546" i="25" s="1"/>
  <c r="AQ549" i="22"/>
  <c r="BN549" i="25" s="1"/>
  <c r="BV549" i="25" s="1"/>
  <c r="BX549" i="25" s="1"/>
  <c r="AQ551" i="22"/>
  <c r="BN551" i="25" s="1"/>
  <c r="BV551" i="25" s="1"/>
  <c r="BX551" i="25" s="1"/>
  <c r="AQ553" i="22"/>
  <c r="BN553" i="25" s="1"/>
  <c r="BV553" i="25" s="1"/>
  <c r="BX553" i="25" s="1"/>
  <c r="AQ555" i="22"/>
  <c r="BN555" i="25" s="1"/>
  <c r="BV555" i="25" s="1"/>
  <c r="BX555" i="25" s="1"/>
  <c r="AQ557" i="22"/>
  <c r="BN557" i="25" s="1"/>
  <c r="BV557" i="25" s="1"/>
  <c r="BX557" i="25" s="1"/>
  <c r="AQ559" i="22"/>
  <c r="BN559" i="25" s="1"/>
  <c r="BV559" i="25" s="1"/>
  <c r="BX559" i="25" s="1"/>
  <c r="AQ561" i="22"/>
  <c r="BN561" i="25" s="1"/>
  <c r="BV561" i="25" s="1"/>
  <c r="BX561" i="25" s="1"/>
  <c r="AQ565" i="22"/>
  <c r="BN565" i="25" s="1"/>
  <c r="BV565" i="25" s="1"/>
  <c r="BX565" i="25" s="1"/>
  <c r="AQ571" i="22"/>
  <c r="BN571" i="25" s="1"/>
  <c r="BV571" i="25" s="1"/>
  <c r="BX571" i="25" s="1"/>
  <c r="AQ573" i="22"/>
  <c r="BN573" i="25" s="1"/>
  <c r="BV573" i="25" s="1"/>
  <c r="BX573" i="25" s="1"/>
  <c r="AQ575" i="22"/>
  <c r="BN575" i="25" s="1"/>
  <c r="BV575" i="25" s="1"/>
  <c r="BX575" i="25" s="1"/>
  <c r="AQ600" i="22"/>
  <c r="BN600" i="25" s="1"/>
  <c r="BV600" i="25" s="1"/>
  <c r="BX600" i="25" s="1"/>
  <c r="AQ602" i="22"/>
  <c r="BN602" i="25" s="1"/>
  <c r="BV602" i="25" s="1"/>
  <c r="BX602" i="25" s="1"/>
  <c r="AQ604" i="22"/>
  <c r="BN604" i="25" s="1"/>
  <c r="BV604" i="25" s="1"/>
  <c r="BX604" i="25" s="1"/>
  <c r="AQ606" i="22"/>
  <c r="BN606" i="25" s="1"/>
  <c r="BV606" i="25" s="1"/>
  <c r="BX606" i="25" s="1"/>
  <c r="AQ608" i="22"/>
  <c r="BN608" i="25" s="1"/>
  <c r="BV608" i="25" s="1"/>
  <c r="BX608" i="25" s="1"/>
  <c r="AQ610" i="22"/>
  <c r="BN610" i="25" s="1"/>
  <c r="BV610" i="25" s="1"/>
  <c r="BX610" i="25" s="1"/>
  <c r="AQ612" i="22"/>
  <c r="BN612" i="25" s="1"/>
  <c r="BV612" i="25" s="1"/>
  <c r="BX612" i="25" s="1"/>
  <c r="AQ624" i="22"/>
  <c r="BN624" i="25" s="1"/>
  <c r="BV624" i="25" s="1"/>
  <c r="BX624" i="25" s="1"/>
  <c r="AQ626" i="22"/>
  <c r="BN626" i="25" s="1"/>
  <c r="BV626" i="25" s="1"/>
  <c r="BX626" i="25" s="1"/>
  <c r="AQ629" i="22"/>
  <c r="BN629" i="25" s="1"/>
  <c r="BV629" i="25" s="1"/>
  <c r="BX629" i="25" s="1"/>
  <c r="AQ631" i="22"/>
  <c r="BN631" i="25" s="1"/>
  <c r="BV631" i="25" s="1"/>
  <c r="BX631" i="25" s="1"/>
  <c r="AQ429" i="22"/>
  <c r="BN429" i="25" s="1"/>
  <c r="BV429" i="25" s="1"/>
  <c r="BX429" i="25" s="1"/>
  <c r="AQ592" i="22"/>
  <c r="BN592" i="25" s="1"/>
  <c r="BV592" i="25" s="1"/>
  <c r="BX592" i="25" s="1"/>
  <c r="AQ492" i="22"/>
  <c r="BN492" i="25" s="1"/>
  <c r="BV492" i="25" s="1"/>
  <c r="BX492" i="25" s="1"/>
  <c r="AQ527" i="22"/>
  <c r="BN527" i="25" s="1"/>
  <c r="BV527" i="25" s="1"/>
  <c r="BX527" i="25" s="1"/>
  <c r="AQ538" i="22"/>
  <c r="BN538" i="25" s="1"/>
  <c r="BV538" i="25" s="1"/>
  <c r="BX538" i="25" s="1"/>
  <c r="AQ539" i="22"/>
  <c r="BN539" i="25" s="1"/>
  <c r="BV539" i="25" s="1"/>
  <c r="BX539" i="25" s="1"/>
  <c r="AQ501" i="22"/>
  <c r="BN501" i="25" s="1"/>
  <c r="BV501" i="25" s="1"/>
  <c r="BX501" i="25" s="1"/>
  <c r="AQ497" i="22"/>
  <c r="BN497" i="25" s="1"/>
  <c r="BV497" i="25" s="1"/>
  <c r="BX497" i="25" s="1"/>
  <c r="AQ441" i="22"/>
  <c r="BN441" i="25" s="1"/>
  <c r="BV441" i="25" s="1"/>
  <c r="BX441" i="25" s="1"/>
  <c r="AQ170" i="22"/>
  <c r="BN170" i="25" s="1"/>
  <c r="BV170" i="25" s="1"/>
  <c r="BX170" i="25" s="1"/>
  <c r="AQ307" i="22"/>
  <c r="BN307" i="25" s="1"/>
  <c r="BV307" i="25" s="1"/>
  <c r="BX307" i="25" s="1"/>
  <c r="AQ162" i="22"/>
  <c r="BN162" i="25" s="1"/>
  <c r="BV162" i="25" s="1"/>
  <c r="BX162" i="25" s="1"/>
  <c r="AQ167" i="22"/>
  <c r="BN167" i="25" s="1"/>
  <c r="BV167" i="25" s="1"/>
  <c r="BX167" i="25" s="1"/>
  <c r="AQ169" i="22"/>
  <c r="BN169" i="25" s="1"/>
  <c r="BV169" i="25" s="1"/>
  <c r="BX169" i="25" s="1"/>
  <c r="AQ177" i="22"/>
  <c r="BN177" i="25" s="1"/>
  <c r="BV177" i="25" s="1"/>
  <c r="BX177" i="25" s="1"/>
  <c r="AQ214" i="22"/>
  <c r="BN214" i="25" s="1"/>
  <c r="BV214" i="25" s="1"/>
  <c r="BX214" i="25" s="1"/>
  <c r="AQ218" i="22"/>
  <c r="BN218" i="25" s="1"/>
  <c r="BV218" i="25" s="1"/>
  <c r="BX218" i="25" s="1"/>
  <c r="AQ220" i="22"/>
  <c r="BN220" i="25" s="1"/>
  <c r="BV220" i="25" s="1"/>
  <c r="BX220" i="25" s="1"/>
  <c r="AQ222" i="22"/>
  <c r="BN222" i="25" s="1"/>
  <c r="BV222" i="25" s="1"/>
  <c r="BX222" i="25" s="1"/>
  <c r="AQ226" i="22"/>
  <c r="BN226" i="25" s="1"/>
  <c r="BV226" i="25" s="1"/>
  <c r="BX226" i="25" s="1"/>
  <c r="AQ228" i="22"/>
  <c r="BN228" i="25" s="1"/>
  <c r="BV228" i="25" s="1"/>
  <c r="BX228" i="25" s="1"/>
  <c r="AQ230" i="22"/>
  <c r="BN230" i="25" s="1"/>
  <c r="BV230" i="25" s="1"/>
  <c r="BX230" i="25" s="1"/>
  <c r="AQ232" i="22"/>
  <c r="BN232" i="25" s="1"/>
  <c r="BV232" i="25" s="1"/>
  <c r="BX232" i="25" s="1"/>
  <c r="AQ234" i="22"/>
  <c r="BN234" i="25" s="1"/>
  <c r="BV234" i="25" s="1"/>
  <c r="BX234" i="25" s="1"/>
  <c r="AQ236" i="22"/>
  <c r="BN236" i="25" s="1"/>
  <c r="BV236" i="25" s="1"/>
  <c r="BX236" i="25" s="1"/>
  <c r="AQ238" i="22"/>
  <c r="BN238" i="25" s="1"/>
  <c r="BV238" i="25" s="1"/>
  <c r="BX238" i="25" s="1"/>
  <c r="AQ240" i="22"/>
  <c r="BN240" i="25" s="1"/>
  <c r="BV240" i="25" s="1"/>
  <c r="BX240" i="25" s="1"/>
  <c r="AQ242" i="22"/>
  <c r="BN242" i="25" s="1"/>
  <c r="BV242" i="25" s="1"/>
  <c r="BX242" i="25" s="1"/>
  <c r="AQ246" i="22"/>
  <c r="BN246" i="25" s="1"/>
  <c r="BV246" i="25" s="1"/>
  <c r="BX246" i="25" s="1"/>
  <c r="AQ248" i="22"/>
  <c r="BN248" i="25" s="1"/>
  <c r="BV248" i="25" s="1"/>
  <c r="BX248" i="25" s="1"/>
  <c r="AQ250" i="22"/>
  <c r="BN250" i="25" s="1"/>
  <c r="BV250" i="25" s="1"/>
  <c r="BX250" i="25" s="1"/>
  <c r="AQ253" i="22"/>
  <c r="BN253" i="25" s="1"/>
  <c r="BV253" i="25" s="1"/>
  <c r="BX253" i="25" s="1"/>
  <c r="AQ255" i="22"/>
  <c r="BN255" i="25" s="1"/>
  <c r="BV255" i="25" s="1"/>
  <c r="BX255" i="25" s="1"/>
  <c r="AQ257" i="22"/>
  <c r="BN257" i="25" s="1"/>
  <c r="BV257" i="25" s="1"/>
  <c r="BX257" i="25" s="1"/>
  <c r="AQ277" i="22"/>
  <c r="BN277" i="25" s="1"/>
  <c r="BV277" i="25" s="1"/>
  <c r="BX277" i="25" s="1"/>
  <c r="AQ279" i="22"/>
  <c r="BN279" i="25" s="1"/>
  <c r="BV279" i="25" s="1"/>
  <c r="BX279" i="25" s="1"/>
  <c r="AQ281" i="22"/>
  <c r="BN281" i="25" s="1"/>
  <c r="BV281" i="25" s="1"/>
  <c r="BX281" i="25" s="1"/>
  <c r="AQ283" i="22"/>
  <c r="BN283" i="25" s="1"/>
  <c r="BV283" i="25" s="1"/>
  <c r="BX283" i="25" s="1"/>
  <c r="AQ287" i="22"/>
  <c r="BN287" i="25" s="1"/>
  <c r="BV287" i="25" s="1"/>
  <c r="BX287" i="25" s="1"/>
  <c r="AQ289" i="22"/>
  <c r="BN289" i="25" s="1"/>
  <c r="BV289" i="25" s="1"/>
  <c r="BX289" i="25" s="1"/>
  <c r="AQ293" i="22"/>
  <c r="BN293" i="25" s="1"/>
  <c r="BV293" i="25" s="1"/>
  <c r="BX293" i="25" s="1"/>
  <c r="AQ295" i="22"/>
  <c r="BN295" i="25" s="1"/>
  <c r="BV295" i="25" s="1"/>
  <c r="BX295" i="25" s="1"/>
  <c r="AQ298" i="22"/>
  <c r="BN298" i="25" s="1"/>
  <c r="BV298" i="25" s="1"/>
  <c r="BX298" i="25" s="1"/>
  <c r="AQ301" i="22"/>
  <c r="BN301" i="25" s="1"/>
  <c r="BV301" i="25" s="1"/>
  <c r="BX301" i="25" s="1"/>
  <c r="AQ299" i="22"/>
  <c r="BN299" i="25" s="1"/>
  <c r="BV299" i="25" s="1"/>
  <c r="BX299" i="25" s="1"/>
  <c r="AQ304" i="22"/>
  <c r="BN304" i="25" s="1"/>
  <c r="BV304" i="25" s="1"/>
  <c r="BX304" i="25" s="1"/>
  <c r="AQ309" i="22"/>
  <c r="BN309" i="25" s="1"/>
  <c r="BV309" i="25" s="1"/>
  <c r="BX309" i="25" s="1"/>
  <c r="AQ311" i="22"/>
  <c r="BN311" i="25" s="1"/>
  <c r="BV311" i="25" s="1"/>
  <c r="BX311" i="25" s="1"/>
  <c r="AQ313" i="22"/>
  <c r="BN313" i="25" s="1"/>
  <c r="BV313" i="25" s="1"/>
  <c r="BX313" i="25" s="1"/>
  <c r="AQ315" i="22"/>
  <c r="BN315" i="25" s="1"/>
  <c r="BV315" i="25" s="1"/>
  <c r="BX315" i="25" s="1"/>
  <c r="AQ317" i="22"/>
  <c r="BN317" i="25" s="1"/>
  <c r="BV317" i="25" s="1"/>
  <c r="BX317" i="25" s="1"/>
  <c r="BN319" i="25"/>
  <c r="BV319" i="25" s="1"/>
  <c r="BX319" i="25" s="1"/>
  <c r="AQ321" i="22"/>
  <c r="BN321" i="25" s="1"/>
  <c r="BV321" i="25" s="1"/>
  <c r="BX321" i="25" s="1"/>
  <c r="AQ323" i="22"/>
  <c r="BN323" i="25" s="1"/>
  <c r="BV323" i="25" s="1"/>
  <c r="BX323" i="25" s="1"/>
  <c r="AQ327" i="22"/>
  <c r="AQ330" i="22"/>
  <c r="AQ334" i="22"/>
  <c r="BN334" i="25" s="1"/>
  <c r="BV334" i="25" s="1"/>
  <c r="BX334" i="25" s="1"/>
  <c r="AQ336" i="22"/>
  <c r="AQ339" i="22"/>
  <c r="BN339" i="25" s="1"/>
  <c r="BV339" i="25" s="1"/>
  <c r="BX339" i="25" s="1"/>
  <c r="AQ341" i="22"/>
  <c r="BN341" i="25" s="1"/>
  <c r="BV341" i="25" s="1"/>
  <c r="BX341" i="25" s="1"/>
  <c r="AQ343" i="22"/>
  <c r="BN343" i="25" s="1"/>
  <c r="BV343" i="25" s="1"/>
  <c r="BX343" i="25" s="1"/>
  <c r="AQ345" i="22"/>
  <c r="BN345" i="25" s="1"/>
  <c r="BV345" i="25" s="1"/>
  <c r="BX345" i="25" s="1"/>
  <c r="AQ347" i="22"/>
  <c r="BN347" i="25" s="1"/>
  <c r="BV347" i="25" s="1"/>
  <c r="BX347" i="25" s="1"/>
  <c r="AQ190" i="22"/>
  <c r="BN190" i="25" s="1"/>
  <c r="BV190" i="25" s="1"/>
  <c r="BX190" i="25" s="1"/>
  <c r="AQ192" i="22"/>
  <c r="BN192" i="25" s="1"/>
  <c r="BV192" i="25" s="1"/>
  <c r="BX192" i="25" s="1"/>
  <c r="AQ210" i="22"/>
  <c r="BN210" i="25" s="1"/>
  <c r="BV210" i="25" s="1"/>
  <c r="BX210" i="25" s="1"/>
  <c r="AQ263" i="22"/>
  <c r="BN263" i="25" s="1"/>
  <c r="BV263" i="25" s="1"/>
  <c r="BX263" i="25" s="1"/>
  <c r="AQ267" i="22"/>
  <c r="BN267" i="25" s="1"/>
  <c r="BV267" i="25" s="1"/>
  <c r="BX267" i="25" s="1"/>
  <c r="AQ268" i="22"/>
  <c r="BN268" i="25" s="1"/>
  <c r="BV268" i="25" s="1"/>
  <c r="BX268" i="25" s="1"/>
  <c r="BX284" i="25"/>
  <c r="AQ163" i="22"/>
  <c r="BN163" i="25" s="1"/>
  <c r="BV163" i="25" s="1"/>
  <c r="BX163" i="25" s="1"/>
  <c r="AQ168" i="22"/>
  <c r="BN168" i="25" s="1"/>
  <c r="BV168" i="25" s="1"/>
  <c r="BX168" i="25" s="1"/>
  <c r="AQ174" i="22"/>
  <c r="BN174" i="25" s="1"/>
  <c r="BV174" i="25" s="1"/>
  <c r="BX174" i="25" s="1"/>
  <c r="AQ213" i="22"/>
  <c r="BN213" i="25" s="1"/>
  <c r="BV213" i="25" s="1"/>
  <c r="BX213" i="25" s="1"/>
  <c r="AQ215" i="22"/>
  <c r="BN215" i="25" s="1"/>
  <c r="BV215" i="25" s="1"/>
  <c r="BX215" i="25" s="1"/>
  <c r="AQ217" i="22"/>
  <c r="BN217" i="25" s="1"/>
  <c r="BV217" i="25" s="1"/>
  <c r="BX217" i="25" s="1"/>
  <c r="AQ219" i="22"/>
  <c r="BN219" i="25" s="1"/>
  <c r="BV219" i="25" s="1"/>
  <c r="BX219" i="25" s="1"/>
  <c r="AQ223" i="22"/>
  <c r="BN223" i="25" s="1"/>
  <c r="BV223" i="25" s="1"/>
  <c r="BX223" i="25" s="1"/>
  <c r="AQ225" i="22"/>
  <c r="BN225" i="25" s="1"/>
  <c r="BV225" i="25" s="1"/>
  <c r="BX225" i="25" s="1"/>
  <c r="AQ227" i="22"/>
  <c r="BN227" i="25" s="1"/>
  <c r="BV227" i="25" s="1"/>
  <c r="AQ229" i="22"/>
  <c r="BN229" i="25" s="1"/>
  <c r="BV229" i="25" s="1"/>
  <c r="BX229" i="25" s="1"/>
  <c r="AQ231" i="22"/>
  <c r="BN231" i="25" s="1"/>
  <c r="BV231" i="25" s="1"/>
  <c r="BX231" i="25" s="1"/>
  <c r="AQ235" i="22"/>
  <c r="BN235" i="25" s="1"/>
  <c r="AQ237" i="22"/>
  <c r="BN237" i="25" s="1"/>
  <c r="BV237" i="25" s="1"/>
  <c r="BX237" i="25" s="1"/>
  <c r="AQ243" i="22"/>
  <c r="BN243" i="25" s="1"/>
  <c r="BV243" i="25" s="1"/>
  <c r="BX243" i="25" s="1"/>
  <c r="AQ245" i="22"/>
  <c r="BN245" i="25" s="1"/>
  <c r="BV245" i="25" s="1"/>
  <c r="BX245" i="25" s="1"/>
  <c r="AQ247" i="22"/>
  <c r="BN247" i="25" s="1"/>
  <c r="BV247" i="25" s="1"/>
  <c r="BX247" i="25" s="1"/>
  <c r="AQ249" i="22"/>
  <c r="BN249" i="25" s="1"/>
  <c r="BV249" i="25" s="1"/>
  <c r="BX249" i="25" s="1"/>
  <c r="AQ254" i="22"/>
  <c r="BN254" i="25" s="1"/>
  <c r="BV254" i="25" s="1"/>
  <c r="BX254" i="25" s="1"/>
  <c r="AQ256" i="22"/>
  <c r="BN256" i="25" s="1"/>
  <c r="BV256" i="25" s="1"/>
  <c r="BX256" i="25" s="1"/>
  <c r="AQ278" i="22"/>
  <c r="BN278" i="25" s="1"/>
  <c r="BV278" i="25" s="1"/>
  <c r="BX278" i="25" s="1"/>
  <c r="AQ280" i="22"/>
  <c r="BN280" i="25" s="1"/>
  <c r="BV280" i="25" s="1"/>
  <c r="BX280" i="25" s="1"/>
  <c r="AQ282" i="22"/>
  <c r="BN282" i="25" s="1"/>
  <c r="BV282" i="25" s="1"/>
  <c r="BX282" i="25" s="1"/>
  <c r="AQ288" i="22"/>
  <c r="BN288" i="25" s="1"/>
  <c r="BV288" i="25" s="1"/>
  <c r="BX288" i="25" s="1"/>
  <c r="AQ290" i="22"/>
  <c r="BN290" i="25" s="1"/>
  <c r="BV290" i="25" s="1"/>
  <c r="BX290" i="25" s="1"/>
  <c r="AQ292" i="22"/>
  <c r="BN292" i="25" s="1"/>
  <c r="BV292" i="25" s="1"/>
  <c r="BX292" i="25" s="1"/>
  <c r="AQ294" i="22"/>
  <c r="BN294" i="25" s="1"/>
  <c r="BV294" i="25" s="1"/>
  <c r="BX294" i="25" s="1"/>
  <c r="AQ297" i="22"/>
  <c r="BN297" i="25" s="1"/>
  <c r="BV297" i="25" s="1"/>
  <c r="BX297" i="25" s="1"/>
  <c r="AQ300" i="22"/>
  <c r="BN300" i="25" s="1"/>
  <c r="BV300" i="25" s="1"/>
  <c r="BX300" i="25" s="1"/>
  <c r="AQ302" i="22"/>
  <c r="BN302" i="25" s="1"/>
  <c r="BV302" i="25" s="1"/>
  <c r="BX302" i="25" s="1"/>
  <c r="AQ303" i="22"/>
  <c r="BN303" i="25" s="1"/>
  <c r="BV303" i="25" s="1"/>
  <c r="BX303" i="25" s="1"/>
  <c r="AQ308" i="22"/>
  <c r="BN308" i="25" s="1"/>
  <c r="BV308" i="25" s="1"/>
  <c r="BX308" i="25" s="1"/>
  <c r="AQ310" i="22"/>
  <c r="BN310" i="25" s="1"/>
  <c r="BV310" i="25" s="1"/>
  <c r="BX310" i="25" s="1"/>
  <c r="AQ312" i="22"/>
  <c r="BN312" i="25" s="1"/>
  <c r="BV312" i="25" s="1"/>
  <c r="BX312" i="25" s="1"/>
  <c r="AQ314" i="22"/>
  <c r="BN314" i="25" s="1"/>
  <c r="BV314" i="25" s="1"/>
  <c r="BX314" i="25" s="1"/>
  <c r="AQ316" i="22"/>
  <c r="BN316" i="25" s="1"/>
  <c r="BV316" i="25" s="1"/>
  <c r="BX316" i="25" s="1"/>
  <c r="AQ318" i="22"/>
  <c r="BN318" i="25" s="1"/>
  <c r="BV318" i="25" s="1"/>
  <c r="BX318" i="25" s="1"/>
  <c r="AQ320" i="22"/>
  <c r="BN320" i="25" s="1"/>
  <c r="BV320" i="25" s="1"/>
  <c r="BX320" i="25" s="1"/>
  <c r="AQ322" i="22"/>
  <c r="BN322" i="25" s="1"/>
  <c r="BV322" i="25" s="1"/>
  <c r="BX322" i="25" s="1"/>
  <c r="AQ325" i="22"/>
  <c r="BN325" i="25" s="1"/>
  <c r="BV325" i="25" s="1"/>
  <c r="BX325" i="25" s="1"/>
  <c r="AQ329" i="22"/>
  <c r="AQ331" i="22"/>
  <c r="AQ333" i="22"/>
  <c r="BN333" i="25" s="1"/>
  <c r="BV333" i="25" s="1"/>
  <c r="BX333" i="25" s="1"/>
  <c r="AQ335" i="22"/>
  <c r="BN335" i="25" s="1"/>
  <c r="BV335" i="25" s="1"/>
  <c r="BX335" i="25" s="1"/>
  <c r="AQ338" i="22"/>
  <c r="BN338" i="25" s="1"/>
  <c r="BV338" i="25" s="1"/>
  <c r="BX338" i="25" s="1"/>
  <c r="AQ340" i="22"/>
  <c r="BN340" i="25" s="1"/>
  <c r="BV340" i="25" s="1"/>
  <c r="BX340" i="25" s="1"/>
  <c r="AQ342" i="22"/>
  <c r="BN342" i="25" s="1"/>
  <c r="BV342" i="25" s="1"/>
  <c r="BX342" i="25" s="1"/>
  <c r="AQ344" i="22"/>
  <c r="BN344" i="25" s="1"/>
  <c r="BV344" i="25" s="1"/>
  <c r="BX344" i="25" s="1"/>
  <c r="AQ346" i="22"/>
  <c r="BN346" i="25" s="1"/>
  <c r="BV346" i="25" s="1"/>
  <c r="BX346" i="25" s="1"/>
  <c r="AQ348" i="22"/>
  <c r="BN348" i="25" s="1"/>
  <c r="BV348" i="25" s="1"/>
  <c r="BX348" i="25" s="1"/>
  <c r="AQ203" i="22"/>
  <c r="BN203" i="25" s="1"/>
  <c r="BV203" i="25" s="1"/>
  <c r="BX203" i="25" s="1"/>
  <c r="AQ209" i="22"/>
  <c r="BN209" i="25" s="1"/>
  <c r="BV209" i="25" s="1"/>
  <c r="BX209" i="25" s="1"/>
  <c r="AQ291" i="22"/>
  <c r="BN291" i="25" s="1"/>
  <c r="BV291" i="25" s="1"/>
  <c r="BX291" i="25" s="1"/>
  <c r="BX285" i="25"/>
  <c r="AQ275" i="22"/>
  <c r="BN275" i="25" s="1"/>
  <c r="BV275" i="25" s="1"/>
  <c r="BX275" i="25" s="1"/>
  <c r="AQ274" i="22"/>
  <c r="BN274" i="25" s="1"/>
  <c r="BV274" i="25" s="1"/>
  <c r="BX274" i="25" s="1"/>
  <c r="AQ273" i="22"/>
  <c r="BN273" i="25" s="1"/>
  <c r="BV273" i="25" s="1"/>
  <c r="BX273" i="25" s="1"/>
  <c r="AQ271" i="22"/>
  <c r="BN271" i="25" s="1"/>
  <c r="BV271" i="25" s="1"/>
  <c r="BX271" i="25" s="1"/>
  <c r="AQ270" i="22"/>
  <c r="BN270" i="25" s="1"/>
  <c r="BV270" i="25" s="1"/>
  <c r="BX270" i="25" s="1"/>
  <c r="AQ269" i="22"/>
  <c r="BN269" i="25" s="1"/>
  <c r="BV269" i="25" s="1"/>
  <c r="BX269" i="25" s="1"/>
  <c r="AQ262" i="22"/>
  <c r="BN262" i="25" s="1"/>
  <c r="BV262" i="25" s="1"/>
  <c r="BX262" i="25" s="1"/>
  <c r="AQ233" i="22"/>
  <c r="BN233" i="25" s="1"/>
  <c r="BV233" i="25" s="1"/>
  <c r="BX233" i="25" s="1"/>
  <c r="AQ216" i="22"/>
  <c r="BN216" i="25" s="1"/>
  <c r="BV216" i="25" s="1"/>
  <c r="AQ207" i="22"/>
  <c r="BN207" i="25" s="1"/>
  <c r="BV207" i="25" s="1"/>
  <c r="BX207" i="25" s="1"/>
  <c r="AQ181" i="22"/>
  <c r="BN181" i="25" s="1"/>
  <c r="BV181" i="25" s="1"/>
  <c r="BX181" i="25" s="1"/>
  <c r="AQ172" i="22"/>
  <c r="BN172" i="25" s="1"/>
  <c r="BV172" i="25" s="1"/>
  <c r="BX172" i="25" s="1"/>
  <c r="AQ171" i="22"/>
  <c r="BN171" i="25" s="1"/>
  <c r="BV171" i="25" s="1"/>
  <c r="BX171" i="25" s="1"/>
  <c r="AQ165" i="22"/>
  <c r="BN165" i="25" s="1"/>
  <c r="BV165" i="25" s="1"/>
  <c r="BX165" i="25" s="1"/>
  <c r="AQ158" i="22"/>
  <c r="BN158" i="25" s="1"/>
  <c r="BV158" i="25" s="1"/>
  <c r="BX158" i="25" s="1"/>
  <c r="AQ157" i="22"/>
  <c r="BN157" i="25" s="1"/>
  <c r="BV157" i="25" s="1"/>
  <c r="BX157" i="25" s="1"/>
  <c r="BN108" i="25"/>
  <c r="BV108" i="25" s="1"/>
  <c r="AQ114" i="22"/>
  <c r="BN114" i="25" s="1"/>
  <c r="BV114" i="25" s="1"/>
  <c r="BX114" i="25" s="1"/>
  <c r="AQ116" i="22"/>
  <c r="BN116" i="25" s="1"/>
  <c r="BV116" i="25" s="1"/>
  <c r="BX116" i="25" s="1"/>
  <c r="AQ118" i="22"/>
  <c r="BN118" i="25" s="1"/>
  <c r="BV118" i="25" s="1"/>
  <c r="BX118" i="25" s="1"/>
  <c r="AQ121" i="22"/>
  <c r="BN121" i="25" s="1"/>
  <c r="BV121" i="25" s="1"/>
  <c r="BX121" i="25" s="1"/>
  <c r="AQ124" i="22"/>
  <c r="BN124" i="25" s="1"/>
  <c r="BV124" i="25" s="1"/>
  <c r="BX124" i="25" s="1"/>
  <c r="AQ127" i="22"/>
  <c r="BN127" i="25" s="1"/>
  <c r="BV127" i="25" s="1"/>
  <c r="BX127" i="25" s="1"/>
  <c r="AQ129" i="22"/>
  <c r="BN129" i="25" s="1"/>
  <c r="BV129" i="25" s="1"/>
  <c r="BX129" i="25" s="1"/>
  <c r="AQ132" i="22"/>
  <c r="BN132" i="25" s="1"/>
  <c r="BV132" i="25" s="1"/>
  <c r="BX132" i="25" s="1"/>
  <c r="AQ134" i="22"/>
  <c r="BN134" i="25" s="1"/>
  <c r="BV134" i="25" s="1"/>
  <c r="BX134" i="25" s="1"/>
  <c r="AQ136" i="22"/>
  <c r="BN136" i="25" s="1"/>
  <c r="BV136" i="25" s="1"/>
  <c r="BX136" i="25" s="1"/>
  <c r="AQ138" i="22"/>
  <c r="BN138" i="25" s="1"/>
  <c r="BV138" i="25" s="1"/>
  <c r="BX138" i="25" s="1"/>
  <c r="AQ140" i="22"/>
  <c r="BN140" i="25" s="1"/>
  <c r="BV140" i="25" s="1"/>
  <c r="BX140" i="25" s="1"/>
  <c r="AQ142" i="22"/>
  <c r="BN142" i="25" s="1"/>
  <c r="BV142" i="25" s="1"/>
  <c r="BX142" i="25" s="1"/>
  <c r="AQ145" i="22"/>
  <c r="BN145" i="25" s="1"/>
  <c r="BV145" i="25" s="1"/>
  <c r="BX145" i="25" s="1"/>
  <c r="BN107" i="25"/>
  <c r="BV107" i="25" s="1"/>
  <c r="BX107" i="25" s="1"/>
  <c r="AQ113" i="22"/>
  <c r="BN113" i="25" s="1"/>
  <c r="BV113" i="25" s="1"/>
  <c r="BX113" i="25" s="1"/>
  <c r="AQ115" i="22"/>
  <c r="BN115" i="25" s="1"/>
  <c r="BV115" i="25" s="1"/>
  <c r="BX115" i="25" s="1"/>
  <c r="AQ117" i="22"/>
  <c r="BN117" i="25" s="1"/>
  <c r="BV117" i="25" s="1"/>
  <c r="BX117" i="25" s="1"/>
  <c r="AQ119" i="22"/>
  <c r="BN119" i="25" s="1"/>
  <c r="BV119" i="25" s="1"/>
  <c r="BX119" i="25" s="1"/>
  <c r="AQ122" i="22"/>
  <c r="BN122" i="25" s="1"/>
  <c r="BV122" i="25" s="1"/>
  <c r="BX122" i="25" s="1"/>
  <c r="AQ125" i="22"/>
  <c r="BN125" i="25" s="1"/>
  <c r="BV125" i="25" s="1"/>
  <c r="BX125" i="25" s="1"/>
  <c r="AQ128" i="22"/>
  <c r="BN128" i="25" s="1"/>
  <c r="BV128" i="25" s="1"/>
  <c r="BX128" i="25" s="1"/>
  <c r="AQ130" i="22"/>
  <c r="BN130" i="25" s="1"/>
  <c r="BV130" i="25" s="1"/>
  <c r="BX130" i="25" s="1"/>
  <c r="AQ133" i="22"/>
  <c r="BN133" i="25" s="1"/>
  <c r="BV133" i="25" s="1"/>
  <c r="BX133" i="25" s="1"/>
  <c r="AQ135" i="22"/>
  <c r="BN135" i="25" s="1"/>
  <c r="BV135" i="25" s="1"/>
  <c r="BX135" i="25" s="1"/>
  <c r="AQ137" i="22"/>
  <c r="BN137" i="25" s="1"/>
  <c r="BV137" i="25" s="1"/>
  <c r="BX137" i="25" s="1"/>
  <c r="AQ139" i="22"/>
  <c r="BN139" i="25" s="1"/>
  <c r="BV139" i="25" s="1"/>
  <c r="BX139" i="25" s="1"/>
  <c r="AQ141" i="22"/>
  <c r="BN141" i="25" s="1"/>
  <c r="BV141" i="25" s="1"/>
  <c r="BX141" i="25" s="1"/>
  <c r="AQ143" i="22"/>
  <c r="BN143" i="25" s="1"/>
  <c r="BV143" i="25" s="1"/>
  <c r="BX143" i="25" s="1"/>
  <c r="AQ146" i="22"/>
  <c r="BN146" i="25" s="1"/>
  <c r="BV146" i="25" s="1"/>
  <c r="BX146" i="25" s="1"/>
  <c r="AQ153" i="22"/>
  <c r="BN153" i="25" s="1"/>
  <c r="BV153" i="25" s="1"/>
  <c r="BX153" i="25" s="1"/>
  <c r="AQ152" i="22"/>
  <c r="BN152" i="25" s="1"/>
  <c r="BV152" i="25" s="1"/>
  <c r="BX152" i="25" s="1"/>
  <c r="AQ148" i="22"/>
  <c r="BN148" i="25" s="1"/>
  <c r="BV148" i="25" s="1"/>
  <c r="BX148" i="25" s="1"/>
  <c r="AQ149" i="22"/>
  <c r="BN149" i="25" s="1"/>
  <c r="BV149" i="25" s="1"/>
  <c r="BX149" i="25" s="1"/>
  <c r="AQ147" i="22"/>
  <c r="BN147" i="25" s="1"/>
  <c r="BV147" i="25" s="1"/>
  <c r="BX147" i="25" s="1"/>
  <c r="AM489" i="1"/>
  <c r="BN489" i="2" s="1"/>
  <c r="AM215" i="1"/>
  <c r="BN215" i="2" s="1"/>
  <c r="AM621" i="1"/>
  <c r="AM584" i="1"/>
  <c r="BN584" i="2" s="1"/>
  <c r="AM583" i="1"/>
  <c r="BN583" i="2" s="1"/>
  <c r="AM325" i="1"/>
  <c r="AI359" i="15"/>
  <c r="BA359" i="17" s="1"/>
  <c r="BE359" i="17" s="1"/>
  <c r="BG359" i="17" s="1"/>
  <c r="AI111" i="15"/>
  <c r="BA111" i="17" s="1"/>
  <c r="BE111" i="17" s="1"/>
  <c r="BG111" i="17" s="1"/>
  <c r="AI422" i="15"/>
  <c r="AI613" i="15"/>
  <c r="BA613" i="17" s="1"/>
  <c r="AI573" i="15"/>
  <c r="AI130" i="15"/>
  <c r="BA130" i="17" s="1"/>
  <c r="BE130" i="17" s="1"/>
  <c r="BG130" i="17" s="1"/>
  <c r="AI119" i="15"/>
  <c r="BA119" i="17" s="1"/>
  <c r="BE119" i="17" s="1"/>
  <c r="BG119" i="17" s="1"/>
  <c r="AI90" i="15"/>
  <c r="BA90" i="17" s="1"/>
  <c r="BE90" i="17" s="1"/>
  <c r="BG90" i="17" s="1"/>
  <c r="AI314" i="15"/>
  <c r="BA314" i="17" s="1"/>
  <c r="BE314" i="17" s="1"/>
  <c r="BG314" i="17" s="1"/>
  <c r="AI232" i="15"/>
  <c r="BA232" i="17" s="1"/>
  <c r="BE232" i="17" s="1"/>
  <c r="BG232" i="17" s="1"/>
  <c r="BN166" i="25"/>
  <c r="BV166" i="25" s="1"/>
  <c r="BX166" i="25" s="1"/>
  <c r="BN101" i="25"/>
  <c r="BV101" i="25" s="1"/>
  <c r="BX101" i="25" s="1"/>
  <c r="BN411" i="25"/>
  <c r="BV411" i="25" s="1"/>
  <c r="BX411" i="25" s="1"/>
  <c r="BN415" i="25"/>
  <c r="BV415" i="25" s="1"/>
  <c r="BX415" i="25" s="1"/>
  <c r="BN420" i="25"/>
  <c r="BV420" i="25" s="1"/>
  <c r="BX420" i="25" s="1"/>
  <c r="AI320" i="15"/>
  <c r="BA320" i="17" s="1"/>
  <c r="BE320" i="17" s="1"/>
  <c r="BG320" i="17" s="1"/>
  <c r="AM308" i="1"/>
  <c r="BX286" i="25"/>
  <c r="BN412" i="25"/>
  <c r="BV412" i="25" s="1"/>
  <c r="BX412" i="25" s="1"/>
  <c r="BN416" i="25"/>
  <c r="BV416" i="25" s="1"/>
  <c r="BX416" i="25" s="1"/>
  <c r="BL109" i="25"/>
  <c r="BL111" i="25"/>
  <c r="BN111" i="25" s="1"/>
  <c r="BV111" i="25" s="1"/>
  <c r="BX111" i="25" s="1"/>
  <c r="BN440" i="25"/>
  <c r="BV440" i="25" s="1"/>
  <c r="BX440" i="25" s="1"/>
  <c r="BN444" i="25"/>
  <c r="BV444" i="25" s="1"/>
  <c r="BX444" i="25" s="1"/>
  <c r="AM104" i="1"/>
  <c r="BN104" i="2" s="1"/>
  <c r="AM290" i="1"/>
  <c r="BN290" i="2" s="1"/>
  <c r="AM432" i="1"/>
  <c r="BN432" i="2" s="1"/>
  <c r="AM436" i="1"/>
  <c r="BN436" i="2" s="1"/>
  <c r="AI538" i="15"/>
  <c r="AI536" i="15"/>
  <c r="BA536" i="17" s="1"/>
  <c r="BE536" i="17" s="1"/>
  <c r="BG536" i="17" s="1"/>
  <c r="AI533" i="15"/>
  <c r="BA533" i="17" s="1"/>
  <c r="BE533" i="17" s="1"/>
  <c r="BG533" i="17" s="1"/>
  <c r="AI529" i="15"/>
  <c r="AI527" i="15"/>
  <c r="AI525" i="15"/>
  <c r="AI521" i="15"/>
  <c r="AI519" i="15"/>
  <c r="BA519" i="17" s="1"/>
  <c r="AI517" i="15"/>
  <c r="AI510" i="15"/>
  <c r="AI506" i="15"/>
  <c r="AI497" i="15"/>
  <c r="BX89" i="25"/>
  <c r="BX90" i="25"/>
  <c r="BX94" i="25"/>
  <c r="BX92" i="25"/>
  <c r="BX98" i="25"/>
  <c r="AM449" i="1"/>
  <c r="BV450" i="2" s="1"/>
  <c r="BX450" i="2" s="1"/>
  <c r="AM473" i="1"/>
  <c r="BN473" i="2" s="1"/>
  <c r="AM474" i="1"/>
  <c r="BN474" i="2" s="1"/>
  <c r="AM475" i="1"/>
  <c r="BN475" i="2" s="1"/>
  <c r="AM480" i="1"/>
  <c r="BN480" i="2" s="1"/>
  <c r="AM483" i="1"/>
  <c r="BN483" i="2" s="1"/>
  <c r="AM487" i="1"/>
  <c r="BN487" i="2" s="1"/>
  <c r="AM543" i="1"/>
  <c r="AM557" i="1"/>
  <c r="AM563" i="1"/>
  <c r="BN563" i="2" s="1"/>
  <c r="AM571" i="1"/>
  <c r="BE393" i="17"/>
  <c r="BG393" i="17" s="1"/>
  <c r="BA203" i="17"/>
  <c r="BE203" i="17" s="1"/>
  <c r="BG203" i="17" s="1"/>
  <c r="AM137" i="1"/>
  <c r="BN137" i="2" s="1"/>
  <c r="AM313" i="1"/>
  <c r="AM315" i="1"/>
  <c r="BN315" i="2" s="1"/>
  <c r="BV315" i="2" s="1"/>
  <c r="BX315" i="2" s="1"/>
  <c r="AM317" i="1"/>
  <c r="BN317" i="2" s="1"/>
  <c r="AM319" i="1"/>
  <c r="BN319" i="2" s="1"/>
  <c r="AM603" i="1"/>
  <c r="BN603" i="2" s="1"/>
  <c r="AM607" i="1"/>
  <c r="BN607" i="2" s="1"/>
  <c r="AM610" i="1"/>
  <c r="BN610" i="2" s="1"/>
  <c r="AM611" i="1"/>
  <c r="BN611" i="2" s="1"/>
  <c r="AM613" i="1"/>
  <c r="BN613" i="2" s="1"/>
  <c r="AM615" i="1"/>
  <c r="BN615" i="2" s="1"/>
  <c r="AM625" i="1"/>
  <c r="BN625" i="2" s="1"/>
  <c r="AM631" i="1"/>
  <c r="AM440" i="1"/>
  <c r="AM443" i="1"/>
  <c r="AM451" i="1"/>
  <c r="AM454" i="1"/>
  <c r="BN454" i="2" s="1"/>
  <c r="AM457" i="1"/>
  <c r="BN457" i="2" s="1"/>
  <c r="AM458" i="1"/>
  <c r="AM461" i="1"/>
  <c r="BN461" i="2" s="1"/>
  <c r="AM464" i="1"/>
  <c r="AM469" i="1"/>
  <c r="AM573" i="1"/>
  <c r="AI479" i="15"/>
  <c r="BA479" i="17" s="1"/>
  <c r="AI474" i="15"/>
  <c r="BA474" i="17" s="1"/>
  <c r="BE474" i="17" s="1"/>
  <c r="BG474" i="17" s="1"/>
  <c r="AI420" i="15"/>
  <c r="AI406" i="15"/>
  <c r="BA406" i="17" s="1"/>
  <c r="BE406" i="17" s="1"/>
  <c r="BG406" i="17" s="1"/>
  <c r="AI342" i="15"/>
  <c r="BA342" i="17" s="1"/>
  <c r="BE342" i="17" s="1"/>
  <c r="BG342" i="17" s="1"/>
  <c r="AI339" i="15"/>
  <c r="BA339" i="17" s="1"/>
  <c r="BE339" i="17" s="1"/>
  <c r="BG339" i="17" s="1"/>
  <c r="AI338" i="15"/>
  <c r="BA338" i="17" s="1"/>
  <c r="BE338" i="17" s="1"/>
  <c r="BG338" i="17" s="1"/>
  <c r="AI336" i="15"/>
  <c r="BA336" i="17" s="1"/>
  <c r="BE336" i="17" s="1"/>
  <c r="BG336" i="17" s="1"/>
  <c r="AI332" i="15"/>
  <c r="BA332" i="17" s="1"/>
  <c r="BE332" i="17" s="1"/>
  <c r="BG332" i="17" s="1"/>
  <c r="AI321" i="15"/>
  <c r="BA321" i="17" s="1"/>
  <c r="BE321" i="17" s="1"/>
  <c r="BG321" i="17" s="1"/>
  <c r="AI319" i="15"/>
  <c r="BA319" i="17" s="1"/>
  <c r="BE319" i="17" s="1"/>
  <c r="BG319" i="17" s="1"/>
  <c r="AI318" i="15"/>
  <c r="BA318" i="17" s="1"/>
  <c r="BE318" i="17" s="1"/>
  <c r="BG318" i="17" s="1"/>
  <c r="AI317" i="15"/>
  <c r="BA317" i="17" s="1"/>
  <c r="BE317" i="17" s="1"/>
  <c r="BG317" i="17" s="1"/>
  <c r="AI316" i="15"/>
  <c r="BA316" i="17" s="1"/>
  <c r="BE316" i="17" s="1"/>
  <c r="BG316" i="17" s="1"/>
  <c r="AI315" i="15"/>
  <c r="BA315" i="17" s="1"/>
  <c r="BE315" i="17" s="1"/>
  <c r="BG315" i="17" s="1"/>
  <c r="AI312" i="15"/>
  <c r="BA312" i="17" s="1"/>
  <c r="BE312" i="17" s="1"/>
  <c r="BG312" i="17" s="1"/>
  <c r="AI302" i="15"/>
  <c r="BA302" i="17" s="1"/>
  <c r="BE302" i="17" s="1"/>
  <c r="BG302" i="17" s="1"/>
  <c r="AI301" i="15"/>
  <c r="BA301" i="17" s="1"/>
  <c r="BE301" i="17" s="1"/>
  <c r="BG301" i="17" s="1"/>
  <c r="AI290" i="15"/>
  <c r="BA290" i="17" s="1"/>
  <c r="BE290" i="17" s="1"/>
  <c r="BG290" i="17" s="1"/>
  <c r="AI254" i="15"/>
  <c r="BA254" i="17" s="1"/>
  <c r="BE254" i="17" s="1"/>
  <c r="BG254" i="17" s="1"/>
  <c r="AI248" i="15"/>
  <c r="BA248" i="17" s="1"/>
  <c r="BE248" i="17" s="1"/>
  <c r="BG248" i="17" s="1"/>
  <c r="AI247" i="15"/>
  <c r="BA247" i="17" s="1"/>
  <c r="BE247" i="17" s="1"/>
  <c r="BG247" i="17" s="1"/>
  <c r="AI243" i="15"/>
  <c r="BA243" i="17" s="1"/>
  <c r="BE243" i="17" s="1"/>
  <c r="BG243" i="17" s="1"/>
  <c r="AI241" i="15"/>
  <c r="BA241" i="17" s="1"/>
  <c r="BE241" i="17" s="1"/>
  <c r="BG241" i="17" s="1"/>
  <c r="AI238" i="15"/>
  <c r="BA238" i="17" s="1"/>
  <c r="BE238" i="17" s="1"/>
  <c r="BG238" i="17" s="1"/>
  <c r="AI237" i="15"/>
  <c r="BA237" i="17" s="1"/>
  <c r="BE237" i="17" s="1"/>
  <c r="BG237" i="17" s="1"/>
  <c r="AI235" i="15"/>
  <c r="BA235" i="17" s="1"/>
  <c r="BE235" i="17" s="1"/>
  <c r="BG235" i="17" s="1"/>
  <c r="AI231" i="15"/>
  <c r="BA231" i="17" s="1"/>
  <c r="BE231" i="17" s="1"/>
  <c r="BG231" i="17" s="1"/>
  <c r="AI230" i="15"/>
  <c r="BA230" i="17" s="1"/>
  <c r="BE230" i="17" s="1"/>
  <c r="BG230" i="17" s="1"/>
  <c r="AI229" i="15"/>
  <c r="BA229" i="17" s="1"/>
  <c r="BE229" i="17" s="1"/>
  <c r="BG229" i="17" s="1"/>
  <c r="AI228" i="15"/>
  <c r="BA228" i="17" s="1"/>
  <c r="BE228" i="17" s="1"/>
  <c r="BG228" i="17" s="1"/>
  <c r="AI220" i="15"/>
  <c r="BA220" i="17" s="1"/>
  <c r="BE220" i="17" s="1"/>
  <c r="BG220" i="17" s="1"/>
  <c r="BA218" i="17"/>
  <c r="BE218" i="17" s="1"/>
  <c r="BG218" i="17" s="1"/>
  <c r="AI199" i="15"/>
  <c r="BA199" i="17" s="1"/>
  <c r="BE199" i="17" s="1"/>
  <c r="BG199" i="17" s="1"/>
  <c r="AI197" i="15"/>
  <c r="BA197" i="17" s="1"/>
  <c r="BE197" i="17" s="1"/>
  <c r="BG197" i="17" s="1"/>
  <c r="AI184" i="15"/>
  <c r="BA184" i="17" s="1"/>
  <c r="BE184" i="17" s="1"/>
  <c r="BG184" i="17" s="1"/>
  <c r="AI154" i="15"/>
  <c r="BA154" i="17" s="1"/>
  <c r="BE154" i="17" s="1"/>
  <c r="BG154" i="17" s="1"/>
  <c r="AI139" i="15"/>
  <c r="BA139" i="17" s="1"/>
  <c r="BE139" i="17" s="1"/>
  <c r="BG139" i="17" s="1"/>
  <c r="AI138" i="15"/>
  <c r="BA138" i="17" s="1"/>
  <c r="BE138" i="17" s="1"/>
  <c r="BG138" i="17" s="1"/>
  <c r="AI135" i="15"/>
  <c r="BA135" i="17" s="1"/>
  <c r="BE135" i="17" s="1"/>
  <c r="BG135" i="17" s="1"/>
  <c r="AI107" i="15"/>
  <c r="BA107" i="17" s="1"/>
  <c r="BE107" i="17" s="1"/>
  <c r="BG107" i="17" s="1"/>
  <c r="AI98" i="15"/>
  <c r="BA98" i="17" s="1"/>
  <c r="BE98" i="17" s="1"/>
  <c r="BG98" i="17" s="1"/>
  <c r="AI93" i="15"/>
  <c r="BA93" i="17" s="1"/>
  <c r="BE93" i="17" s="1"/>
  <c r="BG93" i="17" s="1"/>
  <c r="AI534" i="15"/>
  <c r="AI532" i="15"/>
  <c r="BA532" i="17" s="1"/>
  <c r="AI530" i="15"/>
  <c r="AI528" i="15"/>
  <c r="BA528" i="17" s="1"/>
  <c r="AI526" i="15"/>
  <c r="AI524" i="15"/>
  <c r="BA524" i="17" s="1"/>
  <c r="AI522" i="15"/>
  <c r="AI520" i="15"/>
  <c r="BA520" i="17" s="1"/>
  <c r="AI518" i="15"/>
  <c r="AI516" i="15"/>
  <c r="BA516" i="17" s="1"/>
  <c r="AI511" i="15"/>
  <c r="AI508" i="15"/>
  <c r="BA508" i="17" s="1"/>
  <c r="AI502" i="15"/>
  <c r="AI495" i="15"/>
  <c r="BA495" i="17" s="1"/>
  <c r="BA234" i="17"/>
  <c r="BE234" i="17" s="1"/>
  <c r="BG234" i="17" s="1"/>
  <c r="BV394" i="2"/>
  <c r="BX394" i="2" s="1"/>
  <c r="BV395" i="2"/>
  <c r="BX395" i="2" s="1"/>
  <c r="AM102" i="1"/>
  <c r="BN102" i="2" s="1"/>
  <c r="AM418" i="1"/>
  <c r="BN418" i="2" s="1"/>
  <c r="AM289" i="1"/>
  <c r="BN289" i="2" s="1"/>
  <c r="AM298" i="1"/>
  <c r="BN298" i="2" s="1"/>
  <c r="AM301" i="1"/>
  <c r="AM299" i="1"/>
  <c r="BN299" i="2" s="1"/>
  <c r="AM304" i="1"/>
  <c r="AM549" i="1"/>
  <c r="BN549" i="2" s="1"/>
  <c r="AM258" i="1"/>
  <c r="AM268" i="1"/>
  <c r="AI449" i="15"/>
  <c r="BA449" i="17" s="1"/>
  <c r="BE449" i="17" s="1"/>
  <c r="BG449" i="17" s="1"/>
  <c r="AI496" i="15"/>
  <c r="AI630" i="15"/>
  <c r="BA630" i="17" s="1"/>
  <c r="AI629" i="15"/>
  <c r="AI624" i="15"/>
  <c r="BA624" i="17" s="1"/>
  <c r="BE624" i="17" s="1"/>
  <c r="BG624" i="17" s="1"/>
  <c r="AI621" i="15"/>
  <c r="AI610" i="15"/>
  <c r="BA610" i="17" s="1"/>
  <c r="AI603" i="15"/>
  <c r="AI574" i="15"/>
  <c r="BA574" i="17" s="1"/>
  <c r="AI567" i="15"/>
  <c r="AI562" i="15"/>
  <c r="AI556" i="15"/>
  <c r="AI487" i="15"/>
  <c r="BA487" i="17" s="1"/>
  <c r="AI475" i="15"/>
  <c r="AI463" i="15"/>
  <c r="AI453" i="15"/>
  <c r="AI416" i="15"/>
  <c r="AI413" i="15"/>
  <c r="BA380" i="17"/>
  <c r="BE380" i="17" s="1"/>
  <c r="BG380" i="17" s="1"/>
  <c r="AI375" i="15"/>
  <c r="BA375" i="17" s="1"/>
  <c r="BE375" i="17" s="1"/>
  <c r="BG375" i="17" s="1"/>
  <c r="AI371" i="15"/>
  <c r="BA371" i="17" s="1"/>
  <c r="BE371" i="17" s="1"/>
  <c r="BG371" i="17" s="1"/>
  <c r="AI370" i="15"/>
  <c r="BA370" i="17" s="1"/>
  <c r="BE370" i="17" s="1"/>
  <c r="BG370" i="17" s="1"/>
  <c r="AI363" i="15"/>
  <c r="BA363" i="17" s="1"/>
  <c r="BE363" i="17" s="1"/>
  <c r="BG363" i="17" s="1"/>
  <c r="AI358" i="15"/>
  <c r="BA358" i="17" s="1"/>
  <c r="BE358" i="17" s="1"/>
  <c r="BG358" i="17" s="1"/>
  <c r="AI354" i="15"/>
  <c r="BA354" i="17" s="1"/>
  <c r="BE354" i="17" s="1"/>
  <c r="BG354" i="17" s="1"/>
  <c r="AI353" i="15"/>
  <c r="BA353" i="17" s="1"/>
  <c r="BE353" i="17" s="1"/>
  <c r="BG353" i="17" s="1"/>
  <c r="AI351" i="15"/>
  <c r="BA351" i="17" s="1"/>
  <c r="BE351" i="17" s="1"/>
  <c r="BG351" i="17" s="1"/>
  <c r="AI350" i="15"/>
  <c r="BA350" i="17" s="1"/>
  <c r="BE350" i="17" s="1"/>
  <c r="BG350" i="17" s="1"/>
  <c r="AI348" i="15"/>
  <c r="BA348" i="17" s="1"/>
  <c r="BE348" i="17" s="1"/>
  <c r="BG348" i="17" s="1"/>
  <c r="AI344" i="15"/>
  <c r="BA344" i="17" s="1"/>
  <c r="BE344" i="17" s="1"/>
  <c r="BG344" i="17" s="1"/>
  <c r="AI343" i="15"/>
  <c r="BA343" i="17" s="1"/>
  <c r="BE343" i="17" s="1"/>
  <c r="BG343" i="17" s="1"/>
  <c r="AI191" i="15"/>
  <c r="BA191" i="17" s="1"/>
  <c r="BE191" i="17" s="1"/>
  <c r="BG191" i="17" s="1"/>
  <c r="BX88" i="25"/>
  <c r="BV433" i="2"/>
  <c r="BX433" i="2" s="1"/>
  <c r="AM527" i="1"/>
  <c r="BN527" i="2" s="1"/>
  <c r="AM632" i="1"/>
  <c r="BN632" i="2" s="1"/>
  <c r="AM375" i="1"/>
  <c r="AM236" i="1"/>
  <c r="BN236" i="2" s="1"/>
  <c r="AM246" i="1"/>
  <c r="AM248" i="1"/>
  <c r="AM238" i="1"/>
  <c r="AM434" i="1"/>
  <c r="BN434" i="2" s="1"/>
  <c r="AM438" i="1"/>
  <c r="BN438" i="2" s="1"/>
  <c r="BE434" i="17"/>
  <c r="BG434" i="17" s="1"/>
  <c r="BE432" i="17"/>
  <c r="BG432" i="17" s="1"/>
  <c r="BE414" i="17"/>
  <c r="BG414" i="17" s="1"/>
  <c r="BA379" i="17"/>
  <c r="BE379" i="17" s="1"/>
  <c r="BG379" i="17" s="1"/>
  <c r="AI155" i="15"/>
  <c r="BA155" i="17" s="1"/>
  <c r="BE155" i="17" s="1"/>
  <c r="BG155" i="17" s="1"/>
  <c r="AI142" i="15"/>
  <c r="BA142" i="17" s="1"/>
  <c r="BE142" i="17" s="1"/>
  <c r="BG142" i="17" s="1"/>
  <c r="AI95" i="15"/>
  <c r="BA95" i="17" s="1"/>
  <c r="BE95" i="17" s="1"/>
  <c r="BG95" i="17" s="1"/>
  <c r="AI492" i="15"/>
  <c r="AI494" i="15"/>
  <c r="AI504" i="15"/>
  <c r="AI509" i="15"/>
  <c r="BA509" i="17" s="1"/>
  <c r="AM112" i="1"/>
  <c r="BN112" i="2" s="1"/>
  <c r="AM138" i="1"/>
  <c r="BN138" i="2" s="1"/>
  <c r="AM139" i="1"/>
  <c r="BN139" i="2" s="1"/>
  <c r="AM222" i="1"/>
  <c r="BN222" i="2" s="1"/>
  <c r="BV399" i="2"/>
  <c r="BX399" i="2" s="1"/>
  <c r="AM411" i="1"/>
  <c r="BN411" i="2" s="1"/>
  <c r="AM99" i="1"/>
  <c r="BN99" i="2" s="1"/>
  <c r="AM287" i="1"/>
  <c r="BN287" i="2" s="1"/>
  <c r="BV287" i="2" s="1"/>
  <c r="BX287" i="2" s="1"/>
  <c r="AM288" i="1"/>
  <c r="BN288" i="2" s="1"/>
  <c r="AM291" i="1"/>
  <c r="BN291" i="2" s="1"/>
  <c r="AM293" i="1"/>
  <c r="BN293" i="2" s="1"/>
  <c r="AM295" i="1"/>
  <c r="BN295" i="2" s="1"/>
  <c r="AM300" i="1"/>
  <c r="BN300" i="2" s="1"/>
  <c r="AM302" i="1"/>
  <c r="BN302" i="2" s="1"/>
  <c r="AM303" i="1"/>
  <c r="BN303" i="2" s="1"/>
  <c r="AM310" i="1"/>
  <c r="BN310" i="2" s="1"/>
  <c r="AM320" i="1"/>
  <c r="BN320" i="2" s="1"/>
  <c r="AM585" i="1"/>
  <c r="AM600" i="1"/>
  <c r="BN600" i="2" s="1"/>
  <c r="AM602" i="1"/>
  <c r="BN602" i="2" s="1"/>
  <c r="AM604" i="1"/>
  <c r="BN604" i="2" s="1"/>
  <c r="AM606" i="1"/>
  <c r="BN606" i="2" s="1"/>
  <c r="AM630" i="1"/>
  <c r="BN630" i="2" s="1"/>
  <c r="AM186" i="1"/>
  <c r="AM189" i="1"/>
  <c r="BN189" i="2" s="1"/>
  <c r="AM191" i="1"/>
  <c r="AM193" i="1"/>
  <c r="AM199" i="1"/>
  <c r="AM374" i="1"/>
  <c r="BN374" i="2" s="1"/>
  <c r="AM243" i="1"/>
  <c r="AM431" i="1"/>
  <c r="BN431" i="2" s="1"/>
  <c r="AM435" i="1"/>
  <c r="BN435" i="2" s="1"/>
  <c r="AM437" i="1"/>
  <c r="AM439" i="1"/>
  <c r="BN439" i="2" s="1"/>
  <c r="AM446" i="1"/>
  <c r="BN446" i="2" s="1"/>
  <c r="AM476" i="1"/>
  <c r="BN476" i="2" s="1"/>
  <c r="AM477" i="1"/>
  <c r="AM484" i="1"/>
  <c r="BN484" i="2" s="1"/>
  <c r="AM540" i="1"/>
  <c r="BN540" i="2" s="1"/>
  <c r="AM560" i="1"/>
  <c r="BN560" i="2" s="1"/>
  <c r="AM566" i="1"/>
  <c r="AM574" i="1"/>
  <c r="BN574" i="2" s="1"/>
  <c r="AM490" i="1"/>
  <c r="AM499" i="1"/>
  <c r="AM505" i="1"/>
  <c r="BN505" i="2" s="1"/>
  <c r="AM506" i="1"/>
  <c r="AM509" i="1"/>
  <c r="AM511" i="1"/>
  <c r="AM512" i="1"/>
  <c r="AM514" i="1"/>
  <c r="AM515" i="1"/>
  <c r="BN515" i="2" s="1"/>
  <c r="AM516" i="1"/>
  <c r="BN516" i="2" s="1"/>
  <c r="AM518" i="1"/>
  <c r="BN518" i="2" s="1"/>
  <c r="BV518" i="2" s="1"/>
  <c r="BX518" i="2" s="1"/>
  <c r="AM519" i="1"/>
  <c r="BN519" i="2" s="1"/>
  <c r="AM520" i="1"/>
  <c r="BN520" i="2" s="1"/>
  <c r="AM521" i="1"/>
  <c r="BN521" i="2" s="1"/>
  <c r="AM526" i="1"/>
  <c r="BN526" i="2" s="1"/>
  <c r="AM528" i="1"/>
  <c r="BN528" i="2" s="1"/>
  <c r="AM267" i="1"/>
  <c r="BN267" i="2" s="1"/>
  <c r="AM367" i="1"/>
  <c r="BN367" i="2" s="1"/>
  <c r="AM369" i="1"/>
  <c r="BN369" i="2" s="1"/>
  <c r="AM372" i="1"/>
  <c r="BN372" i="2" s="1"/>
  <c r="AI169" i="15"/>
  <c r="BA169" i="17" s="1"/>
  <c r="BE169" i="17" s="1"/>
  <c r="BG169" i="17" s="1"/>
  <c r="AI293" i="15"/>
  <c r="BA293" i="17" s="1"/>
  <c r="BE293" i="17" s="1"/>
  <c r="BG293" i="17" s="1"/>
  <c r="BN239" i="25"/>
  <c r="BV239" i="25" s="1"/>
  <c r="BX239" i="25" s="1"/>
  <c r="AM116" i="1"/>
  <c r="AM133" i="1"/>
  <c r="BN133" i="2" s="1"/>
  <c r="BV133" i="2" s="1"/>
  <c r="BX133" i="2" s="1"/>
  <c r="AM135" i="1"/>
  <c r="BN135" i="2" s="1"/>
  <c r="BV135" i="2" s="1"/>
  <c r="BX135" i="2" s="1"/>
  <c r="AM167" i="1"/>
  <c r="BN167" i="2" s="1"/>
  <c r="AM233" i="1"/>
  <c r="BN233" i="2" s="1"/>
  <c r="AM275" i="1"/>
  <c r="BN275" i="2" s="1"/>
  <c r="AM279" i="1"/>
  <c r="BN279" i="2" s="1"/>
  <c r="AM281" i="1"/>
  <c r="BN281" i="2" s="1"/>
  <c r="AI471" i="15"/>
  <c r="BE402" i="17"/>
  <c r="BG402" i="17" s="1"/>
  <c r="AI277" i="15"/>
  <c r="BA277" i="17" s="1"/>
  <c r="BE277" i="17" s="1"/>
  <c r="BG277" i="17" s="1"/>
  <c r="AI259" i="15"/>
  <c r="BA259" i="17" s="1"/>
  <c r="BE259" i="17" s="1"/>
  <c r="BG259" i="17" s="1"/>
  <c r="AM250" i="1"/>
  <c r="BN187" i="25"/>
  <c r="BV187" i="25" s="1"/>
  <c r="BX187" i="25" s="1"/>
  <c r="BN206" i="25"/>
  <c r="BV206" i="25" s="1"/>
  <c r="BX206" i="25" s="1"/>
  <c r="AM237" i="1"/>
  <c r="BN237" i="2" s="1"/>
  <c r="BA217" i="17"/>
  <c r="BE217" i="17" s="1"/>
  <c r="BG217" i="17" s="1"/>
  <c r="AM154" i="1"/>
  <c r="BN154" i="2" s="1"/>
  <c r="AM158" i="1"/>
  <c r="BN158" i="2" s="1"/>
  <c r="AM206" i="1"/>
  <c r="BN206" i="2" s="1"/>
  <c r="AM348" i="1"/>
  <c r="BN348" i="2" s="1"/>
  <c r="AM188" i="1"/>
  <c r="BN188" i="2" s="1"/>
  <c r="AM159" i="1"/>
  <c r="AM170" i="1"/>
  <c r="AM334" i="1"/>
  <c r="BN334" i="2" s="1"/>
  <c r="AM340" i="1"/>
  <c r="BN340" i="2" s="1"/>
  <c r="AM342" i="1"/>
  <c r="BN342" i="2" s="1"/>
  <c r="AM343" i="1"/>
  <c r="AM344" i="1"/>
  <c r="BN344" i="2" s="1"/>
  <c r="AM345" i="1"/>
  <c r="AM346" i="1"/>
  <c r="BN346" i="2" s="1"/>
  <c r="BV391" i="2"/>
  <c r="BX391" i="2" s="1"/>
  <c r="BV393" i="2"/>
  <c r="BX393" i="2" s="1"/>
  <c r="AM323" i="1"/>
  <c r="BA208" i="17"/>
  <c r="BE208" i="17" s="1"/>
  <c r="BG208" i="17" s="1"/>
  <c r="AI311" i="15"/>
  <c r="BA311" i="17" s="1"/>
  <c r="BE311" i="17" s="1"/>
  <c r="BG311" i="17" s="1"/>
  <c r="AI310" i="15"/>
  <c r="BA310" i="17" s="1"/>
  <c r="BE310" i="17" s="1"/>
  <c r="BG310" i="17" s="1"/>
  <c r="AI309" i="15"/>
  <c r="BA309" i="17" s="1"/>
  <c r="BE309" i="17" s="1"/>
  <c r="BG309" i="17" s="1"/>
  <c r="AI304" i="15"/>
  <c r="BA304" i="17" s="1"/>
  <c r="BE304" i="17" s="1"/>
  <c r="BG304" i="17" s="1"/>
  <c r="AI116" i="15"/>
  <c r="BA116" i="17" s="1"/>
  <c r="BE116" i="17" s="1"/>
  <c r="BG116" i="17" s="1"/>
  <c r="AI435" i="15"/>
  <c r="BA435" i="17" s="1"/>
  <c r="BE435" i="17" s="1"/>
  <c r="BG435" i="17" s="1"/>
  <c r="AI585" i="15"/>
  <c r="BA585" i="17" s="1"/>
  <c r="BE585" i="17" s="1"/>
  <c r="BG585" i="17" s="1"/>
  <c r="AI594" i="15"/>
  <c r="AI595" i="15"/>
  <c r="BA595" i="17" s="1"/>
  <c r="BE595" i="17" s="1"/>
  <c r="BG595" i="17" s="1"/>
  <c r="AI616" i="15"/>
  <c r="AI614" i="15"/>
  <c r="BA614" i="17" s="1"/>
  <c r="AI608" i="15"/>
  <c r="AI607" i="15"/>
  <c r="AI606" i="15"/>
  <c r="AI605" i="15"/>
  <c r="BA605" i="17" s="1"/>
  <c r="AI604" i="15"/>
  <c r="AI602" i="15"/>
  <c r="BA602" i="17" s="1"/>
  <c r="BE602" i="17" s="1"/>
  <c r="BG602" i="17" s="1"/>
  <c r="AI600" i="15"/>
  <c r="AI542" i="15"/>
  <c r="AI489" i="15"/>
  <c r="AI488" i="15"/>
  <c r="AI486" i="15"/>
  <c r="AI485" i="15"/>
  <c r="AI484" i="15"/>
  <c r="AI481" i="15"/>
  <c r="BA481" i="17" s="1"/>
  <c r="AI473" i="15"/>
  <c r="AI472" i="15"/>
  <c r="AI469" i="15"/>
  <c r="AI467" i="15"/>
  <c r="AI464" i="15"/>
  <c r="AI462" i="15"/>
  <c r="BA462" i="17" s="1"/>
  <c r="AI460" i="15"/>
  <c r="AI458" i="15"/>
  <c r="BA458" i="17" s="1"/>
  <c r="AI451" i="15"/>
  <c r="BA451" i="17" s="1"/>
  <c r="AI447" i="15"/>
  <c r="AI439" i="15"/>
  <c r="BA439" i="17" s="1"/>
  <c r="BE439" i="17" s="1"/>
  <c r="BG439" i="17" s="1"/>
  <c r="AI421" i="15"/>
  <c r="AI418" i="15"/>
  <c r="AI417" i="15"/>
  <c r="AI412" i="15"/>
  <c r="AI411" i="15"/>
  <c r="BE403" i="17"/>
  <c r="BG403" i="17" s="1"/>
  <c r="BE401" i="17"/>
  <c r="BG401" i="17" s="1"/>
  <c r="BE400" i="17"/>
  <c r="BG400" i="17" s="1"/>
  <c r="BE399" i="17"/>
  <c r="BG399" i="17" s="1"/>
  <c r="BE395" i="17"/>
  <c r="BG395" i="17" s="1"/>
  <c r="BE391" i="17"/>
  <c r="BG391" i="17" s="1"/>
  <c r="BE389" i="17"/>
  <c r="BG389" i="17" s="1"/>
  <c r="BA388" i="17"/>
  <c r="BE388" i="17" s="1"/>
  <c r="BG388" i="17" s="1"/>
  <c r="BA387" i="17"/>
  <c r="BE387" i="17" s="1"/>
  <c r="BG387" i="17" s="1"/>
  <c r="BA386" i="17"/>
  <c r="BE386" i="17" s="1"/>
  <c r="BG386" i="17" s="1"/>
  <c r="BA385" i="17"/>
  <c r="BE385" i="17" s="1"/>
  <c r="BG385" i="17" s="1"/>
  <c r="BA382" i="17"/>
  <c r="BE382" i="17" s="1"/>
  <c r="BG382" i="17" s="1"/>
  <c r="BA378" i="17"/>
  <c r="BE378" i="17" s="1"/>
  <c r="BG378" i="17" s="1"/>
  <c r="AI374" i="15"/>
  <c r="BA374" i="17" s="1"/>
  <c r="BE374" i="17" s="1"/>
  <c r="BG374" i="17" s="1"/>
  <c r="AI373" i="15"/>
  <c r="BA373" i="17" s="1"/>
  <c r="BE373" i="17" s="1"/>
  <c r="BG373" i="17" s="1"/>
  <c r="AI369" i="15"/>
  <c r="BA369" i="17" s="1"/>
  <c r="BE369" i="17" s="1"/>
  <c r="BG369" i="17" s="1"/>
  <c r="AI368" i="15"/>
  <c r="BA368" i="17" s="1"/>
  <c r="BE368" i="17" s="1"/>
  <c r="BG368" i="17" s="1"/>
  <c r="AI366" i="15"/>
  <c r="BA366" i="17" s="1"/>
  <c r="BE366" i="17" s="1"/>
  <c r="BG366" i="17" s="1"/>
  <c r="AM184" i="1"/>
  <c r="BA182" i="17"/>
  <c r="BE182" i="17" s="1"/>
  <c r="BG182" i="17" s="1"/>
  <c r="AI177" i="15"/>
  <c r="BA177" i="17" s="1"/>
  <c r="BE177" i="17" s="1"/>
  <c r="BG177" i="17" s="1"/>
  <c r="AI176" i="15"/>
  <c r="BA176" i="17" s="1"/>
  <c r="BE176" i="17" s="1"/>
  <c r="BG176" i="17" s="1"/>
  <c r="AI174" i="15"/>
  <c r="BA174" i="17" s="1"/>
  <c r="BE174" i="17" s="1"/>
  <c r="BG174" i="17" s="1"/>
  <c r="AI173" i="15"/>
  <c r="BA173" i="17" s="1"/>
  <c r="BE173" i="17" s="1"/>
  <c r="BG173" i="17" s="1"/>
  <c r="AI170" i="15"/>
  <c r="BA170" i="17" s="1"/>
  <c r="BE170" i="17" s="1"/>
  <c r="BG170" i="17" s="1"/>
  <c r="AM169" i="1"/>
  <c r="BN169" i="2" s="1"/>
  <c r="AM168" i="1"/>
  <c r="BN168" i="2" s="1"/>
  <c r="AI168" i="15"/>
  <c r="BA168" i="17" s="1"/>
  <c r="BE168" i="17" s="1"/>
  <c r="BG168" i="17" s="1"/>
  <c r="AI165" i="15"/>
  <c r="BA165" i="17" s="1"/>
  <c r="BE165" i="17" s="1"/>
  <c r="BG165" i="17" s="1"/>
  <c r="AI163" i="15"/>
  <c r="BA163" i="17" s="1"/>
  <c r="BE163" i="17" s="1"/>
  <c r="BG163" i="17" s="1"/>
  <c r="AM162" i="1"/>
  <c r="AI162" i="15"/>
  <c r="BA162" i="17" s="1"/>
  <c r="BE162" i="17" s="1"/>
  <c r="BG162" i="17" s="1"/>
  <c r="AI161" i="15"/>
  <c r="BA161" i="17" s="1"/>
  <c r="BE161" i="17" s="1"/>
  <c r="BG161" i="17" s="1"/>
  <c r="AI159" i="15"/>
  <c r="BA159" i="17" s="1"/>
  <c r="BE159" i="17" s="1"/>
  <c r="BG159" i="17" s="1"/>
  <c r="AI158" i="15"/>
  <c r="BA158" i="17" s="1"/>
  <c r="BE158" i="17" s="1"/>
  <c r="BG158" i="17" s="1"/>
  <c r="BA153" i="17"/>
  <c r="BE153" i="17" s="1"/>
  <c r="BG153" i="17" s="1"/>
  <c r="BA148" i="17"/>
  <c r="BE148" i="17" s="1"/>
  <c r="BG148" i="17" s="1"/>
  <c r="AM113" i="1"/>
  <c r="BN113" i="2" s="1"/>
  <c r="AM131" i="1"/>
  <c r="AM213" i="1"/>
  <c r="BN213" i="2" s="1"/>
  <c r="AM214" i="1"/>
  <c r="BN214" i="2" s="1"/>
  <c r="AM217" i="1"/>
  <c r="BN217" i="2" s="1"/>
  <c r="BV217" i="2" s="1"/>
  <c r="BX217" i="2" s="1"/>
  <c r="AM220" i="1"/>
  <c r="BN220" i="2" s="1"/>
  <c r="AM221" i="1"/>
  <c r="BN221" i="2" s="1"/>
  <c r="AM223" i="1"/>
  <c r="BN223" i="2" s="1"/>
  <c r="AM330" i="1"/>
  <c r="BN330" i="2" s="1"/>
  <c r="AM331" i="1"/>
  <c r="BN331" i="2" s="1"/>
  <c r="AM332" i="1"/>
  <c r="AM333" i="1"/>
  <c r="BN333" i="2" s="1"/>
  <c r="AM406" i="1"/>
  <c r="BN406" i="2" s="1"/>
  <c r="BV406" i="2" s="1"/>
  <c r="BX406" i="2" s="1"/>
  <c r="AM292" i="1"/>
  <c r="BN292" i="2" s="1"/>
  <c r="AM327" i="1"/>
  <c r="BN327" i="2" s="1"/>
  <c r="AM365" i="1"/>
  <c r="BN365" i="2" s="1"/>
  <c r="AM366" i="1"/>
  <c r="BN366" i="2" s="1"/>
  <c r="BV383" i="2"/>
  <c r="BX383" i="2" s="1"/>
  <c r="AM545" i="1"/>
  <c r="BE397" i="17"/>
  <c r="BG397" i="17" s="1"/>
  <c r="BA383" i="17"/>
  <c r="BE383" i="17" s="1"/>
  <c r="BG383" i="17" s="1"/>
  <c r="BA381" i="17"/>
  <c r="BE381" i="17" s="1"/>
  <c r="BG381" i="17" s="1"/>
  <c r="AM347" i="1"/>
  <c r="BN347" i="2" s="1"/>
  <c r="AM364" i="1"/>
  <c r="BN364" i="2" s="1"/>
  <c r="AM368" i="1"/>
  <c r="BV378" i="2"/>
  <c r="BX378" i="2" s="1"/>
  <c r="BV380" i="2"/>
  <c r="BX380" i="2" s="1"/>
  <c r="AM235" i="1"/>
  <c r="AM488" i="1"/>
  <c r="BN488" i="2" s="1"/>
  <c r="AM453" i="1"/>
  <c r="BN453" i="2" s="1"/>
  <c r="AM456" i="1"/>
  <c r="BN456" i="2" s="1"/>
  <c r="AM542" i="1"/>
  <c r="BN542" i="2" s="1"/>
  <c r="AM532" i="1"/>
  <c r="BN532" i="2" s="1"/>
  <c r="AM537" i="1"/>
  <c r="AM127" i="1"/>
  <c r="BN127" i="2" s="1"/>
  <c r="BV127" i="2" s="1"/>
  <c r="BX127" i="2" s="1"/>
  <c r="AM132" i="1"/>
  <c r="AM146" i="1"/>
  <c r="AM148" i="1"/>
  <c r="BN148" i="2" s="1"/>
  <c r="AM338" i="1"/>
  <c r="BN338" i="2" s="1"/>
  <c r="AM339" i="1"/>
  <c r="BN339" i="2" s="1"/>
  <c r="AM420" i="1"/>
  <c r="BN420" i="2" s="1"/>
  <c r="AM421" i="1"/>
  <c r="BN421" i="2" s="1"/>
  <c r="AM422" i="1"/>
  <c r="AM424" i="1"/>
  <c r="BN424" i="2" s="1"/>
  <c r="AM96" i="1"/>
  <c r="BN96" i="2" s="1"/>
  <c r="AM97" i="1"/>
  <c r="BN97" i="2" s="1"/>
  <c r="AM283" i="1"/>
  <c r="AM309" i="1"/>
  <c r="AM311" i="1"/>
  <c r="BN311" i="2" s="1"/>
  <c r="AM619" i="1"/>
  <c r="BN619" i="2" s="1"/>
  <c r="AM145" i="1"/>
  <c r="BN145" i="2" s="1"/>
  <c r="AM143" i="1"/>
  <c r="AI141" i="15"/>
  <c r="BA141" i="17" s="1"/>
  <c r="BE141" i="17" s="1"/>
  <c r="BG141" i="17" s="1"/>
  <c r="BA140" i="17"/>
  <c r="BE140" i="17" s="1"/>
  <c r="BG140" i="17" s="1"/>
  <c r="AM136" i="1"/>
  <c r="BN136" i="2" s="1"/>
  <c r="AI134" i="15"/>
  <c r="BA134" i="17" s="1"/>
  <c r="BE134" i="17" s="1"/>
  <c r="BG134" i="17" s="1"/>
  <c r="AI131" i="15"/>
  <c r="BA131" i="17" s="1"/>
  <c r="BE131" i="17" s="1"/>
  <c r="BG131" i="17" s="1"/>
  <c r="AI129" i="15"/>
  <c r="BA129" i="17" s="1"/>
  <c r="BE129" i="17" s="1"/>
  <c r="BG129" i="17" s="1"/>
  <c r="AI127" i="15"/>
  <c r="BA127" i="17" s="1"/>
  <c r="BE127" i="17" s="1"/>
  <c r="BG127" i="17" s="1"/>
  <c r="AM125" i="1"/>
  <c r="BN125" i="2" s="1"/>
  <c r="AM124" i="1"/>
  <c r="AM122" i="1"/>
  <c r="BN122" i="2" s="1"/>
  <c r="AI122" i="15"/>
  <c r="BA122" i="17" s="1"/>
  <c r="BE122" i="17" s="1"/>
  <c r="BG122" i="17" s="1"/>
  <c r="AM121" i="1"/>
  <c r="AM105" i="1"/>
  <c r="BN105" i="2" s="1"/>
  <c r="BV105" i="2" s="1"/>
  <c r="BX105" i="2" s="1"/>
  <c r="AM119" i="1"/>
  <c r="BN119" i="2" s="1"/>
  <c r="AM118" i="1"/>
  <c r="BN118" i="2" s="1"/>
  <c r="AM115" i="1"/>
  <c r="BN115" i="2" s="1"/>
  <c r="AM114" i="1"/>
  <c r="BN114" i="2" s="1"/>
  <c r="AM106" i="1"/>
  <c r="BN106" i="2" s="1"/>
  <c r="AM108" i="1"/>
  <c r="BN108" i="2" s="1"/>
  <c r="AM107" i="1"/>
  <c r="BN107" i="2" s="1"/>
  <c r="AI106" i="15"/>
  <c r="BA106" i="17" s="1"/>
  <c r="BE106" i="17" s="1"/>
  <c r="BG106" i="17" s="1"/>
  <c r="BN102" i="25"/>
  <c r="BV102" i="25" s="1"/>
  <c r="BX102" i="25" s="1"/>
  <c r="AM98" i="1"/>
  <c r="BN98" i="2" s="1"/>
  <c r="AI92" i="15"/>
  <c r="BA92" i="17" s="1"/>
  <c r="BE92" i="17" s="1"/>
  <c r="BG92" i="17" s="1"/>
  <c r="AM94" i="1"/>
  <c r="BN94" i="2" s="1"/>
  <c r="AM294" i="1"/>
  <c r="BN294" i="2" s="1"/>
  <c r="AM117" i="1"/>
  <c r="BN117" i="2" s="1"/>
  <c r="AM128" i="1"/>
  <c r="AM130" i="1"/>
  <c r="BN130" i="2" s="1"/>
  <c r="AM134" i="1"/>
  <c r="BN134" i="2" s="1"/>
  <c r="AM142" i="1"/>
  <c r="BN142" i="2" s="1"/>
  <c r="AM224" i="1"/>
  <c r="BN224" i="2" s="1"/>
  <c r="AM227" i="1"/>
  <c r="BN227" i="2" s="1"/>
  <c r="AM228" i="1"/>
  <c r="AM229" i="1"/>
  <c r="BN229" i="2" s="1"/>
  <c r="AM230" i="1"/>
  <c r="BN230" i="2" s="1"/>
  <c r="AM231" i="1"/>
  <c r="BN231" i="2" s="1"/>
  <c r="AM232" i="1"/>
  <c r="BN232" i="2" s="1"/>
  <c r="AM336" i="1"/>
  <c r="AM341" i="1"/>
  <c r="BN341" i="2" s="1"/>
  <c r="AM416" i="1"/>
  <c r="BN416" i="2" s="1"/>
  <c r="AM417" i="1"/>
  <c r="BN417" i="2" s="1"/>
  <c r="BV430" i="2"/>
  <c r="BX430" i="2" s="1"/>
  <c r="AM174" i="1"/>
  <c r="AM176" i="1"/>
  <c r="BN176" i="2" s="1"/>
  <c r="AM177" i="1"/>
  <c r="BV396" i="2"/>
  <c r="BX396" i="2" s="1"/>
  <c r="AM407" i="1"/>
  <c r="BN407" i="2" s="1"/>
  <c r="BV407" i="2" s="1"/>
  <c r="BX407" i="2" s="1"/>
  <c r="AM408" i="1"/>
  <c r="BN408" i="2" s="1"/>
  <c r="AM101" i="1"/>
  <c r="BN101" i="2" s="1"/>
  <c r="AM277" i="1"/>
  <c r="BN277" i="2" s="1"/>
  <c r="AM280" i="1"/>
  <c r="BN280" i="2" s="1"/>
  <c r="AM282" i="1"/>
  <c r="BN282" i="2" s="1"/>
  <c r="AM312" i="1"/>
  <c r="BN312" i="2" s="1"/>
  <c r="AM316" i="1"/>
  <c r="BN316" i="2" s="1"/>
  <c r="AM318" i="1"/>
  <c r="BN318" i="2" s="1"/>
  <c r="AM321" i="1"/>
  <c r="BN321" i="2" s="1"/>
  <c r="AM601" i="1"/>
  <c r="BN601" i="2" s="1"/>
  <c r="AM614" i="1"/>
  <c r="BN614" i="2" s="1"/>
  <c r="AM616" i="1"/>
  <c r="AM623" i="1"/>
  <c r="BN623" i="2" s="1"/>
  <c r="AM624" i="1"/>
  <c r="BN624" i="2" s="1"/>
  <c r="AM183" i="1"/>
  <c r="BN183" i="2" s="1"/>
  <c r="BV183" i="2" s="1"/>
  <c r="BX183" i="2" s="1"/>
  <c r="AM225" i="1"/>
  <c r="BN225" i="2" s="1"/>
  <c r="AM226" i="1"/>
  <c r="BN226" i="2" s="1"/>
  <c r="AM349" i="1"/>
  <c r="BN349" i="2" s="1"/>
  <c r="AM350" i="1"/>
  <c r="BN350" i="2" s="1"/>
  <c r="AM351" i="1"/>
  <c r="BN351" i="2" s="1"/>
  <c r="AM352" i="1"/>
  <c r="BN352" i="2" s="1"/>
  <c r="AM353" i="1"/>
  <c r="BN353" i="2" s="1"/>
  <c r="AM362" i="1"/>
  <c r="BN362" i="2" s="1"/>
  <c r="AM371" i="1"/>
  <c r="BN371" i="2" s="1"/>
  <c r="BV384" i="2"/>
  <c r="BX384" i="2" s="1"/>
  <c r="BV385" i="2"/>
  <c r="BX385" i="2" s="1"/>
  <c r="AM240" i="1"/>
  <c r="AM241" i="1"/>
  <c r="BN241" i="2" s="1"/>
  <c r="AM245" i="1"/>
  <c r="BN245" i="2" s="1"/>
  <c r="AM254" i="1"/>
  <c r="BN254" i="2" s="1"/>
  <c r="AM255" i="1"/>
  <c r="BN255" i="2" s="1"/>
  <c r="AM256" i="1"/>
  <c r="AM448" i="1"/>
  <c r="BN448" i="2" s="1"/>
  <c r="AM463" i="1"/>
  <c r="AM468" i="1"/>
  <c r="BN468" i="2" s="1"/>
  <c r="AM472" i="1"/>
  <c r="AM541" i="1"/>
  <c r="BN541" i="2" s="1"/>
  <c r="AM551" i="1"/>
  <c r="AM555" i="1"/>
  <c r="BN555" i="2" s="1"/>
  <c r="AI622" i="15"/>
  <c r="BA622" i="17" s="1"/>
  <c r="BE622" i="17" s="1"/>
  <c r="BG622" i="17" s="1"/>
  <c r="AI618" i="15"/>
  <c r="AI617" i="15"/>
  <c r="BA617" i="17" s="1"/>
  <c r="BE617" i="17" s="1"/>
  <c r="BG617" i="17" s="1"/>
  <c r="AI615" i="15"/>
  <c r="AI611" i="15"/>
  <c r="AI609" i="15"/>
  <c r="AI577" i="15"/>
  <c r="AI572" i="15"/>
  <c r="AI569" i="15"/>
  <c r="BA569" i="17" s="1"/>
  <c r="BE569" i="17" s="1"/>
  <c r="BG569" i="17" s="1"/>
  <c r="AI568" i="15"/>
  <c r="AI566" i="15"/>
  <c r="BA566" i="17" s="1"/>
  <c r="AI565" i="15"/>
  <c r="AI559" i="15"/>
  <c r="BA559" i="17" s="1"/>
  <c r="AI558" i="15"/>
  <c r="AI557" i="15"/>
  <c r="AI555" i="15"/>
  <c r="AI554" i="15"/>
  <c r="BA554" i="17" s="1"/>
  <c r="AI552" i="15"/>
  <c r="AI549" i="15"/>
  <c r="BA549" i="17" s="1"/>
  <c r="BE549" i="17" s="1"/>
  <c r="BG549" i="17" s="1"/>
  <c r="AI545" i="15"/>
  <c r="AI468" i="15"/>
  <c r="BA468" i="17" s="1"/>
  <c r="AI448" i="15"/>
  <c r="AI442" i="15"/>
  <c r="BA442" i="17" s="1"/>
  <c r="BE442" i="17" s="1"/>
  <c r="BG442" i="17" s="1"/>
  <c r="AI365" i="15"/>
  <c r="BA365" i="17" s="1"/>
  <c r="BE365" i="17" s="1"/>
  <c r="BG365" i="17" s="1"/>
  <c r="AI362" i="15"/>
  <c r="BA362" i="17" s="1"/>
  <c r="BE362" i="17" s="1"/>
  <c r="BG362" i="17" s="1"/>
  <c r="AI360" i="15"/>
  <c r="BA360" i="17" s="1"/>
  <c r="BE360" i="17" s="1"/>
  <c r="BG360" i="17" s="1"/>
  <c r="AI355" i="15"/>
  <c r="BA355" i="17" s="1"/>
  <c r="BE355" i="17" s="1"/>
  <c r="BG355" i="17" s="1"/>
  <c r="AI347" i="15"/>
  <c r="BA347" i="17" s="1"/>
  <c r="BE347" i="17" s="1"/>
  <c r="BG347" i="17" s="1"/>
  <c r="AI340" i="15"/>
  <c r="BA340" i="17" s="1"/>
  <c r="BE340" i="17" s="1"/>
  <c r="BG340" i="17" s="1"/>
  <c r="AI335" i="15"/>
  <c r="BA335" i="17" s="1"/>
  <c r="BE335" i="17" s="1"/>
  <c r="BG335" i="17" s="1"/>
  <c r="AI334" i="15"/>
  <c r="BA334" i="17" s="1"/>
  <c r="BE334" i="17" s="1"/>
  <c r="BG334" i="17" s="1"/>
  <c r="AI299" i="15"/>
  <c r="BA299" i="17" s="1"/>
  <c r="BE299" i="17" s="1"/>
  <c r="BG299" i="17" s="1"/>
  <c r="AI297" i="15"/>
  <c r="BA297" i="17" s="1"/>
  <c r="BE297" i="17" s="1"/>
  <c r="BG297" i="17" s="1"/>
  <c r="AI295" i="15"/>
  <c r="BA295" i="17" s="1"/>
  <c r="BE295" i="17" s="1"/>
  <c r="BG295" i="17" s="1"/>
  <c r="AI294" i="15"/>
  <c r="BA294" i="17" s="1"/>
  <c r="BE294" i="17" s="1"/>
  <c r="BG294" i="17" s="1"/>
  <c r="AI287" i="15"/>
  <c r="BN100" i="25"/>
  <c r="BV100" i="25" s="1"/>
  <c r="BX100" i="25" s="1"/>
  <c r="BN104" i="25"/>
  <c r="BV104" i="25" s="1"/>
  <c r="BX104" i="25" s="1"/>
  <c r="BN106" i="25"/>
  <c r="BV106" i="25" s="1"/>
  <c r="BX106" i="25" s="1"/>
  <c r="BN110" i="25"/>
  <c r="BV110" i="25" s="1"/>
  <c r="BN112" i="25"/>
  <c r="BV112" i="25" s="1"/>
  <c r="BX112" i="25" s="1"/>
  <c r="BN123" i="25"/>
  <c r="BV123" i="25" s="1"/>
  <c r="BX123" i="25" s="1"/>
  <c r="BN378" i="25"/>
  <c r="BV378" i="25" s="1"/>
  <c r="BX378" i="25" s="1"/>
  <c r="BN380" i="25"/>
  <c r="BV380" i="25" s="1"/>
  <c r="BX380" i="25" s="1"/>
  <c r="BN382" i="25"/>
  <c r="BV382" i="25" s="1"/>
  <c r="BX382" i="25" s="1"/>
  <c r="BN384" i="25"/>
  <c r="BV384" i="25" s="1"/>
  <c r="BX384" i="25" s="1"/>
  <c r="BN386" i="25"/>
  <c r="BV386" i="25" s="1"/>
  <c r="BX386" i="25" s="1"/>
  <c r="BN388" i="25"/>
  <c r="BV388" i="25" s="1"/>
  <c r="BX388" i="25" s="1"/>
  <c r="BN390" i="25"/>
  <c r="BV390" i="25" s="1"/>
  <c r="BX390" i="25" s="1"/>
  <c r="BN392" i="25"/>
  <c r="BV392" i="25" s="1"/>
  <c r="BX392" i="25" s="1"/>
  <c r="BN394" i="25"/>
  <c r="BV394" i="25" s="1"/>
  <c r="BX394" i="25" s="1"/>
  <c r="BN396" i="25"/>
  <c r="BV396" i="25" s="1"/>
  <c r="BX396" i="25" s="1"/>
  <c r="BN398" i="25"/>
  <c r="BV398" i="25" s="1"/>
  <c r="BX398" i="25" s="1"/>
  <c r="BN400" i="25"/>
  <c r="BV400" i="25" s="1"/>
  <c r="BX400" i="25" s="1"/>
  <c r="BN402" i="25"/>
  <c r="BV402" i="25" s="1"/>
  <c r="BX402" i="25" s="1"/>
  <c r="BN404" i="25"/>
  <c r="BV404" i="25" s="1"/>
  <c r="BX404" i="25" s="1"/>
  <c r="BN406" i="25"/>
  <c r="BV406" i="25" s="1"/>
  <c r="BX406" i="25" s="1"/>
  <c r="BN408" i="25"/>
  <c r="BV408" i="25" s="1"/>
  <c r="BX408" i="25" s="1"/>
  <c r="BN413" i="25"/>
  <c r="BV413" i="25" s="1"/>
  <c r="BX413" i="25" s="1"/>
  <c r="BN417" i="25"/>
  <c r="BV417" i="25" s="1"/>
  <c r="BX417" i="25" s="1"/>
  <c r="BN445" i="25"/>
  <c r="BV445" i="25" s="1"/>
  <c r="BX445" i="25" s="1"/>
  <c r="AI283" i="15"/>
  <c r="BA283" i="17" s="1"/>
  <c r="BE283" i="17" s="1"/>
  <c r="BG283" i="17" s="1"/>
  <c r="AI255" i="15"/>
  <c r="BA255" i="17" s="1"/>
  <c r="BE255" i="17" s="1"/>
  <c r="BG255" i="17" s="1"/>
  <c r="AI250" i="15"/>
  <c r="BA250" i="17" s="1"/>
  <c r="BE250" i="17" s="1"/>
  <c r="BG250" i="17" s="1"/>
  <c r="AI249" i="15"/>
  <c r="BA249" i="17" s="1"/>
  <c r="BE249" i="17" s="1"/>
  <c r="BG249" i="17" s="1"/>
  <c r="AI246" i="15"/>
  <c r="BA246" i="17" s="1"/>
  <c r="BE246" i="17" s="1"/>
  <c r="BG246" i="17" s="1"/>
  <c r="AI244" i="15"/>
  <c r="BA244" i="17" s="1"/>
  <c r="BE244" i="17" s="1"/>
  <c r="BG244" i="17" s="1"/>
  <c r="BA240" i="17"/>
  <c r="BE240" i="17" s="1"/>
  <c r="BG240" i="17" s="1"/>
  <c r="AI227" i="15"/>
  <c r="BA227" i="17" s="1"/>
  <c r="BE227" i="17" s="1"/>
  <c r="BG227" i="17" s="1"/>
  <c r="AI225" i="15"/>
  <c r="BA225" i="17" s="1"/>
  <c r="BE225" i="17" s="1"/>
  <c r="BG225" i="17" s="1"/>
  <c r="AI221" i="15"/>
  <c r="BA221" i="17" s="1"/>
  <c r="BE221" i="17" s="1"/>
  <c r="BG221" i="17" s="1"/>
  <c r="BA216" i="17"/>
  <c r="BE216" i="17" s="1"/>
  <c r="BG216" i="17" s="1"/>
  <c r="BA215" i="17"/>
  <c r="BE215" i="17" s="1"/>
  <c r="BG215" i="17" s="1"/>
  <c r="BA214" i="17"/>
  <c r="BE214" i="17" s="1"/>
  <c r="BG214" i="17" s="1"/>
  <c r="BN150" i="25"/>
  <c r="BV150" i="25" s="1"/>
  <c r="BX150" i="25" s="1"/>
  <c r="AI427" i="15"/>
  <c r="BA427" i="17" s="1"/>
  <c r="AI429" i="15"/>
  <c r="AI431" i="15"/>
  <c r="AI433" i="15"/>
  <c r="BN430" i="25"/>
  <c r="BV430" i="25" s="1"/>
  <c r="BX430" i="25" s="1"/>
  <c r="BN432" i="25"/>
  <c r="BV432" i="25" s="1"/>
  <c r="BX432" i="25" s="1"/>
  <c r="BN434" i="25"/>
  <c r="BV434" i="25" s="1"/>
  <c r="BX434" i="25" s="1"/>
  <c r="BN584" i="25"/>
  <c r="BV584" i="25" s="1"/>
  <c r="BX584" i="25" s="1"/>
  <c r="AM493" i="1"/>
  <c r="BN493" i="2" s="1"/>
  <c r="AM494" i="1"/>
  <c r="AM530" i="1"/>
  <c r="BN530" i="2" s="1"/>
  <c r="BV530" i="2" s="1"/>
  <c r="BX530" i="2" s="1"/>
  <c r="AM535" i="1"/>
  <c r="BN585" i="25"/>
  <c r="BV585" i="25" s="1"/>
  <c r="BX585" i="25" s="1"/>
  <c r="BN103" i="25"/>
  <c r="BV103" i="25" s="1"/>
  <c r="BX103" i="25" s="1"/>
  <c r="BN105" i="25"/>
  <c r="BV105" i="25" s="1"/>
  <c r="BX105" i="25" s="1"/>
  <c r="BN131" i="25"/>
  <c r="BV131" i="25" s="1"/>
  <c r="BX131" i="25" s="1"/>
  <c r="BN173" i="25"/>
  <c r="BV173" i="25" s="1"/>
  <c r="BX173" i="25" s="1"/>
  <c r="BN182" i="25"/>
  <c r="BV182" i="25" s="1"/>
  <c r="BX182" i="25" s="1"/>
  <c r="BN361" i="25"/>
  <c r="BV361" i="25" s="1"/>
  <c r="BX361" i="25" s="1"/>
  <c r="BN366" i="25"/>
  <c r="BV366" i="25" s="1"/>
  <c r="BX366" i="25" s="1"/>
  <c r="BN376" i="25"/>
  <c r="BV376" i="25" s="1"/>
  <c r="BX376" i="25" s="1"/>
  <c r="BN379" i="25"/>
  <c r="BV379" i="25" s="1"/>
  <c r="BX379" i="25" s="1"/>
  <c r="BN381" i="25"/>
  <c r="BV381" i="25" s="1"/>
  <c r="BX381" i="25" s="1"/>
  <c r="BN383" i="25"/>
  <c r="BV383" i="25" s="1"/>
  <c r="BX383" i="25" s="1"/>
  <c r="BN385" i="25"/>
  <c r="BV385" i="25" s="1"/>
  <c r="BX385" i="25" s="1"/>
  <c r="BN387" i="25"/>
  <c r="BV387" i="25" s="1"/>
  <c r="BX387" i="25" s="1"/>
  <c r="BN389" i="25"/>
  <c r="BV389" i="25" s="1"/>
  <c r="BX389" i="25" s="1"/>
  <c r="BN391" i="25"/>
  <c r="BV391" i="25" s="1"/>
  <c r="BX391" i="25" s="1"/>
  <c r="BN393" i="25"/>
  <c r="BV393" i="25" s="1"/>
  <c r="BX393" i="25" s="1"/>
  <c r="BN395" i="25"/>
  <c r="BV395" i="25" s="1"/>
  <c r="BX395" i="25" s="1"/>
  <c r="BN397" i="25"/>
  <c r="BV397" i="25" s="1"/>
  <c r="BX397" i="25" s="1"/>
  <c r="BN399" i="25"/>
  <c r="BV399" i="25" s="1"/>
  <c r="BX399" i="25" s="1"/>
  <c r="BN401" i="25"/>
  <c r="BV401" i="25" s="1"/>
  <c r="BX401" i="25" s="1"/>
  <c r="BN403" i="25"/>
  <c r="BV403" i="25" s="1"/>
  <c r="BX403" i="25" s="1"/>
  <c r="BN405" i="25"/>
  <c r="BV405" i="25" s="1"/>
  <c r="BX405" i="25" s="1"/>
  <c r="BN407" i="25"/>
  <c r="BV407" i="25" s="1"/>
  <c r="BX407" i="25" s="1"/>
  <c r="BN414" i="25"/>
  <c r="BV414" i="25" s="1"/>
  <c r="BX414" i="25" s="1"/>
  <c r="BN418" i="25"/>
  <c r="BV418" i="25" s="1"/>
  <c r="BX418" i="25" s="1"/>
  <c r="BN448" i="25"/>
  <c r="BV448" i="25" s="1"/>
  <c r="BX448" i="25" s="1"/>
  <c r="BN458" i="25"/>
  <c r="BV458" i="25" s="1"/>
  <c r="BX458" i="25" s="1"/>
  <c r="BN554" i="25"/>
  <c r="BV554" i="25" s="1"/>
  <c r="BX554" i="25" s="1"/>
  <c r="BN566" i="25"/>
  <c r="BV566" i="25" s="1"/>
  <c r="BX566" i="25" s="1"/>
  <c r="AI151" i="15"/>
  <c r="BA151" i="17" s="1"/>
  <c r="BE151" i="17" s="1"/>
  <c r="BG151" i="17" s="1"/>
  <c r="BA150" i="17"/>
  <c r="BE150" i="17" s="1"/>
  <c r="BG150" i="17" s="1"/>
  <c r="BA149" i="17"/>
  <c r="BE149" i="17" s="1"/>
  <c r="BG149" i="17" s="1"/>
  <c r="AI146" i="15"/>
  <c r="BA146" i="17" s="1"/>
  <c r="BE146" i="17" s="1"/>
  <c r="BG146" i="17" s="1"/>
  <c r="AI145" i="15"/>
  <c r="BA145" i="17" s="1"/>
  <c r="BE145" i="17" s="1"/>
  <c r="BG145" i="17" s="1"/>
  <c r="AI143" i="15"/>
  <c r="BA143" i="17" s="1"/>
  <c r="BE143" i="17" s="1"/>
  <c r="BG143" i="17" s="1"/>
  <c r="AI132" i="15"/>
  <c r="BA132" i="17" s="1"/>
  <c r="BE132" i="17" s="1"/>
  <c r="BG132" i="17" s="1"/>
  <c r="AI125" i="15"/>
  <c r="BA125" i="17" s="1"/>
  <c r="BE125" i="17" s="1"/>
  <c r="BG125" i="17" s="1"/>
  <c r="AI123" i="15"/>
  <c r="BA123" i="17" s="1"/>
  <c r="BE123" i="17" s="1"/>
  <c r="BG123" i="17" s="1"/>
  <c r="AI121" i="15"/>
  <c r="BA121" i="17" s="1"/>
  <c r="BE121" i="17" s="1"/>
  <c r="BG121" i="17" s="1"/>
  <c r="AI118" i="15"/>
  <c r="BA118" i="17" s="1"/>
  <c r="BE118" i="17" s="1"/>
  <c r="BG118" i="17" s="1"/>
  <c r="AI117" i="15"/>
  <c r="BA117" i="17" s="1"/>
  <c r="BE117" i="17" s="1"/>
  <c r="BG117" i="17" s="1"/>
  <c r="AI115" i="15"/>
  <c r="BA115" i="17" s="1"/>
  <c r="BE115" i="17" s="1"/>
  <c r="BG115" i="17" s="1"/>
  <c r="AI112" i="15"/>
  <c r="BA112" i="17" s="1"/>
  <c r="BE112" i="17" s="1"/>
  <c r="BG112" i="17" s="1"/>
  <c r="AI110" i="15"/>
  <c r="BA110" i="17" s="1"/>
  <c r="BE110" i="17" s="1"/>
  <c r="BG110" i="17" s="1"/>
  <c r="AI109" i="15"/>
  <c r="BA109" i="17" s="1"/>
  <c r="BE109" i="17" s="1"/>
  <c r="BG109" i="17" s="1"/>
  <c r="AI108" i="15"/>
  <c r="BA108" i="17" s="1"/>
  <c r="BE108" i="17" s="1"/>
  <c r="BG108" i="17" s="1"/>
  <c r="AI105" i="15"/>
  <c r="BA105" i="17" s="1"/>
  <c r="BE105" i="17" s="1"/>
  <c r="BG105" i="17" s="1"/>
  <c r="AI104" i="15"/>
  <c r="BA104" i="17" s="1"/>
  <c r="BE104" i="17" s="1"/>
  <c r="BG104" i="17" s="1"/>
  <c r="AI103" i="15"/>
  <c r="BA103" i="17" s="1"/>
  <c r="BE103" i="17" s="1"/>
  <c r="BG103" i="17" s="1"/>
  <c r="AI102" i="15"/>
  <c r="BA102" i="17" s="1"/>
  <c r="BE102" i="17" s="1"/>
  <c r="BG102" i="17" s="1"/>
  <c r="AI101" i="15"/>
  <c r="BA101" i="17" s="1"/>
  <c r="BE101" i="17" s="1"/>
  <c r="BG101" i="17" s="1"/>
  <c r="AI100" i="15"/>
  <c r="BA100" i="17" s="1"/>
  <c r="BE100" i="17" s="1"/>
  <c r="BG100" i="17" s="1"/>
  <c r="AI99" i="15"/>
  <c r="BA99" i="17" s="1"/>
  <c r="BE99" i="17" s="1"/>
  <c r="BG99" i="17" s="1"/>
  <c r="AI97" i="15"/>
  <c r="BA97" i="17" s="1"/>
  <c r="BE97" i="17" s="1"/>
  <c r="BG97" i="17" s="1"/>
  <c r="AI459" i="15"/>
  <c r="AI482" i="15"/>
  <c r="AI551" i="15"/>
  <c r="AI563" i="15"/>
  <c r="BA563" i="17" s="1"/>
  <c r="AI575" i="15"/>
  <c r="AI91" i="15"/>
  <c r="BA91" i="17" s="1"/>
  <c r="BE91" i="17" s="1"/>
  <c r="BG91" i="17" s="1"/>
  <c r="AI137" i="15"/>
  <c r="BA137" i="17" s="1"/>
  <c r="BE137" i="17" s="1"/>
  <c r="BG137" i="17" s="1"/>
  <c r="AI405" i="15"/>
  <c r="AI415" i="15"/>
  <c r="BN151" i="25"/>
  <c r="BV151" i="25" s="1"/>
  <c r="BX151" i="25" s="1"/>
  <c r="BN155" i="25"/>
  <c r="BV155" i="25" s="1"/>
  <c r="BX155" i="25" s="1"/>
  <c r="BN159" i="25"/>
  <c r="BV159" i="25" s="1"/>
  <c r="BX159" i="25" s="1"/>
  <c r="BN431" i="25"/>
  <c r="BV431" i="25" s="1"/>
  <c r="BX431" i="25" s="1"/>
  <c r="BN433" i="25"/>
  <c r="BV433" i="25" s="1"/>
  <c r="BX433" i="25" s="1"/>
  <c r="BN590" i="25"/>
  <c r="BV590" i="25" s="1"/>
  <c r="BX590" i="25" s="1"/>
  <c r="AI591" i="15"/>
  <c r="AI593" i="15"/>
  <c r="BA593" i="17" s="1"/>
  <c r="AI198" i="15"/>
  <c r="BA198" i="17" s="1"/>
  <c r="BE198" i="17" s="1"/>
  <c r="BG198" i="17" s="1"/>
  <c r="AI204" i="15"/>
  <c r="BA204" i="17" s="1"/>
  <c r="BE204" i="17" s="1"/>
  <c r="BG204" i="17" s="1"/>
  <c r="AI209" i="15"/>
  <c r="BA209" i="17" s="1"/>
  <c r="BE209" i="17" s="1"/>
  <c r="BG209" i="17" s="1"/>
  <c r="AI211" i="15"/>
  <c r="BA211" i="17" s="1"/>
  <c r="BE211" i="17" s="1"/>
  <c r="BG211" i="17" s="1"/>
  <c r="AM173" i="1"/>
  <c r="BN173" i="2" s="1"/>
  <c r="AM335" i="1"/>
  <c r="BN335" i="2" s="1"/>
  <c r="AM409" i="1"/>
  <c r="AM322" i="1"/>
  <c r="BN322" i="2" s="1"/>
  <c r="AM373" i="1"/>
  <c r="BN373" i="2" s="1"/>
  <c r="AM242" i="1"/>
  <c r="BN242" i="2" s="1"/>
  <c r="AM244" i="1"/>
  <c r="BN244" i="2" s="1"/>
  <c r="AM482" i="1"/>
  <c r="BN482" i="2" s="1"/>
  <c r="AM559" i="1"/>
  <c r="BN559" i="2" s="1"/>
  <c r="AM568" i="1"/>
  <c r="BN568" i="2" s="1"/>
  <c r="AM533" i="1"/>
  <c r="AM109" i="1"/>
  <c r="BN109" i="2" s="1"/>
  <c r="AM110" i="1"/>
  <c r="BN110" i="2" s="1"/>
  <c r="AM111" i="1"/>
  <c r="BN111" i="2" s="1"/>
  <c r="AM123" i="1"/>
  <c r="BN123" i="2" s="1"/>
  <c r="AM129" i="1"/>
  <c r="BN129" i="2" s="1"/>
  <c r="AM140" i="1"/>
  <c r="BN140" i="2" s="1"/>
  <c r="AM141" i="1"/>
  <c r="BN141" i="2" s="1"/>
  <c r="BV392" i="2"/>
  <c r="BX392" i="2" s="1"/>
  <c r="BV400" i="2"/>
  <c r="BX400" i="2" s="1"/>
  <c r="AM404" i="1"/>
  <c r="BN404" i="2" s="1"/>
  <c r="AM405" i="1"/>
  <c r="BN405" i="2" s="1"/>
  <c r="AM413" i="1"/>
  <c r="BN413" i="2" s="1"/>
  <c r="AM414" i="1"/>
  <c r="BN414" i="2" s="1"/>
  <c r="AM415" i="1"/>
  <c r="BN415" i="2" s="1"/>
  <c r="BV390" i="2"/>
  <c r="BX390" i="2" s="1"/>
  <c r="AM95" i="1"/>
  <c r="BN95" i="2" s="1"/>
  <c r="AM103" i="1"/>
  <c r="BN103" i="2" s="1"/>
  <c r="AM297" i="1"/>
  <c r="BN297" i="2" s="1"/>
  <c r="AM617" i="1"/>
  <c r="BN617" i="2" s="1"/>
  <c r="AM627" i="1"/>
  <c r="BN627" i="2" s="1"/>
  <c r="AM354" i="1"/>
  <c r="BN354" i="2" s="1"/>
  <c r="AM355" i="1"/>
  <c r="BN355" i="2" s="1"/>
  <c r="AM357" i="1"/>
  <c r="AM358" i="1"/>
  <c r="BN358" i="2" s="1"/>
  <c r="AM359" i="1"/>
  <c r="AM363" i="1"/>
  <c r="AM370" i="1"/>
  <c r="BN370" i="2" s="1"/>
  <c r="BV386" i="2"/>
  <c r="BX386" i="2" s="1"/>
  <c r="BV387" i="2"/>
  <c r="BX387" i="2" s="1"/>
  <c r="AM447" i="1"/>
  <c r="BN447" i="2" s="1"/>
  <c r="AM462" i="1"/>
  <c r="AM562" i="1"/>
  <c r="BN562" i="2" s="1"/>
  <c r="BA275" i="17"/>
  <c r="BE275" i="17" s="1"/>
  <c r="BG275" i="17" s="1"/>
  <c r="AI455" i="15"/>
  <c r="BA455" i="17" s="1"/>
  <c r="AI470" i="15"/>
  <c r="AI480" i="15"/>
  <c r="AI583" i="15"/>
  <c r="AI578" i="15"/>
  <c r="AI300" i="15"/>
  <c r="BA300" i="17" s="1"/>
  <c r="BE300" i="17" s="1"/>
  <c r="BG300" i="17" s="1"/>
  <c r="AI298" i="15"/>
  <c r="BA298" i="17" s="1"/>
  <c r="BE298" i="17" s="1"/>
  <c r="BG298" i="17" s="1"/>
  <c r="AI288" i="15"/>
  <c r="AI444" i="15"/>
  <c r="AI424" i="15"/>
  <c r="AI408" i="15"/>
  <c r="AI407" i="15"/>
  <c r="BE392" i="17"/>
  <c r="BG392" i="17" s="1"/>
  <c r="AI372" i="15"/>
  <c r="BA372" i="17" s="1"/>
  <c r="BE372" i="17" s="1"/>
  <c r="BG372" i="17" s="1"/>
  <c r="AI367" i="15"/>
  <c r="BA367" i="17" s="1"/>
  <c r="BE367" i="17" s="1"/>
  <c r="BG367" i="17" s="1"/>
  <c r="AI361" i="15"/>
  <c r="BA361" i="17" s="1"/>
  <c r="BE361" i="17" s="1"/>
  <c r="BG361" i="17" s="1"/>
  <c r="AI349" i="15"/>
  <c r="BA349" i="17" s="1"/>
  <c r="BE349" i="17" s="1"/>
  <c r="BG349" i="17" s="1"/>
  <c r="AI346" i="15"/>
  <c r="BA346" i="17" s="1"/>
  <c r="BE346" i="17" s="1"/>
  <c r="BG346" i="17" s="1"/>
  <c r="AI331" i="15"/>
  <c r="BA331" i="17" s="1"/>
  <c r="BE331" i="17" s="1"/>
  <c r="BG331" i="17" s="1"/>
  <c r="AI308" i="15"/>
  <c r="AI303" i="15"/>
  <c r="BA303" i="17" s="1"/>
  <c r="BE303" i="17" s="1"/>
  <c r="BG303" i="17" s="1"/>
  <c r="AI166" i="15"/>
  <c r="BA166" i="17" s="1"/>
  <c r="BE166" i="17" s="1"/>
  <c r="BG166" i="17" s="1"/>
  <c r="AI436" i="15"/>
  <c r="BA436" i="17" s="1"/>
  <c r="BE436" i="17" s="1"/>
  <c r="BG436" i="17" s="1"/>
  <c r="AI586" i="15"/>
  <c r="AI587" i="15"/>
  <c r="AI588" i="15"/>
  <c r="AI589" i="15"/>
  <c r="BA589" i="17" s="1"/>
  <c r="AI590" i="15"/>
  <c r="AI539" i="15"/>
  <c r="AI537" i="15"/>
  <c r="AI535" i="15"/>
  <c r="AI490" i="15"/>
  <c r="AI493" i="15"/>
  <c r="BN176" i="25"/>
  <c r="BN183" i="25"/>
  <c r="BV183" i="25" s="1"/>
  <c r="BX183" i="25" s="1"/>
  <c r="BV382" i="2"/>
  <c r="BX382" i="2" s="1"/>
  <c r="BV397" i="2"/>
  <c r="BX397" i="2" s="1"/>
  <c r="BV398" i="2"/>
  <c r="BX398" i="2" s="1"/>
  <c r="BV401" i="2"/>
  <c r="BX401" i="2" s="1"/>
  <c r="BV403" i="2"/>
  <c r="BX403" i="2" s="1"/>
  <c r="BV181" i="2"/>
  <c r="BX181" i="2" s="1"/>
  <c r="BV379" i="2"/>
  <c r="BX379" i="2" s="1"/>
  <c r="AM442" i="1"/>
  <c r="BN442" i="2" s="1"/>
  <c r="AM445" i="1"/>
  <c r="BN445" i="2" s="1"/>
  <c r="AM455" i="1"/>
  <c r="BN455" i="2" s="1"/>
  <c r="AM471" i="1"/>
  <c r="BN471" i="2" s="1"/>
  <c r="AM485" i="1"/>
  <c r="BN485" i="2" s="1"/>
  <c r="AM486" i="1"/>
  <c r="BN486" i="2" s="1"/>
  <c r="BV486" i="2" s="1"/>
  <c r="AM547" i="1"/>
  <c r="AM550" i="1"/>
  <c r="BN550" i="2" s="1"/>
  <c r="AM554" i="1"/>
  <c r="BN554" i="2" s="1"/>
  <c r="AM556" i="1"/>
  <c r="BN556" i="2" s="1"/>
  <c r="AM564" i="1"/>
  <c r="BN564" i="2" s="1"/>
  <c r="AM565" i="1"/>
  <c r="BN565" i="2" s="1"/>
  <c r="AM569" i="1"/>
  <c r="AM492" i="1"/>
  <c r="BN492" i="2" s="1"/>
  <c r="AM500" i="1"/>
  <c r="BN500" i="2" s="1"/>
  <c r="AM501" i="1"/>
  <c r="BN501" i="2" s="1"/>
  <c r="AM502" i="1"/>
  <c r="BN502" i="2" s="1"/>
  <c r="AM503" i="1"/>
  <c r="BN503" i="2" s="1"/>
  <c r="AM504" i="1"/>
  <c r="AM522" i="1"/>
  <c r="AM524" i="1"/>
  <c r="BN524" i="2" s="1"/>
  <c r="AM525" i="1"/>
  <c r="BN525" i="2" s="1"/>
  <c r="AM531" i="1"/>
  <c r="BN531" i="2" s="1"/>
  <c r="AM259" i="1"/>
  <c r="BN259" i="2" s="1"/>
  <c r="AM260" i="1"/>
  <c r="BV261" i="2" s="1"/>
  <c r="BX261" i="2" s="1"/>
  <c r="AM264" i="1"/>
  <c r="BN264" i="2" s="1"/>
  <c r="AM265" i="1"/>
  <c r="BN265" i="2" s="1"/>
  <c r="AM266" i="1"/>
  <c r="BN266" i="2" s="1"/>
  <c r="AM218" i="1"/>
  <c r="AM329" i="1"/>
  <c r="BV402" i="2"/>
  <c r="BX402" i="2" s="1"/>
  <c r="AM412" i="1"/>
  <c r="BN412" i="2" s="1"/>
  <c r="AM100" i="1"/>
  <c r="BN100" i="2" s="1"/>
  <c r="AM278" i="1"/>
  <c r="BN278" i="2" s="1"/>
  <c r="AM605" i="1"/>
  <c r="AM608" i="1"/>
  <c r="AM612" i="1"/>
  <c r="BN612" i="2" s="1"/>
  <c r="AM618" i="1"/>
  <c r="BN618" i="2" s="1"/>
  <c r="AM620" i="1"/>
  <c r="AM626" i="1"/>
  <c r="BN626" i="2" s="1"/>
  <c r="AM629" i="1"/>
  <c r="BN629" i="2" s="1"/>
  <c r="AM361" i="1"/>
  <c r="BN361" i="2" s="1"/>
  <c r="BV381" i="2"/>
  <c r="BX381" i="2" s="1"/>
  <c r="BV388" i="2"/>
  <c r="BX388" i="2" s="1"/>
  <c r="AM234" i="1"/>
  <c r="BN234" i="2" s="1"/>
  <c r="BE394" i="17"/>
  <c r="BG394" i="17" s="1"/>
  <c r="AI94" i="15"/>
  <c r="BA94" i="17" s="1"/>
  <c r="BE94" i="17" s="1"/>
  <c r="BG94" i="17" s="1"/>
  <c r="AI500" i="15"/>
  <c r="BA500" i="17" s="1"/>
  <c r="AI512" i="15"/>
  <c r="AI258" i="15"/>
  <c r="BA258" i="17" s="1"/>
  <c r="BE258" i="17" s="1"/>
  <c r="BG258" i="17" s="1"/>
  <c r="AI260" i="15"/>
  <c r="BA260" i="17" s="1"/>
  <c r="BE260" i="17" s="1"/>
  <c r="BG260" i="17" s="1"/>
  <c r="AI263" i="15"/>
  <c r="BA263" i="17" s="1"/>
  <c r="BE263" i="17" s="1"/>
  <c r="BG263" i="17" s="1"/>
  <c r="AI627" i="15"/>
  <c r="AI625" i="15"/>
  <c r="BA625" i="17" s="1"/>
  <c r="AI329" i="15"/>
  <c r="BA329" i="17" s="1"/>
  <c r="BE329" i="17" s="1"/>
  <c r="BG329" i="17" s="1"/>
  <c r="AI325" i="15"/>
  <c r="BA325" i="17" s="1"/>
  <c r="BE325" i="17" s="1"/>
  <c r="BG325" i="17" s="1"/>
  <c r="AI322" i="15"/>
  <c r="BA322" i="17" s="1"/>
  <c r="BE322" i="17" s="1"/>
  <c r="BG322" i="17" s="1"/>
  <c r="AI252" i="15"/>
  <c r="BA252" i="17" s="1"/>
  <c r="BE252" i="17" s="1"/>
  <c r="BG252" i="17" s="1"/>
  <c r="AI267" i="15"/>
  <c r="BA267" i="17" s="1"/>
  <c r="BE267" i="17" s="1"/>
  <c r="BG267" i="17" s="1"/>
  <c r="AI269" i="15"/>
  <c r="BA269" i="17" s="1"/>
  <c r="BE269" i="17" s="1"/>
  <c r="BG269" i="17" s="1"/>
  <c r="AI626" i="15"/>
  <c r="AI619" i="15"/>
  <c r="AI445" i="15"/>
  <c r="AI443" i="15"/>
  <c r="BA443" i="17" s="1"/>
  <c r="AI440" i="15"/>
  <c r="AI404" i="15"/>
  <c r="AI352" i="15"/>
  <c r="BA352" i="17" s="1"/>
  <c r="BE352" i="17" s="1"/>
  <c r="BG352" i="17" s="1"/>
  <c r="AI345" i="15"/>
  <c r="BA345" i="17" s="1"/>
  <c r="BE345" i="17" s="1"/>
  <c r="BG345" i="17" s="1"/>
  <c r="AI333" i="15"/>
  <c r="BA333" i="17" s="1"/>
  <c r="BE333" i="17" s="1"/>
  <c r="BG333" i="17" s="1"/>
  <c r="AI330" i="15"/>
  <c r="BA330" i="17" s="1"/>
  <c r="BE330" i="17" s="1"/>
  <c r="BG330" i="17" s="1"/>
  <c r="AI327" i="15"/>
  <c r="BA327" i="17" s="1"/>
  <c r="BE327" i="17" s="1"/>
  <c r="BG327" i="17" s="1"/>
  <c r="AI323" i="15"/>
  <c r="BA323" i="17" s="1"/>
  <c r="BE323" i="17" s="1"/>
  <c r="BG323" i="17" s="1"/>
  <c r="AI313" i="15"/>
  <c r="BA313" i="17" s="1"/>
  <c r="BE313" i="17" s="1"/>
  <c r="BG313" i="17" s="1"/>
  <c r="AI223" i="15"/>
  <c r="BA223" i="17" s="1"/>
  <c r="BE223" i="17" s="1"/>
  <c r="BG223" i="17" s="1"/>
  <c r="AI167" i="15"/>
  <c r="BA167" i="17" s="1"/>
  <c r="BE167" i="17" s="1"/>
  <c r="BG167" i="17" s="1"/>
  <c r="AI437" i="15"/>
  <c r="AI541" i="15"/>
  <c r="AI491" i="15"/>
  <c r="BA491" i="17" s="1"/>
  <c r="AI507" i="15"/>
  <c r="AI514" i="15"/>
  <c r="BA514" i="17" s="1"/>
  <c r="AI264" i="15"/>
  <c r="BA264" i="17" s="1"/>
  <c r="BE264" i="17" s="1"/>
  <c r="BG264" i="17" s="1"/>
  <c r="AI265" i="15"/>
  <c r="BA265" i="17" s="1"/>
  <c r="BE265" i="17" s="1"/>
  <c r="BG265" i="17" s="1"/>
  <c r="AI266" i="15"/>
  <c r="BA266" i="17" s="1"/>
  <c r="BE266" i="17" s="1"/>
  <c r="BG266" i="17" s="1"/>
  <c r="AI268" i="15"/>
  <c r="BA268" i="17" s="1"/>
  <c r="BE268" i="17" s="1"/>
  <c r="BG268" i="17" s="1"/>
  <c r="AI124" i="15"/>
  <c r="BA124" i="17" s="1"/>
  <c r="BE124" i="17" s="1"/>
  <c r="BG124" i="17" s="1"/>
  <c r="AI113" i="15"/>
  <c r="BA113" i="17" s="1"/>
  <c r="BE113" i="17" s="1"/>
  <c r="BG113" i="17" s="1"/>
  <c r="AI438" i="15"/>
  <c r="AI540" i="15"/>
  <c r="BA540" i="17" s="1"/>
  <c r="BV582" i="25" l="1"/>
  <c r="BX582" i="25" s="1"/>
  <c r="BN375" i="25"/>
  <c r="BV375" i="25" s="1"/>
  <c r="BX375" i="25" s="1"/>
  <c r="BN327" i="25"/>
  <c r="BV327" i="25" s="1"/>
  <c r="BX327" i="25" s="1"/>
  <c r="BN332" i="25"/>
  <c r="BV332" i="25" s="1"/>
  <c r="BX332" i="25" s="1"/>
  <c r="BV609" i="25"/>
  <c r="BX609" i="25" s="1"/>
  <c r="BN330" i="25"/>
  <c r="BV330" i="25" s="1"/>
  <c r="BX330" i="25" s="1"/>
  <c r="BN331" i="25"/>
  <c r="BV331" i="25" s="1"/>
  <c r="BX331" i="25" s="1"/>
  <c r="BN329" i="25"/>
  <c r="BV329" i="25" s="1"/>
  <c r="BX329" i="25" s="1"/>
  <c r="BV235" i="25"/>
  <c r="BX235" i="25" s="1"/>
  <c r="BV478" i="2"/>
  <c r="BX478" i="2" s="1"/>
  <c r="BV147" i="2"/>
  <c r="BX147" i="2" s="1"/>
  <c r="BN146" i="2"/>
  <c r="BV146" i="2" s="1"/>
  <c r="BX146" i="2" s="1"/>
  <c r="BV144" i="2"/>
  <c r="BX144" i="2" s="1"/>
  <c r="BN143" i="2"/>
  <c r="BV143" i="2" s="1"/>
  <c r="BX143" i="2" s="1"/>
  <c r="BV567" i="2"/>
  <c r="BX567" i="2" s="1"/>
  <c r="BV360" i="2"/>
  <c r="BX360" i="2" s="1"/>
  <c r="BN620" i="2"/>
  <c r="BV620" i="2" s="1"/>
  <c r="BX620" i="2" s="1"/>
  <c r="BV606" i="2"/>
  <c r="BX606" i="2" s="1"/>
  <c r="BN605" i="2"/>
  <c r="BV605" i="2" s="1"/>
  <c r="BX605" i="2" s="1"/>
  <c r="BV505" i="2"/>
  <c r="BX505" i="2" s="1"/>
  <c r="BN504" i="2"/>
  <c r="BV504" i="2" s="1"/>
  <c r="BX504" i="2" s="1"/>
  <c r="BV548" i="2"/>
  <c r="BX548" i="2" s="1"/>
  <c r="BN547" i="2"/>
  <c r="BV547" i="2" s="1"/>
  <c r="BX547" i="2" s="1"/>
  <c r="BV609" i="2"/>
  <c r="BX609" i="2" s="1"/>
  <c r="BN608" i="2"/>
  <c r="BV608" i="2" s="1"/>
  <c r="BX608" i="2" s="1"/>
  <c r="BV330" i="2"/>
  <c r="BX330" i="2" s="1"/>
  <c r="BN329" i="2"/>
  <c r="BV329" i="2" s="1"/>
  <c r="BX329" i="2" s="1"/>
  <c r="BV523" i="2"/>
  <c r="BX523" i="2" s="1"/>
  <c r="BN522" i="2"/>
  <c r="BV522" i="2" s="1"/>
  <c r="BX522" i="2" s="1"/>
  <c r="BN462" i="2"/>
  <c r="BV462" i="2" s="1"/>
  <c r="BX462" i="2" s="1"/>
  <c r="BV358" i="2"/>
  <c r="BX358" i="2" s="1"/>
  <c r="BN357" i="2"/>
  <c r="BV357" i="2" s="1"/>
  <c r="BX357" i="2" s="1"/>
  <c r="BV257" i="2"/>
  <c r="BX257" i="2" s="1"/>
  <c r="BN256" i="2"/>
  <c r="BV256" i="2" s="1"/>
  <c r="BX256" i="2" s="1"/>
  <c r="BN240" i="2"/>
  <c r="BV240" i="2" s="1"/>
  <c r="BX240" i="2" s="1"/>
  <c r="BV337" i="2"/>
  <c r="BX337" i="2" s="1"/>
  <c r="BN336" i="2"/>
  <c r="BV336" i="2" s="1"/>
  <c r="BX336" i="2" s="1"/>
  <c r="BV310" i="2"/>
  <c r="BX310" i="2" s="1"/>
  <c r="BN309" i="2"/>
  <c r="BV309" i="2" s="1"/>
  <c r="BX309" i="2" s="1"/>
  <c r="BV538" i="2"/>
  <c r="BX538" i="2" s="1"/>
  <c r="BN537" i="2"/>
  <c r="BV537" i="2" s="1"/>
  <c r="BX537" i="2" s="1"/>
  <c r="BV236" i="2"/>
  <c r="BX236" i="2" s="1"/>
  <c r="BN235" i="2"/>
  <c r="BV235" i="2" s="1"/>
  <c r="BX235" i="2" s="1"/>
  <c r="BV546" i="2"/>
  <c r="BX546" i="2" s="1"/>
  <c r="BN545" i="2"/>
  <c r="BV545" i="2" s="1"/>
  <c r="BX545" i="2" s="1"/>
  <c r="BV333" i="2"/>
  <c r="BX333" i="2" s="1"/>
  <c r="BN332" i="2"/>
  <c r="BV332" i="2" s="1"/>
  <c r="BX332" i="2" s="1"/>
  <c r="BV252" i="2"/>
  <c r="BX252" i="2" s="1"/>
  <c r="BN250" i="2"/>
  <c r="BV250" i="2" s="1"/>
  <c r="BX250" i="2" s="1"/>
  <c r="BV513" i="2"/>
  <c r="BX513" i="2" s="1"/>
  <c r="BN512" i="2"/>
  <c r="BV512" i="2" s="1"/>
  <c r="BX512" i="2" s="1"/>
  <c r="BV510" i="2"/>
  <c r="BX510" i="2" s="1"/>
  <c r="BN509" i="2"/>
  <c r="BV509" i="2" s="1"/>
  <c r="BX509" i="2" s="1"/>
  <c r="BV491" i="2"/>
  <c r="BX491" i="2" s="1"/>
  <c r="BN490" i="2"/>
  <c r="BV490" i="2" s="1"/>
  <c r="BX490" i="2" s="1"/>
  <c r="BV244" i="2"/>
  <c r="BX244" i="2" s="1"/>
  <c r="BN243" i="2"/>
  <c r="BV243" i="2" s="1"/>
  <c r="BX243" i="2" s="1"/>
  <c r="BV586" i="2"/>
  <c r="BX586" i="2" s="1"/>
  <c r="BN585" i="2"/>
  <c r="BV585" i="2" s="1"/>
  <c r="BX585" i="2" s="1"/>
  <c r="BV239" i="2"/>
  <c r="BX239" i="2" s="1"/>
  <c r="BN238" i="2"/>
  <c r="BV238" i="2" s="1"/>
  <c r="BX238" i="2" s="1"/>
  <c r="BV247" i="2"/>
  <c r="BX247" i="2" s="1"/>
  <c r="BN246" i="2"/>
  <c r="BV246" i="2" s="1"/>
  <c r="BX246" i="2" s="1"/>
  <c r="BV376" i="2"/>
  <c r="BX376" i="2" s="1"/>
  <c r="BN375" i="2"/>
  <c r="BV375" i="2" s="1"/>
  <c r="BX375" i="2" s="1"/>
  <c r="BV269" i="2"/>
  <c r="BX269" i="2" s="1"/>
  <c r="BN268" i="2"/>
  <c r="BV268" i="2" s="1"/>
  <c r="BX268" i="2" s="1"/>
  <c r="BN573" i="2"/>
  <c r="BV573" i="2" s="1"/>
  <c r="BX573" i="2" s="1"/>
  <c r="BV465" i="2"/>
  <c r="BX465" i="2" s="1"/>
  <c r="BN464" i="2"/>
  <c r="BV464" i="2" s="1"/>
  <c r="BX464" i="2" s="1"/>
  <c r="BV459" i="2"/>
  <c r="BX459" i="2" s="1"/>
  <c r="BN458" i="2"/>
  <c r="BV458" i="2" s="1"/>
  <c r="BX458" i="2" s="1"/>
  <c r="BV444" i="2"/>
  <c r="BX444" i="2" s="1"/>
  <c r="BN443" i="2"/>
  <c r="BV443" i="2" s="1"/>
  <c r="BX443" i="2" s="1"/>
  <c r="BV632" i="2"/>
  <c r="BX632" i="2" s="1"/>
  <c r="BN631" i="2"/>
  <c r="BV631" i="2" s="1"/>
  <c r="BX631" i="2" s="1"/>
  <c r="BN571" i="2"/>
  <c r="BV571" i="2" s="1"/>
  <c r="BX571" i="2" s="1"/>
  <c r="BV544" i="2"/>
  <c r="BX544" i="2" s="1"/>
  <c r="BN543" i="2"/>
  <c r="BV543" i="2" s="1"/>
  <c r="BX543" i="2" s="1"/>
  <c r="BV326" i="2"/>
  <c r="BX326" i="2" s="1"/>
  <c r="BN325" i="2"/>
  <c r="BV325" i="2" s="1"/>
  <c r="BX325" i="2" s="1"/>
  <c r="BN566" i="2"/>
  <c r="BV566" i="2" s="1"/>
  <c r="BX566" i="2" s="1"/>
  <c r="BN449" i="2"/>
  <c r="BV449" i="2" s="1"/>
  <c r="BX449" i="2" s="1"/>
  <c r="BV570" i="2"/>
  <c r="BX570" i="2" s="1"/>
  <c r="BN569" i="2"/>
  <c r="BV569" i="2" s="1"/>
  <c r="BX569" i="2" s="1"/>
  <c r="BV364" i="2"/>
  <c r="BX364" i="2" s="1"/>
  <c r="BN363" i="2"/>
  <c r="BV363" i="2" s="1"/>
  <c r="BX363" i="2" s="1"/>
  <c r="BV534" i="2"/>
  <c r="BX534" i="2" s="1"/>
  <c r="BN533" i="2"/>
  <c r="BV533" i="2" s="1"/>
  <c r="BX533" i="2" s="1"/>
  <c r="BV411" i="2"/>
  <c r="BX411" i="2" s="1"/>
  <c r="BN409" i="2"/>
  <c r="BV409" i="2" s="1"/>
  <c r="BX409" i="2" s="1"/>
  <c r="BV536" i="2"/>
  <c r="BX536" i="2" s="1"/>
  <c r="BN535" i="2"/>
  <c r="BV535" i="2" s="1"/>
  <c r="BX535" i="2" s="1"/>
  <c r="BV495" i="2"/>
  <c r="BX495" i="2" s="1"/>
  <c r="BN494" i="2"/>
  <c r="BV494" i="2" s="1"/>
  <c r="BX494" i="2" s="1"/>
  <c r="BV552" i="2"/>
  <c r="BX552" i="2" s="1"/>
  <c r="BN551" i="2"/>
  <c r="BV551" i="2" s="1"/>
  <c r="BX551" i="2" s="1"/>
  <c r="BV473" i="2"/>
  <c r="BX473" i="2" s="1"/>
  <c r="BN472" i="2"/>
  <c r="BV472" i="2" s="1"/>
  <c r="BX472" i="2" s="1"/>
  <c r="BN463" i="2"/>
  <c r="BV463" i="2" s="1"/>
  <c r="BX463" i="2" s="1"/>
  <c r="BV617" i="2"/>
  <c r="BX617" i="2" s="1"/>
  <c r="BN616" i="2"/>
  <c r="BV616" i="2" s="1"/>
  <c r="BX616" i="2" s="1"/>
  <c r="BV179" i="2"/>
  <c r="BX179" i="2" s="1"/>
  <c r="BN177" i="2"/>
  <c r="BV177" i="2" s="1"/>
  <c r="BX177" i="2" s="1"/>
  <c r="BV229" i="2"/>
  <c r="BX229" i="2" s="1"/>
  <c r="BN228" i="2"/>
  <c r="BV228" i="2" s="1"/>
  <c r="BX228" i="2" s="1"/>
  <c r="BX284" i="2"/>
  <c r="BN283" i="2"/>
  <c r="BV283" i="2" s="1"/>
  <c r="BX283" i="2" s="1"/>
  <c r="BN422" i="2"/>
  <c r="BV422" i="2" s="1"/>
  <c r="BX422" i="2" s="1"/>
  <c r="BV369" i="2"/>
  <c r="BX369" i="2" s="1"/>
  <c r="BN368" i="2"/>
  <c r="BV368" i="2" s="1"/>
  <c r="BX368" i="2" s="1"/>
  <c r="BV324" i="2"/>
  <c r="BX324" i="2" s="1"/>
  <c r="BN323" i="2"/>
  <c r="BV323" i="2" s="1"/>
  <c r="BX323" i="2" s="1"/>
  <c r="BV346" i="2"/>
  <c r="BX346" i="2" s="1"/>
  <c r="BN345" i="2"/>
  <c r="BV345" i="2" s="1"/>
  <c r="BX345" i="2" s="1"/>
  <c r="BV344" i="2"/>
  <c r="BX344" i="2" s="1"/>
  <c r="BN343" i="2"/>
  <c r="BV343" i="2" s="1"/>
  <c r="BX343" i="2" s="1"/>
  <c r="BV171" i="2"/>
  <c r="BX171" i="2" s="1"/>
  <c r="BN170" i="2"/>
  <c r="BV170" i="2" s="1"/>
  <c r="BX170" i="2" s="1"/>
  <c r="BV515" i="2"/>
  <c r="BX515" i="2" s="1"/>
  <c r="BN514" i="2"/>
  <c r="BV514" i="2" s="1"/>
  <c r="BX514" i="2" s="1"/>
  <c r="BN511" i="2"/>
  <c r="BV511" i="2" s="1"/>
  <c r="BX511" i="2" s="1"/>
  <c r="BV507" i="2"/>
  <c r="BX507" i="2" s="1"/>
  <c r="BN506" i="2"/>
  <c r="BV506" i="2" s="1"/>
  <c r="BX506" i="2" s="1"/>
  <c r="BN499" i="2"/>
  <c r="BV499" i="2" s="1"/>
  <c r="BX499" i="2" s="1"/>
  <c r="BV438" i="2"/>
  <c r="BX438" i="2" s="1"/>
  <c r="BN437" i="2"/>
  <c r="BV437" i="2" s="1"/>
  <c r="BX437" i="2" s="1"/>
  <c r="BV249" i="2"/>
  <c r="BX249" i="2" s="1"/>
  <c r="BN248" i="2"/>
  <c r="BV248" i="2" s="1"/>
  <c r="BX248" i="2" s="1"/>
  <c r="BN258" i="2"/>
  <c r="BV258" i="2" s="1"/>
  <c r="BX258" i="2" s="1"/>
  <c r="BV305" i="2"/>
  <c r="BX305" i="2" s="1"/>
  <c r="BN304" i="2"/>
  <c r="BV304" i="2" s="1"/>
  <c r="BX304" i="2" s="1"/>
  <c r="BV302" i="2"/>
  <c r="BX302" i="2" s="1"/>
  <c r="BN301" i="2"/>
  <c r="BV301" i="2" s="1"/>
  <c r="BX301" i="2" s="1"/>
  <c r="BV470" i="2"/>
  <c r="BX470" i="2" s="1"/>
  <c r="BN469" i="2"/>
  <c r="BV469" i="2" s="1"/>
  <c r="BX469" i="2" s="1"/>
  <c r="BV441" i="2"/>
  <c r="BX441" i="2" s="1"/>
  <c r="BN440" i="2"/>
  <c r="BV440" i="2" s="1"/>
  <c r="BX440" i="2" s="1"/>
  <c r="BV314" i="2"/>
  <c r="BX314" i="2" s="1"/>
  <c r="BN313" i="2"/>
  <c r="BV313" i="2" s="1"/>
  <c r="BX313" i="2" s="1"/>
  <c r="BV558" i="2"/>
  <c r="BX558" i="2" s="1"/>
  <c r="BN557" i="2"/>
  <c r="BV557" i="2" s="1"/>
  <c r="BX557" i="2" s="1"/>
  <c r="BN308" i="2"/>
  <c r="BV308" i="2" s="1"/>
  <c r="BX308" i="2" s="1"/>
  <c r="BV622" i="2"/>
  <c r="BX622" i="2" s="1"/>
  <c r="BN621" i="2"/>
  <c r="BV621" i="2" s="1"/>
  <c r="BX621" i="2" s="1"/>
  <c r="BV480" i="2"/>
  <c r="BX480" i="2" s="1"/>
  <c r="BN359" i="2"/>
  <c r="BV359" i="2" s="1"/>
  <c r="BX359" i="2" s="1"/>
  <c r="BN260" i="2"/>
  <c r="BV260" i="2" s="1"/>
  <c r="BX260" i="2" s="1"/>
  <c r="BN477" i="2"/>
  <c r="BV477" i="2" s="1"/>
  <c r="BX477" i="2" s="1"/>
  <c r="BN451" i="2"/>
  <c r="BV451" i="2" s="1"/>
  <c r="BX451" i="2" s="1"/>
  <c r="BV219" i="2"/>
  <c r="BX219" i="2" s="1"/>
  <c r="BN218" i="2"/>
  <c r="BV218" i="2" s="1"/>
  <c r="BX218" i="2" s="1"/>
  <c r="BV200" i="2"/>
  <c r="BX200" i="2" s="1"/>
  <c r="BN199" i="2"/>
  <c r="BV199" i="2" s="1"/>
  <c r="BX199" i="2" s="1"/>
  <c r="BV194" i="2"/>
  <c r="BX194" i="2" s="1"/>
  <c r="BN193" i="2"/>
  <c r="BV193" i="2" s="1"/>
  <c r="BX193" i="2" s="1"/>
  <c r="BV192" i="2"/>
  <c r="BX192" i="2" s="1"/>
  <c r="BN191" i="2"/>
  <c r="BV191" i="2" s="1"/>
  <c r="BX191" i="2" s="1"/>
  <c r="BV187" i="2"/>
  <c r="BX187" i="2" s="1"/>
  <c r="BN186" i="2"/>
  <c r="BV186" i="2" s="1"/>
  <c r="BX186" i="2" s="1"/>
  <c r="BV185" i="2"/>
  <c r="BX185" i="2" s="1"/>
  <c r="BN184" i="2"/>
  <c r="BV184" i="2" s="1"/>
  <c r="BX184" i="2" s="1"/>
  <c r="BV176" i="2"/>
  <c r="BX176" i="2" s="1"/>
  <c r="BN174" i="2"/>
  <c r="BV174" i="2" s="1"/>
  <c r="BX174" i="2" s="1"/>
  <c r="BV163" i="2"/>
  <c r="BX163" i="2" s="1"/>
  <c r="BN162" i="2"/>
  <c r="BV162" i="2" s="1"/>
  <c r="BX162" i="2" s="1"/>
  <c r="BV160" i="2"/>
  <c r="BX160" i="2" s="1"/>
  <c r="BN159" i="2"/>
  <c r="BV159" i="2" s="1"/>
  <c r="BX159" i="2" s="1"/>
  <c r="BV414" i="2"/>
  <c r="BX414" i="2" s="1"/>
  <c r="BV417" i="2"/>
  <c r="BX417" i="2" s="1"/>
  <c r="BV431" i="2"/>
  <c r="BX431" i="2" s="1"/>
  <c r="BV373" i="2"/>
  <c r="BX373" i="2" s="1"/>
  <c r="BV311" i="2"/>
  <c r="BX311" i="2" s="1"/>
  <c r="BV542" i="2"/>
  <c r="BX542" i="2" s="1"/>
  <c r="BV365" i="2"/>
  <c r="BX365" i="2" s="1"/>
  <c r="BV348" i="2"/>
  <c r="BX348" i="2" s="1"/>
  <c r="BV367" i="2"/>
  <c r="BX367" i="2" s="1"/>
  <c r="BV519" i="2"/>
  <c r="BX519" i="2" s="1"/>
  <c r="BV516" i="2"/>
  <c r="BX516" i="2" s="1"/>
  <c r="BV560" i="2"/>
  <c r="BX560" i="2" s="1"/>
  <c r="BV484" i="2"/>
  <c r="BX484" i="2" s="1"/>
  <c r="BV446" i="2"/>
  <c r="BX446" i="2" s="1"/>
  <c r="BV189" i="2"/>
  <c r="BX189" i="2" s="1"/>
  <c r="BV615" i="2"/>
  <c r="BX615" i="2" s="1"/>
  <c r="BV611" i="2"/>
  <c r="BX611" i="2" s="1"/>
  <c r="BV290" i="2"/>
  <c r="BX290" i="2" s="1"/>
  <c r="BV584" i="2"/>
  <c r="BX584" i="2" s="1"/>
  <c r="BV215" i="2"/>
  <c r="BX215" i="2" s="1"/>
  <c r="BV561" i="2"/>
  <c r="BX561" i="2" s="1"/>
  <c r="BV374" i="2"/>
  <c r="BX374" i="2" s="1"/>
  <c r="BV136" i="2"/>
  <c r="BX136" i="2" s="1"/>
  <c r="BN132" i="2"/>
  <c r="BV132" i="2" s="1"/>
  <c r="BX132" i="2" s="1"/>
  <c r="BN128" i="2"/>
  <c r="BV128" i="2" s="1"/>
  <c r="BX128" i="2" s="1"/>
  <c r="BV529" i="2"/>
  <c r="BX529" i="2" s="1"/>
  <c r="BV517" i="2"/>
  <c r="BX517" i="2" s="1"/>
  <c r="BV572" i="2"/>
  <c r="BX572" i="2" s="1"/>
  <c r="BV447" i="2"/>
  <c r="BX447" i="2" s="1"/>
  <c r="BV216" i="2"/>
  <c r="BX216" i="2" s="1"/>
  <c r="BN131" i="2"/>
  <c r="BV131" i="2" s="1"/>
  <c r="BX131" i="2" s="1"/>
  <c r="BV353" i="2"/>
  <c r="BX353" i="2" s="1"/>
  <c r="BV351" i="2"/>
  <c r="BX351" i="2" s="1"/>
  <c r="BV227" i="2"/>
  <c r="BX227" i="2" s="1"/>
  <c r="BV107" i="2"/>
  <c r="BX107" i="2" s="1"/>
  <c r="BV291" i="2"/>
  <c r="BX291" i="2" s="1"/>
  <c r="BV222" i="2"/>
  <c r="BX222" i="2" s="1"/>
  <c r="BV527" i="2"/>
  <c r="BX527" i="2" s="1"/>
  <c r="BV603" i="2"/>
  <c r="BX603" i="2" s="1"/>
  <c r="BV436" i="2"/>
  <c r="BX436" i="2" s="1"/>
  <c r="BV528" i="2"/>
  <c r="BX528" i="2" s="1"/>
  <c r="BV520" i="2"/>
  <c r="BX520" i="2" s="1"/>
  <c r="BV575" i="2"/>
  <c r="BX575" i="2" s="1"/>
  <c r="BV481" i="2"/>
  <c r="BX481" i="2" s="1"/>
  <c r="BV190" i="2"/>
  <c r="BX190" i="2" s="1"/>
  <c r="BV424" i="2"/>
  <c r="BX424" i="2" s="1"/>
  <c r="BN121" i="2"/>
  <c r="BV121" i="2" s="1"/>
  <c r="BX121" i="2" s="1"/>
  <c r="BN116" i="2"/>
  <c r="BV116" i="2" s="1"/>
  <c r="BX116" i="2" s="1"/>
  <c r="BV574" i="2"/>
  <c r="BX574" i="2" s="1"/>
  <c r="BV452" i="2"/>
  <c r="BX452" i="2" s="1"/>
  <c r="BV448" i="2"/>
  <c r="BX448" i="2" s="1"/>
  <c r="BV223" i="2"/>
  <c r="BX223" i="2" s="1"/>
  <c r="BN124" i="2"/>
  <c r="BV124" i="2" s="1"/>
  <c r="BX124" i="2" s="1"/>
  <c r="BV234" i="2"/>
  <c r="BX234" i="2" s="1"/>
  <c r="BV629" i="2"/>
  <c r="BX629" i="2" s="1"/>
  <c r="BV612" i="2"/>
  <c r="BX612" i="2" s="1"/>
  <c r="BV100" i="2"/>
  <c r="BX100" i="2" s="1"/>
  <c r="BV265" i="2"/>
  <c r="BX265" i="2" s="1"/>
  <c r="BV531" i="2"/>
  <c r="BX531" i="2" s="1"/>
  <c r="BV524" i="2"/>
  <c r="BX524" i="2" s="1"/>
  <c r="BV502" i="2"/>
  <c r="BX502" i="2" s="1"/>
  <c r="BV500" i="2"/>
  <c r="BX500" i="2" s="1"/>
  <c r="BV564" i="2"/>
  <c r="BX564" i="2" s="1"/>
  <c r="BV554" i="2"/>
  <c r="BX554" i="2" s="1"/>
  <c r="BV485" i="2"/>
  <c r="BX485" i="2" s="1"/>
  <c r="BV455" i="2"/>
  <c r="BX455" i="2" s="1"/>
  <c r="BV442" i="2"/>
  <c r="BX442" i="2" s="1"/>
  <c r="BV562" i="2"/>
  <c r="BX562" i="2" s="1"/>
  <c r="BV370" i="2"/>
  <c r="BX370" i="2" s="1"/>
  <c r="BV355" i="2"/>
  <c r="BX355" i="2" s="1"/>
  <c r="BV405" i="2"/>
  <c r="BX405" i="2" s="1"/>
  <c r="BV140" i="2"/>
  <c r="BX140" i="2" s="1"/>
  <c r="BV129" i="2"/>
  <c r="BX129" i="2" s="1"/>
  <c r="BV123" i="2"/>
  <c r="BX123" i="2" s="1"/>
  <c r="BV110" i="2"/>
  <c r="BX110" i="2" s="1"/>
  <c r="BV559" i="2"/>
  <c r="BX559" i="2" s="1"/>
  <c r="BV482" i="2"/>
  <c r="BX482" i="2" s="1"/>
  <c r="BV322" i="2"/>
  <c r="BX322" i="2" s="1"/>
  <c r="BV493" i="2"/>
  <c r="BX493" i="2" s="1"/>
  <c r="BV555" i="2"/>
  <c r="BX555" i="2" s="1"/>
  <c r="BV541" i="2"/>
  <c r="BX541" i="2" s="1"/>
  <c r="BV468" i="2"/>
  <c r="BX468" i="2" s="1"/>
  <c r="BV254" i="2"/>
  <c r="BX254" i="2" s="1"/>
  <c r="BV245" i="2"/>
  <c r="BX245" i="2" s="1"/>
  <c r="BV362" i="2"/>
  <c r="BX362" i="2" s="1"/>
  <c r="BV352" i="2"/>
  <c r="BX352" i="2" s="1"/>
  <c r="BV350" i="2"/>
  <c r="BX350" i="2" s="1"/>
  <c r="BV226" i="2"/>
  <c r="BX226" i="2" s="1"/>
  <c r="BV623" i="2"/>
  <c r="BX623" i="2" s="1"/>
  <c r="BV614" i="2"/>
  <c r="BX614" i="2" s="1"/>
  <c r="BV318" i="2"/>
  <c r="BX318" i="2" s="1"/>
  <c r="BV312" i="2"/>
  <c r="BX312" i="2" s="1"/>
  <c r="BV282" i="2"/>
  <c r="BX282" i="2" s="1"/>
  <c r="BV361" i="2"/>
  <c r="BX361" i="2" s="1"/>
  <c r="BV626" i="2"/>
  <c r="BX626" i="2" s="1"/>
  <c r="BV618" i="2"/>
  <c r="BX618" i="2" s="1"/>
  <c r="BV412" i="2"/>
  <c r="BX412" i="2" s="1"/>
  <c r="BV266" i="2"/>
  <c r="BX266" i="2" s="1"/>
  <c r="BV264" i="2"/>
  <c r="BX264" i="2" s="1"/>
  <c r="BV259" i="2"/>
  <c r="BX259" i="2" s="1"/>
  <c r="BV525" i="2"/>
  <c r="BX525" i="2" s="1"/>
  <c r="BV503" i="2"/>
  <c r="BX503" i="2" s="1"/>
  <c r="BV501" i="2"/>
  <c r="BX501" i="2" s="1"/>
  <c r="BV492" i="2"/>
  <c r="BX492" i="2" s="1"/>
  <c r="BV565" i="2"/>
  <c r="BX565" i="2" s="1"/>
  <c r="BV556" i="2"/>
  <c r="BX556" i="2" s="1"/>
  <c r="BV550" i="2"/>
  <c r="BX550" i="2" s="1"/>
  <c r="BX486" i="2"/>
  <c r="BV471" i="2"/>
  <c r="BX471" i="2" s="1"/>
  <c r="BV445" i="2"/>
  <c r="BX445" i="2" s="1"/>
  <c r="BV354" i="2"/>
  <c r="BX354" i="2" s="1"/>
  <c r="BV627" i="2"/>
  <c r="BX627" i="2" s="1"/>
  <c r="BV297" i="2"/>
  <c r="BX297" i="2" s="1"/>
  <c r="BV103" i="2"/>
  <c r="BX103" i="2" s="1"/>
  <c r="BV415" i="2"/>
  <c r="BX415" i="2" s="1"/>
  <c r="BV413" i="2"/>
  <c r="BX413" i="2" s="1"/>
  <c r="BV404" i="2"/>
  <c r="BX404" i="2" s="1"/>
  <c r="BV141" i="2"/>
  <c r="BX141" i="2" s="1"/>
  <c r="BV111" i="2"/>
  <c r="BX111" i="2" s="1"/>
  <c r="BV109" i="2"/>
  <c r="BX109" i="2" s="1"/>
  <c r="BV568" i="2"/>
  <c r="BX568" i="2" s="1"/>
  <c r="BV242" i="2"/>
  <c r="BX242" i="2" s="1"/>
  <c r="BV335" i="2"/>
  <c r="BX335" i="2" s="1"/>
  <c r="BV255" i="2"/>
  <c r="BX255" i="2" s="1"/>
  <c r="BV241" i="2"/>
  <c r="BX241" i="2" s="1"/>
  <c r="BV371" i="2"/>
  <c r="BX371" i="2" s="1"/>
  <c r="BV349" i="2"/>
  <c r="BX349" i="2" s="1"/>
  <c r="BV225" i="2"/>
  <c r="BX225" i="2" s="1"/>
  <c r="BV624" i="2"/>
  <c r="BX624" i="2" s="1"/>
  <c r="BV601" i="2"/>
  <c r="BX601" i="2" s="1"/>
  <c r="BV321" i="2"/>
  <c r="BX321" i="2" s="1"/>
  <c r="BV316" i="2"/>
  <c r="BX316" i="2" s="1"/>
  <c r="BV280" i="2"/>
  <c r="BX280" i="2" s="1"/>
  <c r="BV101" i="2"/>
  <c r="BX101" i="2" s="1"/>
  <c r="BV408" i="2"/>
  <c r="BX408" i="2" s="1"/>
  <c r="BV96" i="2"/>
  <c r="BX96" i="2" s="1"/>
  <c r="BV94" i="2"/>
  <c r="BX94" i="2" s="1"/>
  <c r="BV98" i="2"/>
  <c r="BX98" i="2" s="1"/>
  <c r="BV97" i="2"/>
  <c r="BX97" i="2" s="1"/>
  <c r="BV421" i="2"/>
  <c r="BX421" i="2" s="1"/>
  <c r="BV206" i="2"/>
  <c r="BX206" i="2" s="1"/>
  <c r="BV233" i="2"/>
  <c r="BX233" i="2" s="1"/>
  <c r="BV99" i="2"/>
  <c r="BX99" i="2" s="1"/>
  <c r="BV434" i="2"/>
  <c r="BX434" i="2" s="1"/>
  <c r="BV418" i="2"/>
  <c r="BX418" i="2" s="1"/>
  <c r="BV432" i="2"/>
  <c r="BX432" i="2" s="1"/>
  <c r="BV549" i="2"/>
  <c r="BX549" i="2" s="1"/>
  <c r="BV483" i="2"/>
  <c r="BX483" i="2" s="1"/>
  <c r="BV475" i="2"/>
  <c r="BX475" i="2" s="1"/>
  <c r="BV604" i="2"/>
  <c r="BX604" i="2" s="1"/>
  <c r="BV600" i="2"/>
  <c r="BX600" i="2" s="1"/>
  <c r="BV299" i="2"/>
  <c r="BX299" i="2" s="1"/>
  <c r="BV293" i="2"/>
  <c r="BX293" i="2" s="1"/>
  <c r="BV104" i="2"/>
  <c r="BX104" i="2" s="1"/>
  <c r="BV340" i="2"/>
  <c r="BX340" i="2" s="1"/>
  <c r="BV331" i="2"/>
  <c r="BX331" i="2" s="1"/>
  <c r="BV214" i="2"/>
  <c r="BX214" i="2" s="1"/>
  <c r="BV167" i="2"/>
  <c r="BX167" i="2" s="1"/>
  <c r="BV134" i="2"/>
  <c r="BX134" i="2" s="1"/>
  <c r="BV112" i="2"/>
  <c r="BX112" i="2" s="1"/>
  <c r="BV532" i="2"/>
  <c r="BX532" i="2" s="1"/>
  <c r="BV476" i="2"/>
  <c r="BX476" i="2" s="1"/>
  <c r="BV630" i="2"/>
  <c r="BX630" i="2" s="1"/>
  <c r="BV625" i="2"/>
  <c r="BX625" i="2" s="1"/>
  <c r="BV613" i="2"/>
  <c r="BX613" i="2" s="1"/>
  <c r="BV320" i="2"/>
  <c r="BX320" i="2" s="1"/>
  <c r="BV292" i="2"/>
  <c r="BX292" i="2" s="1"/>
  <c r="BV288" i="2"/>
  <c r="BX288" i="2" s="1"/>
  <c r="BV277" i="2"/>
  <c r="BX277" i="2" s="1"/>
  <c r="BV341" i="2"/>
  <c r="BX341" i="2" s="1"/>
  <c r="BV232" i="2"/>
  <c r="BX232" i="2" s="1"/>
  <c r="BV137" i="2"/>
  <c r="BX137" i="2" s="1"/>
  <c r="BV115" i="2"/>
  <c r="BX115" i="2" s="1"/>
  <c r="BV416" i="2"/>
  <c r="BX416" i="2" s="1"/>
  <c r="BV95" i="2"/>
  <c r="BX95" i="2" s="1"/>
  <c r="BV420" i="2"/>
  <c r="BX420" i="2" s="1"/>
  <c r="BV158" i="2"/>
  <c r="BX158" i="2" s="1"/>
  <c r="BV231" i="2"/>
  <c r="BX231" i="2" s="1"/>
  <c r="BV142" i="2"/>
  <c r="BX142" i="2" s="1"/>
  <c r="BV130" i="2"/>
  <c r="BX130" i="2" s="1"/>
  <c r="BV108" i="2"/>
  <c r="BX108" i="2" s="1"/>
  <c r="BV119" i="2"/>
  <c r="BX119" i="2" s="1"/>
  <c r="BV125" i="2"/>
  <c r="BX125" i="2" s="1"/>
  <c r="BV148" i="2"/>
  <c r="BX148" i="2" s="1"/>
  <c r="BV456" i="2"/>
  <c r="BX456" i="2" s="1"/>
  <c r="BV488" i="2"/>
  <c r="BX488" i="2" s="1"/>
  <c r="BV347" i="2"/>
  <c r="BX347" i="2" s="1"/>
  <c r="BV327" i="2"/>
  <c r="BX327" i="2" s="1"/>
  <c r="BV221" i="2"/>
  <c r="BX221" i="2" s="1"/>
  <c r="BV213" i="2"/>
  <c r="BX213" i="2" s="1"/>
  <c r="BV168" i="2"/>
  <c r="BX168" i="2" s="1"/>
  <c r="BV281" i="2"/>
  <c r="BX281" i="2" s="1"/>
  <c r="BV275" i="2"/>
  <c r="BX275" i="2" s="1"/>
  <c r="BV372" i="2"/>
  <c r="BX372" i="2" s="1"/>
  <c r="BV540" i="2"/>
  <c r="BX540" i="2" s="1"/>
  <c r="BV439" i="2"/>
  <c r="BX439" i="2" s="1"/>
  <c r="BV435" i="2"/>
  <c r="BX435" i="2" s="1"/>
  <c r="BV138" i="2"/>
  <c r="BX138" i="2" s="1"/>
  <c r="BV289" i="2"/>
  <c r="BX289" i="2" s="1"/>
  <c r="BV317" i="2"/>
  <c r="BX317" i="2" s="1"/>
  <c r="BV487" i="2"/>
  <c r="BX487" i="2" s="1"/>
  <c r="BV583" i="2"/>
  <c r="BX583" i="2" s="1"/>
  <c r="BV489" i="2"/>
  <c r="BX489" i="2" s="1"/>
  <c r="BV267" i="2"/>
  <c r="BX267" i="2" s="1"/>
  <c r="BV521" i="2"/>
  <c r="BX521" i="2" s="1"/>
  <c r="BV563" i="2"/>
  <c r="BX563" i="2" s="1"/>
  <c r="BV457" i="2"/>
  <c r="BX457" i="2" s="1"/>
  <c r="BV453" i="2"/>
  <c r="BX453" i="2" s="1"/>
  <c r="BV237" i="2"/>
  <c r="BX237" i="2" s="1"/>
  <c r="BV366" i="2"/>
  <c r="BX366" i="2" s="1"/>
  <c r="BV610" i="2"/>
  <c r="BX610" i="2" s="1"/>
  <c r="BV602" i="2"/>
  <c r="BX602" i="2" s="1"/>
  <c r="BV319" i="2"/>
  <c r="BX319" i="2" s="1"/>
  <c r="BV298" i="2"/>
  <c r="BX298" i="2" s="1"/>
  <c r="BV106" i="2"/>
  <c r="BX106" i="2" s="1"/>
  <c r="BV102" i="2"/>
  <c r="BX102" i="2" s="1"/>
  <c r="BV342" i="2"/>
  <c r="BX342" i="2" s="1"/>
  <c r="BV169" i="2"/>
  <c r="BX169" i="2" s="1"/>
  <c r="BV145" i="2"/>
  <c r="BX145" i="2" s="1"/>
  <c r="BV118" i="2"/>
  <c r="BX118" i="2" s="1"/>
  <c r="BV114" i="2"/>
  <c r="BX114" i="2" s="1"/>
  <c r="BV294" i="2"/>
  <c r="BX294" i="2" s="1"/>
  <c r="BV526" i="2"/>
  <c r="BX526" i="2" s="1"/>
  <c r="BV154" i="2"/>
  <c r="BX154" i="2" s="1"/>
  <c r="BV474" i="2"/>
  <c r="BX474" i="2" s="1"/>
  <c r="BV461" i="2"/>
  <c r="BX461" i="2" s="1"/>
  <c r="BV454" i="2"/>
  <c r="BX454" i="2" s="1"/>
  <c r="BV188" i="2"/>
  <c r="BX188" i="2" s="1"/>
  <c r="BV619" i="2"/>
  <c r="BX619" i="2" s="1"/>
  <c r="BV607" i="2"/>
  <c r="BX607" i="2" s="1"/>
  <c r="BV303" i="2"/>
  <c r="BX303" i="2" s="1"/>
  <c r="BV300" i="2"/>
  <c r="BX300" i="2" s="1"/>
  <c r="BV295" i="2"/>
  <c r="BX295" i="2" s="1"/>
  <c r="BV279" i="2"/>
  <c r="BX279" i="2" s="1"/>
  <c r="BV339" i="2"/>
  <c r="BX339" i="2" s="1"/>
  <c r="BV334" i="2"/>
  <c r="BX334" i="2" s="1"/>
  <c r="BV230" i="2"/>
  <c r="BX230" i="2" s="1"/>
  <c r="BV224" i="2"/>
  <c r="BX224" i="2" s="1"/>
  <c r="BV220" i="2"/>
  <c r="BX220" i="2" s="1"/>
  <c r="BV139" i="2"/>
  <c r="BX139" i="2" s="1"/>
  <c r="BV122" i="2"/>
  <c r="BX122" i="2" s="1"/>
  <c r="BV117" i="2"/>
  <c r="BX117" i="2" s="1"/>
  <c r="BV113" i="2"/>
  <c r="BX113" i="2" s="1"/>
  <c r="BA407" i="17"/>
  <c r="BE407" i="17" s="1"/>
  <c r="BG407" i="17" s="1"/>
  <c r="BA415" i="17"/>
  <c r="BE415" i="17" s="1"/>
  <c r="BG415" i="17" s="1"/>
  <c r="BA433" i="17"/>
  <c r="BE433" i="17" s="1"/>
  <c r="BG433" i="17" s="1"/>
  <c r="BA552" i="17"/>
  <c r="BE552" i="17" s="1"/>
  <c r="BG552" i="17" s="1"/>
  <c r="BA411" i="17"/>
  <c r="BE411" i="17" s="1"/>
  <c r="BG411" i="17" s="1"/>
  <c r="BA417" i="17"/>
  <c r="BE417" i="17" s="1"/>
  <c r="BG417" i="17" s="1"/>
  <c r="BA421" i="17"/>
  <c r="BE421" i="17" s="1"/>
  <c r="BG421" i="17" s="1"/>
  <c r="BA413" i="17"/>
  <c r="BE413" i="17" s="1"/>
  <c r="BG413" i="17" s="1"/>
  <c r="BA538" i="17"/>
  <c r="BE538" i="17" s="1"/>
  <c r="BG538" i="17" s="1"/>
  <c r="BA490" i="17"/>
  <c r="BE490" i="17" s="1"/>
  <c r="BG490" i="17" s="1"/>
  <c r="BA504" i="17"/>
  <c r="BE504" i="17" s="1"/>
  <c r="BG504" i="17" s="1"/>
  <c r="BA527" i="17"/>
  <c r="BE527" i="17" s="1"/>
  <c r="BG527" i="17" s="1"/>
  <c r="BA422" i="17"/>
  <c r="BE422" i="17" s="1"/>
  <c r="BG422" i="17" s="1"/>
  <c r="BA429" i="17"/>
  <c r="BE429" i="17" s="1"/>
  <c r="BG429" i="17" s="1"/>
  <c r="BA438" i="17"/>
  <c r="BE438" i="17" s="1"/>
  <c r="BG438" i="17" s="1"/>
  <c r="BA453" i="17"/>
  <c r="BE453" i="17" s="1"/>
  <c r="BG453" i="17" s="1"/>
  <c r="BA460" i="17"/>
  <c r="BE460" i="17" s="1"/>
  <c r="BG460" i="17" s="1"/>
  <c r="BA469" i="17"/>
  <c r="BE469" i="17" s="1"/>
  <c r="BG469" i="17" s="1"/>
  <c r="BA541" i="17"/>
  <c r="BE541" i="17" s="1"/>
  <c r="BG541" i="17" s="1"/>
  <c r="BA555" i="17"/>
  <c r="BE555" i="17" s="1"/>
  <c r="BG555" i="17" s="1"/>
  <c r="BA565" i="17"/>
  <c r="BE565" i="17" s="1"/>
  <c r="BG565" i="17" s="1"/>
  <c r="BA606" i="17"/>
  <c r="BE606" i="17" s="1"/>
  <c r="BG606" i="17" s="1"/>
  <c r="BA618" i="17"/>
  <c r="BE618" i="17" s="1"/>
  <c r="BG618" i="17" s="1"/>
  <c r="BA626" i="17"/>
  <c r="BE626" i="17" s="1"/>
  <c r="BG626" i="17" s="1"/>
  <c r="BA496" i="17"/>
  <c r="BE496" i="17" s="1"/>
  <c r="BG496" i="17" s="1"/>
  <c r="BA537" i="17"/>
  <c r="BE537" i="17" s="1"/>
  <c r="BG537" i="17" s="1"/>
  <c r="BA447" i="17"/>
  <c r="BE447" i="17" s="1"/>
  <c r="BG447" i="17" s="1"/>
  <c r="BA471" i="17"/>
  <c r="BE471" i="17" s="1"/>
  <c r="BG471" i="17" s="1"/>
  <c r="BA478" i="17"/>
  <c r="BE478" i="17" s="1"/>
  <c r="BG478" i="17" s="1"/>
  <c r="BA486" i="17"/>
  <c r="BE486" i="17" s="1"/>
  <c r="BG486" i="17" s="1"/>
  <c r="BA545" i="17"/>
  <c r="BE545" i="17" s="1"/>
  <c r="BG545" i="17" s="1"/>
  <c r="BA558" i="17"/>
  <c r="BE558" i="17" s="1"/>
  <c r="BG558" i="17" s="1"/>
  <c r="BA575" i="17"/>
  <c r="BE575" i="17" s="1"/>
  <c r="BG575" i="17" s="1"/>
  <c r="BA586" i="17"/>
  <c r="BE586" i="17" s="1"/>
  <c r="BG586" i="17" s="1"/>
  <c r="BA590" i="17"/>
  <c r="BE590" i="17" s="1"/>
  <c r="BG590" i="17" s="1"/>
  <c r="BA609" i="17"/>
  <c r="BE609" i="17" s="1"/>
  <c r="BG609" i="17" s="1"/>
  <c r="BA621" i="17"/>
  <c r="BE621" i="17" s="1"/>
  <c r="BG621" i="17" s="1"/>
  <c r="BA404" i="17"/>
  <c r="BE404" i="17" s="1"/>
  <c r="BG404" i="17" s="1"/>
  <c r="BA408" i="17"/>
  <c r="BE408" i="17" s="1"/>
  <c r="BG408" i="17" s="1"/>
  <c r="BA405" i="17"/>
  <c r="BE405" i="17" s="1"/>
  <c r="BG405" i="17" s="1"/>
  <c r="BA431" i="17"/>
  <c r="BE431" i="17" s="1"/>
  <c r="BG431" i="17" s="1"/>
  <c r="BA412" i="17"/>
  <c r="BE412" i="17" s="1"/>
  <c r="BG412" i="17" s="1"/>
  <c r="BA418" i="17"/>
  <c r="BE418" i="17" s="1"/>
  <c r="BG418" i="17" s="1"/>
  <c r="BA416" i="17"/>
  <c r="BE416" i="17" s="1"/>
  <c r="BG416" i="17" s="1"/>
  <c r="BA420" i="17"/>
  <c r="BE420" i="17" s="1"/>
  <c r="BG420" i="17" s="1"/>
  <c r="BE540" i="17"/>
  <c r="BG540" i="17" s="1"/>
  <c r="BE514" i="17"/>
  <c r="BG514" i="17" s="1"/>
  <c r="BE491" i="17"/>
  <c r="BG491" i="17" s="1"/>
  <c r="BE443" i="17"/>
  <c r="BG443" i="17" s="1"/>
  <c r="BE625" i="17"/>
  <c r="BG625" i="17" s="1"/>
  <c r="BE500" i="17"/>
  <c r="BG500" i="17" s="1"/>
  <c r="BE589" i="17"/>
  <c r="BG589" i="17" s="1"/>
  <c r="BE455" i="17"/>
  <c r="BG455" i="17" s="1"/>
  <c r="BE593" i="17"/>
  <c r="BG593" i="17" s="1"/>
  <c r="BE563" i="17"/>
  <c r="BG563" i="17" s="1"/>
  <c r="BE427" i="17"/>
  <c r="BG427" i="17" s="1"/>
  <c r="BE468" i="17"/>
  <c r="BG468" i="17" s="1"/>
  <c r="BE554" i="17"/>
  <c r="BG554" i="17" s="1"/>
  <c r="BE559" i="17"/>
  <c r="BG559" i="17" s="1"/>
  <c r="BE566" i="17"/>
  <c r="BG566" i="17" s="1"/>
  <c r="BE458" i="17"/>
  <c r="BG458" i="17" s="1"/>
  <c r="BE462" i="17"/>
  <c r="BG462" i="17" s="1"/>
  <c r="BE481" i="17"/>
  <c r="BG481" i="17" s="1"/>
  <c r="BE601" i="17"/>
  <c r="BG601" i="17" s="1"/>
  <c r="BE605" i="17"/>
  <c r="BG605" i="17" s="1"/>
  <c r="BE614" i="17"/>
  <c r="BG614" i="17" s="1"/>
  <c r="BE509" i="17"/>
  <c r="BG509" i="17" s="1"/>
  <c r="BE487" i="17"/>
  <c r="BG487" i="17" s="1"/>
  <c r="BE574" i="17"/>
  <c r="BG574" i="17" s="1"/>
  <c r="BE610" i="17"/>
  <c r="BG610" i="17" s="1"/>
  <c r="BE630" i="17"/>
  <c r="BG630" i="17" s="1"/>
  <c r="BE495" i="17"/>
  <c r="BG495" i="17" s="1"/>
  <c r="BE508" i="17"/>
  <c r="BG508" i="17" s="1"/>
  <c r="BE516" i="17"/>
  <c r="BG516" i="17" s="1"/>
  <c r="BE520" i="17"/>
  <c r="BG520" i="17" s="1"/>
  <c r="BE524" i="17"/>
  <c r="BG524" i="17" s="1"/>
  <c r="BE528" i="17"/>
  <c r="BG528" i="17" s="1"/>
  <c r="BE532" i="17"/>
  <c r="BG532" i="17" s="1"/>
  <c r="BE479" i="17"/>
  <c r="BG479" i="17" s="1"/>
  <c r="BE519" i="17"/>
  <c r="BG519" i="17" s="1"/>
  <c r="BE613" i="17"/>
  <c r="BG613" i="17" s="1"/>
  <c r="BA493" i="17"/>
  <c r="BE493" i="17" s="1"/>
  <c r="BG493" i="17" s="1"/>
  <c r="BA497" i="17"/>
  <c r="BE497" i="17" s="1"/>
  <c r="BG497" i="17" s="1"/>
  <c r="BA502" i="17"/>
  <c r="BE502" i="17" s="1"/>
  <c r="BG502" i="17" s="1"/>
  <c r="BA506" i="17"/>
  <c r="BE506" i="17" s="1"/>
  <c r="BG506" i="17" s="1"/>
  <c r="BA510" i="17"/>
  <c r="BE510" i="17" s="1"/>
  <c r="BG510" i="17" s="1"/>
  <c r="BA517" i="17"/>
  <c r="BE517" i="17" s="1"/>
  <c r="BG517" i="17" s="1"/>
  <c r="BA521" i="17"/>
  <c r="BE521" i="17" s="1"/>
  <c r="BG521" i="17" s="1"/>
  <c r="BA525" i="17"/>
  <c r="BE525" i="17" s="1"/>
  <c r="BG525" i="17" s="1"/>
  <c r="BA529" i="17"/>
  <c r="BE529" i="17" s="1"/>
  <c r="BG529" i="17" s="1"/>
  <c r="BA534" i="17"/>
  <c r="BE534" i="17" s="1"/>
  <c r="BG534" i="17" s="1"/>
  <c r="BA539" i="17"/>
  <c r="BE539" i="17" s="1"/>
  <c r="BG539" i="17" s="1"/>
  <c r="BA440" i="17"/>
  <c r="BE440" i="17" s="1"/>
  <c r="BG440" i="17" s="1"/>
  <c r="BA444" i="17"/>
  <c r="BE444" i="17" s="1"/>
  <c r="BG444" i="17" s="1"/>
  <c r="BA448" i="17"/>
  <c r="BE448" i="17" s="1"/>
  <c r="BG448" i="17" s="1"/>
  <c r="BA459" i="17"/>
  <c r="BE459" i="17" s="1"/>
  <c r="BG459" i="17" s="1"/>
  <c r="BA463" i="17"/>
  <c r="BE463" i="17" s="1"/>
  <c r="BG463" i="17" s="1"/>
  <c r="BA467" i="17"/>
  <c r="BE467" i="17" s="1"/>
  <c r="BG467" i="17" s="1"/>
  <c r="BA472" i="17"/>
  <c r="BE472" i="17" s="1"/>
  <c r="BG472" i="17" s="1"/>
  <c r="BA475" i="17"/>
  <c r="BE475" i="17" s="1"/>
  <c r="BG475" i="17" s="1"/>
  <c r="BA480" i="17"/>
  <c r="BE480" i="17" s="1"/>
  <c r="BG480" i="17" s="1"/>
  <c r="BA485" i="17"/>
  <c r="BE485" i="17" s="1"/>
  <c r="BG485" i="17" s="1"/>
  <c r="BA489" i="17"/>
  <c r="BE489" i="17" s="1"/>
  <c r="BG489" i="17" s="1"/>
  <c r="BA551" i="17"/>
  <c r="BE551" i="17" s="1"/>
  <c r="BG551" i="17" s="1"/>
  <c r="BA557" i="17"/>
  <c r="BE557" i="17" s="1"/>
  <c r="BG557" i="17" s="1"/>
  <c r="BA562" i="17"/>
  <c r="BE562" i="17" s="1"/>
  <c r="BG562" i="17" s="1"/>
  <c r="BA567" i="17"/>
  <c r="BE567" i="17" s="1"/>
  <c r="BG567" i="17" s="1"/>
  <c r="BA572" i="17"/>
  <c r="BE572" i="17" s="1"/>
  <c r="BG572" i="17" s="1"/>
  <c r="BA578" i="17"/>
  <c r="BE578" i="17" s="1"/>
  <c r="BG578" i="17" s="1"/>
  <c r="BA583" i="17"/>
  <c r="BE583" i="17" s="1"/>
  <c r="BG583" i="17" s="1"/>
  <c r="BA587" i="17"/>
  <c r="BE587" i="17" s="1"/>
  <c r="BG587" i="17" s="1"/>
  <c r="BA591" i="17"/>
  <c r="BE591" i="17" s="1"/>
  <c r="BG591" i="17" s="1"/>
  <c r="BA594" i="17"/>
  <c r="BE594" i="17" s="1"/>
  <c r="BG594" i="17" s="1"/>
  <c r="BA600" i="17"/>
  <c r="BE600" i="17" s="1"/>
  <c r="BG600" i="17" s="1"/>
  <c r="BA604" i="17"/>
  <c r="BE604" i="17" s="1"/>
  <c r="BG604" i="17" s="1"/>
  <c r="BA608" i="17"/>
  <c r="BE608" i="17" s="1"/>
  <c r="BG608" i="17" s="1"/>
  <c r="BA616" i="17"/>
  <c r="BE616" i="17" s="1"/>
  <c r="BG616" i="17" s="1"/>
  <c r="BA629" i="17"/>
  <c r="BE629" i="17" s="1"/>
  <c r="BG629" i="17" s="1"/>
  <c r="BA512" i="17"/>
  <c r="BE512" i="17" s="1"/>
  <c r="BG512" i="17" s="1"/>
  <c r="BA492" i="17"/>
  <c r="BE492" i="17" s="1"/>
  <c r="BG492" i="17" s="1"/>
  <c r="BA494" i="17"/>
  <c r="BE494" i="17" s="1"/>
  <c r="BG494" i="17" s="1"/>
  <c r="BA507" i="17"/>
  <c r="BE507" i="17" s="1"/>
  <c r="BG507" i="17" s="1"/>
  <c r="BA511" i="17"/>
  <c r="BE511" i="17" s="1"/>
  <c r="BG511" i="17" s="1"/>
  <c r="BA518" i="17"/>
  <c r="BE518" i="17" s="1"/>
  <c r="BG518" i="17" s="1"/>
  <c r="BA522" i="17"/>
  <c r="BE522" i="17" s="1"/>
  <c r="BG522" i="17" s="1"/>
  <c r="BA526" i="17"/>
  <c r="BE526" i="17" s="1"/>
  <c r="BG526" i="17" s="1"/>
  <c r="BA530" i="17"/>
  <c r="BE530" i="17" s="1"/>
  <c r="BG530" i="17" s="1"/>
  <c r="BA535" i="17"/>
  <c r="BE535" i="17" s="1"/>
  <c r="BG535" i="17" s="1"/>
  <c r="BA424" i="17"/>
  <c r="BE424" i="17" s="1"/>
  <c r="BG424" i="17" s="1"/>
  <c r="BA437" i="17"/>
  <c r="BE437" i="17" s="1"/>
  <c r="BG437" i="17" s="1"/>
  <c r="BA445" i="17"/>
  <c r="BE445" i="17" s="1"/>
  <c r="BG445" i="17" s="1"/>
  <c r="BA464" i="17"/>
  <c r="BE464" i="17" s="1"/>
  <c r="BG464" i="17" s="1"/>
  <c r="BA470" i="17"/>
  <c r="BE470" i="17" s="1"/>
  <c r="BG470" i="17" s="1"/>
  <c r="BA473" i="17"/>
  <c r="BE473" i="17" s="1"/>
  <c r="BG473" i="17" s="1"/>
  <c r="BA482" i="17"/>
  <c r="BE482" i="17" s="1"/>
  <c r="BG482" i="17" s="1"/>
  <c r="BA484" i="17"/>
  <c r="BE484" i="17" s="1"/>
  <c r="BG484" i="17" s="1"/>
  <c r="BA488" i="17"/>
  <c r="BE488" i="17" s="1"/>
  <c r="BG488" i="17" s="1"/>
  <c r="BA542" i="17"/>
  <c r="BE542" i="17" s="1"/>
  <c r="BG542" i="17" s="1"/>
  <c r="BA556" i="17"/>
  <c r="BE556" i="17" s="1"/>
  <c r="BG556" i="17" s="1"/>
  <c r="BA560" i="17"/>
  <c r="BE560" i="17" s="1"/>
  <c r="BG560" i="17" s="1"/>
  <c r="BA568" i="17"/>
  <c r="BE568" i="17" s="1"/>
  <c r="BG568" i="17" s="1"/>
  <c r="BA573" i="17"/>
  <c r="BE573" i="17" s="1"/>
  <c r="BG573" i="17" s="1"/>
  <c r="BA577" i="17"/>
  <c r="BE577" i="17" s="1"/>
  <c r="BG577" i="17" s="1"/>
  <c r="BA588" i="17"/>
  <c r="BE588" i="17" s="1"/>
  <c r="BG588" i="17" s="1"/>
  <c r="BA603" i="17"/>
  <c r="BE603" i="17" s="1"/>
  <c r="BG603" i="17" s="1"/>
  <c r="BA607" i="17"/>
  <c r="BE607" i="17" s="1"/>
  <c r="BG607" i="17" s="1"/>
  <c r="BA611" i="17"/>
  <c r="BE611" i="17" s="1"/>
  <c r="BG611" i="17" s="1"/>
  <c r="BA615" i="17"/>
  <c r="BE615" i="17" s="1"/>
  <c r="BG615" i="17" s="1"/>
  <c r="BA619" i="17"/>
  <c r="BE619" i="17" s="1"/>
  <c r="BG619" i="17" s="1"/>
  <c r="BA623" i="17"/>
  <c r="BE623" i="17" s="1"/>
  <c r="BG623" i="17" s="1"/>
  <c r="BA627" i="17"/>
  <c r="BE627" i="17" s="1"/>
  <c r="BG627" i="17" s="1"/>
  <c r="BN109" i="25"/>
  <c r="BV109" i="25" s="1"/>
  <c r="BX109" i="25" s="1"/>
  <c r="BX110" i="25"/>
  <c r="BX108" i="25"/>
  <c r="BV176" i="25"/>
  <c r="BX176" i="25" s="1"/>
  <c r="BE451" i="17"/>
  <c r="BG451" i="17" s="1"/>
  <c r="BV338" i="2"/>
  <c r="BX338" i="2" s="1"/>
  <c r="BN336" i="25"/>
  <c r="BV336" i="25" s="1"/>
  <c r="BX336" i="25" s="1"/>
  <c r="BA308" i="17"/>
  <c r="BE308" i="17" s="1"/>
  <c r="BG308" i="17" s="1"/>
  <c r="BA288" i="17"/>
  <c r="BE288" i="17" s="1"/>
  <c r="BG288" i="17" s="1"/>
  <c r="BA287" i="17"/>
  <c r="BE287" i="17" s="1"/>
  <c r="BG287" i="17" s="1"/>
  <c r="BV271" i="2"/>
  <c r="BX271" i="2" s="1"/>
  <c r="BN197" i="25"/>
  <c r="BV197" i="25" s="1"/>
  <c r="BX197" i="25" s="1"/>
  <c r="BV173" i="2"/>
  <c r="BX173" i="2" s="1"/>
  <c r="BX227" i="25"/>
  <c r="BV307" i="2"/>
  <c r="BX307" i="2" s="1"/>
  <c r="BV278" i="2"/>
  <c r="BX278" i="2" s="1"/>
  <c r="AF120" i="16" l="1"/>
  <c r="AF139" i="16"/>
  <c r="AF137" i="16"/>
  <c r="AF116" i="16"/>
  <c r="AF148" i="16"/>
  <c r="AF136" i="16"/>
  <c r="AF125" i="16"/>
  <c r="AF143" i="16"/>
  <c r="AF132" i="16"/>
  <c r="AF123" i="16"/>
  <c r="AF124" i="16"/>
  <c r="AF146" i="16"/>
  <c r="AF134" i="16"/>
  <c r="AF113" i="16"/>
  <c r="AF140" i="16"/>
  <c r="AF129" i="16"/>
  <c r="AF122" i="16"/>
  <c r="AF117" i="16"/>
  <c r="AF144" i="16"/>
  <c r="AF126" i="16"/>
  <c r="AF147" i="16"/>
  <c r="AF135" i="16"/>
  <c r="AF114" i="16"/>
  <c r="AF142" i="16"/>
  <c r="AF130" i="16"/>
  <c r="AF121" i="16"/>
  <c r="AF141" i="16"/>
  <c r="AF128" i="16"/>
  <c r="AF118" i="16"/>
  <c r="AF133" i="16"/>
  <c r="AF138" i="16"/>
  <c r="AF115" i="16"/>
  <c r="AF145" i="16"/>
  <c r="AF131" i="16"/>
  <c r="AF127" i="16"/>
  <c r="AF119" i="16"/>
  <c r="BX216" i="25"/>
  <c r="AQ628" i="22"/>
  <c r="BN628" i="25" s="1"/>
  <c r="BV628" i="25" s="1"/>
  <c r="BX628" i="25" s="1"/>
  <c r="AF528" i="16"/>
  <c r="O528" i="16"/>
  <c r="AH528" i="16" s="1"/>
</calcChain>
</file>

<file path=xl/sharedStrings.xml><?xml version="1.0" encoding="utf-8"?>
<sst xmlns="http://schemas.openxmlformats.org/spreadsheetml/2006/main" count="16726" uniqueCount="912">
  <si>
    <t>Charges for</t>
  </si>
  <si>
    <t>Inter-</t>
  </si>
  <si>
    <t>Special</t>
  </si>
  <si>
    <t>Total</t>
  </si>
  <si>
    <t>County</t>
  </si>
  <si>
    <t>Taxes</t>
  </si>
  <si>
    <t>Services</t>
  </si>
  <si>
    <t>governmental</t>
  </si>
  <si>
    <t>Revenue</t>
  </si>
  <si>
    <t>Revenues</t>
  </si>
  <si>
    <t>Allen</t>
  </si>
  <si>
    <t>Ashland</t>
  </si>
  <si>
    <t>Ashtabula</t>
  </si>
  <si>
    <t>Athens</t>
  </si>
  <si>
    <t>Auglaize</t>
  </si>
  <si>
    <t>Belmont</t>
  </si>
  <si>
    <t>Carroll</t>
  </si>
  <si>
    <t>Clark</t>
  </si>
  <si>
    <t>Clinton</t>
  </si>
  <si>
    <t>Coshocton</t>
  </si>
  <si>
    <t>Cuyahoga</t>
  </si>
  <si>
    <t>Darke</t>
  </si>
  <si>
    <t>Defiance</t>
  </si>
  <si>
    <t>Delaware</t>
  </si>
  <si>
    <t>Erie</t>
  </si>
  <si>
    <t>Fairfield</t>
  </si>
  <si>
    <t>Fayette</t>
  </si>
  <si>
    <t>Franklin</t>
  </si>
  <si>
    <t>Fulton</t>
  </si>
  <si>
    <t>Gallia</t>
  </si>
  <si>
    <t>Geauga</t>
  </si>
  <si>
    <t>Guernsey</t>
  </si>
  <si>
    <t>Hamilton</t>
  </si>
  <si>
    <t>Hancock</t>
  </si>
  <si>
    <t>Henry</t>
  </si>
  <si>
    <t>Hocking</t>
  </si>
  <si>
    <t>Holmes</t>
  </si>
  <si>
    <t>Huron</t>
  </si>
  <si>
    <t>Jackson</t>
  </si>
  <si>
    <t>Jefferson</t>
  </si>
  <si>
    <t>Knox</t>
  </si>
  <si>
    <t>Lake</t>
  </si>
  <si>
    <t>Licking</t>
  </si>
  <si>
    <t>Logan</t>
  </si>
  <si>
    <t>Lorain</t>
  </si>
  <si>
    <t>Mahoning</t>
  </si>
  <si>
    <t>Marion</t>
  </si>
  <si>
    <t>Medina</t>
  </si>
  <si>
    <t>Miami</t>
  </si>
  <si>
    <t>Monroe</t>
  </si>
  <si>
    <t>Montgomery</t>
  </si>
  <si>
    <t>Muskingum</t>
  </si>
  <si>
    <t>Noble</t>
  </si>
  <si>
    <t>Ottawa</t>
  </si>
  <si>
    <t>Pickaway</t>
  </si>
  <si>
    <t>Pike</t>
  </si>
  <si>
    <t>Portage</t>
  </si>
  <si>
    <t>Preble</t>
  </si>
  <si>
    <t>Ross</t>
  </si>
  <si>
    <t>Scioto</t>
  </si>
  <si>
    <t>Seneca</t>
  </si>
  <si>
    <t>Shelby</t>
  </si>
  <si>
    <t>Stark</t>
  </si>
  <si>
    <t>Summit</t>
  </si>
  <si>
    <t>Trumbull</t>
  </si>
  <si>
    <t>Tuscarawas</t>
  </si>
  <si>
    <t>Union</t>
  </si>
  <si>
    <t>Van Wert</t>
  </si>
  <si>
    <t>Vinton</t>
  </si>
  <si>
    <t>Warren</t>
  </si>
  <si>
    <t>Washington</t>
  </si>
  <si>
    <t>Wayne</t>
  </si>
  <si>
    <t>Wood</t>
  </si>
  <si>
    <t>Capital</t>
  </si>
  <si>
    <t>Expenditures</t>
  </si>
  <si>
    <t>Outlay</t>
  </si>
  <si>
    <t>Principal</t>
  </si>
  <si>
    <t>Brown</t>
  </si>
  <si>
    <t>Morrow</t>
  </si>
  <si>
    <t>Sandusky</t>
  </si>
  <si>
    <t>Long-Term Obligations</t>
  </si>
  <si>
    <t>General</t>
  </si>
  <si>
    <t>Other</t>
  </si>
  <si>
    <t>Obligation</t>
  </si>
  <si>
    <t>Bonds</t>
  </si>
  <si>
    <t>Loans</t>
  </si>
  <si>
    <t>Obligations</t>
  </si>
  <si>
    <t>Assets</t>
  </si>
  <si>
    <t>Cash and</t>
  </si>
  <si>
    <t>Deferred</t>
  </si>
  <si>
    <t>Fund</t>
  </si>
  <si>
    <t>Investments</t>
  </si>
  <si>
    <t>Liabilities</t>
  </si>
  <si>
    <t>Fund Balance</t>
  </si>
  <si>
    <t>Compensated</t>
  </si>
  <si>
    <t>Notes</t>
  </si>
  <si>
    <t>Leases</t>
  </si>
  <si>
    <t>Absences</t>
  </si>
  <si>
    <t>Payables</t>
  </si>
  <si>
    <t>Current</t>
  </si>
  <si>
    <t>Invested in</t>
  </si>
  <si>
    <t>Restricted</t>
  </si>
  <si>
    <t>Unrestricted</t>
  </si>
  <si>
    <t>Program Revenues - Governmental Activities</t>
  </si>
  <si>
    <t>Property</t>
  </si>
  <si>
    <t>Investment</t>
  </si>
  <si>
    <t>Grants</t>
  </si>
  <si>
    <t>Earnings</t>
  </si>
  <si>
    <t>Contributions</t>
  </si>
  <si>
    <t>Richland</t>
  </si>
  <si>
    <t>Crawford</t>
  </si>
  <si>
    <t>Columbiana</t>
  </si>
  <si>
    <t>Clermont</t>
  </si>
  <si>
    <t>Greene</t>
  </si>
  <si>
    <t>Lucas</t>
  </si>
  <si>
    <t>One Year</t>
  </si>
  <si>
    <t>Summary Data from the General Fund Balance Sheet</t>
  </si>
  <si>
    <t>Out</t>
  </si>
  <si>
    <t>Change in</t>
  </si>
  <si>
    <t>and Interest</t>
  </si>
  <si>
    <t>Capital Assets</t>
  </si>
  <si>
    <t>Expenses</t>
  </si>
  <si>
    <t>Grants,</t>
  </si>
  <si>
    <t>Expenses from the Statement of Activities - Governmental Activities</t>
  </si>
  <si>
    <t>General Fund Revenues - Modified Accrual Basis of Accounting</t>
  </si>
  <si>
    <t>All Other</t>
  </si>
  <si>
    <t>General Fund Expenditures - Modified Accrual Basis of Accounting</t>
  </si>
  <si>
    <t xml:space="preserve"> </t>
  </si>
  <si>
    <t>Revenues from the Statement of Activities - Governmental Activities</t>
  </si>
  <si>
    <t>Long-term Liabilities</t>
  </si>
  <si>
    <t>More Than 1 Yr</t>
  </si>
  <si>
    <t>Statement</t>
  </si>
  <si>
    <t>Balances if</t>
  </si>
  <si>
    <t>Value is "0"</t>
  </si>
  <si>
    <t>Program</t>
  </si>
  <si>
    <t>Grants and</t>
  </si>
  <si>
    <t>Entitlements</t>
  </si>
  <si>
    <t>Payments in</t>
  </si>
  <si>
    <t>Lieu of</t>
  </si>
  <si>
    <t>Program and</t>
  </si>
  <si>
    <t>Vocational</t>
  </si>
  <si>
    <t>Instruction</t>
  </si>
  <si>
    <t>Support Services</t>
  </si>
  <si>
    <t>Instructional</t>
  </si>
  <si>
    <t>Staff</t>
  </si>
  <si>
    <t>Board of</t>
  </si>
  <si>
    <t>Education</t>
  </si>
  <si>
    <t>Administration</t>
  </si>
  <si>
    <t>Fiscal</t>
  </si>
  <si>
    <t>Operation and</t>
  </si>
  <si>
    <t>Maintenance</t>
  </si>
  <si>
    <t>of Plant</t>
  </si>
  <si>
    <t>Pupil</t>
  </si>
  <si>
    <t>Transportation</t>
  </si>
  <si>
    <t>Non-Instructional Services</t>
  </si>
  <si>
    <t>Food</t>
  </si>
  <si>
    <t>Service</t>
  </si>
  <si>
    <t>Extracurricular</t>
  </si>
  <si>
    <t>Activities</t>
  </si>
  <si>
    <t>Interest</t>
  </si>
  <si>
    <t>Transfers</t>
  </si>
  <si>
    <t>Beginning</t>
  </si>
  <si>
    <t>of Year</t>
  </si>
  <si>
    <t>End of</t>
  </si>
  <si>
    <t>Year</t>
  </si>
  <si>
    <t>and Activities</t>
  </si>
  <si>
    <t>Balance if</t>
  </si>
  <si>
    <t>All Schools Reporting Under GAAP</t>
  </si>
  <si>
    <t>Tuition</t>
  </si>
  <si>
    <t>and Fees</t>
  </si>
  <si>
    <t>Extra-</t>
  </si>
  <si>
    <t>curricular</t>
  </si>
  <si>
    <t>Payments</t>
  </si>
  <si>
    <t>in Lieu</t>
  </si>
  <si>
    <t>of Taxes</t>
  </si>
  <si>
    <t>and</t>
  </si>
  <si>
    <t>Donations</t>
  </si>
  <si>
    <t>Debt Service</t>
  </si>
  <si>
    <t>Other Financing Uses</t>
  </si>
  <si>
    <t>Advances</t>
  </si>
  <si>
    <t>Uses</t>
  </si>
  <si>
    <t>All</t>
  </si>
  <si>
    <t>Net</t>
  </si>
  <si>
    <t>Balance</t>
  </si>
  <si>
    <t>End</t>
  </si>
  <si>
    <t>Other Uses</t>
  </si>
  <si>
    <t>Other Financing Sources</t>
  </si>
  <si>
    <t>Transfers in</t>
  </si>
  <si>
    <t>Advances in</t>
  </si>
  <si>
    <t>Proceeds</t>
  </si>
  <si>
    <t>Bond</t>
  </si>
  <si>
    <t>Financing</t>
  </si>
  <si>
    <t>Sources</t>
  </si>
  <si>
    <t>and Other</t>
  </si>
  <si>
    <t>Fund Bal.</t>
  </si>
  <si>
    <t>Governmental Fund Revenues - Modified Accrual Basis of Accounting</t>
  </si>
  <si>
    <t>Summary Data from the Governmental Fund Balance Sheet</t>
  </si>
  <si>
    <t>IRN #</t>
  </si>
  <si>
    <t>School District</t>
  </si>
  <si>
    <t>Adams</t>
  </si>
  <si>
    <t>Delphos City SD</t>
  </si>
  <si>
    <t>Perry Local SD</t>
  </si>
  <si>
    <t>Ashland City SD</t>
  </si>
  <si>
    <t>Hillsdale Local SD</t>
  </si>
  <si>
    <t>Mapleton Local SD</t>
  </si>
  <si>
    <t>Buckeye Local SD</t>
  </si>
  <si>
    <t>Conneaut Area City SD</t>
  </si>
  <si>
    <t>Grand Valley Local SD</t>
  </si>
  <si>
    <t>Jefferson Area Local SD</t>
  </si>
  <si>
    <t>Athens City SD</t>
  </si>
  <si>
    <t>Nelsonville-York City SD</t>
  </si>
  <si>
    <t>Trimble Local SD</t>
  </si>
  <si>
    <t>Minster Local SD</t>
  </si>
  <si>
    <t>New Bremen Local SD</t>
  </si>
  <si>
    <t>Bellaire Local SD</t>
  </si>
  <si>
    <t>Martins Ferry City SD</t>
  </si>
  <si>
    <t>Shadyside Local SD</t>
  </si>
  <si>
    <t>Eastern Local SD</t>
  </si>
  <si>
    <t>Fayetteville-Perry Local SD</t>
  </si>
  <si>
    <t>Western Brown Local SD</t>
  </si>
  <si>
    <t>Butler</t>
  </si>
  <si>
    <t>Fairfield City SD</t>
  </si>
  <si>
    <t>Lakota Local SD</t>
  </si>
  <si>
    <t>Madison Local SD</t>
  </si>
  <si>
    <t>Middletown City SD</t>
  </si>
  <si>
    <t>New Miami Local SD</t>
  </si>
  <si>
    <t>Brown Local SD</t>
  </si>
  <si>
    <t>Champaign</t>
  </si>
  <si>
    <t>Triad Local SD</t>
  </si>
  <si>
    <t>Clark-Shawnee Local SD</t>
  </si>
  <si>
    <t>Greenon Local SD</t>
  </si>
  <si>
    <t>Northeastern Local SD</t>
  </si>
  <si>
    <t>Northwestern Local SD</t>
  </si>
  <si>
    <t>Southeastern Local SD</t>
  </si>
  <si>
    <t>Tecumseh Local SD</t>
  </si>
  <si>
    <t>Batavia Local SD</t>
  </si>
  <si>
    <t>Bethel-Tate Local SD</t>
  </si>
  <si>
    <t>Felicity-Franklin Local SD</t>
  </si>
  <si>
    <t>Goshen Local SD</t>
  </si>
  <si>
    <t>West Clermont Local SD</t>
  </si>
  <si>
    <t>Blanchester Local SD</t>
  </si>
  <si>
    <t>Clinton-Massie Local SD</t>
  </si>
  <si>
    <t>East Clinton Local SD</t>
  </si>
  <si>
    <t>Wilmington City SD</t>
  </si>
  <si>
    <t>Beaver Local SD</t>
  </si>
  <si>
    <t>Crestview Local SD</t>
  </si>
  <si>
    <t>East Liverpool City SD</t>
  </si>
  <si>
    <t>East Palestine City SD</t>
  </si>
  <si>
    <t>Southern Local SD</t>
  </si>
  <si>
    <t>United Local SD</t>
  </si>
  <si>
    <t>Wellsville Local SD</t>
  </si>
  <si>
    <t>Coshocton City SD</t>
  </si>
  <si>
    <t>Ridgewood Local SD</t>
  </si>
  <si>
    <t>River View Local SD</t>
  </si>
  <si>
    <t>Buckeye Central Local SD</t>
  </si>
  <si>
    <t>Bucyrus City SD</t>
  </si>
  <si>
    <t>Colonel Crawford Local SD</t>
  </si>
  <si>
    <t>Galion City SD</t>
  </si>
  <si>
    <t>Wynford Local SD</t>
  </si>
  <si>
    <t>Beachwood City SD</t>
  </si>
  <si>
    <t>Bedford City SD</t>
  </si>
  <si>
    <t>Berea City SD</t>
  </si>
  <si>
    <t>Brooklyn City SD</t>
  </si>
  <si>
    <t>Cleveland Municipal SD</t>
  </si>
  <si>
    <t>East Cleveland City SD</t>
  </si>
  <si>
    <t>Euclid City SD</t>
  </si>
  <si>
    <t>Fairview Park City SD</t>
  </si>
  <si>
    <t>Independence Local SD</t>
  </si>
  <si>
    <t>Lakewood City SD</t>
  </si>
  <si>
    <t>North Olmsted City SD</t>
  </si>
  <si>
    <t>North Royalton City SD</t>
  </si>
  <si>
    <t>Olmsted Falls City SD</t>
  </si>
  <si>
    <t>Orange City SD</t>
  </si>
  <si>
    <t>Parma City SD</t>
  </si>
  <si>
    <t>Richmond Heights Local SD</t>
  </si>
  <si>
    <t>Solon City SD</t>
  </si>
  <si>
    <t>South Euclid-Lyndhurst City SD</t>
  </si>
  <si>
    <t>Strongsville City SD</t>
  </si>
  <si>
    <t>Warrensville Heights City SD</t>
  </si>
  <si>
    <t>Westlake City SD</t>
  </si>
  <si>
    <t>Greenville City SD</t>
  </si>
  <si>
    <t>Ayersville Local SD</t>
  </si>
  <si>
    <t>Olentangy Local SD</t>
  </si>
  <si>
    <t>Berlin-Milan Local SD</t>
  </si>
  <si>
    <t>Huron City SD</t>
  </si>
  <si>
    <t>Kelleys Island Local SD</t>
  </si>
  <si>
    <t>Margaretta Local SD</t>
  </si>
  <si>
    <t>Perkins Local SD</t>
  </si>
  <si>
    <t>Sandusky City SD</t>
  </si>
  <si>
    <t>Vermilion Local SD</t>
  </si>
  <si>
    <t>Amanda-Clearcreek Local SD</t>
  </si>
  <si>
    <t>Bloom-Carroll Local SD</t>
  </si>
  <si>
    <t>Fairfield Union Local SD</t>
  </si>
  <si>
    <t>Lancaster City SD</t>
  </si>
  <si>
    <t>Pickerington Local SD</t>
  </si>
  <si>
    <t>Miami Trace Local SD</t>
  </si>
  <si>
    <t>Washington Court House City SD</t>
  </si>
  <si>
    <t>Bexley City SD</t>
  </si>
  <si>
    <t>Canal Winchester Local SD</t>
  </si>
  <si>
    <t>Columbus City SD</t>
  </si>
  <si>
    <t>Dublin City SD</t>
  </si>
  <si>
    <t>Grandview Heights City SD</t>
  </si>
  <si>
    <t>Groveport Madison Local SD</t>
  </si>
  <si>
    <t>Hilliard City SD</t>
  </si>
  <si>
    <t>Plain Local SD</t>
  </si>
  <si>
    <t>South-Western City SD</t>
  </si>
  <si>
    <t>Upper Arlington City SD</t>
  </si>
  <si>
    <t>Westerville City SD</t>
  </si>
  <si>
    <t>Whitehall City SD</t>
  </si>
  <si>
    <t>Worthington City SD</t>
  </si>
  <si>
    <t>Swanton Local SD</t>
  </si>
  <si>
    <t>Gallipolis City SD</t>
  </si>
  <si>
    <t>Kenston Local SD</t>
  </si>
  <si>
    <t>Ledgemont Local SD</t>
  </si>
  <si>
    <t>West Geauga Local SD</t>
  </si>
  <si>
    <t>Beavercreek City SD</t>
  </si>
  <si>
    <t>Greeneview Local SD</t>
  </si>
  <si>
    <t>Cambridge City SD</t>
  </si>
  <si>
    <t>East Guernsey Local SD</t>
  </si>
  <si>
    <t>Rolling Hills Local SD</t>
  </si>
  <si>
    <t>Finneytown Local SD</t>
  </si>
  <si>
    <t>Forest Hills Local SD</t>
  </si>
  <si>
    <t>Loveland City SD</t>
  </si>
  <si>
    <t>Madeira City SD</t>
  </si>
  <si>
    <t>Mariemont City SD</t>
  </si>
  <si>
    <t>Northwest Local SD</t>
  </si>
  <si>
    <t>Oak Hills Local SD</t>
  </si>
  <si>
    <t>Princeton City SD</t>
  </si>
  <si>
    <t>Reading Community City SD</t>
  </si>
  <si>
    <t>Southwest Local SD</t>
  </si>
  <si>
    <t>Winton Woods City SD</t>
  </si>
  <si>
    <t>Wyoming City SD</t>
  </si>
  <si>
    <t>Arcadia Local SD</t>
  </si>
  <si>
    <t>Arlington Local SD</t>
  </si>
  <si>
    <t>Cory-Rawson Local SD</t>
  </si>
  <si>
    <t>Findlay City SD</t>
  </si>
  <si>
    <t>Van Buren Local SD</t>
  </si>
  <si>
    <t>Hardin</t>
  </si>
  <si>
    <t>Hardin Northern Local SD</t>
  </si>
  <si>
    <t>Kenton City SD</t>
  </si>
  <si>
    <t>Conotton Valley Union Local SD</t>
  </si>
  <si>
    <t>Harrison</t>
  </si>
  <si>
    <t>Holgate Local SD</t>
  </si>
  <si>
    <t>Liberty Center Local SD</t>
  </si>
  <si>
    <t>Napoleon Area City SD</t>
  </si>
  <si>
    <t>Patrick Henry Local SD</t>
  </si>
  <si>
    <t>Highland</t>
  </si>
  <si>
    <t>Fairfield Local SD</t>
  </si>
  <si>
    <t>Hillsboro City SD</t>
  </si>
  <si>
    <t>Lynchburg-Clay Local SD</t>
  </si>
  <si>
    <t>Logan-Hocking Local SD</t>
  </si>
  <si>
    <t>East Holmes Local SD</t>
  </si>
  <si>
    <t>West Holmes Local SD</t>
  </si>
  <si>
    <t>Bellevue City SD</t>
  </si>
  <si>
    <t>Monroeville Local SD</t>
  </si>
  <si>
    <t>New London Local SD</t>
  </si>
  <si>
    <t>Norwalk City SD</t>
  </si>
  <si>
    <t>Western Reserve Local SD</t>
  </si>
  <si>
    <t>Willard City SD</t>
  </si>
  <si>
    <t>Wellston City SD</t>
  </si>
  <si>
    <t>Edison Local SD</t>
  </si>
  <si>
    <t>Indian Creek Local SD</t>
  </si>
  <si>
    <t>Steubenville City SD</t>
  </si>
  <si>
    <t>Willoughby-Eastlake City SD</t>
  </si>
  <si>
    <t>Lawrence</t>
  </si>
  <si>
    <t>Dawson-Bryant Local SD</t>
  </si>
  <si>
    <t>Fairland Local SD</t>
  </si>
  <si>
    <t>Ironton City SD</t>
  </si>
  <si>
    <t>Rock Hill Local SD</t>
  </si>
  <si>
    <t>South Point Local SD</t>
  </si>
  <si>
    <t>Symmes Valley Local SD</t>
  </si>
  <si>
    <t>Heath City SD</t>
  </si>
  <si>
    <t>Johnstown-Monroe Local SD</t>
  </si>
  <si>
    <t>Licking Valley Local SD</t>
  </si>
  <si>
    <t>Newark City SD</t>
  </si>
  <si>
    <t>North Fork Local SD</t>
  </si>
  <si>
    <t>Northridge Local SD</t>
  </si>
  <si>
    <t>Riverside Local SD</t>
  </si>
  <si>
    <t>Avon Lake City SD</t>
  </si>
  <si>
    <t>Avon Local SD</t>
  </si>
  <si>
    <t>Columbia Local SD</t>
  </si>
  <si>
    <t>Elyria City SD</t>
  </si>
  <si>
    <t>Firelands Local SD</t>
  </si>
  <si>
    <t>Lorain City SD</t>
  </si>
  <si>
    <t>Midview Local SD</t>
  </si>
  <si>
    <t>North Ridgeville City SD</t>
  </si>
  <si>
    <t>Oberlin City SD</t>
  </si>
  <si>
    <t>Anthony Wayne Local SD</t>
  </si>
  <si>
    <t>Oregon City SD</t>
  </si>
  <si>
    <t>Ottawa Hills Local SD</t>
  </si>
  <si>
    <t>Springfield Local SD</t>
  </si>
  <si>
    <t>Sylvania City SD</t>
  </si>
  <si>
    <t>Toledo City SD</t>
  </si>
  <si>
    <t>Washington Local SD</t>
  </si>
  <si>
    <t>Jefferson Local SD</t>
  </si>
  <si>
    <t>Madison</t>
  </si>
  <si>
    <t>Jonathan Alder Local SD</t>
  </si>
  <si>
    <t>London City SD</t>
  </si>
  <si>
    <t>Austintown Local SD</t>
  </si>
  <si>
    <t>Boardman Local SD</t>
  </si>
  <si>
    <t>Canfield Local SD</t>
  </si>
  <si>
    <t>Jackson-Milton Local SD</t>
  </si>
  <si>
    <t>Sebring Local SD</t>
  </si>
  <si>
    <t>South Range Local SD</t>
  </si>
  <si>
    <t>Struthers City SD</t>
  </si>
  <si>
    <t>West Branch Local SD</t>
  </si>
  <si>
    <t>Youngstown City SD</t>
  </si>
  <si>
    <t>Marion City SD</t>
  </si>
  <si>
    <t>Pleasant Local SD</t>
  </si>
  <si>
    <t>Ridgedale Local SD</t>
  </si>
  <si>
    <t>River Valley Local SD</t>
  </si>
  <si>
    <t>Black River Local SD</t>
  </si>
  <si>
    <t>Brunswick City SD</t>
  </si>
  <si>
    <t>Cloverleaf Local SD</t>
  </si>
  <si>
    <t>Highland Local SD</t>
  </si>
  <si>
    <t>Medina City SD</t>
  </si>
  <si>
    <t>Wadsworth City SD</t>
  </si>
  <si>
    <t>Meigs</t>
  </si>
  <si>
    <t>Meigs Local SD</t>
  </si>
  <si>
    <t>Mercer</t>
  </si>
  <si>
    <t>Bethel Local SD</t>
  </si>
  <si>
    <t>Miami East Local SD</t>
  </si>
  <si>
    <t>Piqua City SD</t>
  </si>
  <si>
    <t>Troy City SD</t>
  </si>
  <si>
    <t>Switzerland Of Ohio Local SD</t>
  </si>
  <si>
    <t>Brookville Local SD</t>
  </si>
  <si>
    <t>Dayton City SD</t>
  </si>
  <si>
    <t>Huber Heights City SD</t>
  </si>
  <si>
    <t>Kettering City SD</t>
  </si>
  <si>
    <t>Miamisburg City SD</t>
  </si>
  <si>
    <t>New Lebanon Local SD</t>
  </si>
  <si>
    <t>Northmont City SD</t>
  </si>
  <si>
    <t>Oakwood City SD</t>
  </si>
  <si>
    <t>Trotwood-Madison City SD</t>
  </si>
  <si>
    <t>Valley View Local SD</t>
  </si>
  <si>
    <t>Vandalia-Butler City SD</t>
  </si>
  <si>
    <t>Morgan Local SD</t>
  </si>
  <si>
    <t>Morgan</t>
  </si>
  <si>
    <t>Cardington-Lincoln Local SD</t>
  </si>
  <si>
    <t>Northmor Local SD</t>
  </si>
  <si>
    <t>East Muskingum Local SD</t>
  </si>
  <si>
    <t>Franklin Local SD</t>
  </si>
  <si>
    <t>Maysville Local SD</t>
  </si>
  <si>
    <t>Tri-Valley Local SD</t>
  </si>
  <si>
    <t>West Muskingum Local SD</t>
  </si>
  <si>
    <t>Zanesville City SD</t>
  </si>
  <si>
    <t>Noble Local SD</t>
  </si>
  <si>
    <t>Paulding</t>
  </si>
  <si>
    <t>Perry</t>
  </si>
  <si>
    <t>Circleville City SD</t>
  </si>
  <si>
    <t>Logan Elm Local SD</t>
  </si>
  <si>
    <t>Teays Valley Local SD</t>
  </si>
  <si>
    <t>Westfall Local SD</t>
  </si>
  <si>
    <t>Scioto Valley Local SD</t>
  </si>
  <si>
    <t>Waverly City SD</t>
  </si>
  <si>
    <t>Western Local SD</t>
  </si>
  <si>
    <t>Aurora City SD</t>
  </si>
  <si>
    <t>James A Garfield Local SD</t>
  </si>
  <si>
    <t>Kent City SD</t>
  </si>
  <si>
    <t>Rootstown Local SD</t>
  </si>
  <si>
    <t>Southeast Local SD</t>
  </si>
  <si>
    <t>Streetsboro City SD</t>
  </si>
  <si>
    <t>Waterloo Local SD</t>
  </si>
  <si>
    <t>Tri-County North Local SD</t>
  </si>
  <si>
    <t>Putnam</t>
  </si>
  <si>
    <t>Clear Fork Valley Local SD</t>
  </si>
  <si>
    <t>Mansfield City SD</t>
  </si>
  <si>
    <t>Ontario Local SD</t>
  </si>
  <si>
    <t>Plymouth-Shiloh Local SD</t>
  </si>
  <si>
    <t>Shelby City SD</t>
  </si>
  <si>
    <t>Chillicothe City SD</t>
  </si>
  <si>
    <t>Huntington Local SD</t>
  </si>
  <si>
    <t>Paint Valley Local SD</t>
  </si>
  <si>
    <t>Union-Scioto Local SD</t>
  </si>
  <si>
    <t>Zane Trace Local SD</t>
  </si>
  <si>
    <t>Woodmore Local SD</t>
  </si>
  <si>
    <t>Bloom-Vernon Local SD</t>
  </si>
  <si>
    <t>Clay Local SD</t>
  </si>
  <si>
    <t>Green Local SD</t>
  </si>
  <si>
    <t>Minford Local SD</t>
  </si>
  <si>
    <t>New Boston Local SD</t>
  </si>
  <si>
    <t>Portsmouth City SD</t>
  </si>
  <si>
    <t>Washington-Nile Local SD</t>
  </si>
  <si>
    <t>Wheelersburg Local SD</t>
  </si>
  <si>
    <t>Seneca East Local SD</t>
  </si>
  <si>
    <t>Tiffin City SD</t>
  </si>
  <si>
    <t>Fort Loramie Local SD</t>
  </si>
  <si>
    <t>Hardin-Houston Local SD</t>
  </si>
  <si>
    <t>Russia Local SD</t>
  </si>
  <si>
    <t>Alliance City SD</t>
  </si>
  <si>
    <t>Canton City SD</t>
  </si>
  <si>
    <t>Canton Local SD</t>
  </si>
  <si>
    <t>Fairless Local SD</t>
  </si>
  <si>
    <t>Jackson Local SD</t>
  </si>
  <si>
    <t>Lake Local SD</t>
  </si>
  <si>
    <t>Louisville City SD</t>
  </si>
  <si>
    <t>Marlington Local SD</t>
  </si>
  <si>
    <t>Massillon City SD</t>
  </si>
  <si>
    <t>Minerva Local SD</t>
  </si>
  <si>
    <t>North Canton City SD</t>
  </si>
  <si>
    <t>Sandy Valley Local SD</t>
  </si>
  <si>
    <t>Tuslaw Local SD</t>
  </si>
  <si>
    <t>Akron City SD</t>
  </si>
  <si>
    <t>Barberton City SD</t>
  </si>
  <si>
    <t>Copley-Fairlawn City SD</t>
  </si>
  <si>
    <t>Hudson City SD</t>
  </si>
  <si>
    <t>Mogadore Local SD</t>
  </si>
  <si>
    <t>Nordonia Hills City SD</t>
  </si>
  <si>
    <t>Norton City SD</t>
  </si>
  <si>
    <t>Revere Local SD</t>
  </si>
  <si>
    <t>Stow-Munroe Falls City SD</t>
  </si>
  <si>
    <t>Tallmadge City SD</t>
  </si>
  <si>
    <t>Twinsburg City SD</t>
  </si>
  <si>
    <t>Woodridge Local SD</t>
  </si>
  <si>
    <t>Bloomfield-Mespo Local SD</t>
  </si>
  <si>
    <t>Bristol Local SD</t>
  </si>
  <si>
    <t>Champion Local SD</t>
  </si>
  <si>
    <t>Girard City SD</t>
  </si>
  <si>
    <t>Howland Local SD</t>
  </si>
  <si>
    <t>Joseph Badger Local SD</t>
  </si>
  <si>
    <t>LaBrae Local SD</t>
  </si>
  <si>
    <t>Lakeview Local SD</t>
  </si>
  <si>
    <t>Liberty Local SD</t>
  </si>
  <si>
    <t>Lordstown Local SD</t>
  </si>
  <si>
    <t>Maplewood Local SD</t>
  </si>
  <si>
    <t>Mathews Local SD</t>
  </si>
  <si>
    <t>Southington Local SD</t>
  </si>
  <si>
    <t>Warren City SD</t>
  </si>
  <si>
    <t>Weathersfield Local SD</t>
  </si>
  <si>
    <t>Claymont City SD</t>
  </si>
  <si>
    <t>Dover City SD</t>
  </si>
  <si>
    <t>Garaway Local SD</t>
  </si>
  <si>
    <t>Indian Valley Local SD</t>
  </si>
  <si>
    <t>New Philadelphia City SD</t>
  </si>
  <si>
    <t>Tuscarawas Valley Local SD</t>
  </si>
  <si>
    <t>Fairbanks Local SD</t>
  </si>
  <si>
    <t>North Union Local SD</t>
  </si>
  <si>
    <t>Lincolnview Local SD</t>
  </si>
  <si>
    <t>Vinton County Local SD</t>
  </si>
  <si>
    <t>Carlisle Local SD</t>
  </si>
  <si>
    <t>Franklin City SD</t>
  </si>
  <si>
    <t>Little Miami Local SD</t>
  </si>
  <si>
    <t>Mason City SD</t>
  </si>
  <si>
    <t>Belpre City SD</t>
  </si>
  <si>
    <t>Frontier Local SD</t>
  </si>
  <si>
    <t>Warren Local SD</t>
  </si>
  <si>
    <t>Wolf Creek Local SD</t>
  </si>
  <si>
    <t>Chippewa Local SD</t>
  </si>
  <si>
    <t>Williams</t>
  </si>
  <si>
    <t>Bowling Green City SD</t>
  </si>
  <si>
    <t>Eastwood Local SD</t>
  </si>
  <si>
    <t>North Baltimore Local SD</t>
  </si>
  <si>
    <t>Otsego Local SD</t>
  </si>
  <si>
    <t>Wyandot</t>
  </si>
  <si>
    <t>Business</t>
  </si>
  <si>
    <t>Central</t>
  </si>
  <si>
    <t>capital</t>
  </si>
  <si>
    <t>outlay and</t>
  </si>
  <si>
    <t>debt</t>
  </si>
  <si>
    <t>principal</t>
  </si>
  <si>
    <t>Amounts</t>
  </si>
  <si>
    <t>Due within</t>
  </si>
  <si>
    <t>Due in More</t>
  </si>
  <si>
    <t>Than One Year/Tie</t>
  </si>
  <si>
    <t xml:space="preserve">to Statement of </t>
  </si>
  <si>
    <t>This Column</t>
  </si>
  <si>
    <t>Should not</t>
  </si>
  <si>
    <t>exist</t>
  </si>
  <si>
    <t xml:space="preserve">Income </t>
  </si>
  <si>
    <t>Income</t>
  </si>
  <si>
    <t>(including</t>
  </si>
  <si>
    <t>special items)</t>
  </si>
  <si>
    <t>Miscellaneous</t>
  </si>
  <si>
    <t>in reserve for</t>
  </si>
  <si>
    <t>Inventory</t>
  </si>
  <si>
    <t>in Reserve for</t>
  </si>
  <si>
    <t>Pass-through</t>
  </si>
  <si>
    <t xml:space="preserve">Capital </t>
  </si>
  <si>
    <t xml:space="preserve">Refund of </t>
  </si>
  <si>
    <t>Prior Year's</t>
  </si>
  <si>
    <t>Refund of</t>
  </si>
  <si>
    <t>Receipts</t>
  </si>
  <si>
    <t xml:space="preserve">Adena Local SD </t>
  </si>
  <si>
    <t>Increase or</t>
  </si>
  <si>
    <t>(Decrease)</t>
  </si>
  <si>
    <t>Special Items</t>
  </si>
  <si>
    <t>Proceeds of</t>
  </si>
  <si>
    <t>In / (Out)</t>
  </si>
  <si>
    <t xml:space="preserve">Extraordinary </t>
  </si>
  <si>
    <t>Item</t>
  </si>
  <si>
    <t>Extraordinary</t>
  </si>
  <si>
    <t>Earnings on</t>
  </si>
  <si>
    <t xml:space="preserve">Northwest Local SD    </t>
  </si>
  <si>
    <t>(Continued)</t>
  </si>
  <si>
    <t>Governmental Fund Expenditures - Modified Accrual Basis of Accounting</t>
  </si>
  <si>
    <t>Revenues,</t>
  </si>
  <si>
    <t>Debt</t>
  </si>
  <si>
    <t>Sources, and</t>
  </si>
  <si>
    <t xml:space="preserve">Darke </t>
  </si>
  <si>
    <t>Coventry Local SD</t>
  </si>
  <si>
    <t>Manchester Local SD</t>
  </si>
  <si>
    <t>Niles City SD</t>
  </si>
  <si>
    <t>Salem City SD</t>
  </si>
  <si>
    <t>New Albany-Plain Local SD</t>
  </si>
  <si>
    <t>Dalton Local SD</t>
  </si>
  <si>
    <t>College Corner Local SD (CASH)</t>
  </si>
  <si>
    <t>Columbus Grove Local SD (CASH)</t>
  </si>
  <si>
    <t>Marietta City SD (CASH)</t>
  </si>
  <si>
    <t>Millcreek-West Unity Local SD (CASH)</t>
  </si>
  <si>
    <t>Old Fort Local SD (CASH)</t>
  </si>
  <si>
    <t>Franklin Monroe Local SD (CASH)</t>
  </si>
  <si>
    <t>Fort Frye Local SD (CASH)</t>
  </si>
  <si>
    <t>Alexander Local SD (CASH)</t>
  </si>
  <si>
    <t>Celina City SD (CASH)</t>
  </si>
  <si>
    <t>Evergreen Local SD (CASH)</t>
  </si>
  <si>
    <t>Fairlawn Local SD (CASH)</t>
  </si>
  <si>
    <t>Mohawk Local SD (CASH)</t>
  </si>
  <si>
    <t>Wickliffe City SD (CASH)</t>
  </si>
  <si>
    <t>Wooster City SD</t>
  </si>
  <si>
    <t>Transfers and</t>
  </si>
  <si>
    <t>Other Financing</t>
  </si>
  <si>
    <t>Fairborn City SD</t>
  </si>
  <si>
    <t>`</t>
  </si>
  <si>
    <t>Switzerland of Ohio Local SD</t>
  </si>
  <si>
    <t>Springfield City SD</t>
  </si>
  <si>
    <t>Lakewood Local  SD</t>
  </si>
  <si>
    <t>Norwood City SD</t>
  </si>
  <si>
    <t>Ravenna City SD</t>
  </si>
  <si>
    <t>South Central Local SD</t>
  </si>
  <si>
    <t xml:space="preserve">Bay Village City SD </t>
  </si>
  <si>
    <t xml:space="preserve">Big Walnut Local SD </t>
  </si>
  <si>
    <t xml:space="preserve">Buckeye Valley Local SD </t>
  </si>
  <si>
    <t xml:space="preserve">Keystone Local SD </t>
  </si>
  <si>
    <t>McDonald Local SD</t>
  </si>
  <si>
    <t xml:space="preserve">Berkshire Local SD </t>
  </si>
  <si>
    <t>Mississinawa Valley Local SD  (CASH)</t>
  </si>
  <si>
    <t xml:space="preserve">Gahanna-Jefferson City SD </t>
  </si>
  <si>
    <t xml:space="preserve">Gallia County Local SD </t>
  </si>
  <si>
    <t>Geneva Area City SD</t>
  </si>
  <si>
    <t xml:space="preserve">Fremont City SD </t>
  </si>
  <si>
    <t xml:space="preserve">Southern Local SD </t>
  </si>
  <si>
    <t>Waynesfield-Goshen Local SD  (CASH)</t>
  </si>
  <si>
    <t xml:space="preserve">Campbell City SD </t>
  </si>
  <si>
    <t xml:space="preserve">Cardinal Local SD </t>
  </si>
  <si>
    <t xml:space="preserve">Cedar Cliff Local SD </t>
  </si>
  <si>
    <t xml:space="preserve">Centerville City SD </t>
  </si>
  <si>
    <t>Cleveland Heights-University Heights City SD</t>
  </si>
  <si>
    <t>Cincinnati City SD/Cincinnati Public SD</t>
  </si>
  <si>
    <t>Clermont Northeastern Local SD</t>
  </si>
  <si>
    <t>Coldwater Exempted Village SD (CASH)</t>
  </si>
  <si>
    <t>Crestview Local SD (CASH)</t>
  </si>
  <si>
    <t xml:space="preserve">Cuyahoga Falls City SD </t>
  </si>
  <si>
    <t>Danville Local SD (CASH)</t>
  </si>
  <si>
    <t>Defiance City SD (CASH)</t>
  </si>
  <si>
    <t>East Knox Local SD (CASH)</t>
  </si>
  <si>
    <t>Eastern Local SD (CASH)</t>
  </si>
  <si>
    <t>Edgerton Local SD (CASH)</t>
  </si>
  <si>
    <t xml:space="preserve">Edgewood City SD </t>
  </si>
  <si>
    <t>Elida Local SD (CASH)</t>
  </si>
  <si>
    <t>Fredericktown Local SD (CASH)</t>
  </si>
  <si>
    <t>Georgetown Exempted Village SD (CASH)</t>
  </si>
  <si>
    <t>Granville Exempted Village SD</t>
  </si>
  <si>
    <t>Hicksville Ex Vill SD  (CASH)</t>
  </si>
  <si>
    <t>Jackson Center Local SD (CASH)</t>
  </si>
  <si>
    <t xml:space="preserve">Ashtabula Area City SD </t>
  </si>
  <si>
    <t>Arcanum Butler Local SD (CASH)</t>
  </si>
  <si>
    <t>Bath Local SD (CASH)</t>
  </si>
  <si>
    <t>Bettsville Local SD (CASH)</t>
  </si>
  <si>
    <t xml:space="preserve">Brookfield Local SD </t>
  </si>
  <si>
    <t>Bryan City SD (CASH)</t>
  </si>
  <si>
    <t xml:space="preserve">Buckeye Local SD </t>
  </si>
  <si>
    <t>Continental Local SD (CASH) Two year Audit</t>
  </si>
  <si>
    <t xml:space="preserve">Elgin Local SD </t>
  </si>
  <si>
    <t xml:space="preserve">Garfield Heights City SD </t>
  </si>
  <si>
    <t>Jackson City SD (CASH)</t>
  </si>
  <si>
    <t xml:space="preserve">Jefferson Township Local SD </t>
  </si>
  <si>
    <t>Leipsic Local SD (CASH)</t>
  </si>
  <si>
    <t>Lima City School District (CASH)</t>
  </si>
  <si>
    <t>Loudonville-Perrysville Exempted Village SD</t>
  </si>
  <si>
    <t xml:space="preserve">Lowellville Local SD </t>
  </si>
  <si>
    <t>Marion Local SD (CASH)</t>
  </si>
  <si>
    <t>Pandora-Gilboa Local SD (CASH)  (Two year Audit)</t>
  </si>
  <si>
    <t>Parkway Local SD (CASH) (Two year Audit)</t>
  </si>
  <si>
    <t>Perry Local SD (CASH)</t>
  </si>
  <si>
    <t>Preble Shawnee Local SD (CASH)</t>
  </si>
  <si>
    <t>Tri-Village Local SD (CASH)</t>
  </si>
  <si>
    <t>Ansonia Local SD (CASH)</t>
  </si>
  <si>
    <t>Elmwood Local SD (CASH)</t>
  </si>
  <si>
    <t xml:space="preserve">Madison Plains Local SD </t>
  </si>
  <si>
    <t>Twin Valley Community Local SD (CASH)</t>
  </si>
  <si>
    <t>Upper Scioto Valley Local SD (CASH)</t>
  </si>
  <si>
    <t>Valley Local SD (CASH)</t>
  </si>
  <si>
    <t>Vanlue Local SD (CASH)</t>
  </si>
  <si>
    <t>Versailles Exempted Village SD (CASH)</t>
  </si>
  <si>
    <t>Shawnee Local SD (CASH)</t>
  </si>
  <si>
    <t>Southern Local SD (CASH)</t>
  </si>
  <si>
    <t>Spencerville Local SD (CASH)</t>
  </si>
  <si>
    <t>St Henry Consolidated Local SD (CASH)</t>
  </si>
  <si>
    <t>St Marys City SD (CASH)</t>
  </si>
  <si>
    <t>Strasburg-Franklin Local SD (CASH)</t>
  </si>
  <si>
    <t>New Knoxville Local SD (CASH)</t>
  </si>
  <si>
    <t>West Carrollton City SD</t>
  </si>
  <si>
    <t>Wayne Local SD (CASH)</t>
  </si>
  <si>
    <t xml:space="preserve">North College Hill City SD </t>
  </si>
  <si>
    <t>Ottawa-Glandorf Local SD (CASH)</t>
  </si>
  <si>
    <t xml:space="preserve">Mad River Local SD </t>
  </si>
  <si>
    <t xml:space="preserve">Mt. Healthy City SD </t>
  </si>
  <si>
    <t xml:space="preserve">Rocky River City SD </t>
  </si>
  <si>
    <t xml:space="preserve">Ross Local SD </t>
  </si>
  <si>
    <t xml:space="preserve">Shaker Heights City SD </t>
  </si>
  <si>
    <t xml:space="preserve">Springfield Local SD </t>
  </si>
  <si>
    <t xml:space="preserve">Talawanda City SD </t>
  </si>
  <si>
    <t xml:space="preserve">Crestwood Local SD </t>
  </si>
  <si>
    <t xml:space="preserve">Cuyahoga Heights Local SD </t>
  </si>
  <si>
    <t xml:space="preserve">Field Local SD </t>
  </si>
  <si>
    <t xml:space="preserve">Kings Local SD  </t>
  </si>
  <si>
    <t xml:space="preserve">Maple Heights City SD </t>
  </si>
  <si>
    <t xml:space="preserve">Mayfield City SD </t>
  </si>
  <si>
    <t xml:space="preserve">Poland Local SD </t>
  </si>
  <si>
    <t xml:space="preserve">Three Rivers Local SD </t>
  </si>
  <si>
    <t xml:space="preserve">Toronto City SD  </t>
  </si>
  <si>
    <t>In some instances, numbers were rounded on the financial statements.</t>
  </si>
  <si>
    <t xml:space="preserve"> In some instances, numbers were rounded on the financial statements.</t>
  </si>
  <si>
    <t xml:space="preserve">Lebanon City SD (CASH) </t>
  </si>
  <si>
    <t xml:space="preserve">Madison Local SD (CASH)  </t>
  </si>
  <si>
    <t>Nonspendable</t>
  </si>
  <si>
    <t>Committed</t>
  </si>
  <si>
    <t>Assigned</t>
  </si>
  <si>
    <t>Unassigned</t>
  </si>
  <si>
    <t>Bellbrook-Sugarcreek Local SD</t>
  </si>
  <si>
    <t>Central Local SD (CASH)</t>
  </si>
  <si>
    <t>Chardon Local SD (CASH)</t>
  </si>
  <si>
    <t>Oak Hill Union Local SD (CASH)</t>
  </si>
  <si>
    <t>Northwestern Local SD (CASH)</t>
  </si>
  <si>
    <t>Within 1 Yr</t>
  </si>
  <si>
    <t>Danbury Local SD (CASH)</t>
  </si>
  <si>
    <t>Delaware City SD</t>
  </si>
  <si>
    <t>Federal Hocking Local SD</t>
  </si>
  <si>
    <t>Liberty Union-Thurston Local SD</t>
  </si>
  <si>
    <t>Fayette Local SD (CASH)</t>
  </si>
  <si>
    <t>combine with debt</t>
  </si>
  <si>
    <t>Fostoria City SD (CASH)</t>
  </si>
  <si>
    <t>Gibsonburg Exempted Village SD</t>
  </si>
  <si>
    <t xml:space="preserve">Amherst Exempted Village SD </t>
  </si>
  <si>
    <t>Barnesville Exempted Village SD</t>
  </si>
  <si>
    <t>Bridgeport Exempted Village SD</t>
  </si>
  <si>
    <t>Caldwell Exempted Village SD</t>
  </si>
  <si>
    <t>Carrollton Exempted Village SD</t>
  </si>
  <si>
    <t>Chagrin Falls Exempted Village SD</t>
  </si>
  <si>
    <t>Chesapeake Union Exempted Village SD</t>
  </si>
  <si>
    <t>Clyde-Green Springs Exempted Village SD</t>
  </si>
  <si>
    <t>Columbiana Exempted Village SD</t>
  </si>
  <si>
    <t>Covington Exempted Village SD</t>
  </si>
  <si>
    <t>Crooksville Exempted Village SD</t>
  </si>
  <si>
    <t>Greenfield Exempted Village SD</t>
  </si>
  <si>
    <t>Hubbard Exempted Village SD</t>
  </si>
  <si>
    <t>Indian Hill Exempted Village SD</t>
  </si>
  <si>
    <t>Leetonia Exempted Village SD (CASH)</t>
  </si>
  <si>
    <t>Fort Recovery Local SD (CASH)</t>
  </si>
  <si>
    <t>National Trail Local SD (CASH)</t>
  </si>
  <si>
    <t>Lisbon Exempted Village SD</t>
  </si>
  <si>
    <t>Marysville Exempted Village SD</t>
  </si>
  <si>
    <t>Mechanicsburg Exempted Village SD</t>
  </si>
  <si>
    <t>Mentor Exempted Village SD</t>
  </si>
  <si>
    <t>Milford Exempted Village SD</t>
  </si>
  <si>
    <t>Mount Gilead Exempted Village SD</t>
  </si>
  <si>
    <t>New Richmond Exempted Village SD</t>
  </si>
  <si>
    <t>Newcomerstown Exempted Village SD</t>
  </si>
  <si>
    <t>Newton Falls Exempted Village SD</t>
  </si>
  <si>
    <t>Paulding Exempted Village SD (CASH)</t>
  </si>
  <si>
    <t>Perrysburg Exempted Village SD</t>
  </si>
  <si>
    <t>Rossford Exempted Village SD</t>
  </si>
  <si>
    <t>Tipp City Exempted Village SD</t>
  </si>
  <si>
    <t>Upper Sandusky Exempted Village SD (CASH)</t>
  </si>
  <si>
    <t>Wauseon Exempted Village SD</t>
  </si>
  <si>
    <t>Wellington Exempted Village SD</t>
  </si>
  <si>
    <t>Windham Exempted Village SD</t>
  </si>
  <si>
    <t>Yellow Springs Exempted Village SD</t>
  </si>
  <si>
    <t>Painesville Township Local SD - now RIVERSIDE LOCAL SCHOOL DISTRICT since 2007</t>
  </si>
  <si>
    <t>Brecksville-Broadview Heights City SD</t>
  </si>
  <si>
    <t>St. Bernard-Elmwood Place City SD</t>
  </si>
  <si>
    <t>St. Clairsville-Richland City SD</t>
  </si>
  <si>
    <t>Adams County/Ohio Valley Local SD</t>
  </si>
  <si>
    <t>Sheffield-Sheffield Lake City SD</t>
  </si>
  <si>
    <t>Gorham Fayette Local SD - name changed to Fayette Local.  See above</t>
  </si>
  <si>
    <t>Graham Local SD (CASH)</t>
  </si>
  <si>
    <t>Berne Union Local SD (CASH)</t>
  </si>
  <si>
    <t>Bright Local SD (CASH)</t>
  </si>
  <si>
    <t>Buckeye Online School for Success (now Community School)</t>
  </si>
  <si>
    <t>Indian Lake Local SD (CASH)</t>
  </si>
  <si>
    <t>Lake Local SD (CASH)</t>
  </si>
  <si>
    <t>Lakota Local SD (CASH)</t>
  </si>
  <si>
    <t>Lexington Local SD (CASH)</t>
  </si>
  <si>
    <t>Liberty Benton Local SD</t>
  </si>
  <si>
    <t>Lockland Local SD (CASH)</t>
  </si>
  <si>
    <t>Lucas Local SD</t>
  </si>
  <si>
    <t>Hamilton Local SD</t>
  </si>
  <si>
    <t>Wayne Trace Local SD (CASH)</t>
  </si>
  <si>
    <t>Anna Local SD</t>
  </si>
  <si>
    <t>Manchester Local SD (CASH)</t>
  </si>
  <si>
    <t>McComb Local SD (CASH)</t>
  </si>
  <si>
    <t>Milton-Union Exempted Village SD (CASH)</t>
  </si>
  <si>
    <t>Montpelier Exempted Village SD (CASH)</t>
  </si>
  <si>
    <t>New Lexington City SD (CASH)</t>
  </si>
  <si>
    <t>New Riegel Local SD (CASH)</t>
  </si>
  <si>
    <t>Newton Local SD (CASH)</t>
  </si>
  <si>
    <t>Middle Bass Local SD (Two year Audit - CASH)</t>
  </si>
  <si>
    <t>North Bass Local SD (Two year Audit - CASH)</t>
  </si>
  <si>
    <t>North Central Local SD (CASH)</t>
  </si>
  <si>
    <t>Northeastern Local SD (CASH)</t>
  </si>
  <si>
    <t>Northern Local SD (CASH)</t>
  </si>
  <si>
    <t>Norwayne Local SD (CASH)</t>
  </si>
  <si>
    <t>Orrville City SD (CASH)</t>
  </si>
  <si>
    <t>Ottoville Local SD (NO REPORT) (Two year Audit)</t>
  </si>
  <si>
    <t>Painesville City Local SD (CASH)</t>
  </si>
  <si>
    <t>Pike-Delta-York Local SD (CASH)</t>
  </si>
  <si>
    <t>Port Clinton City SD (CASH)</t>
  </si>
  <si>
    <t>Put-in-Bay Local SD (CASH) (Two year Audit)</t>
  </si>
  <si>
    <t>Pymatuning Valley Local SD (CASH)</t>
  </si>
  <si>
    <t>Reynoldsburg City SD (CASH)</t>
  </si>
  <si>
    <t>Ripley Union Lewis Huntington Local SD (CASH)</t>
  </si>
  <si>
    <t>Rittman Exempted Village SD (CASH)</t>
  </si>
  <si>
    <t>Riverdale Local SD (CASH)</t>
  </si>
  <si>
    <t>Southwest Licking Local SD (CASH)</t>
  </si>
  <si>
    <t>Van Wert City SD (CASH)</t>
  </si>
  <si>
    <t>Crestline Exempted Village SD (CASH)</t>
  </si>
  <si>
    <t>Genoa Area Local SD (CASH)</t>
  </si>
  <si>
    <t>Sidney City SD (CASH)</t>
  </si>
  <si>
    <t>Sycamore Community SD</t>
  </si>
  <si>
    <t>Triway Local SD (CASH)</t>
  </si>
  <si>
    <t>General Revenues -</t>
  </si>
  <si>
    <t>Governmental Activities</t>
  </si>
  <si>
    <t>Continuing</t>
  </si>
  <si>
    <t>Support</t>
  </si>
  <si>
    <t>Support Services (continued)</t>
  </si>
  <si>
    <t>Decrease</t>
  </si>
  <si>
    <t>(Increase)/</t>
  </si>
  <si>
    <t>Fund Balances</t>
  </si>
  <si>
    <t>Springboro Community City SD</t>
  </si>
  <si>
    <t>Total Long-Term</t>
  </si>
  <si>
    <t xml:space="preserve"> Taxes</t>
  </si>
  <si>
    <t>Issued</t>
  </si>
  <si>
    <t>Regular</t>
  </si>
  <si>
    <t>Pupils</t>
  </si>
  <si>
    <t>Retirement</t>
  </si>
  <si>
    <t>Green Local SD (CASH)</t>
  </si>
  <si>
    <t>Hamilton City SD (CASH)</t>
  </si>
  <si>
    <t>Harrison Hills City SD (CASH)</t>
  </si>
  <si>
    <t>Adult /</t>
  </si>
  <si>
    <t xml:space="preserve">Extraordinary / </t>
  </si>
  <si>
    <t>Extraordinary /</t>
  </si>
  <si>
    <t>Ada Exempted Village SD (CASH)</t>
  </si>
  <si>
    <t>Allen East Local SD (CASH)</t>
  </si>
  <si>
    <t>Antwerp Local SD (CASH)</t>
  </si>
  <si>
    <t>Archbold Area Local SD</t>
  </si>
  <si>
    <t>Carey Exempted Village SD (CASH)</t>
  </si>
  <si>
    <t>Centerburg Local SD (CASH)</t>
  </si>
  <si>
    <t>Benton Carroll Salem Local SD (CASH)</t>
  </si>
  <si>
    <t>Eaton Community SD (CASH)</t>
  </si>
  <si>
    <t>Edon Northwest Local SD (CASH)</t>
  </si>
  <si>
    <t>Jennings Local SD (CASH)</t>
  </si>
  <si>
    <t>Kalida Local SD (CASH)</t>
  </si>
  <si>
    <t>Walnut Township Local SD (CASH)</t>
  </si>
  <si>
    <t>Wapakoneta City SD (CASH)</t>
  </si>
  <si>
    <t>WAPS-FM Akron City SD (NOT A SCHOOL)</t>
  </si>
  <si>
    <t>Maumee City SD (CASH)</t>
  </si>
  <si>
    <t>Mount Vernon City SD (CASH)</t>
  </si>
  <si>
    <t>Newbury Local SD (CASH)</t>
  </si>
  <si>
    <t>Northwood Local SD (CASH)</t>
  </si>
  <si>
    <t>Osnaburg Local SD (CASH)</t>
  </si>
  <si>
    <t>00442</t>
  </si>
  <si>
    <t>00417</t>
  </si>
  <si>
    <t>Xenia Community SD</t>
  </si>
  <si>
    <t>Bellefontaine City SD (CASH)</t>
  </si>
  <si>
    <t>Benjamin Logan Local SD (CASH)</t>
  </si>
  <si>
    <t>Bluffton Exempted Village SD (CASH)</t>
  </si>
  <si>
    <t>Bradford Exempted Village SD (CASH) Two year audit</t>
  </si>
  <si>
    <t>Deer Park Community City SD</t>
  </si>
  <si>
    <t>Fairport Harbor Exempted Village SD (CASH) Two Year Audit</t>
  </si>
  <si>
    <t>Hopewell-Loudon Local SD (CASH) Two year Audit</t>
  </si>
  <si>
    <t>Miller City-New Cleveland Local (CASH) Two year Audit</t>
  </si>
  <si>
    <t>Williamsburg Local SD (CASH)</t>
  </si>
  <si>
    <t>Toledo School for the Arts (Community School)</t>
  </si>
  <si>
    <t>Urbana City SD (CASH)</t>
  </si>
  <si>
    <t>Pettisville Local SD (CASH)</t>
  </si>
  <si>
    <t>Ridgemont Local SD (CASH)</t>
  </si>
  <si>
    <t>As of June 30, 2013</t>
  </si>
  <si>
    <t>Outflows of</t>
  </si>
  <si>
    <t>Resources</t>
  </si>
  <si>
    <t>Inflows of</t>
  </si>
  <si>
    <t xml:space="preserve">Inflows of </t>
  </si>
  <si>
    <t>Assets and Deferred Outflows of Resources</t>
  </si>
  <si>
    <t>Total Assets and</t>
  </si>
  <si>
    <t>Deferred Outflows</t>
  </si>
  <si>
    <t>of Resources</t>
  </si>
  <si>
    <t>Total Liabilities and</t>
  </si>
  <si>
    <t>Deferred Inflows</t>
  </si>
  <si>
    <t>Summary Data from the Statement of Net Position - Governmental Activities</t>
  </si>
  <si>
    <t>Net Position</t>
  </si>
  <si>
    <t>For the Fiscal Year Ended June 30, 2013</t>
  </si>
  <si>
    <t>Botkins Local SD (CASH)</t>
  </si>
  <si>
    <t>Clearview Local SD (CASH)</t>
  </si>
  <si>
    <t>Kenton City SD (CASH)</t>
  </si>
  <si>
    <t>Kirtland Local SD</t>
  </si>
  <si>
    <t>Licking Heights Local SD</t>
  </si>
  <si>
    <t>Monroe Local SD</t>
  </si>
  <si>
    <t>Stryker Local SD (CASH)</t>
  </si>
  <si>
    <t>Union Local SD</t>
  </si>
  <si>
    <t>West Liberty-Salem Local SD (CASH)</t>
  </si>
  <si>
    <t>Liabilities and Deferred Inflows of Resources (continued)</t>
  </si>
  <si>
    <t>Governmental Activities (continued)</t>
  </si>
  <si>
    <t>Liabilities 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</si>
</sst>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&quot;$&quot;#,##0_);\(&quot;$&quot;#,##0\)"/>
    <numFmt numFmtId="164" formatCode="0_);\(0\)"/>
  </numFmts>
  <fonts count="1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10"/>
      <name val="Times New Roman"/>
      <family val="1"/>
    </font>
    <font>
      <sz val="10"/>
      <name val="Arial"/>
      <family val="2"/>
    </font>
    <font>
      <sz val="9"/>
      <name val="Arial"/>
      <family val="2"/>
    </font>
    <font>
      <sz val="7.5"/>
      <name val="Times New Roman"/>
      <family val="1"/>
    </font>
    <font>
      <b/>
      <sz val="9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9">
    <xf numFmtId="0" fontId="0" fillId="0" borderId="0">
      <alignment vertical="top"/>
    </xf>
    <xf numFmtId="3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10" fontId="7" fillId="0" borderId="0" applyFont="0" applyFill="0" applyBorder="0" applyAlignment="0" applyProtection="0"/>
    <xf numFmtId="0" fontId="7" fillId="0" borderId="1" applyNumberFormat="0" applyFont="0" applyBorder="0" applyAlignment="0" applyProtection="0"/>
  </cellStyleXfs>
  <cellXfs count="77">
    <xf numFmtId="0" fontId="0" fillId="0" borderId="0" xfId="0" applyAlignment="1"/>
    <xf numFmtId="37" fontId="5" fillId="0" borderId="3" xfId="0" applyNumberFormat="1" applyFont="1" applyFill="1" applyBorder="1" applyAlignment="1">
      <alignment horizontal="center"/>
    </xf>
    <xf numFmtId="37" fontId="5" fillId="0" borderId="0" xfId="0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center"/>
    </xf>
    <xf numFmtId="3" fontId="5" fillId="0" borderId="2" xfId="0" applyNumberFormat="1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right"/>
    </xf>
    <xf numFmtId="0" fontId="5" fillId="0" borderId="0" xfId="0" applyFont="1" applyFill="1" applyAlignment="1"/>
    <xf numFmtId="37" fontId="5" fillId="0" borderId="0" xfId="0" applyNumberFormat="1" applyFont="1" applyFill="1" applyBorder="1" applyAlignment="1"/>
    <xf numFmtId="0" fontId="5" fillId="0" borderId="0" xfId="0" applyFont="1" applyFill="1">
      <alignment vertical="top"/>
    </xf>
    <xf numFmtId="37" fontId="5" fillId="0" borderId="0" xfId="0" applyNumberFormat="1" applyFont="1" applyFill="1">
      <alignment vertical="top"/>
    </xf>
    <xf numFmtId="37" fontId="5" fillId="0" borderId="0" xfId="1" applyNumberFormat="1" applyFont="1" applyFill="1" applyBorder="1" applyAlignment="1">
      <alignment horizontal="right"/>
    </xf>
    <xf numFmtId="37" fontId="4" fillId="0" borderId="0" xfId="0" applyNumberFormat="1" applyFont="1" applyFill="1" applyAlignment="1"/>
    <xf numFmtId="37" fontId="4" fillId="0" borderId="0" xfId="0" applyNumberFormat="1" applyFont="1" applyFill="1" applyBorder="1" applyAlignment="1">
      <alignment horizontal="right"/>
    </xf>
    <xf numFmtId="37" fontId="5" fillId="0" borderId="2" xfId="0" applyNumberFormat="1" applyFont="1" applyFill="1" applyBorder="1" applyAlignment="1">
      <alignment horizontal="centerContinuous"/>
    </xf>
    <xf numFmtId="0" fontId="5" fillId="0" borderId="0" xfId="0" applyFont="1" applyFill="1" applyAlignment="1">
      <alignment horizontal="center"/>
    </xf>
    <xf numFmtId="37" fontId="5" fillId="0" borderId="0" xfId="1" applyNumberFormat="1" applyFont="1" applyFill="1" applyBorder="1"/>
    <xf numFmtId="37" fontId="4" fillId="0" borderId="0" xfId="0" applyNumberFormat="1" applyFont="1" applyFill="1" applyBorder="1" applyAlignment="1">
      <alignment horizontal="centerContinuous"/>
    </xf>
    <xf numFmtId="37" fontId="5" fillId="0" borderId="0" xfId="0" applyNumberFormat="1" applyFont="1" applyFill="1" applyBorder="1" applyAlignment="1">
      <alignment horizontal="centerContinuous"/>
    </xf>
    <xf numFmtId="37" fontId="4" fillId="0" borderId="0" xfId="0" applyNumberFormat="1" applyFont="1" applyFill="1" applyAlignment="1">
      <alignment horizontal="right"/>
    </xf>
    <xf numFmtId="37" fontId="5" fillId="0" borderId="0" xfId="0" applyNumberFormat="1" applyFont="1" applyFill="1" applyAlignment="1">
      <alignment horizontal="right" vertical="justify"/>
    </xf>
    <xf numFmtId="37" fontId="4" fillId="0" borderId="0" xfId="0" applyNumberFormat="1" applyFont="1" applyFill="1" applyBorder="1" applyAlignment="1"/>
    <xf numFmtId="37" fontId="5" fillId="0" borderId="0" xfId="0" applyNumberFormat="1" applyFont="1" applyFill="1" applyBorder="1" applyAlignment="1">
      <alignment horizontal="right" vertical="justify"/>
    </xf>
    <xf numFmtId="164" fontId="5" fillId="0" borderId="0" xfId="0" applyNumberFormat="1" applyFont="1" applyFill="1" applyAlignment="1"/>
    <xf numFmtId="164" fontId="5" fillId="0" borderId="0" xfId="0" applyNumberFormat="1" applyFont="1" applyFill="1">
      <alignment vertical="top"/>
    </xf>
    <xf numFmtId="5" fontId="5" fillId="0" borderId="0" xfId="0" applyNumberFormat="1" applyFont="1" applyFill="1" applyAlignment="1"/>
    <xf numFmtId="0" fontId="4" fillId="0" borderId="0" xfId="0" applyFont="1" applyFill="1" applyAlignment="1"/>
    <xf numFmtId="37" fontId="5" fillId="0" borderId="0" xfId="0" applyNumberFormat="1" applyFont="1" applyFill="1" applyAlignment="1">
      <alignment horizontal="right" vertical="justify" wrapText="1"/>
    </xf>
    <xf numFmtId="37" fontId="4" fillId="0" borderId="0" xfId="0" applyNumberFormat="1" applyFont="1" applyFill="1" applyBorder="1" applyAlignment="1">
      <alignment horizontal="left"/>
    </xf>
    <xf numFmtId="37" fontId="5" fillId="0" borderId="0" xfId="0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164" fontId="4" fillId="0" borderId="0" xfId="0" applyNumberFormat="1" applyFont="1" applyFill="1" applyAlignment="1"/>
    <xf numFmtId="37" fontId="5" fillId="0" borderId="0" xfId="1" applyNumberFormat="1" applyFont="1" applyFill="1" applyBorder="1" applyAlignment="1">
      <alignment horizontal="right" vertical="justify"/>
    </xf>
    <xf numFmtId="0" fontId="5" fillId="0" borderId="2" xfId="0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centerContinuous"/>
    </xf>
    <xf numFmtId="37" fontId="5" fillId="0" borderId="0" xfId="0" applyNumberFormat="1" applyFont="1" applyFill="1" applyAlignment="1">
      <alignment vertical="top"/>
    </xf>
    <xf numFmtId="0" fontId="8" fillId="0" borderId="0" xfId="0" applyFont="1" applyFill="1" applyAlignment="1"/>
    <xf numFmtId="37" fontId="8" fillId="0" borderId="0" xfId="0" applyNumberFormat="1" applyFont="1" applyFill="1" applyAlignment="1"/>
    <xf numFmtId="37" fontId="9" fillId="0" borderId="0" xfId="0" applyNumberFormat="1" applyFont="1" applyFill="1" applyAlignment="1"/>
    <xf numFmtId="37" fontId="10" fillId="0" borderId="0" xfId="0" applyNumberFormat="1" applyFont="1" applyFill="1" applyAlignment="1"/>
    <xf numFmtId="37" fontId="5" fillId="0" borderId="0" xfId="7" applyNumberFormat="1" applyFont="1" applyFill="1" applyBorder="1" applyAlignment="1">
      <alignment horizontal="center"/>
    </xf>
    <xf numFmtId="37" fontId="4" fillId="0" borderId="0" xfId="0" applyNumberFormat="1" applyFont="1" applyFill="1" applyAlignment="1">
      <alignment horizontal="center"/>
    </xf>
    <xf numFmtId="37" fontId="5" fillId="0" borderId="0" xfId="0" applyNumberFormat="1" applyFont="1" applyFill="1" applyAlignment="1"/>
    <xf numFmtId="37" fontId="5" fillId="0" borderId="0" xfId="0" applyNumberFormat="1" applyFont="1" applyFill="1" applyAlignment="1">
      <alignment horizontal="center"/>
    </xf>
    <xf numFmtId="37" fontId="5" fillId="0" borderId="2" xfId="0" applyNumberFormat="1" applyFont="1" applyFill="1" applyBorder="1" applyAlignment="1">
      <alignment horizontal="center"/>
    </xf>
    <xf numFmtId="37" fontId="4" fillId="0" borderId="0" xfId="0" applyNumberFormat="1" applyFont="1" applyFill="1" applyAlignment="1">
      <alignment horizontal="left"/>
    </xf>
    <xf numFmtId="37" fontId="5" fillId="0" borderId="0" xfId="0" applyNumberFormat="1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center"/>
    </xf>
    <xf numFmtId="37" fontId="5" fillId="0" borderId="2" xfId="0" applyNumberFormat="1" applyFont="1" applyFill="1" applyBorder="1" applyAlignment="1">
      <alignment horizontal="center"/>
    </xf>
    <xf numFmtId="37" fontId="4" fillId="0" borderId="0" xfId="0" applyNumberFormat="1" applyFont="1" applyFill="1" applyAlignment="1">
      <alignment horizontal="left"/>
    </xf>
    <xf numFmtId="37" fontId="5" fillId="0" borderId="0" xfId="0" applyNumberFormat="1" applyFont="1" applyFill="1" applyBorder="1" applyAlignment="1">
      <alignment horizontal="center"/>
    </xf>
    <xf numFmtId="5" fontId="5" fillId="0" borderId="0" xfId="0" applyNumberFormat="1" applyFont="1" applyFill="1">
      <alignment vertical="top"/>
    </xf>
    <xf numFmtId="5" fontId="5" fillId="0" borderId="0" xfId="0" applyNumberFormat="1" applyFont="1" applyFill="1" applyBorder="1" applyAlignment="1"/>
    <xf numFmtId="37" fontId="6" fillId="0" borderId="0" xfId="0" applyNumberFormat="1" applyFont="1" applyFill="1" applyAlignment="1"/>
    <xf numFmtId="164" fontId="5" fillId="0" borderId="0" xfId="0" quotePrefix="1" applyNumberFormat="1" applyFont="1" applyFill="1" applyAlignment="1">
      <alignment horizontal="right" vertical="top"/>
    </xf>
    <xf numFmtId="37" fontId="5" fillId="0" borderId="0" xfId="0" applyNumberFormat="1" applyFont="1" applyFill="1" applyAlignment="1">
      <alignment horizontal="center"/>
    </xf>
    <xf numFmtId="37" fontId="4" fillId="0" borderId="0" xfId="0" applyNumberFormat="1" applyFont="1" applyFill="1" applyAlignment="1">
      <alignment horizontal="left"/>
    </xf>
    <xf numFmtId="37" fontId="5" fillId="0" borderId="0" xfId="0" applyNumberFormat="1" applyFont="1" applyFill="1" applyBorder="1" applyAlignment="1">
      <alignment horizontal="center"/>
    </xf>
    <xf numFmtId="5" fontId="8" fillId="0" borderId="0" xfId="0" applyNumberFormat="1" applyFont="1" applyFill="1" applyAlignment="1"/>
    <xf numFmtId="3" fontId="5" fillId="0" borderId="0" xfId="0" applyNumberFormat="1" applyFont="1" applyFill="1" applyBorder="1" applyAlignment="1"/>
    <xf numFmtId="5" fontId="5" fillId="0" borderId="0" xfId="0" applyNumberFormat="1" applyFont="1" applyFill="1" applyBorder="1" applyAlignment="1">
      <alignment horizontal="right"/>
    </xf>
    <xf numFmtId="5" fontId="5" fillId="0" borderId="0" xfId="1" applyNumberFormat="1" applyFont="1" applyFill="1" applyBorder="1" applyAlignment="1">
      <alignment horizontal="right"/>
    </xf>
    <xf numFmtId="37" fontId="5" fillId="0" borderId="0" xfId="0" applyNumberFormat="1" applyFont="1" applyFill="1" applyBorder="1">
      <alignment vertical="top"/>
    </xf>
    <xf numFmtId="164" fontId="5" fillId="0" borderId="0" xfId="0" applyNumberFormat="1" applyFont="1" applyFill="1" applyBorder="1">
      <alignment vertical="top"/>
    </xf>
    <xf numFmtId="5" fontId="5" fillId="0" borderId="0" xfId="0" applyNumberFormat="1" applyFont="1" applyFill="1" applyAlignment="1">
      <alignment horizontal="right"/>
    </xf>
    <xf numFmtId="5" fontId="5" fillId="0" borderId="0" xfId="0" applyNumberFormat="1" applyFont="1" applyFill="1" applyBorder="1" applyAlignment="1">
      <alignment horizontal="right" vertical="justify"/>
    </xf>
    <xf numFmtId="5" fontId="5" fillId="0" borderId="0" xfId="0" applyNumberFormat="1" applyFont="1" applyFill="1" applyAlignment="1">
      <alignment horizontal="right" vertical="justify"/>
    </xf>
    <xf numFmtId="5" fontId="5" fillId="0" borderId="0" xfId="0" applyNumberFormat="1" applyFont="1" applyFill="1" applyAlignment="1">
      <alignment horizontal="right" vertical="justify" wrapText="1"/>
    </xf>
    <xf numFmtId="37" fontId="5" fillId="0" borderId="0" xfId="0" applyNumberFormat="1" applyFont="1" applyFill="1" applyAlignment="1">
      <alignment horizontal="left" vertical="justify"/>
    </xf>
    <xf numFmtId="164" fontId="5" fillId="0" borderId="0" xfId="0" applyNumberFormat="1" applyFont="1" applyFill="1" applyAlignment="1">
      <alignment horizontal="right"/>
    </xf>
    <xf numFmtId="5" fontId="5" fillId="0" borderId="0" xfId="0" applyNumberFormat="1" applyFont="1" applyFill="1" applyAlignment="1">
      <alignment horizontal="right" vertical="top"/>
    </xf>
    <xf numFmtId="5" fontId="5" fillId="0" borderId="0" xfId="0" applyNumberFormat="1" applyFont="1" applyFill="1" applyAlignment="1">
      <alignment horizontal="left" vertical="top"/>
    </xf>
    <xf numFmtId="37" fontId="5" fillId="0" borderId="0" xfId="0" applyNumberFormat="1" applyFont="1" applyFill="1" applyAlignment="1">
      <alignment horizontal="center"/>
    </xf>
    <xf numFmtId="37" fontId="4" fillId="0" borderId="0" xfId="0" applyNumberFormat="1" applyFont="1" applyFill="1" applyAlignment="1">
      <alignment horizontal="left"/>
    </xf>
    <xf numFmtId="37" fontId="5" fillId="0" borderId="2" xfId="0" applyNumberFormat="1" applyFont="1" applyFill="1" applyBorder="1" applyAlignment="1">
      <alignment horizontal="center"/>
    </xf>
    <xf numFmtId="37" fontId="5" fillId="0" borderId="0" xfId="0" applyNumberFormat="1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left"/>
    </xf>
  </cellXfs>
  <cellStyles count="9">
    <cellStyle name="Comma0" xfId="1"/>
    <cellStyle name="Currency0" xfId="2"/>
    <cellStyle name="Date" xfId="3"/>
    <cellStyle name="Fixed" xfId="4"/>
    <cellStyle name="Heading 1" xfId="5" builtinId="16" customBuiltin="1"/>
    <cellStyle name="Heading 2" xfId="6" builtinId="17" customBuiltin="1"/>
    <cellStyle name="Normal" xfId="0" builtinId="0"/>
    <cellStyle name="Percent" xfId="7" builtinId="5"/>
    <cellStyle name="Total" xfId="8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FFFF"/>
      <color rgb="FFFF66CC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32"/>
  <sheetViews>
    <sheetView tabSelected="1" zoomScaleNormal="100" zoomScaleSheetLayoutView="100" workbookViewId="0">
      <pane xSplit="5" ySplit="11" topLeftCell="F12" activePane="bottomRight" state="frozen"/>
      <selection activeCell="K503" sqref="K503"/>
      <selection pane="topRight" activeCell="K503" sqref="K503"/>
      <selection pane="bottomLeft" activeCell="K503" sqref="K503"/>
      <selection pane="bottomRight" activeCell="K4" sqref="K4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22" hidden="1" customWidth="1"/>
    <col min="6" max="6" width="1.7109375" style="42" customWidth="1"/>
    <col min="7" max="7" width="11.7109375" style="42" customWidth="1"/>
    <col min="8" max="8" width="1.7109375" style="42" customWidth="1"/>
    <col min="9" max="9" width="11.7109375" style="42" customWidth="1"/>
    <col min="10" max="10" width="1.7109375" style="42" customWidth="1"/>
    <col min="11" max="11" width="11.7109375" style="42" customWidth="1"/>
    <col min="12" max="12" width="1.7109375" style="42" customWidth="1"/>
    <col min="13" max="13" width="14.140625" style="42" bestFit="1" customWidth="1"/>
    <col min="14" max="14" width="1.7109375" style="42" customWidth="1"/>
    <col min="15" max="15" width="12.28515625" style="42" customWidth="1"/>
    <col min="16" max="16" width="1.7109375" style="42" customWidth="1"/>
    <col min="17" max="17" width="11.7109375" style="42" customWidth="1"/>
    <col min="18" max="18" width="1.7109375" style="42" customWidth="1"/>
    <col min="19" max="19" width="11.7109375" style="42" customWidth="1"/>
    <col min="20" max="20" width="1.7109375" style="42" customWidth="1"/>
    <col min="21" max="21" width="11.7109375" style="42" customWidth="1"/>
    <col min="22" max="22" width="1.7109375" style="42" customWidth="1"/>
    <col min="23" max="23" width="14.85546875" style="42" bestFit="1" customWidth="1"/>
    <col min="24" max="24" width="1.7109375" style="42" customWidth="1"/>
    <col min="25" max="25" width="11.7109375" style="42" customWidth="1"/>
    <col min="26" max="26" width="1.7109375" style="42" customWidth="1"/>
    <col min="27" max="27" width="11.7109375" style="42" customWidth="1"/>
    <col min="28" max="28" width="1.7109375" style="42" customWidth="1"/>
    <col min="29" max="29" width="11.7109375" style="42" customWidth="1"/>
    <col min="30" max="30" width="1.7109375" style="42" customWidth="1"/>
    <col min="31" max="32" width="11.7109375" style="42" customWidth="1"/>
    <col min="33" max="33" width="1.7109375" style="42" customWidth="1"/>
    <col min="34" max="34" width="11.7109375" style="42" customWidth="1"/>
    <col min="35" max="16384" width="9.140625" style="42"/>
  </cols>
  <sheetData>
    <row r="1" spans="1:34">
      <c r="A1" s="73" t="s">
        <v>897</v>
      </c>
      <c r="B1" s="73"/>
      <c r="C1" s="73"/>
      <c r="D1" s="73"/>
      <c r="E1" s="73"/>
      <c r="F1" s="73"/>
      <c r="G1" s="73"/>
      <c r="H1" s="73"/>
      <c r="I1" s="73"/>
      <c r="J1" s="45"/>
      <c r="K1" s="45"/>
    </row>
    <row r="2" spans="1:34">
      <c r="A2" s="11" t="s">
        <v>886</v>
      </c>
    </row>
    <row r="3" spans="1:34">
      <c r="A3" s="11"/>
      <c r="I3" s="36"/>
      <c r="J3" s="36"/>
      <c r="K3" s="36"/>
    </row>
    <row r="4" spans="1:34">
      <c r="A4" s="25" t="s">
        <v>167</v>
      </c>
      <c r="I4" s="36"/>
      <c r="J4" s="36"/>
      <c r="K4" s="36"/>
    </row>
    <row r="5" spans="1:34">
      <c r="A5" s="25"/>
      <c r="I5" s="36"/>
      <c r="J5" s="36"/>
      <c r="K5" s="36"/>
    </row>
    <row r="6" spans="1:34">
      <c r="A6" s="38" t="s">
        <v>721</v>
      </c>
      <c r="I6" s="36"/>
      <c r="J6" s="36"/>
      <c r="K6" s="36"/>
      <c r="O6" s="43" t="s">
        <v>911</v>
      </c>
    </row>
    <row r="7" spans="1:34" s="11" customFormat="1">
      <c r="A7" s="38"/>
      <c r="B7" s="42"/>
      <c r="C7" s="42"/>
      <c r="D7" s="42"/>
      <c r="E7" s="22"/>
      <c r="F7" s="42"/>
      <c r="G7" s="42"/>
      <c r="H7" s="42"/>
      <c r="I7" s="42"/>
      <c r="J7" s="42"/>
      <c r="K7" s="42"/>
      <c r="L7" s="42"/>
      <c r="M7" s="42"/>
      <c r="N7" s="45"/>
      <c r="O7" s="43" t="s">
        <v>896</v>
      </c>
      <c r="P7" s="45"/>
      <c r="Q7" s="45"/>
      <c r="R7" s="45"/>
      <c r="S7" s="45"/>
      <c r="T7" s="45"/>
      <c r="U7" s="45"/>
      <c r="V7" s="45"/>
      <c r="W7" s="45"/>
    </row>
    <row r="8" spans="1:34">
      <c r="A8" s="38"/>
      <c r="G8" s="74" t="s">
        <v>891</v>
      </c>
      <c r="H8" s="74"/>
      <c r="I8" s="74"/>
      <c r="J8" s="74"/>
      <c r="K8" s="74"/>
      <c r="L8" s="74"/>
      <c r="M8" s="74"/>
      <c r="O8" s="44" t="s">
        <v>894</v>
      </c>
      <c r="P8" s="7"/>
      <c r="Q8" s="74" t="s">
        <v>909</v>
      </c>
      <c r="R8" s="74"/>
      <c r="S8" s="74"/>
      <c r="T8" s="74"/>
      <c r="U8" s="74"/>
      <c r="V8" s="74"/>
      <c r="W8" s="74"/>
      <c r="Y8" s="74" t="s">
        <v>898</v>
      </c>
      <c r="Z8" s="74"/>
      <c r="AA8" s="74"/>
      <c r="AB8" s="74"/>
      <c r="AC8" s="74"/>
      <c r="AD8" s="17"/>
      <c r="AE8" s="17"/>
    </row>
    <row r="9" spans="1:34">
      <c r="G9" s="46"/>
      <c r="H9" s="46"/>
      <c r="I9" s="46"/>
      <c r="J9" s="46"/>
      <c r="K9" s="46" t="s">
        <v>89</v>
      </c>
      <c r="L9" s="46"/>
      <c r="M9" s="17" t="s">
        <v>892</v>
      </c>
      <c r="O9" s="46"/>
      <c r="P9" s="7"/>
      <c r="Q9" s="46"/>
      <c r="R9" s="46"/>
      <c r="S9" s="46"/>
      <c r="T9" s="46"/>
      <c r="U9" s="46" t="s">
        <v>89</v>
      </c>
      <c r="V9" s="17"/>
      <c r="W9" s="17" t="s">
        <v>895</v>
      </c>
      <c r="Y9" s="46"/>
      <c r="Z9" s="46"/>
      <c r="AA9" s="46"/>
      <c r="AB9" s="46"/>
      <c r="AC9" s="46"/>
      <c r="AD9" s="17"/>
      <c r="AE9" s="17"/>
      <c r="AF9" s="43" t="s">
        <v>131</v>
      </c>
      <c r="AG9" s="43"/>
      <c r="AH9" s="43" t="s">
        <v>131</v>
      </c>
    </row>
    <row r="10" spans="1:34">
      <c r="F10" s="46"/>
      <c r="G10" s="43" t="s">
        <v>99</v>
      </c>
      <c r="H10" s="43"/>
      <c r="I10" s="43" t="s">
        <v>73</v>
      </c>
      <c r="J10" s="43"/>
      <c r="K10" s="43" t="s">
        <v>887</v>
      </c>
      <c r="L10" s="43"/>
      <c r="M10" s="46" t="s">
        <v>893</v>
      </c>
      <c r="O10" s="43" t="s">
        <v>99</v>
      </c>
      <c r="P10" s="43"/>
      <c r="Q10" s="72" t="s">
        <v>129</v>
      </c>
      <c r="R10" s="72"/>
      <c r="S10" s="72"/>
      <c r="T10" s="34"/>
      <c r="U10" s="34" t="s">
        <v>889</v>
      </c>
      <c r="V10" s="46"/>
      <c r="W10" s="46" t="s">
        <v>896</v>
      </c>
      <c r="Y10" s="46" t="s">
        <v>100</v>
      </c>
      <c r="Z10" s="46"/>
      <c r="AA10" s="46"/>
      <c r="AB10" s="46"/>
      <c r="AC10" s="46"/>
      <c r="AD10" s="46"/>
      <c r="AE10" s="46" t="s">
        <v>3</v>
      </c>
      <c r="AF10" s="43" t="s">
        <v>132</v>
      </c>
      <c r="AG10" s="43"/>
      <c r="AH10" s="43" t="s">
        <v>132</v>
      </c>
    </row>
    <row r="11" spans="1:34">
      <c r="A11" s="44" t="s">
        <v>198</v>
      </c>
      <c r="B11" s="43"/>
      <c r="C11" s="44" t="s">
        <v>4</v>
      </c>
      <c r="D11" s="43"/>
      <c r="E11" s="30" t="s">
        <v>197</v>
      </c>
      <c r="F11" s="46"/>
      <c r="G11" s="44" t="s">
        <v>87</v>
      </c>
      <c r="H11" s="46"/>
      <c r="I11" s="44" t="s">
        <v>87</v>
      </c>
      <c r="J11" s="46"/>
      <c r="K11" s="44" t="s">
        <v>888</v>
      </c>
      <c r="L11" s="46"/>
      <c r="M11" s="44" t="s">
        <v>894</v>
      </c>
      <c r="N11" s="7"/>
      <c r="O11" s="44" t="s">
        <v>92</v>
      </c>
      <c r="P11" s="46"/>
      <c r="Q11" s="44" t="s">
        <v>734</v>
      </c>
      <c r="R11" s="46"/>
      <c r="S11" s="44" t="s">
        <v>130</v>
      </c>
      <c r="T11" s="46"/>
      <c r="U11" s="44" t="s">
        <v>888</v>
      </c>
      <c r="V11" s="46"/>
      <c r="W11" s="44" t="s">
        <v>894</v>
      </c>
      <c r="X11" s="7"/>
      <c r="Y11" s="44" t="s">
        <v>120</v>
      </c>
      <c r="Z11" s="46"/>
      <c r="AA11" s="44" t="s">
        <v>101</v>
      </c>
      <c r="AB11" s="46"/>
      <c r="AC11" s="44" t="s">
        <v>102</v>
      </c>
      <c r="AD11" s="46"/>
      <c r="AE11" s="44" t="s">
        <v>898</v>
      </c>
      <c r="AF11" s="43" t="s">
        <v>133</v>
      </c>
      <c r="AG11" s="43"/>
      <c r="AH11" s="43" t="s">
        <v>133</v>
      </c>
    </row>
    <row r="12" spans="1:34">
      <c r="A12" s="9"/>
      <c r="B12" s="9"/>
      <c r="C12" s="9"/>
      <c r="D12" s="9"/>
      <c r="E12" s="23"/>
      <c r="F12" s="50"/>
      <c r="G12" s="50"/>
      <c r="H12" s="50"/>
      <c r="I12" s="50"/>
      <c r="J12" s="50"/>
      <c r="K12" s="50"/>
      <c r="L12" s="50"/>
      <c r="M12" s="50"/>
      <c r="O12" s="50"/>
      <c r="P12" s="50"/>
      <c r="Q12" s="50"/>
      <c r="R12" s="50"/>
      <c r="S12" s="50"/>
      <c r="T12" s="50"/>
      <c r="U12" s="50"/>
      <c r="V12" s="50"/>
      <c r="W12" s="50"/>
      <c r="Y12" s="50"/>
      <c r="Z12" s="50"/>
      <c r="AA12" s="50"/>
      <c r="AB12" s="50"/>
      <c r="AC12" s="50"/>
      <c r="AD12" s="50"/>
      <c r="AE12" s="50"/>
    </row>
    <row r="13" spans="1:34" hidden="1">
      <c r="A13" s="9" t="s">
        <v>851</v>
      </c>
      <c r="B13" s="9"/>
      <c r="C13" s="9" t="s">
        <v>337</v>
      </c>
      <c r="D13" s="9"/>
      <c r="E13" s="23">
        <v>45187</v>
      </c>
      <c r="G13" s="42">
        <f>+M13-I13-K13</f>
        <v>0</v>
      </c>
      <c r="I13" s="42">
        <v>0</v>
      </c>
      <c r="K13" s="42">
        <v>0</v>
      </c>
      <c r="M13" s="42">
        <v>0</v>
      </c>
      <c r="O13" s="42">
        <f>+W13-Q13-S13-U13</f>
        <v>0</v>
      </c>
      <c r="Q13" s="42">
        <v>0</v>
      </c>
      <c r="S13" s="42">
        <v>0</v>
      </c>
      <c r="U13" s="42">
        <v>0</v>
      </c>
      <c r="W13" s="42">
        <v>0</v>
      </c>
      <c r="Y13" s="42">
        <v>0</v>
      </c>
      <c r="AA13" s="42">
        <f t="shared" ref="AA13" si="0">AE13-AC13-Y13</f>
        <v>0</v>
      </c>
      <c r="AC13" s="42">
        <v>0</v>
      </c>
      <c r="AE13" s="42">
        <v>0</v>
      </c>
      <c r="AF13" s="42">
        <f t="shared" ref="AF13" si="1">+M13-W13-AE13</f>
        <v>0</v>
      </c>
      <c r="AH13" s="24">
        <f t="shared" ref="AH13:AH14" si="2">+G13+I13+K13-O13-Q13-Y13-AA13-AC13-S13-U13</f>
        <v>0</v>
      </c>
    </row>
    <row r="14" spans="1:34" s="24" customFormat="1">
      <c r="A14" s="51" t="s">
        <v>782</v>
      </c>
      <c r="B14" s="51"/>
      <c r="C14" s="51" t="s">
        <v>199</v>
      </c>
      <c r="D14" s="51"/>
      <c r="E14" s="23">
        <v>61903</v>
      </c>
      <c r="F14" s="52"/>
      <c r="G14" s="24">
        <f>+M14-I14-K14</f>
        <v>31481571</v>
      </c>
      <c r="I14" s="24">
        <f>1063713+93196264</f>
        <v>94259977</v>
      </c>
      <c r="K14" s="24">
        <v>0</v>
      </c>
      <c r="M14" s="24">
        <v>125741548</v>
      </c>
      <c r="O14" s="24">
        <f t="shared" ref="O14:O77" si="3">+W14-Q14-S14-U14</f>
        <v>12208549</v>
      </c>
      <c r="Q14" s="24">
        <v>2131055</v>
      </c>
      <c r="S14" s="24">
        <v>29117137</v>
      </c>
      <c r="U14" s="24">
        <v>0</v>
      </c>
      <c r="W14" s="24">
        <v>43456741</v>
      </c>
      <c r="Y14" s="24">
        <v>64273525</v>
      </c>
      <c r="AA14" s="24">
        <f>AE14-AC14-Y14</f>
        <v>8237584</v>
      </c>
      <c r="AC14" s="24">
        <v>9773698</v>
      </c>
      <c r="AE14" s="24">
        <v>82284807</v>
      </c>
      <c r="AF14" s="24">
        <f t="shared" ref="AF14:AF50" si="4">+M14-W14-AE14</f>
        <v>0</v>
      </c>
      <c r="AH14" s="24">
        <f t="shared" si="2"/>
        <v>0</v>
      </c>
    </row>
    <row r="15" spans="1:34">
      <c r="A15" s="9" t="s">
        <v>582</v>
      </c>
      <c r="B15" s="9"/>
      <c r="C15" s="9" t="s">
        <v>58</v>
      </c>
      <c r="D15" s="9"/>
      <c r="E15" s="23">
        <v>49494</v>
      </c>
      <c r="G15" s="42">
        <f t="shared" ref="G15:G78" si="5">+M15-I15-K15</f>
        <v>10668264</v>
      </c>
      <c r="I15" s="42">
        <f>839692+17405870</f>
        <v>18245562</v>
      </c>
      <c r="K15" s="42">
        <v>0</v>
      </c>
      <c r="M15" s="42">
        <v>28913826</v>
      </c>
      <c r="O15" s="42">
        <f t="shared" si="3"/>
        <v>1404967</v>
      </c>
      <c r="Q15" s="42">
        <v>269346</v>
      </c>
      <c r="S15" s="42">
        <v>3135103</v>
      </c>
      <c r="U15" s="42">
        <v>2065434</v>
      </c>
      <c r="W15" s="42">
        <f>4809416+2065434</f>
        <v>6874850</v>
      </c>
      <c r="Y15" s="42">
        <v>15388340</v>
      </c>
      <c r="AA15" s="42">
        <f t="shared" ref="AA15:AA85" si="6">AE15-AC15-Y15</f>
        <v>2907155</v>
      </c>
      <c r="AC15" s="42">
        <v>3743481</v>
      </c>
      <c r="AE15" s="42">
        <v>22038976</v>
      </c>
      <c r="AF15" s="42">
        <f t="shared" si="4"/>
        <v>0</v>
      </c>
      <c r="AH15" s="42">
        <f>+G15+I15+K15-O15-Q15-Y15-AA15-AC15-S15-U15</f>
        <v>0</v>
      </c>
    </row>
    <row r="16" spans="1:34">
      <c r="A16" s="9" t="s">
        <v>502</v>
      </c>
      <c r="B16" s="9"/>
      <c r="C16" s="9" t="s">
        <v>63</v>
      </c>
      <c r="D16" s="9"/>
      <c r="E16" s="23">
        <v>43489</v>
      </c>
      <c r="G16" s="42">
        <f t="shared" si="5"/>
        <v>289334603</v>
      </c>
      <c r="I16" s="42">
        <f>19666996+233081215</f>
        <v>252748211</v>
      </c>
      <c r="K16" s="42">
        <v>60000000</v>
      </c>
      <c r="M16" s="42">
        <f>542082814+60000000</f>
        <v>602082814</v>
      </c>
      <c r="O16" s="42">
        <f t="shared" si="3"/>
        <v>119053148</v>
      </c>
      <c r="Q16" s="42">
        <v>1690153</v>
      </c>
      <c r="S16" s="42">
        <v>30638944</v>
      </c>
      <c r="U16" s="42">
        <v>115190740</v>
      </c>
      <c r="W16" s="42">
        <f>151382245+115190740</f>
        <v>266572985</v>
      </c>
      <c r="Y16" s="42">
        <v>252748211</v>
      </c>
      <c r="AA16" s="42">
        <f t="shared" si="6"/>
        <v>84497422</v>
      </c>
      <c r="AC16" s="42">
        <v>-1735804</v>
      </c>
      <c r="AE16" s="42">
        <v>335509829</v>
      </c>
      <c r="AF16" s="42">
        <f t="shared" si="4"/>
        <v>0</v>
      </c>
      <c r="AH16" s="42">
        <f t="shared" ref="AH16:AH79" si="7">+G16+I16+K16-O16-Q16-Y16-AA16-AC16-S16-U16</f>
        <v>0</v>
      </c>
    </row>
    <row r="17" spans="1:34" hidden="1">
      <c r="A17" s="9" t="s">
        <v>612</v>
      </c>
      <c r="B17" s="9"/>
      <c r="C17" s="9" t="s">
        <v>13</v>
      </c>
      <c r="D17" s="9"/>
      <c r="E17" s="23">
        <v>45906</v>
      </c>
      <c r="F17" s="7"/>
      <c r="G17" s="42">
        <f t="shared" si="5"/>
        <v>0</v>
      </c>
      <c r="I17" s="42">
        <v>0</v>
      </c>
      <c r="K17" s="42">
        <v>0</v>
      </c>
      <c r="M17" s="42">
        <v>0</v>
      </c>
      <c r="O17" s="42">
        <f t="shared" si="3"/>
        <v>0</v>
      </c>
      <c r="Q17" s="42">
        <v>0</v>
      </c>
      <c r="S17" s="42">
        <v>0</v>
      </c>
      <c r="U17" s="42">
        <v>0</v>
      </c>
      <c r="W17" s="42">
        <v>0</v>
      </c>
      <c r="Y17" s="42">
        <v>0</v>
      </c>
      <c r="AA17" s="42">
        <f t="shared" si="6"/>
        <v>0</v>
      </c>
      <c r="AC17" s="42">
        <v>0</v>
      </c>
      <c r="AE17" s="42">
        <v>0</v>
      </c>
      <c r="AF17" s="42">
        <f t="shared" si="4"/>
        <v>0</v>
      </c>
      <c r="AH17" s="42">
        <f t="shared" si="7"/>
        <v>0</v>
      </c>
    </row>
    <row r="18" spans="1:34" hidden="1">
      <c r="A18" s="9" t="s">
        <v>852</v>
      </c>
      <c r="B18" s="9"/>
      <c r="C18" s="9" t="s">
        <v>10</v>
      </c>
      <c r="D18" s="9"/>
      <c r="E18" s="23">
        <v>45757</v>
      </c>
      <c r="G18" s="42">
        <f t="shared" si="5"/>
        <v>0</v>
      </c>
      <c r="I18" s="42">
        <v>0</v>
      </c>
      <c r="K18" s="42">
        <v>0</v>
      </c>
      <c r="M18" s="42">
        <v>0</v>
      </c>
      <c r="O18" s="42">
        <f t="shared" si="3"/>
        <v>0</v>
      </c>
      <c r="Q18" s="42">
        <v>0</v>
      </c>
      <c r="S18" s="42">
        <v>0</v>
      </c>
      <c r="U18" s="42">
        <v>0</v>
      </c>
      <c r="W18" s="42">
        <v>0</v>
      </c>
      <c r="Y18" s="42">
        <v>0</v>
      </c>
      <c r="AA18" s="42">
        <f t="shared" ref="AA18" si="8">AE18-AC18-Y18</f>
        <v>0</v>
      </c>
      <c r="AC18" s="42">
        <v>0</v>
      </c>
      <c r="AE18" s="42">
        <v>0</v>
      </c>
      <c r="AF18" s="42">
        <f t="shared" ref="AF18" si="9">+M18-W18-AE18</f>
        <v>0</v>
      </c>
      <c r="AH18" s="42">
        <f t="shared" si="7"/>
        <v>0</v>
      </c>
    </row>
    <row r="19" spans="1:34">
      <c r="A19" s="9" t="s">
        <v>489</v>
      </c>
      <c r="B19" s="9"/>
      <c r="C19" s="9" t="s">
        <v>62</v>
      </c>
      <c r="D19" s="9"/>
      <c r="E19" s="23">
        <v>43497</v>
      </c>
      <c r="G19" s="42">
        <f t="shared" si="5"/>
        <v>20973169</v>
      </c>
      <c r="I19" s="42">
        <f>2322643+41107074</f>
        <v>43429717</v>
      </c>
      <c r="K19" s="42">
        <v>148893</v>
      </c>
      <c r="M19" s="42">
        <v>64551779</v>
      </c>
      <c r="O19" s="42">
        <f t="shared" si="3"/>
        <v>4983369</v>
      </c>
      <c r="Q19" s="42">
        <v>936781</v>
      </c>
      <c r="S19" s="42">
        <v>12029188</v>
      </c>
      <c r="U19" s="42">
        <v>7306636</v>
      </c>
      <c r="W19" s="42">
        <v>25255974</v>
      </c>
      <c r="Y19" s="42">
        <v>36695667</v>
      </c>
      <c r="AA19" s="42">
        <f t="shared" si="6"/>
        <v>5224999</v>
      </c>
      <c r="AC19" s="42">
        <v>-2624861</v>
      </c>
      <c r="AE19" s="42">
        <v>39295805</v>
      </c>
      <c r="AF19" s="42">
        <f t="shared" si="4"/>
        <v>0</v>
      </c>
      <c r="AH19" s="42">
        <f t="shared" si="7"/>
        <v>0</v>
      </c>
    </row>
    <row r="20" spans="1:34">
      <c r="A20" s="9" t="s">
        <v>290</v>
      </c>
      <c r="B20" s="9"/>
      <c r="C20" s="9" t="s">
        <v>25</v>
      </c>
      <c r="D20" s="9"/>
      <c r="E20" s="23">
        <v>46847</v>
      </c>
      <c r="G20" s="42">
        <f t="shared" si="5"/>
        <v>12590114</v>
      </c>
      <c r="I20" s="42">
        <f>292457+25577933</f>
        <v>25870390</v>
      </c>
      <c r="K20" s="42">
        <v>0</v>
      </c>
      <c r="M20" s="42">
        <v>38460504</v>
      </c>
      <c r="O20" s="42">
        <f t="shared" si="3"/>
        <v>2004817</v>
      </c>
      <c r="Q20" s="42">
        <v>306571</v>
      </c>
      <c r="S20" s="42">
        <v>2711354</v>
      </c>
      <c r="U20" s="42">
        <v>2817667</v>
      </c>
      <c r="W20" s="42">
        <f>5022742+2817667</f>
        <v>7840409</v>
      </c>
      <c r="Y20" s="42">
        <v>23186477</v>
      </c>
      <c r="AA20" s="42">
        <f t="shared" si="6"/>
        <v>1123478</v>
      </c>
      <c r="AC20" s="42">
        <v>6310140</v>
      </c>
      <c r="AE20" s="42">
        <v>30620095</v>
      </c>
      <c r="AF20" s="42">
        <f t="shared" si="4"/>
        <v>0</v>
      </c>
      <c r="AH20" s="42">
        <f t="shared" si="7"/>
        <v>0</v>
      </c>
    </row>
    <row r="21" spans="1:34">
      <c r="A21" s="9" t="s">
        <v>743</v>
      </c>
      <c r="B21" s="9"/>
      <c r="C21" s="9" t="s">
        <v>44</v>
      </c>
      <c r="D21" s="9"/>
      <c r="E21" s="23">
        <v>45195</v>
      </c>
      <c r="F21" s="50"/>
      <c r="G21" s="42">
        <f t="shared" si="5"/>
        <v>30808999</v>
      </c>
      <c r="I21" s="42">
        <f>1421676+23935702</f>
        <v>25357378</v>
      </c>
      <c r="K21" s="42">
        <v>728990</v>
      </c>
      <c r="M21" s="42">
        <f>56166377+728990</f>
        <v>56895367</v>
      </c>
      <c r="O21" s="42">
        <f t="shared" si="3"/>
        <v>5043146</v>
      </c>
      <c r="Q21" s="42">
        <v>1980790</v>
      </c>
      <c r="S21" s="42">
        <v>21535257</v>
      </c>
      <c r="U21" s="42">
        <v>17645178</v>
      </c>
      <c r="W21" s="42">
        <f>28559193+17645178</f>
        <v>46204371</v>
      </c>
      <c r="Y21" s="42">
        <v>9239153</v>
      </c>
      <c r="AA21" s="42">
        <f>AE21-AC21-Y21</f>
        <v>2042081</v>
      </c>
      <c r="AC21" s="42">
        <v>-590238</v>
      </c>
      <c r="AE21" s="42">
        <v>10690996</v>
      </c>
      <c r="AF21" s="42">
        <f t="shared" si="4"/>
        <v>0</v>
      </c>
      <c r="AH21" s="42">
        <f t="shared" si="7"/>
        <v>0</v>
      </c>
    </row>
    <row r="22" spans="1:34">
      <c r="A22" s="9" t="s">
        <v>798</v>
      </c>
      <c r="B22" s="9"/>
      <c r="C22" s="9" t="s">
        <v>61</v>
      </c>
      <c r="D22" s="9"/>
      <c r="E22" s="23">
        <v>49759</v>
      </c>
      <c r="G22" s="42">
        <f t="shared" si="5"/>
        <v>9394821</v>
      </c>
      <c r="I22" s="42">
        <f>11083398+840933</f>
        <v>11924331</v>
      </c>
      <c r="K22" s="42">
        <v>69352</v>
      </c>
      <c r="M22" s="42">
        <v>21388504</v>
      </c>
      <c r="O22" s="42">
        <f t="shared" si="3"/>
        <v>1113321</v>
      </c>
      <c r="Q22" s="42">
        <v>344969</v>
      </c>
      <c r="S22" s="42">
        <v>3506718</v>
      </c>
      <c r="U22" s="42">
        <v>2428384</v>
      </c>
      <c r="W22" s="42">
        <v>7393392</v>
      </c>
      <c r="Y22" s="42">
        <v>8745276</v>
      </c>
      <c r="AA22" s="42">
        <f t="shared" si="6"/>
        <v>2074341</v>
      </c>
      <c r="AC22" s="42">
        <v>3175495</v>
      </c>
      <c r="AE22" s="42">
        <v>13995112</v>
      </c>
      <c r="AF22" s="42">
        <f t="shared" si="4"/>
        <v>0</v>
      </c>
      <c r="AH22" s="42">
        <f t="shared" si="7"/>
        <v>0</v>
      </c>
    </row>
    <row r="23" spans="1:34" hidden="1">
      <c r="A23" s="9" t="s">
        <v>686</v>
      </c>
      <c r="B23" s="9"/>
      <c r="C23" s="9" t="s">
        <v>598</v>
      </c>
      <c r="D23" s="9"/>
      <c r="E23" s="23">
        <v>46623</v>
      </c>
      <c r="G23" s="42">
        <f t="shared" si="5"/>
        <v>0</v>
      </c>
      <c r="I23" s="42">
        <v>0</v>
      </c>
      <c r="K23" s="42">
        <v>0</v>
      </c>
      <c r="M23" s="42">
        <v>0</v>
      </c>
      <c r="O23" s="42">
        <f t="shared" si="3"/>
        <v>0</v>
      </c>
      <c r="Q23" s="42">
        <v>0</v>
      </c>
      <c r="S23" s="42">
        <v>0</v>
      </c>
      <c r="U23" s="42">
        <v>0</v>
      </c>
      <c r="W23" s="42">
        <v>0</v>
      </c>
      <c r="Y23" s="42">
        <v>0</v>
      </c>
      <c r="AA23" s="42">
        <f t="shared" si="6"/>
        <v>0</v>
      </c>
      <c r="AC23" s="42">
        <v>0</v>
      </c>
      <c r="AE23" s="42">
        <v>0</v>
      </c>
      <c r="AF23" s="42">
        <f t="shared" si="4"/>
        <v>0</v>
      </c>
      <c r="AH23" s="42">
        <f t="shared" si="7"/>
        <v>0</v>
      </c>
    </row>
    <row r="24" spans="1:34">
      <c r="A24" s="9" t="s">
        <v>387</v>
      </c>
      <c r="B24" s="9"/>
      <c r="C24" s="9" t="s">
        <v>114</v>
      </c>
      <c r="D24" s="9"/>
      <c r="E24" s="23">
        <v>48207</v>
      </c>
      <c r="G24" s="42">
        <f t="shared" si="5"/>
        <v>35411052</v>
      </c>
      <c r="I24" s="42">
        <v>18325142</v>
      </c>
      <c r="K24" s="42">
        <v>465987</v>
      </c>
      <c r="M24" s="42">
        <f>53736194+465987</f>
        <v>54202181</v>
      </c>
      <c r="O24" s="42">
        <f t="shared" si="3"/>
        <v>5076539</v>
      </c>
      <c r="Q24" s="42">
        <v>1892847</v>
      </c>
      <c r="S24" s="42">
        <v>22197584</v>
      </c>
      <c r="U24" s="42">
        <v>23446949</v>
      </c>
      <c r="W24" s="42">
        <f>29166970+23446949</f>
        <v>52613919</v>
      </c>
      <c r="Y24" s="42">
        <v>-595267</v>
      </c>
      <c r="AA24" s="42">
        <f t="shared" si="6"/>
        <v>469392</v>
      </c>
      <c r="AC24" s="42">
        <v>1714137</v>
      </c>
      <c r="AE24" s="42">
        <v>1588262</v>
      </c>
      <c r="AF24" s="42">
        <f t="shared" si="4"/>
        <v>0</v>
      </c>
      <c r="AH24" s="42">
        <f t="shared" si="7"/>
        <v>0</v>
      </c>
    </row>
    <row r="25" spans="1:34" hidden="1">
      <c r="A25" s="9" t="s">
        <v>853</v>
      </c>
      <c r="B25" s="9"/>
      <c r="C25" s="9" t="s">
        <v>447</v>
      </c>
      <c r="D25" s="9"/>
      <c r="E25" s="23">
        <v>48991</v>
      </c>
      <c r="G25" s="42">
        <f t="shared" si="5"/>
        <v>0</v>
      </c>
      <c r="I25" s="42">
        <v>0</v>
      </c>
      <c r="K25" s="42">
        <v>0</v>
      </c>
      <c r="M25" s="42">
        <v>0</v>
      </c>
      <c r="O25" s="42">
        <f t="shared" si="3"/>
        <v>0</v>
      </c>
      <c r="Q25" s="42">
        <v>0</v>
      </c>
      <c r="S25" s="42">
        <v>0</v>
      </c>
      <c r="U25" s="42">
        <v>0</v>
      </c>
      <c r="W25" s="42">
        <v>0</v>
      </c>
      <c r="Y25" s="42">
        <v>0</v>
      </c>
      <c r="AA25" s="42">
        <f t="shared" ref="AA25" si="10">AE25-AC25-Y25</f>
        <v>0</v>
      </c>
      <c r="AC25" s="42">
        <v>0</v>
      </c>
      <c r="AE25" s="42">
        <v>0</v>
      </c>
      <c r="AF25" s="42">
        <f t="shared" ref="AF25" si="11">+M25-W25-AE25</f>
        <v>0</v>
      </c>
      <c r="AH25" s="42">
        <f t="shared" si="7"/>
        <v>0</v>
      </c>
    </row>
    <row r="26" spans="1:34">
      <c r="A26" s="9" t="s">
        <v>332</v>
      </c>
      <c r="B26" s="9"/>
      <c r="C26" s="9" t="s">
        <v>33</v>
      </c>
      <c r="D26" s="9"/>
      <c r="E26" s="23">
        <v>47415</v>
      </c>
      <c r="G26" s="42">
        <f t="shared" si="5"/>
        <v>7186475</v>
      </c>
      <c r="I26" s="42">
        <f>114075+1590875</f>
        <v>1704950</v>
      </c>
      <c r="K26" s="42">
        <v>0</v>
      </c>
      <c r="M26" s="42">
        <v>8891425</v>
      </c>
      <c r="O26" s="42">
        <f t="shared" si="3"/>
        <v>663430</v>
      </c>
      <c r="Q26" s="42">
        <v>5744</v>
      </c>
      <c r="S26" s="42">
        <v>388287</v>
      </c>
      <c r="U26" s="42">
        <v>1858668</v>
      </c>
      <c r="W26" s="42">
        <f>1057461+1858668</f>
        <v>2916129</v>
      </c>
      <c r="Y26" s="42">
        <v>1704950</v>
      </c>
      <c r="AA26" s="42">
        <f t="shared" si="6"/>
        <v>326097</v>
      </c>
      <c r="AC26" s="42">
        <v>3944249</v>
      </c>
      <c r="AE26" s="42">
        <v>5975296</v>
      </c>
      <c r="AF26" s="42">
        <f t="shared" si="4"/>
        <v>0</v>
      </c>
      <c r="AH26" s="42">
        <f t="shared" si="7"/>
        <v>0</v>
      </c>
    </row>
    <row r="27" spans="1:34" hidden="1">
      <c r="A27" s="9" t="s">
        <v>665</v>
      </c>
      <c r="B27" s="9"/>
      <c r="C27" s="9" t="s">
        <v>21</v>
      </c>
      <c r="D27" s="9"/>
      <c r="E27" s="23">
        <v>46631</v>
      </c>
      <c r="G27" s="42">
        <f t="shared" si="5"/>
        <v>0</v>
      </c>
      <c r="I27" s="42">
        <v>0</v>
      </c>
      <c r="K27" s="42">
        <v>0</v>
      </c>
      <c r="M27" s="42">
        <v>0</v>
      </c>
      <c r="O27" s="42">
        <f t="shared" si="3"/>
        <v>0</v>
      </c>
      <c r="Q27" s="42">
        <v>0</v>
      </c>
      <c r="S27" s="42">
        <v>0</v>
      </c>
      <c r="U27" s="42">
        <v>0</v>
      </c>
      <c r="W27" s="42">
        <v>0</v>
      </c>
      <c r="Y27" s="42">
        <v>0</v>
      </c>
      <c r="AA27" s="42">
        <f t="shared" si="6"/>
        <v>0</v>
      </c>
      <c r="AC27" s="42">
        <v>0</v>
      </c>
      <c r="AE27" s="42">
        <v>0</v>
      </c>
      <c r="AF27" s="42">
        <f t="shared" si="4"/>
        <v>0</v>
      </c>
      <c r="AH27" s="42">
        <f t="shared" si="7"/>
        <v>0</v>
      </c>
    </row>
    <row r="28" spans="1:34">
      <c r="A28" s="9" t="s">
        <v>854</v>
      </c>
      <c r="B28" s="9"/>
      <c r="C28" s="9" t="s">
        <v>28</v>
      </c>
      <c r="D28" s="9"/>
      <c r="E28" s="23">
        <v>47043</v>
      </c>
      <c r="G28" s="42">
        <f t="shared" si="5"/>
        <v>13681029</v>
      </c>
      <c r="I28" s="42">
        <f>2392956+14754554</f>
        <v>17147510</v>
      </c>
      <c r="K28" s="42">
        <v>0</v>
      </c>
      <c r="M28" s="42">
        <v>30828539</v>
      </c>
      <c r="O28" s="42">
        <f t="shared" si="3"/>
        <v>1587271</v>
      </c>
      <c r="Q28" s="42">
        <v>940580</v>
      </c>
      <c r="S28" s="42">
        <v>9094902</v>
      </c>
      <c r="U28" s="42">
        <v>5173728</v>
      </c>
      <c r="W28" s="42">
        <v>16796481</v>
      </c>
      <c r="Y28" s="42">
        <v>9762135</v>
      </c>
      <c r="AA28" s="42">
        <f t="shared" si="6"/>
        <v>3116992</v>
      </c>
      <c r="AC28" s="42">
        <v>1152931</v>
      </c>
      <c r="AE28" s="42">
        <v>14032058</v>
      </c>
      <c r="AF28" s="42">
        <f t="shared" si="4"/>
        <v>0</v>
      </c>
      <c r="AH28" s="42">
        <f t="shared" si="7"/>
        <v>0</v>
      </c>
    </row>
    <row r="29" spans="1:34">
      <c r="A29" s="9" t="s">
        <v>333</v>
      </c>
      <c r="B29" s="9"/>
      <c r="C29" s="9" t="s">
        <v>33</v>
      </c>
      <c r="D29" s="9"/>
      <c r="E29" s="23">
        <v>47423</v>
      </c>
      <c r="G29" s="42">
        <f t="shared" si="5"/>
        <v>3915585</v>
      </c>
      <c r="I29" s="42">
        <f>309090+4198809</f>
        <v>4507899</v>
      </c>
      <c r="K29" s="42">
        <v>0</v>
      </c>
      <c r="M29" s="42">
        <v>8423484</v>
      </c>
      <c r="O29" s="42">
        <f t="shared" si="3"/>
        <v>747226</v>
      </c>
      <c r="Q29" s="42">
        <v>165103</v>
      </c>
      <c r="S29" s="42">
        <v>913979</v>
      </c>
      <c r="U29" s="42">
        <v>1148623</v>
      </c>
      <c r="W29" s="42">
        <f>1826308+1148623</f>
        <v>2974931</v>
      </c>
      <c r="Y29" s="42">
        <v>3867899</v>
      </c>
      <c r="AA29" s="42">
        <f t="shared" si="6"/>
        <v>706221</v>
      </c>
      <c r="AC29" s="42">
        <v>874433</v>
      </c>
      <c r="AE29" s="42">
        <v>5448553</v>
      </c>
      <c r="AF29" s="42">
        <f t="shared" si="4"/>
        <v>0</v>
      </c>
      <c r="AH29" s="42">
        <f t="shared" si="7"/>
        <v>0</v>
      </c>
    </row>
    <row r="30" spans="1:34" ht="11.25" customHeight="1">
      <c r="A30" s="9" t="s">
        <v>202</v>
      </c>
      <c r="B30" s="9"/>
      <c r="C30" s="9" t="s">
        <v>11</v>
      </c>
      <c r="D30" s="9"/>
      <c r="E30" s="23">
        <v>43505</v>
      </c>
      <c r="F30" s="7"/>
      <c r="G30" s="42">
        <f t="shared" si="5"/>
        <v>68952728</v>
      </c>
      <c r="I30" s="42">
        <f>1865494+10504578</f>
        <v>12370072</v>
      </c>
      <c r="K30" s="42">
        <v>367424</v>
      </c>
      <c r="M30" s="42">
        <v>81690224</v>
      </c>
      <c r="O30" s="42">
        <f t="shared" si="3"/>
        <v>4332448</v>
      </c>
      <c r="Q30" s="42">
        <v>898699</v>
      </c>
      <c r="S30" s="42">
        <v>32347307</v>
      </c>
      <c r="U30" s="42">
        <v>12579097</v>
      </c>
      <c r="W30" s="42">
        <v>50157551</v>
      </c>
      <c r="Y30" s="42">
        <v>8645639</v>
      </c>
      <c r="AA30" s="42">
        <f t="shared" si="6"/>
        <v>17795508</v>
      </c>
      <c r="AC30" s="42">
        <v>5091526</v>
      </c>
      <c r="AE30" s="42">
        <v>31532673</v>
      </c>
      <c r="AF30" s="42">
        <f t="shared" si="4"/>
        <v>0</v>
      </c>
      <c r="AH30" s="42">
        <f t="shared" si="7"/>
        <v>0</v>
      </c>
    </row>
    <row r="31" spans="1:34">
      <c r="A31" s="9" t="s">
        <v>664</v>
      </c>
      <c r="B31" s="9"/>
      <c r="C31" s="9" t="s">
        <v>12</v>
      </c>
      <c r="D31" s="9"/>
      <c r="E31" s="23">
        <v>43513</v>
      </c>
      <c r="F31" s="7"/>
      <c r="G31" s="42">
        <f t="shared" si="5"/>
        <v>33786290</v>
      </c>
      <c r="I31" s="42">
        <f>1747472+109401841</f>
        <v>111149313</v>
      </c>
      <c r="K31" s="42">
        <v>0</v>
      </c>
      <c r="M31" s="42">
        <v>144935603</v>
      </c>
      <c r="O31" s="42">
        <f t="shared" si="3"/>
        <v>5194567</v>
      </c>
      <c r="Q31" s="42">
        <v>1879727</v>
      </c>
      <c r="S31" s="42">
        <v>33851974</v>
      </c>
      <c r="U31" s="42">
        <v>10086490</v>
      </c>
      <c r="W31" s="42">
        <v>51012758</v>
      </c>
      <c r="Y31" s="42">
        <v>78264628</v>
      </c>
      <c r="AA31" s="42">
        <f t="shared" si="6"/>
        <v>10777297</v>
      </c>
      <c r="AC31" s="42">
        <v>4880920</v>
      </c>
      <c r="AE31" s="42">
        <v>93922845</v>
      </c>
      <c r="AF31" s="42">
        <f t="shared" si="4"/>
        <v>0</v>
      </c>
      <c r="AH31" s="42">
        <f t="shared" si="7"/>
        <v>0</v>
      </c>
    </row>
    <row r="32" spans="1:34">
      <c r="A32" s="9" t="s">
        <v>209</v>
      </c>
      <c r="B32" s="9"/>
      <c r="C32" s="9" t="s">
        <v>13</v>
      </c>
      <c r="D32" s="9"/>
      <c r="E32" s="23">
        <v>43521</v>
      </c>
      <c r="F32" s="7"/>
      <c r="G32" s="42">
        <f t="shared" si="5"/>
        <v>34997027</v>
      </c>
      <c r="I32" s="42">
        <f>1582880+17589796</f>
        <v>19172676</v>
      </c>
      <c r="K32" s="42">
        <v>220201</v>
      </c>
      <c r="M32" s="42">
        <f>54169703+220201</f>
        <v>54389904</v>
      </c>
      <c r="O32" s="42">
        <f t="shared" si="3"/>
        <v>3890217</v>
      </c>
      <c r="Q32" s="42">
        <v>1680598</v>
      </c>
      <c r="S32" s="42">
        <v>11694173</v>
      </c>
      <c r="U32" s="42">
        <v>14538334</v>
      </c>
      <c r="W32" s="42">
        <f>17264988+14538334</f>
        <v>31803322</v>
      </c>
      <c r="Y32" s="42">
        <v>7467696</v>
      </c>
      <c r="AA32" s="42">
        <f t="shared" si="6"/>
        <v>5581743</v>
      </c>
      <c r="AC32" s="42">
        <v>9537143</v>
      </c>
      <c r="AE32" s="42">
        <v>22586582</v>
      </c>
      <c r="AF32" s="42">
        <f t="shared" si="4"/>
        <v>0</v>
      </c>
      <c r="AH32" s="42">
        <f t="shared" si="7"/>
        <v>0</v>
      </c>
    </row>
    <row r="33" spans="1:34">
      <c r="A33" s="9" t="s">
        <v>456</v>
      </c>
      <c r="B33" s="9"/>
      <c r="C33" s="9" t="s">
        <v>56</v>
      </c>
      <c r="D33" s="9"/>
      <c r="E33" s="23">
        <v>49171</v>
      </c>
      <c r="G33" s="42">
        <f t="shared" si="5"/>
        <v>32582749</v>
      </c>
      <c r="I33" s="42">
        <v>34117195</v>
      </c>
      <c r="K33" s="42">
        <v>0</v>
      </c>
      <c r="M33" s="42">
        <v>66699944</v>
      </c>
      <c r="O33" s="42">
        <f t="shared" si="3"/>
        <v>3550509</v>
      </c>
      <c r="Q33" s="42">
        <v>2277077</v>
      </c>
      <c r="S33" s="42">
        <v>29825731</v>
      </c>
      <c r="U33" s="42">
        <v>24235610</v>
      </c>
      <c r="W33" s="42">
        <f>35653317+24235610</f>
        <v>59888927</v>
      </c>
      <c r="Y33" s="42">
        <v>4249596</v>
      </c>
      <c r="AA33" s="42">
        <f t="shared" si="6"/>
        <v>1934349</v>
      </c>
      <c r="AC33" s="42">
        <v>627072</v>
      </c>
      <c r="AE33" s="42">
        <v>6811017</v>
      </c>
      <c r="AF33" s="42">
        <f t="shared" si="4"/>
        <v>0</v>
      </c>
      <c r="AH33" s="42">
        <f t="shared" si="7"/>
        <v>0</v>
      </c>
    </row>
    <row r="34" spans="1:34">
      <c r="A34" s="9" t="s">
        <v>398</v>
      </c>
      <c r="B34" s="9"/>
      <c r="C34" s="9" t="s">
        <v>45</v>
      </c>
      <c r="D34" s="9"/>
      <c r="E34" s="23">
        <v>48298</v>
      </c>
      <c r="G34" s="42">
        <f t="shared" si="5"/>
        <v>49702035</v>
      </c>
      <c r="I34" s="42">
        <v>69117627</v>
      </c>
      <c r="K34" s="42">
        <v>2317344</v>
      </c>
      <c r="M34" s="42">
        <f>118819662+2317344</f>
        <v>121137006</v>
      </c>
      <c r="O34" s="42">
        <f t="shared" si="3"/>
        <v>8942967</v>
      </c>
      <c r="Q34" s="42">
        <v>2332571</v>
      </c>
      <c r="S34" s="42">
        <v>51141469</v>
      </c>
      <c r="U34" s="42">
        <v>18275128</v>
      </c>
      <c r="W34" s="42">
        <f>62417007+18275128</f>
        <v>80692135</v>
      </c>
      <c r="Y34" s="42">
        <v>31791028</v>
      </c>
      <c r="AA34" s="42">
        <f t="shared" si="6"/>
        <v>4589989</v>
      </c>
      <c r="AC34" s="42">
        <v>4063854</v>
      </c>
      <c r="AE34" s="42">
        <v>40444871</v>
      </c>
      <c r="AF34" s="42">
        <f t="shared" si="4"/>
        <v>0</v>
      </c>
      <c r="AH34" s="42">
        <f t="shared" si="7"/>
        <v>0</v>
      </c>
    </row>
    <row r="35" spans="1:34">
      <c r="A35" s="9" t="s">
        <v>378</v>
      </c>
      <c r="B35" s="9"/>
      <c r="C35" s="9" t="s">
        <v>44</v>
      </c>
      <c r="D35" s="9"/>
      <c r="E35" s="23">
        <v>48124</v>
      </c>
      <c r="G35" s="42">
        <f t="shared" si="5"/>
        <v>52640382</v>
      </c>
      <c r="I35" s="42">
        <f>6051299+52660042</f>
        <v>58711341</v>
      </c>
      <c r="K35" s="42">
        <v>0</v>
      </c>
      <c r="M35" s="42">
        <v>111351723</v>
      </c>
      <c r="O35" s="42">
        <f t="shared" si="3"/>
        <v>4711365</v>
      </c>
      <c r="Q35" s="42">
        <v>4118289</v>
      </c>
      <c r="S35" s="42">
        <v>52862394</v>
      </c>
      <c r="U35" s="42">
        <v>30444721</v>
      </c>
      <c r="W35" s="42">
        <f>61692048+30444721</f>
        <v>92136769</v>
      </c>
      <c r="Y35" s="42">
        <v>8694493</v>
      </c>
      <c r="AA35" s="42">
        <f t="shared" si="6"/>
        <v>6424518</v>
      </c>
      <c r="AC35" s="42">
        <v>4095943</v>
      </c>
      <c r="AE35" s="42">
        <v>19214954</v>
      </c>
      <c r="AF35" s="42">
        <f t="shared" si="4"/>
        <v>0</v>
      </c>
      <c r="AH35" s="42">
        <f t="shared" si="7"/>
        <v>0</v>
      </c>
    </row>
    <row r="36" spans="1:34">
      <c r="A36" s="9" t="s">
        <v>379</v>
      </c>
      <c r="B36" s="9"/>
      <c r="C36" s="9" t="s">
        <v>44</v>
      </c>
      <c r="D36" s="9"/>
      <c r="E36" s="23">
        <v>48116</v>
      </c>
      <c r="G36" s="42">
        <f t="shared" si="5"/>
        <v>82651700</v>
      </c>
      <c r="I36" s="42">
        <f>4795895+48126446</f>
        <v>52922341</v>
      </c>
      <c r="K36" s="42">
        <v>102222</v>
      </c>
      <c r="M36" s="42">
        <f>135574041+102222</f>
        <v>135676263</v>
      </c>
      <c r="O36" s="42">
        <f t="shared" si="3"/>
        <v>7976852</v>
      </c>
      <c r="Q36" s="42">
        <v>3233033</v>
      </c>
      <c r="S36" s="42">
        <v>67964813</v>
      </c>
      <c r="U36" s="42">
        <v>24401089</v>
      </c>
      <c r="W36" s="42">
        <f>79174698+24401089</f>
        <v>103575787</v>
      </c>
      <c r="Y36" s="42">
        <v>15460265</v>
      </c>
      <c r="AA36" s="42">
        <f t="shared" si="6"/>
        <v>40475546</v>
      </c>
      <c r="AC36" s="42">
        <v>-23835335</v>
      </c>
      <c r="AE36" s="42">
        <v>32100476</v>
      </c>
      <c r="AF36" s="42">
        <f t="shared" si="4"/>
        <v>0</v>
      </c>
      <c r="AH36" s="42">
        <f t="shared" si="7"/>
        <v>0</v>
      </c>
    </row>
    <row r="37" spans="1:34">
      <c r="A37" s="9" t="s">
        <v>281</v>
      </c>
      <c r="B37" s="9"/>
      <c r="C37" s="9" t="s">
        <v>22</v>
      </c>
      <c r="D37" s="9"/>
      <c r="E37" s="23">
        <v>46706</v>
      </c>
      <c r="G37" s="42">
        <f t="shared" si="5"/>
        <v>7367594</v>
      </c>
      <c r="I37" s="42">
        <v>2403382</v>
      </c>
      <c r="K37" s="42">
        <v>0</v>
      </c>
      <c r="M37" s="42">
        <v>9770976</v>
      </c>
      <c r="O37" s="42">
        <f t="shared" si="3"/>
        <v>967798</v>
      </c>
      <c r="Q37" s="42">
        <v>224166</v>
      </c>
      <c r="S37" s="42">
        <v>614877</v>
      </c>
      <c r="U37" s="42">
        <v>2390354</v>
      </c>
      <c r="W37" s="42">
        <f>2390354+1806841</f>
        <v>4197195</v>
      </c>
      <c r="Y37" s="42">
        <v>2270366</v>
      </c>
      <c r="AA37" s="42">
        <f t="shared" si="6"/>
        <v>192775</v>
      </c>
      <c r="AC37" s="42">
        <v>3110640</v>
      </c>
      <c r="AE37" s="42">
        <v>5573781</v>
      </c>
      <c r="AF37" s="42">
        <f t="shared" si="4"/>
        <v>0</v>
      </c>
      <c r="AH37" s="42">
        <f t="shared" si="7"/>
        <v>0</v>
      </c>
    </row>
    <row r="38" spans="1:34">
      <c r="A38" s="9" t="s">
        <v>503</v>
      </c>
      <c r="B38" s="9"/>
      <c r="C38" s="9" t="s">
        <v>63</v>
      </c>
      <c r="D38" s="9"/>
      <c r="E38" s="23">
        <v>43539</v>
      </c>
      <c r="G38" s="42">
        <f t="shared" si="5"/>
        <v>34777116</v>
      </c>
      <c r="I38" s="42">
        <v>116926851</v>
      </c>
      <c r="K38" s="42">
        <v>577033</v>
      </c>
      <c r="M38" s="42">
        <f>151703967+577033</f>
        <v>152281000</v>
      </c>
      <c r="O38" s="42">
        <f t="shared" si="3"/>
        <v>5309793</v>
      </c>
      <c r="Q38" s="42">
        <v>2451016</v>
      </c>
      <c r="S38" s="42">
        <v>52083734</v>
      </c>
      <c r="U38" s="42">
        <v>13578282</v>
      </c>
      <c r="W38" s="42">
        <f>59844543+13578282</f>
        <v>73422825</v>
      </c>
      <c r="Y38" s="42">
        <v>70128367</v>
      </c>
      <c r="AA38" s="42">
        <f t="shared" si="6"/>
        <v>5919435</v>
      </c>
      <c r="AC38" s="42">
        <v>2810373</v>
      </c>
      <c r="AE38" s="42">
        <v>78858175</v>
      </c>
      <c r="AF38" s="42">
        <f t="shared" si="4"/>
        <v>0</v>
      </c>
      <c r="AH38" s="42">
        <f t="shared" si="7"/>
        <v>0</v>
      </c>
    </row>
    <row r="39" spans="1:34">
      <c r="A39" s="9" t="s">
        <v>744</v>
      </c>
      <c r="B39" s="9"/>
      <c r="C39" s="9" t="s">
        <v>15</v>
      </c>
      <c r="D39" s="9"/>
      <c r="E39" s="23">
        <v>45203</v>
      </c>
      <c r="G39" s="42">
        <f t="shared" si="5"/>
        <v>10304045</v>
      </c>
      <c r="I39" s="42">
        <f>293412+14962212</f>
        <v>15255624</v>
      </c>
      <c r="K39" s="42">
        <v>0</v>
      </c>
      <c r="M39" s="42">
        <v>25559669</v>
      </c>
      <c r="O39" s="42">
        <f t="shared" si="3"/>
        <v>1075882</v>
      </c>
      <c r="Q39" s="42">
        <v>311270</v>
      </c>
      <c r="S39" s="42">
        <v>3343636</v>
      </c>
      <c r="U39" s="42">
        <v>4157985</v>
      </c>
      <c r="W39" s="42">
        <f>4730788+4157985</f>
        <v>8888773</v>
      </c>
      <c r="Y39" s="42">
        <v>12441026</v>
      </c>
      <c r="AA39" s="42">
        <f t="shared" si="6"/>
        <v>1013487</v>
      </c>
      <c r="AC39" s="42">
        <v>3216383</v>
      </c>
      <c r="AE39" s="42">
        <v>16670896</v>
      </c>
      <c r="AF39" s="42">
        <f t="shared" si="4"/>
        <v>0</v>
      </c>
      <c r="AH39" s="42">
        <f t="shared" si="7"/>
        <v>0</v>
      </c>
    </row>
    <row r="40" spans="1:34">
      <c r="A40" s="9" t="s">
        <v>235</v>
      </c>
      <c r="B40" s="9"/>
      <c r="C40" s="9" t="s">
        <v>112</v>
      </c>
      <c r="D40" s="9"/>
      <c r="E40" s="23">
        <v>46300</v>
      </c>
      <c r="F40" s="7"/>
      <c r="G40" s="42">
        <f t="shared" si="5"/>
        <v>24434015</v>
      </c>
      <c r="I40" s="42">
        <f>1230447+6840316</f>
        <v>8070763</v>
      </c>
      <c r="K40" s="42">
        <v>0</v>
      </c>
      <c r="M40" s="42">
        <v>32504778</v>
      </c>
      <c r="O40" s="42">
        <f t="shared" si="3"/>
        <v>1824778</v>
      </c>
      <c r="Q40" s="42">
        <v>882071</v>
      </c>
      <c r="S40" s="42">
        <v>19952735</v>
      </c>
      <c r="U40" s="42">
        <v>7368142</v>
      </c>
      <c r="W40" s="42">
        <f>22659584+7368142</f>
        <v>30027726</v>
      </c>
      <c r="Y40" s="42">
        <v>1861013</v>
      </c>
      <c r="AA40" s="42">
        <f t="shared" si="6"/>
        <v>2428917</v>
      </c>
      <c r="AC40" s="42">
        <v>-1812878</v>
      </c>
      <c r="AE40" s="42">
        <v>2477052</v>
      </c>
      <c r="AF40" s="42">
        <f t="shared" si="4"/>
        <v>0</v>
      </c>
      <c r="AH40" s="42">
        <f t="shared" si="7"/>
        <v>0</v>
      </c>
    </row>
    <row r="41" spans="1:34" ht="12" hidden="1" customHeight="1">
      <c r="A41" s="9" t="s">
        <v>666</v>
      </c>
      <c r="B41" s="9"/>
      <c r="C41" s="9" t="s">
        <v>10</v>
      </c>
      <c r="D41" s="9"/>
      <c r="E41" s="23">
        <v>45765</v>
      </c>
      <c r="F41" s="7"/>
      <c r="G41" s="42">
        <f t="shared" si="5"/>
        <v>0</v>
      </c>
      <c r="I41" s="42">
        <v>0</v>
      </c>
      <c r="K41" s="42">
        <v>0</v>
      </c>
      <c r="M41" s="42">
        <v>0</v>
      </c>
      <c r="O41" s="42">
        <f t="shared" si="3"/>
        <v>0</v>
      </c>
      <c r="Q41" s="42">
        <v>0</v>
      </c>
      <c r="S41" s="42">
        <v>0</v>
      </c>
      <c r="U41" s="42">
        <v>0</v>
      </c>
      <c r="W41" s="42">
        <v>0</v>
      </c>
      <c r="Y41" s="42">
        <v>0</v>
      </c>
      <c r="AA41" s="42">
        <f t="shared" si="6"/>
        <v>0</v>
      </c>
      <c r="AC41" s="42">
        <v>0</v>
      </c>
      <c r="AE41" s="42">
        <v>0</v>
      </c>
      <c r="AF41" s="42">
        <f t="shared" si="4"/>
        <v>0</v>
      </c>
      <c r="AH41" s="42">
        <f t="shared" si="7"/>
        <v>0</v>
      </c>
    </row>
    <row r="42" spans="1:34">
      <c r="A42" s="9" t="s">
        <v>629</v>
      </c>
      <c r="B42" s="9"/>
      <c r="C42" s="9" t="s">
        <v>20</v>
      </c>
      <c r="D42" s="9"/>
      <c r="E42" s="23">
        <v>43547</v>
      </c>
      <c r="G42" s="42">
        <f t="shared" si="5"/>
        <v>59571447</v>
      </c>
      <c r="I42" s="42">
        <f>2312118+27226252</f>
        <v>29538370</v>
      </c>
      <c r="K42" s="42">
        <v>0</v>
      </c>
      <c r="M42" s="42">
        <v>89109817</v>
      </c>
      <c r="O42" s="42">
        <f t="shared" si="3"/>
        <v>5709257</v>
      </c>
      <c r="Q42" s="42">
        <v>1954878</v>
      </c>
      <c r="S42" s="42">
        <v>33491582</v>
      </c>
      <c r="U42" s="42">
        <v>25257252</v>
      </c>
      <c r="W42" s="42">
        <f>41155717+25257252</f>
        <v>66412969</v>
      </c>
      <c r="Y42" s="42">
        <v>12931322</v>
      </c>
      <c r="AA42" s="42">
        <f t="shared" si="6"/>
        <v>4637688</v>
      </c>
      <c r="AC42" s="42">
        <v>5127838</v>
      </c>
      <c r="AE42" s="42">
        <v>22696848</v>
      </c>
      <c r="AF42" s="42">
        <f t="shared" si="4"/>
        <v>0</v>
      </c>
      <c r="AH42" s="42">
        <f t="shared" si="7"/>
        <v>0</v>
      </c>
    </row>
    <row r="43" spans="1:34">
      <c r="A43" s="9" t="s">
        <v>259</v>
      </c>
      <c r="B43" s="9"/>
      <c r="C43" s="9" t="s">
        <v>20</v>
      </c>
      <c r="D43" s="9"/>
      <c r="E43" s="23">
        <v>43554</v>
      </c>
      <c r="G43" s="42">
        <f t="shared" si="5"/>
        <v>94720041</v>
      </c>
      <c r="I43" s="42">
        <f>978708+26012991</f>
        <v>26991699</v>
      </c>
      <c r="K43" s="42">
        <v>0</v>
      </c>
      <c r="M43" s="42">
        <v>121711740</v>
      </c>
      <c r="O43" s="42">
        <f t="shared" si="3"/>
        <v>4256927</v>
      </c>
      <c r="Q43" s="42">
        <v>2722679</v>
      </c>
      <c r="S43" s="42">
        <v>41422555</v>
      </c>
      <c r="U43" s="42">
        <v>25206963</v>
      </c>
      <c r="W43" s="42">
        <f>25206963+48402161</f>
        <v>73609124</v>
      </c>
      <c r="Y43" s="42">
        <v>18082152</v>
      </c>
      <c r="AA43" s="42">
        <f t="shared" si="6"/>
        <v>7697202</v>
      </c>
      <c r="AC43" s="42">
        <v>22323262</v>
      </c>
      <c r="AE43" s="42">
        <v>48102616</v>
      </c>
      <c r="AF43" s="42">
        <f t="shared" si="4"/>
        <v>0</v>
      </c>
      <c r="AH43" s="42">
        <f t="shared" si="7"/>
        <v>0</v>
      </c>
    </row>
    <row r="44" spans="1:34">
      <c r="A44" s="9" t="s">
        <v>244</v>
      </c>
      <c r="B44" s="9"/>
      <c r="C44" s="9" t="s">
        <v>111</v>
      </c>
      <c r="D44" s="9"/>
      <c r="E44" s="23">
        <v>46425</v>
      </c>
      <c r="G44" s="42">
        <f t="shared" si="5"/>
        <v>34124338</v>
      </c>
      <c r="I44" s="42">
        <f>1387062+3390603</f>
        <v>4777665</v>
      </c>
      <c r="K44" s="42">
        <v>0</v>
      </c>
      <c r="M44" s="42">
        <v>38902003</v>
      </c>
      <c r="O44" s="42">
        <f t="shared" si="3"/>
        <v>2530281</v>
      </c>
      <c r="Q44" s="42">
        <v>592665</v>
      </c>
      <c r="S44" s="42">
        <v>22496528</v>
      </c>
      <c r="U44" s="42">
        <v>7105995</v>
      </c>
      <c r="W44" s="42">
        <v>32725469</v>
      </c>
      <c r="Y44" s="42">
        <v>4777665</v>
      </c>
      <c r="AA44" s="42">
        <f>AE44-AC44-Y44</f>
        <v>2870499</v>
      </c>
      <c r="AC44" s="42">
        <v>-1471630</v>
      </c>
      <c r="AE44" s="42">
        <v>6176534</v>
      </c>
      <c r="AF44" s="42">
        <f t="shared" si="4"/>
        <v>0</v>
      </c>
      <c r="AH44" s="42">
        <f t="shared" si="7"/>
        <v>0</v>
      </c>
    </row>
    <row r="45" spans="1:34">
      <c r="A45" s="9" t="s">
        <v>315</v>
      </c>
      <c r="B45" s="9"/>
      <c r="C45" s="9" t="s">
        <v>113</v>
      </c>
      <c r="D45" s="9"/>
      <c r="E45" s="23">
        <v>47241</v>
      </c>
      <c r="G45" s="42">
        <f t="shared" si="5"/>
        <v>183314433</v>
      </c>
      <c r="I45" s="42">
        <v>18643820</v>
      </c>
      <c r="K45" s="42">
        <v>151903</v>
      </c>
      <c r="M45" s="42">
        <f>201958253+151903</f>
        <v>202110156</v>
      </c>
      <c r="O45" s="42">
        <f t="shared" si="3"/>
        <v>11063661</v>
      </c>
      <c r="Q45" s="42">
        <v>4949039</v>
      </c>
      <c r="S45" s="42">
        <v>102632416</v>
      </c>
      <c r="U45" s="42">
        <v>52167047</v>
      </c>
      <c r="W45" s="42">
        <f>118645116+52167047</f>
        <v>170812163</v>
      </c>
      <c r="Y45" s="42">
        <v>5530356</v>
      </c>
      <c r="AA45" s="42">
        <f t="shared" si="6"/>
        <v>14470899</v>
      </c>
      <c r="AC45" s="42">
        <v>11296738</v>
      </c>
      <c r="AE45" s="42">
        <v>31297993</v>
      </c>
      <c r="AF45" s="42">
        <f t="shared" si="4"/>
        <v>0</v>
      </c>
      <c r="AH45" s="42">
        <f t="shared" si="7"/>
        <v>0</v>
      </c>
    </row>
    <row r="46" spans="1:34">
      <c r="A46" s="9" t="s">
        <v>260</v>
      </c>
      <c r="B46" s="9"/>
      <c r="C46" s="9" t="s">
        <v>20</v>
      </c>
      <c r="D46" s="9"/>
      <c r="E46" s="23">
        <v>43562</v>
      </c>
      <c r="G46" s="42">
        <f t="shared" si="5"/>
        <v>52818754</v>
      </c>
      <c r="I46" s="42">
        <f>1585001+18754479</f>
        <v>20339480</v>
      </c>
      <c r="K46" s="42">
        <v>2611</v>
      </c>
      <c r="M46" s="42">
        <f>73158234+2611</f>
        <v>73160845</v>
      </c>
      <c r="O46" s="42">
        <f t="shared" si="3"/>
        <v>6452719</v>
      </c>
      <c r="Q46" s="42">
        <v>2123258</v>
      </c>
      <c r="S46" s="42">
        <v>4699713</v>
      </c>
      <c r="U46" s="42">
        <v>22120038</v>
      </c>
      <c r="W46" s="42">
        <f>13275690+22120038</f>
        <v>35395728</v>
      </c>
      <c r="Y46" s="42">
        <v>17552084</v>
      </c>
      <c r="AA46" s="42">
        <f t="shared" si="6"/>
        <v>1815065</v>
      </c>
      <c r="AC46" s="42">
        <v>18397968</v>
      </c>
      <c r="AE46" s="42">
        <v>37765117</v>
      </c>
      <c r="AF46" s="42">
        <f t="shared" si="4"/>
        <v>0</v>
      </c>
      <c r="AH46" s="42">
        <f t="shared" si="7"/>
        <v>0</v>
      </c>
    </row>
    <row r="47" spans="1:34">
      <c r="A47" s="9" t="s">
        <v>214</v>
      </c>
      <c r="B47" s="9"/>
      <c r="C47" s="9" t="s">
        <v>15</v>
      </c>
      <c r="D47" s="9"/>
      <c r="E47" s="23">
        <v>43570</v>
      </c>
      <c r="F47" s="7"/>
      <c r="G47" s="42">
        <f t="shared" si="5"/>
        <v>8894575</v>
      </c>
      <c r="I47" s="42">
        <f>718812+17747763</f>
        <v>18466575</v>
      </c>
      <c r="K47" s="42">
        <v>0</v>
      </c>
      <c r="M47" s="42">
        <v>27361150</v>
      </c>
      <c r="O47" s="42">
        <f t="shared" si="3"/>
        <v>2450583</v>
      </c>
      <c r="Q47" s="42">
        <v>435277</v>
      </c>
      <c r="S47" s="42">
        <v>2975637</v>
      </c>
      <c r="U47" s="42">
        <v>2714934</v>
      </c>
      <c r="W47" s="42">
        <f>5861497+2714934</f>
        <v>8576431</v>
      </c>
      <c r="Y47" s="42">
        <v>16123705</v>
      </c>
      <c r="AA47" s="42">
        <f t="shared" si="6"/>
        <v>3553571</v>
      </c>
      <c r="AC47" s="42">
        <v>-892557</v>
      </c>
      <c r="AE47" s="42">
        <v>18784719</v>
      </c>
      <c r="AF47" s="42">
        <f t="shared" si="4"/>
        <v>0</v>
      </c>
      <c r="AH47" s="42">
        <f t="shared" si="7"/>
        <v>0</v>
      </c>
    </row>
    <row r="48" spans="1:34">
      <c r="A48" s="8" t="s">
        <v>729</v>
      </c>
      <c r="B48" s="8"/>
      <c r="C48" s="8" t="s">
        <v>113</v>
      </c>
      <c r="D48" s="9"/>
      <c r="E48" s="23">
        <v>47274</v>
      </c>
      <c r="F48" s="7"/>
      <c r="G48" s="42">
        <f t="shared" si="5"/>
        <v>65783433</v>
      </c>
      <c r="I48" s="42">
        <f>4960450+15871</f>
        <v>4976321</v>
      </c>
      <c r="K48" s="42">
        <v>888497</v>
      </c>
      <c r="M48" s="42">
        <f>70759754+888497</f>
        <v>71648251</v>
      </c>
      <c r="O48" s="42">
        <f t="shared" si="3"/>
        <v>2872359</v>
      </c>
      <c r="Q48" s="42">
        <v>1893761</v>
      </c>
      <c r="S48" s="42">
        <v>44311565</v>
      </c>
      <c r="U48" s="42">
        <v>15947296</v>
      </c>
      <c r="W48" s="42">
        <f>49077685+15947296</f>
        <v>65024981</v>
      </c>
      <c r="Y48" s="42">
        <v>5312159</v>
      </c>
      <c r="AA48" s="42">
        <f t="shared" ref="AA48:AA49" si="12">AE48-AC48-Y48</f>
        <v>606732</v>
      </c>
      <c r="AC48" s="42">
        <v>704379</v>
      </c>
      <c r="AE48" s="42">
        <v>6623270</v>
      </c>
      <c r="AF48" s="42">
        <f t="shared" si="4"/>
        <v>0</v>
      </c>
      <c r="AH48" s="42">
        <f t="shared" si="7"/>
        <v>0</v>
      </c>
    </row>
    <row r="49" spans="1:34" hidden="1">
      <c r="A49" s="9" t="s">
        <v>873</v>
      </c>
      <c r="B49" s="9"/>
      <c r="C49" s="9" t="s">
        <v>43</v>
      </c>
      <c r="D49" s="9"/>
      <c r="E49" s="23">
        <v>43588</v>
      </c>
      <c r="G49" s="42">
        <f t="shared" si="5"/>
        <v>0</v>
      </c>
      <c r="I49" s="42">
        <v>0</v>
      </c>
      <c r="K49" s="42">
        <v>0</v>
      </c>
      <c r="M49" s="42">
        <v>0</v>
      </c>
      <c r="O49" s="42">
        <f t="shared" si="3"/>
        <v>0</v>
      </c>
      <c r="Q49" s="42">
        <v>0</v>
      </c>
      <c r="S49" s="42">
        <v>0</v>
      </c>
      <c r="U49" s="42">
        <v>0</v>
      </c>
      <c r="W49" s="42">
        <v>0</v>
      </c>
      <c r="Y49" s="42">
        <v>0</v>
      </c>
      <c r="AA49" s="42">
        <f t="shared" si="12"/>
        <v>0</v>
      </c>
      <c r="AC49" s="42">
        <v>0</v>
      </c>
      <c r="AE49" s="42">
        <v>0</v>
      </c>
      <c r="AF49" s="42">
        <f t="shared" ref="AF49" si="13">+M49-W49-AE49</f>
        <v>0</v>
      </c>
      <c r="AH49" s="42">
        <f t="shared" si="7"/>
        <v>0</v>
      </c>
    </row>
    <row r="50" spans="1:34">
      <c r="A50" s="9" t="s">
        <v>353</v>
      </c>
      <c r="B50" s="9"/>
      <c r="C50" s="9" t="s">
        <v>37</v>
      </c>
      <c r="D50" s="9"/>
      <c r="E50" s="23">
        <v>43596</v>
      </c>
      <c r="G50" s="42">
        <f t="shared" si="5"/>
        <v>22291747</v>
      </c>
      <c r="I50" s="42">
        <v>41091269</v>
      </c>
      <c r="K50" s="42">
        <v>0</v>
      </c>
      <c r="M50" s="42">
        <v>63383016</v>
      </c>
      <c r="O50" s="42">
        <f t="shared" si="3"/>
        <v>3026814</v>
      </c>
      <c r="Q50" s="42">
        <v>969458</v>
      </c>
      <c r="S50" s="42">
        <v>25041542</v>
      </c>
      <c r="U50" s="42">
        <v>6460196</v>
      </c>
      <c r="W50" s="42">
        <f>29037814+6460196</f>
        <v>35498010</v>
      </c>
      <c r="Y50" s="42">
        <v>20592686</v>
      </c>
      <c r="AA50" s="42">
        <f t="shared" si="6"/>
        <v>2345730</v>
      </c>
      <c r="AC50" s="42">
        <v>4946590</v>
      </c>
      <c r="AE50" s="42">
        <v>27885006</v>
      </c>
      <c r="AF50" s="42">
        <f t="shared" si="4"/>
        <v>0</v>
      </c>
      <c r="AH50" s="42">
        <f t="shared" si="7"/>
        <v>0</v>
      </c>
    </row>
    <row r="51" spans="1:34">
      <c r="A51" s="9" t="s">
        <v>543</v>
      </c>
      <c r="B51" s="9"/>
      <c r="C51" s="9" t="s">
        <v>70</v>
      </c>
      <c r="D51" s="9"/>
      <c r="E51" s="23">
        <v>43604</v>
      </c>
      <c r="G51" s="42">
        <f t="shared" si="5"/>
        <v>5726951</v>
      </c>
      <c r="I51" s="42">
        <v>5820643</v>
      </c>
      <c r="K51" s="42">
        <v>0</v>
      </c>
      <c r="M51" s="42">
        <v>11547594</v>
      </c>
      <c r="O51" s="42">
        <f t="shared" si="3"/>
        <v>1105461</v>
      </c>
      <c r="Q51" s="42">
        <v>111205</v>
      </c>
      <c r="S51" s="42">
        <v>421761</v>
      </c>
      <c r="U51" s="42">
        <v>3342597</v>
      </c>
      <c r="W51" s="42">
        <f>1638427+3342597</f>
        <v>4981024</v>
      </c>
      <c r="Y51" s="42">
        <v>5820643</v>
      </c>
      <c r="AA51" s="42">
        <f t="shared" si="6"/>
        <v>103251</v>
      </c>
      <c r="AC51" s="42">
        <v>642676</v>
      </c>
      <c r="AE51" s="42">
        <v>6566570</v>
      </c>
      <c r="AF51" s="42">
        <f t="shared" ref="AF51:AF83" si="14">+M51-W51-AE51</f>
        <v>0</v>
      </c>
      <c r="AH51" s="42">
        <f t="shared" si="7"/>
        <v>0</v>
      </c>
    </row>
    <row r="52" spans="1:34" hidden="1">
      <c r="A52" s="9" t="s">
        <v>874</v>
      </c>
      <c r="B52" s="9"/>
      <c r="C52" s="9" t="s">
        <v>43</v>
      </c>
      <c r="D52" s="9"/>
      <c r="E52" s="23">
        <v>48074</v>
      </c>
      <c r="G52" s="42">
        <f t="shared" si="5"/>
        <v>0</v>
      </c>
      <c r="I52" s="42">
        <v>0</v>
      </c>
      <c r="K52" s="42">
        <v>0</v>
      </c>
      <c r="M52" s="42">
        <v>0</v>
      </c>
      <c r="O52" s="42">
        <f t="shared" si="3"/>
        <v>0</v>
      </c>
      <c r="Q52" s="42">
        <v>0</v>
      </c>
      <c r="S52" s="42">
        <v>0</v>
      </c>
      <c r="U52" s="42">
        <v>0</v>
      </c>
      <c r="W52" s="42">
        <v>0</v>
      </c>
      <c r="Y52" s="42">
        <v>0</v>
      </c>
      <c r="AA52" s="42">
        <f t="shared" ref="AA52" si="15">AE52-AC52-Y52</f>
        <v>0</v>
      </c>
      <c r="AC52" s="42">
        <v>0</v>
      </c>
      <c r="AE52" s="42">
        <v>0</v>
      </c>
      <c r="AF52" s="42">
        <f t="shared" ref="AF52" si="16">+M52-W52-AE52</f>
        <v>0</v>
      </c>
      <c r="AH52" s="42">
        <f t="shared" si="7"/>
        <v>0</v>
      </c>
    </row>
    <row r="53" spans="1:34" hidden="1">
      <c r="A53" s="9" t="s">
        <v>857</v>
      </c>
      <c r="B53" s="9"/>
      <c r="C53" s="9" t="s">
        <v>53</v>
      </c>
      <c r="D53" s="9"/>
      <c r="E53" s="23">
        <v>48926</v>
      </c>
      <c r="G53" s="42">
        <f t="shared" si="5"/>
        <v>0</v>
      </c>
      <c r="I53" s="42">
        <v>0</v>
      </c>
      <c r="K53" s="42">
        <v>0</v>
      </c>
      <c r="M53" s="42">
        <v>0</v>
      </c>
      <c r="O53" s="42">
        <f t="shared" si="3"/>
        <v>0</v>
      </c>
      <c r="Q53" s="42">
        <v>0</v>
      </c>
      <c r="S53" s="42">
        <v>0</v>
      </c>
      <c r="U53" s="42">
        <v>0</v>
      </c>
      <c r="W53" s="42">
        <v>0</v>
      </c>
      <c r="Y53" s="42">
        <v>0</v>
      </c>
      <c r="AA53" s="42">
        <f t="shared" si="6"/>
        <v>0</v>
      </c>
      <c r="AC53" s="42">
        <v>0</v>
      </c>
      <c r="AE53" s="42">
        <v>0</v>
      </c>
      <c r="AF53" s="42">
        <f t="shared" si="14"/>
        <v>0</v>
      </c>
      <c r="AH53" s="42">
        <f t="shared" si="7"/>
        <v>0</v>
      </c>
    </row>
    <row r="54" spans="1:34">
      <c r="A54" s="9" t="s">
        <v>261</v>
      </c>
      <c r="B54" s="9"/>
      <c r="C54" s="9" t="s">
        <v>20</v>
      </c>
      <c r="D54" s="9"/>
      <c r="E54" s="23">
        <v>43612</v>
      </c>
      <c r="G54" s="42">
        <f t="shared" si="5"/>
        <v>73499674</v>
      </c>
      <c r="I54" s="42">
        <f>893217+48397927</f>
        <v>49291144</v>
      </c>
      <c r="K54" s="42">
        <v>0</v>
      </c>
      <c r="M54" s="42">
        <v>122790818</v>
      </c>
      <c r="O54" s="42">
        <f t="shared" si="3"/>
        <v>14824441</v>
      </c>
      <c r="Q54" s="42">
        <v>2387401</v>
      </c>
      <c r="S54" s="42">
        <v>35803010</v>
      </c>
      <c r="U54" s="42">
        <f>45873224+41566</f>
        <v>45914790</v>
      </c>
      <c r="W54" s="42">
        <f>53014852+45873224+41566</f>
        <v>98929642</v>
      </c>
      <c r="Y54" s="42">
        <v>10489578</v>
      </c>
      <c r="AA54" s="42">
        <f t="shared" si="6"/>
        <v>10308075</v>
      </c>
      <c r="AC54" s="42">
        <v>3063523</v>
      </c>
      <c r="AE54" s="42">
        <v>23861176</v>
      </c>
      <c r="AF54" s="42">
        <f t="shared" si="14"/>
        <v>0</v>
      </c>
      <c r="AH54" s="42">
        <f t="shared" si="7"/>
        <v>0</v>
      </c>
    </row>
    <row r="55" spans="1:34">
      <c r="A55" s="9" t="s">
        <v>634</v>
      </c>
      <c r="B55" s="9"/>
      <c r="C55" s="9" t="s">
        <v>30</v>
      </c>
      <c r="D55" s="9"/>
      <c r="E55" s="23">
        <v>47167</v>
      </c>
      <c r="G55" s="42">
        <f t="shared" si="5"/>
        <v>7249768</v>
      </c>
      <c r="I55" s="42">
        <f>13810+3397710</f>
        <v>3411520</v>
      </c>
      <c r="K55" s="42">
        <v>0</v>
      </c>
      <c r="M55" s="42">
        <v>10661288</v>
      </c>
      <c r="O55" s="42">
        <f t="shared" si="3"/>
        <v>1377905</v>
      </c>
      <c r="Q55" s="42">
        <v>422493</v>
      </c>
      <c r="S55" s="42">
        <v>712429</v>
      </c>
      <c r="U55" s="42">
        <v>3683269</v>
      </c>
      <c r="W55" s="42">
        <f>2512827+3683269</f>
        <v>6196096</v>
      </c>
      <c r="Y55" s="42">
        <v>3271163</v>
      </c>
      <c r="AA55" s="42">
        <f t="shared" si="6"/>
        <v>325136</v>
      </c>
      <c r="AC55" s="42">
        <v>868893</v>
      </c>
      <c r="AE55" s="42">
        <v>4465192</v>
      </c>
      <c r="AF55" s="42">
        <f t="shared" si="14"/>
        <v>0</v>
      </c>
      <c r="AH55" s="42">
        <f t="shared" si="7"/>
        <v>0</v>
      </c>
    </row>
    <row r="56" spans="1:34" hidden="1">
      <c r="A56" s="9" t="s">
        <v>283</v>
      </c>
      <c r="B56" s="9"/>
      <c r="C56" s="9" t="s">
        <v>24</v>
      </c>
      <c r="D56" s="9"/>
      <c r="E56" s="23">
        <v>46789</v>
      </c>
      <c r="G56" s="42">
        <f t="shared" si="5"/>
        <v>0</v>
      </c>
      <c r="I56" s="42">
        <v>0</v>
      </c>
      <c r="K56" s="42">
        <v>0</v>
      </c>
      <c r="M56" s="42">
        <v>0</v>
      </c>
      <c r="O56" s="42">
        <f t="shared" si="3"/>
        <v>0</v>
      </c>
      <c r="Q56" s="42">
        <v>0</v>
      </c>
      <c r="S56" s="42">
        <v>0</v>
      </c>
      <c r="U56" s="42">
        <v>0</v>
      </c>
      <c r="W56" s="42">
        <v>0</v>
      </c>
      <c r="Y56" s="42">
        <v>0</v>
      </c>
      <c r="AA56" s="42">
        <f t="shared" si="6"/>
        <v>0</v>
      </c>
      <c r="AC56" s="42">
        <v>0</v>
      </c>
      <c r="AE56" s="42">
        <v>0</v>
      </c>
      <c r="AF56" s="42">
        <f t="shared" si="14"/>
        <v>0</v>
      </c>
      <c r="AH56" s="42">
        <f t="shared" si="7"/>
        <v>0</v>
      </c>
    </row>
    <row r="57" spans="1:34" hidden="1">
      <c r="A57" s="9" t="s">
        <v>786</v>
      </c>
      <c r="B57" s="9"/>
      <c r="C57" s="9" t="s">
        <v>25</v>
      </c>
      <c r="D57" s="9"/>
      <c r="E57" s="23">
        <v>46854</v>
      </c>
      <c r="G57" s="42">
        <f t="shared" si="5"/>
        <v>0</v>
      </c>
      <c r="I57" s="42">
        <v>0</v>
      </c>
      <c r="K57" s="42">
        <v>0</v>
      </c>
      <c r="M57" s="42">
        <v>0</v>
      </c>
      <c r="O57" s="42">
        <f t="shared" si="3"/>
        <v>0</v>
      </c>
      <c r="Q57" s="42">
        <v>0</v>
      </c>
      <c r="S57" s="42">
        <v>0</v>
      </c>
      <c r="U57" s="42">
        <v>0</v>
      </c>
      <c r="W57" s="42">
        <v>0</v>
      </c>
      <c r="Y57" s="42">
        <v>0</v>
      </c>
      <c r="AA57" s="42">
        <f t="shared" si="6"/>
        <v>0</v>
      </c>
      <c r="AC57" s="42">
        <v>0</v>
      </c>
      <c r="AE57" s="42">
        <v>0</v>
      </c>
      <c r="AF57" s="42">
        <f t="shared" si="14"/>
        <v>0</v>
      </c>
      <c r="AH57" s="42">
        <f t="shared" si="7"/>
        <v>0</v>
      </c>
    </row>
    <row r="58" spans="1:34">
      <c r="A58" s="9" t="s">
        <v>420</v>
      </c>
      <c r="B58" s="9"/>
      <c r="C58" s="9" t="s">
        <v>48</v>
      </c>
      <c r="D58" s="9"/>
      <c r="E58" s="23">
        <v>48611</v>
      </c>
      <c r="G58" s="42">
        <f t="shared" ref="G58" si="17">+M58-I58-K58</f>
        <v>6525452</v>
      </c>
      <c r="I58" s="42">
        <f>1165600+4118216</f>
        <v>5283816</v>
      </c>
      <c r="K58" s="42">
        <v>0</v>
      </c>
      <c r="M58" s="42">
        <v>11809268</v>
      </c>
      <c r="O58" s="42">
        <f t="shared" ref="O58" si="18">+W58-Q58-S58-U58</f>
        <v>829732</v>
      </c>
      <c r="Q58" s="42">
        <v>203393</v>
      </c>
      <c r="S58" s="42">
        <v>1443440</v>
      </c>
      <c r="U58" s="42">
        <v>3133272</v>
      </c>
      <c r="W58" s="42">
        <f>2476565+3133272</f>
        <v>5609837</v>
      </c>
      <c r="Y58" s="42">
        <v>4030991</v>
      </c>
      <c r="AA58" s="42">
        <f t="shared" ref="AA58" si="19">AE58-AC58-Y58</f>
        <v>840686</v>
      </c>
      <c r="AC58" s="42">
        <v>1327754</v>
      </c>
      <c r="AE58" s="42">
        <v>6199431</v>
      </c>
      <c r="AF58" s="42">
        <f t="shared" si="14"/>
        <v>0</v>
      </c>
      <c r="AH58" s="42">
        <f t="shared" si="7"/>
        <v>0</v>
      </c>
    </row>
    <row r="59" spans="1:34">
      <c r="A59" s="9" t="s">
        <v>236</v>
      </c>
      <c r="B59" s="9"/>
      <c r="C59" s="9" t="s">
        <v>112</v>
      </c>
      <c r="D59" s="9"/>
      <c r="E59" s="23">
        <v>46318</v>
      </c>
      <c r="F59" s="7"/>
      <c r="G59" s="42">
        <f t="shared" si="5"/>
        <v>8628603</v>
      </c>
      <c r="I59" s="42">
        <f>1712185+21111445</f>
        <v>22823630</v>
      </c>
      <c r="K59" s="42">
        <v>34396</v>
      </c>
      <c r="M59" s="42">
        <f>31452233+34396</f>
        <v>31486629</v>
      </c>
      <c r="O59" s="42">
        <f t="shared" si="3"/>
        <v>1944196</v>
      </c>
      <c r="Q59" s="42">
        <v>514818</v>
      </c>
      <c r="S59" s="42">
        <v>6535454</v>
      </c>
      <c r="U59" s="42">
        <v>3074717</v>
      </c>
      <c r="W59" s="42">
        <f>8994468+3074717</f>
        <v>12069185</v>
      </c>
      <c r="Y59" s="42">
        <v>17068572</v>
      </c>
      <c r="AA59" s="42">
        <f t="shared" si="6"/>
        <v>2511186</v>
      </c>
      <c r="AC59" s="42">
        <v>-162314</v>
      </c>
      <c r="AE59" s="42">
        <v>19417444</v>
      </c>
      <c r="AF59" s="42">
        <f t="shared" si="14"/>
        <v>0</v>
      </c>
      <c r="AH59" s="42">
        <f t="shared" si="7"/>
        <v>0</v>
      </c>
    </row>
    <row r="60" spans="1:34" ht="12" hidden="1" customHeight="1">
      <c r="A60" s="9" t="s">
        <v>667</v>
      </c>
      <c r="B60" s="9"/>
      <c r="C60" s="9" t="s">
        <v>60</v>
      </c>
      <c r="D60" s="9"/>
      <c r="E60" s="23">
        <v>49692</v>
      </c>
      <c r="G60" s="42">
        <f t="shared" si="5"/>
        <v>0</v>
      </c>
      <c r="I60" s="42">
        <v>0</v>
      </c>
      <c r="K60" s="42">
        <v>0</v>
      </c>
      <c r="M60" s="42">
        <v>0</v>
      </c>
      <c r="O60" s="42">
        <f t="shared" si="3"/>
        <v>0</v>
      </c>
      <c r="Q60" s="42">
        <v>0</v>
      </c>
      <c r="S60" s="42">
        <v>0</v>
      </c>
      <c r="U60" s="42">
        <v>0</v>
      </c>
      <c r="W60" s="42">
        <v>0</v>
      </c>
      <c r="Y60" s="42">
        <v>0</v>
      </c>
      <c r="AA60" s="42">
        <f t="shared" si="6"/>
        <v>0</v>
      </c>
      <c r="AC60" s="42">
        <v>0</v>
      </c>
      <c r="AE60" s="42">
        <v>0</v>
      </c>
      <c r="AF60" s="42">
        <f t="shared" si="14"/>
        <v>0</v>
      </c>
      <c r="AH60" s="42">
        <f t="shared" si="7"/>
        <v>0</v>
      </c>
    </row>
    <row r="61" spans="1:34">
      <c r="A61" s="9" t="s">
        <v>297</v>
      </c>
      <c r="B61" s="9"/>
      <c r="C61" s="9" t="s">
        <v>27</v>
      </c>
      <c r="D61" s="9"/>
      <c r="E61" s="23">
        <v>43620</v>
      </c>
      <c r="G61" s="42">
        <f t="shared" si="5"/>
        <v>48551472</v>
      </c>
      <c r="I61" s="42">
        <f>154150+33810292</f>
        <v>33964442</v>
      </c>
      <c r="K61" s="42">
        <v>328325</v>
      </c>
      <c r="M61" s="42">
        <f>82515914+328325</f>
        <v>82844239</v>
      </c>
      <c r="O61" s="42">
        <f t="shared" si="3"/>
        <v>4190480</v>
      </c>
      <c r="Q61" s="42">
        <v>1955000</v>
      </c>
      <c r="S61" s="42">
        <v>22621804</v>
      </c>
      <c r="U61" s="42">
        <v>13611360</v>
      </c>
      <c r="W61" s="42">
        <f>28767284+13611360</f>
        <v>42378644</v>
      </c>
      <c r="Y61" s="42">
        <v>12929811</v>
      </c>
      <c r="AA61" s="42">
        <f t="shared" si="6"/>
        <v>2998249</v>
      </c>
      <c r="AC61" s="42">
        <v>24537535</v>
      </c>
      <c r="AE61" s="42">
        <v>40465595</v>
      </c>
      <c r="AF61" s="42">
        <f t="shared" si="14"/>
        <v>0</v>
      </c>
      <c r="AH61" s="42">
        <f t="shared" si="7"/>
        <v>0</v>
      </c>
    </row>
    <row r="62" spans="1:34" ht="12.75" customHeight="1">
      <c r="A62" s="9" t="s">
        <v>630</v>
      </c>
      <c r="B62" s="9"/>
      <c r="C62" s="9" t="s">
        <v>23</v>
      </c>
      <c r="D62" s="9"/>
      <c r="E62" s="23">
        <v>46748</v>
      </c>
      <c r="G62" s="42">
        <f t="shared" si="5"/>
        <v>34045660</v>
      </c>
      <c r="I62" s="42">
        <f>1762898+45655775</f>
        <v>47418673</v>
      </c>
      <c r="K62" s="42">
        <v>1107210</v>
      </c>
      <c r="M62" s="42">
        <f>81464333+1107210</f>
        <v>82571543</v>
      </c>
      <c r="O62" s="42">
        <f t="shared" si="3"/>
        <v>3862895</v>
      </c>
      <c r="Q62" s="42">
        <v>2039194</v>
      </c>
      <c r="S62" s="42">
        <v>43278799</v>
      </c>
      <c r="U62" s="42">
        <v>15389487</v>
      </c>
      <c r="W62" s="42">
        <f>49180888+15389487</f>
        <v>64570375</v>
      </c>
      <c r="Y62" s="42">
        <v>5671864</v>
      </c>
      <c r="AA62" s="42">
        <f t="shared" si="6"/>
        <v>3305711</v>
      </c>
      <c r="AC62" s="42">
        <v>9023593</v>
      </c>
      <c r="AE62" s="42">
        <v>18001168</v>
      </c>
      <c r="AF62" s="42">
        <f t="shared" si="14"/>
        <v>0</v>
      </c>
      <c r="AH62" s="42">
        <f t="shared" si="7"/>
        <v>0</v>
      </c>
    </row>
    <row r="63" spans="1:34">
      <c r="A63" s="9" t="s">
        <v>411</v>
      </c>
      <c r="B63" s="9"/>
      <c r="C63" s="9" t="s">
        <v>47</v>
      </c>
      <c r="D63" s="9"/>
      <c r="E63" s="23">
        <v>48462</v>
      </c>
      <c r="G63" s="42">
        <f t="shared" si="5"/>
        <v>6009497</v>
      </c>
      <c r="I63" s="42">
        <v>9146107</v>
      </c>
      <c r="K63" s="42">
        <v>0</v>
      </c>
      <c r="M63" s="42">
        <v>15155604</v>
      </c>
      <c r="O63" s="42">
        <f t="shared" si="3"/>
        <v>1433362</v>
      </c>
      <c r="Q63" s="42">
        <v>463253</v>
      </c>
      <c r="S63" s="42">
        <v>2464635</v>
      </c>
      <c r="U63" s="42">
        <v>3397428</v>
      </c>
      <c r="W63" s="42">
        <f>4361250+3397428</f>
        <v>7758678</v>
      </c>
      <c r="Y63" s="42">
        <v>6632737</v>
      </c>
      <c r="AA63" s="42">
        <f t="shared" si="6"/>
        <v>1089802</v>
      </c>
      <c r="AC63" s="42">
        <v>-325613</v>
      </c>
      <c r="AE63" s="42">
        <v>7396926</v>
      </c>
      <c r="AF63" s="42">
        <f t="shared" si="14"/>
        <v>0</v>
      </c>
      <c r="AH63" s="42">
        <f t="shared" si="7"/>
        <v>0</v>
      </c>
    </row>
    <row r="64" spans="1:34">
      <c r="A64" s="9" t="s">
        <v>240</v>
      </c>
      <c r="B64" s="9"/>
      <c r="C64" s="9" t="s">
        <v>18</v>
      </c>
      <c r="D64" s="9"/>
      <c r="E64" s="23">
        <v>46383</v>
      </c>
      <c r="F64" s="7"/>
      <c r="G64" s="42">
        <f t="shared" si="5"/>
        <v>10420081</v>
      </c>
      <c r="I64" s="42">
        <f>2210793+18957931</f>
        <v>21168724</v>
      </c>
      <c r="K64" s="42">
        <v>0</v>
      </c>
      <c r="M64" s="42">
        <v>31588805</v>
      </c>
      <c r="O64" s="42">
        <f t="shared" si="3"/>
        <v>5239047</v>
      </c>
      <c r="Q64" s="42">
        <v>460225</v>
      </c>
      <c r="S64" s="42">
        <v>4697563</v>
      </c>
      <c r="U64" s="42">
        <v>0</v>
      </c>
      <c r="W64" s="42">
        <v>10396835</v>
      </c>
      <c r="Y64" s="42">
        <v>16552501</v>
      </c>
      <c r="AA64" s="42">
        <f t="shared" si="6"/>
        <v>1328770</v>
      </c>
      <c r="AC64" s="42">
        <v>3310699</v>
      </c>
      <c r="AE64" s="42">
        <v>21191970</v>
      </c>
      <c r="AF64" s="42">
        <f t="shared" si="14"/>
        <v>0</v>
      </c>
      <c r="AH64" s="42">
        <f t="shared" si="7"/>
        <v>0</v>
      </c>
    </row>
    <row r="65" spans="1:34">
      <c r="A65" s="9" t="s">
        <v>291</v>
      </c>
      <c r="B65" s="9"/>
      <c r="C65" s="9" t="s">
        <v>25</v>
      </c>
      <c r="D65" s="9"/>
      <c r="E65" s="23">
        <v>46862</v>
      </c>
      <c r="G65" s="42">
        <f t="shared" si="5"/>
        <v>13672559</v>
      </c>
      <c r="I65" s="42">
        <f>19039919+12932801</f>
        <v>31972720</v>
      </c>
      <c r="K65" s="42">
        <v>92022</v>
      </c>
      <c r="M65" s="42">
        <f>45645279+92022</f>
        <v>45737301</v>
      </c>
      <c r="O65" s="42">
        <f t="shared" si="3"/>
        <v>2458698</v>
      </c>
      <c r="Q65" s="42">
        <v>1024743</v>
      </c>
      <c r="S65" s="42">
        <v>24456735</v>
      </c>
      <c r="U65" s="42">
        <v>7266800</v>
      </c>
      <c r="W65" s="42">
        <f>27940176+7266800</f>
        <v>35206976</v>
      </c>
      <c r="Y65" s="42">
        <v>14145447</v>
      </c>
      <c r="AA65" s="42">
        <f t="shared" si="6"/>
        <v>390171</v>
      </c>
      <c r="AC65" s="42">
        <v>-4005293</v>
      </c>
      <c r="AE65" s="42">
        <v>10530325</v>
      </c>
      <c r="AF65" s="42">
        <f t="shared" si="14"/>
        <v>0</v>
      </c>
      <c r="AH65" s="42">
        <f t="shared" si="7"/>
        <v>0</v>
      </c>
    </row>
    <row r="66" spans="1:34" ht="12.75" customHeight="1">
      <c r="A66" s="9" t="s">
        <v>514</v>
      </c>
      <c r="B66" s="9"/>
      <c r="C66" s="9" t="s">
        <v>64</v>
      </c>
      <c r="D66" s="9"/>
      <c r="E66" s="23">
        <v>50096</v>
      </c>
      <c r="G66" s="42">
        <f t="shared" si="5"/>
        <v>2490040</v>
      </c>
      <c r="I66" s="42">
        <v>1085589</v>
      </c>
      <c r="K66" s="42">
        <v>0</v>
      </c>
      <c r="M66" s="42">
        <v>3575629</v>
      </c>
      <c r="O66" s="42">
        <f t="shared" si="3"/>
        <v>374607</v>
      </c>
      <c r="Q66" s="42">
        <v>77802</v>
      </c>
      <c r="S66" s="42">
        <v>342337</v>
      </c>
      <c r="U66" s="42">
        <v>1278479</v>
      </c>
      <c r="W66" s="42">
        <f>794746+1278479</f>
        <v>2073225</v>
      </c>
      <c r="Y66" s="42">
        <v>842570</v>
      </c>
      <c r="AA66" s="42">
        <f t="shared" si="6"/>
        <v>175363</v>
      </c>
      <c r="AC66" s="42">
        <v>484471</v>
      </c>
      <c r="AE66" s="42">
        <v>1502404</v>
      </c>
      <c r="AF66" s="42">
        <f t="shared" si="14"/>
        <v>0</v>
      </c>
      <c r="AH66" s="42">
        <f t="shared" si="7"/>
        <v>0</v>
      </c>
    </row>
    <row r="67" spans="1:34">
      <c r="A67" s="9" t="s">
        <v>476</v>
      </c>
      <c r="B67" s="9"/>
      <c r="C67" s="9" t="s">
        <v>59</v>
      </c>
      <c r="D67" s="9"/>
      <c r="E67" s="23">
        <v>49593</v>
      </c>
      <c r="F67" s="53"/>
      <c r="G67" s="42">
        <f t="shared" si="5"/>
        <v>4337813</v>
      </c>
      <c r="I67" s="42">
        <f>269130+15479646</f>
        <v>15748776</v>
      </c>
      <c r="K67" s="42">
        <v>4165</v>
      </c>
      <c r="M67" s="42">
        <f>20086589+4165</f>
        <v>20090754</v>
      </c>
      <c r="O67" s="42">
        <f t="shared" si="3"/>
        <v>1027316</v>
      </c>
      <c r="Q67" s="42">
        <v>186560</v>
      </c>
      <c r="S67" s="42">
        <v>1395412</v>
      </c>
      <c r="U67" s="42">
        <v>1174999</v>
      </c>
      <c r="W67" s="42">
        <f>2609288+1174999</f>
        <v>3784287</v>
      </c>
      <c r="Y67" s="42">
        <v>14910127</v>
      </c>
      <c r="AA67" s="42">
        <f>AE67-AC67-Y67</f>
        <v>846374</v>
      </c>
      <c r="AC67" s="42">
        <v>549966</v>
      </c>
      <c r="AE67" s="42">
        <v>16306467</v>
      </c>
      <c r="AF67" s="42">
        <f t="shared" si="14"/>
        <v>0</v>
      </c>
      <c r="AH67" s="42">
        <f t="shared" si="7"/>
        <v>0</v>
      </c>
    </row>
    <row r="68" spans="1:34" hidden="1">
      <c r="A68" s="9" t="s">
        <v>875</v>
      </c>
      <c r="B68" s="9"/>
      <c r="C68" s="9" t="s">
        <v>10</v>
      </c>
      <c r="D68" s="9"/>
      <c r="E68" s="23">
        <v>45211</v>
      </c>
      <c r="F68" s="53"/>
      <c r="G68" s="42">
        <f t="shared" si="5"/>
        <v>0</v>
      </c>
      <c r="I68" s="42">
        <v>0</v>
      </c>
      <c r="K68" s="42">
        <v>0</v>
      </c>
      <c r="M68" s="42">
        <v>0</v>
      </c>
      <c r="O68" s="42">
        <f t="shared" si="3"/>
        <v>0</v>
      </c>
      <c r="Q68" s="42">
        <v>0</v>
      </c>
      <c r="S68" s="42">
        <v>0</v>
      </c>
      <c r="U68" s="42">
        <v>0</v>
      </c>
      <c r="W68" s="42">
        <v>0</v>
      </c>
      <c r="Y68" s="42">
        <v>0</v>
      </c>
      <c r="AA68" s="42">
        <f t="shared" si="6"/>
        <v>0</v>
      </c>
      <c r="AC68" s="42">
        <v>0</v>
      </c>
      <c r="AE68" s="42">
        <v>0</v>
      </c>
      <c r="AF68" s="42">
        <f t="shared" si="14"/>
        <v>0</v>
      </c>
      <c r="AH68" s="42">
        <f t="shared" si="7"/>
        <v>0</v>
      </c>
    </row>
    <row r="69" spans="1:34">
      <c r="A69" s="9" t="s">
        <v>399</v>
      </c>
      <c r="B69" s="9"/>
      <c r="C69" s="9" t="s">
        <v>45</v>
      </c>
      <c r="D69" s="9"/>
      <c r="E69" s="23">
        <v>48306</v>
      </c>
      <c r="G69" s="42">
        <f t="shared" si="5"/>
        <v>43119629</v>
      </c>
      <c r="I69" s="42">
        <f>3745329+24213614</f>
        <v>27958943</v>
      </c>
      <c r="K69" s="42">
        <v>0</v>
      </c>
      <c r="M69" s="42">
        <v>71078572</v>
      </c>
      <c r="O69" s="42">
        <f t="shared" si="3"/>
        <v>6574486</v>
      </c>
      <c r="Q69" s="42">
        <v>1166791</v>
      </c>
      <c r="S69" s="42">
        <v>13840378</v>
      </c>
      <c r="U69" s="42">
        <v>29066516</v>
      </c>
      <c r="W69" s="42">
        <f>21581655+29066516</f>
        <v>50648171</v>
      </c>
      <c r="Y69" s="42">
        <v>15269667</v>
      </c>
      <c r="AA69" s="42">
        <f t="shared" si="6"/>
        <v>521934</v>
      </c>
      <c r="AC69" s="42">
        <v>4638800</v>
      </c>
      <c r="AE69" s="42">
        <v>20430401</v>
      </c>
      <c r="AF69" s="42">
        <f t="shared" si="14"/>
        <v>0</v>
      </c>
      <c r="AH69" s="42">
        <f t="shared" si="7"/>
        <v>0</v>
      </c>
    </row>
    <row r="70" spans="1:34" hidden="1">
      <c r="A70" s="9" t="s">
        <v>900</v>
      </c>
      <c r="B70" s="9"/>
      <c r="C70" s="9" t="s">
        <v>61</v>
      </c>
      <c r="D70" s="9"/>
      <c r="E70" s="23">
        <v>49767</v>
      </c>
      <c r="G70" s="42">
        <f t="shared" si="5"/>
        <v>0</v>
      </c>
      <c r="I70" s="42">
        <v>0</v>
      </c>
      <c r="K70" s="42">
        <v>0</v>
      </c>
      <c r="M70" s="42">
        <v>0</v>
      </c>
      <c r="O70" s="42">
        <f t="shared" si="3"/>
        <v>0</v>
      </c>
      <c r="Q70" s="42">
        <v>0</v>
      </c>
      <c r="S70" s="42">
        <v>0</v>
      </c>
      <c r="U70" s="42">
        <v>0</v>
      </c>
      <c r="W70" s="42">
        <v>0</v>
      </c>
      <c r="Y70" s="42">
        <v>0</v>
      </c>
      <c r="AA70" s="42">
        <f t="shared" si="6"/>
        <v>0</v>
      </c>
      <c r="AC70" s="42">
        <v>0</v>
      </c>
      <c r="AE70" s="42">
        <v>0</v>
      </c>
      <c r="AF70" s="42">
        <f t="shared" si="14"/>
        <v>0</v>
      </c>
      <c r="AH70" s="42">
        <f t="shared" si="7"/>
        <v>0</v>
      </c>
    </row>
    <row r="71" spans="1:34">
      <c r="A71" s="8" t="s">
        <v>549</v>
      </c>
      <c r="B71" s="9"/>
      <c r="C71" s="9" t="s">
        <v>72</v>
      </c>
      <c r="D71" s="9"/>
      <c r="E71" s="23">
        <v>43638</v>
      </c>
      <c r="G71" s="42">
        <f t="shared" si="5"/>
        <v>26606192</v>
      </c>
      <c r="I71" s="42">
        <f>279264+34002696</f>
        <v>34281960</v>
      </c>
      <c r="K71" s="42">
        <v>0</v>
      </c>
      <c r="M71" s="42">
        <v>60888152</v>
      </c>
      <c r="O71" s="42">
        <f t="shared" si="3"/>
        <v>2867117</v>
      </c>
      <c r="Q71" s="42">
        <v>1079860</v>
      </c>
      <c r="S71" s="42">
        <v>28463120</v>
      </c>
      <c r="U71" s="42">
        <v>13737313</v>
      </c>
      <c r="W71" s="42">
        <f>13737313+32410097</f>
        <v>46147410</v>
      </c>
      <c r="Y71" s="42">
        <v>7063761</v>
      </c>
      <c r="AA71" s="42">
        <f t="shared" si="6"/>
        <v>2278527</v>
      </c>
      <c r="AC71" s="42">
        <v>5398454</v>
      </c>
      <c r="AE71" s="42">
        <v>14740742</v>
      </c>
      <c r="AF71" s="42">
        <f t="shared" si="14"/>
        <v>0</v>
      </c>
      <c r="AH71" s="42">
        <f t="shared" si="7"/>
        <v>0</v>
      </c>
    </row>
    <row r="72" spans="1:34" hidden="1">
      <c r="A72" s="9" t="s">
        <v>876</v>
      </c>
      <c r="B72" s="9"/>
      <c r="C72" s="9" t="s">
        <v>48</v>
      </c>
      <c r="D72" s="9"/>
      <c r="E72" s="23">
        <v>45229</v>
      </c>
      <c r="G72" s="42">
        <f t="shared" si="5"/>
        <v>0</v>
      </c>
      <c r="I72" s="42">
        <v>0</v>
      </c>
      <c r="K72" s="42">
        <v>0</v>
      </c>
      <c r="M72" s="42">
        <v>0</v>
      </c>
      <c r="O72" s="42">
        <f t="shared" si="3"/>
        <v>0</v>
      </c>
      <c r="Q72" s="42">
        <v>0</v>
      </c>
      <c r="S72" s="42">
        <v>0</v>
      </c>
      <c r="U72" s="42">
        <v>0</v>
      </c>
      <c r="W72" s="42">
        <v>0</v>
      </c>
      <c r="Y72" s="42">
        <v>0</v>
      </c>
      <c r="AA72" s="42">
        <f>AE72-AC72-Y72</f>
        <v>0</v>
      </c>
      <c r="AC72" s="42">
        <v>0</v>
      </c>
      <c r="AE72" s="42">
        <v>0</v>
      </c>
      <c r="AF72" s="42">
        <f t="shared" si="14"/>
        <v>0</v>
      </c>
      <c r="AH72" s="42">
        <f t="shared" si="7"/>
        <v>0</v>
      </c>
    </row>
    <row r="73" spans="1:34">
      <c r="A73" s="9" t="s">
        <v>779</v>
      </c>
      <c r="B73" s="9"/>
      <c r="C73" s="9" t="s">
        <v>20</v>
      </c>
      <c r="D73" s="9"/>
      <c r="E73" s="23">
        <v>43646</v>
      </c>
      <c r="G73" s="42">
        <f t="shared" si="5"/>
        <v>52003785</v>
      </c>
      <c r="I73" s="42">
        <f>3088833+30063228</f>
        <v>33152061</v>
      </c>
      <c r="K73" s="42">
        <v>1894785</v>
      </c>
      <c r="M73" s="42">
        <f>85155846+1894785</f>
        <v>87050631</v>
      </c>
      <c r="O73" s="42">
        <f t="shared" si="3"/>
        <v>6474980</v>
      </c>
      <c r="Q73" s="42">
        <v>2049930</v>
      </c>
      <c r="S73" s="42">
        <v>23345709</v>
      </c>
      <c r="U73" s="42">
        <v>29646990</v>
      </c>
      <c r="W73" s="42">
        <f>31870619+29646990</f>
        <v>61517609</v>
      </c>
      <c r="Y73" s="42">
        <v>14666664</v>
      </c>
      <c r="AA73" s="42">
        <f t="shared" si="6"/>
        <v>6481281</v>
      </c>
      <c r="AC73" s="42">
        <v>4385077</v>
      </c>
      <c r="AE73" s="42">
        <v>25533022</v>
      </c>
      <c r="AF73" s="42">
        <f t="shared" si="14"/>
        <v>0</v>
      </c>
      <c r="AH73" s="42">
        <f t="shared" si="7"/>
        <v>0</v>
      </c>
    </row>
    <row r="74" spans="1:34">
      <c r="A74" s="8" t="s">
        <v>745</v>
      </c>
      <c r="B74" s="8"/>
      <c r="C74" s="8" t="s">
        <v>15</v>
      </c>
      <c r="D74" s="8"/>
      <c r="E74" s="23">
        <v>45237</v>
      </c>
      <c r="G74" s="42">
        <f t="shared" si="5"/>
        <v>4923413</v>
      </c>
      <c r="I74" s="42">
        <v>18032190</v>
      </c>
      <c r="K74" s="42">
        <v>464740</v>
      </c>
      <c r="M74" s="42">
        <f>22955603+464740</f>
        <v>23420343</v>
      </c>
      <c r="O74" s="42">
        <f t="shared" si="3"/>
        <v>794499</v>
      </c>
      <c r="Q74" s="42">
        <v>269510</v>
      </c>
      <c r="S74" s="42">
        <v>4873480</v>
      </c>
      <c r="U74" s="42">
        <v>1566298</v>
      </c>
      <c r="W74" s="42">
        <f>5937489+1566298</f>
        <v>7503787</v>
      </c>
      <c r="Y74" s="42">
        <v>13919443</v>
      </c>
      <c r="AA74" s="42">
        <f t="shared" si="6"/>
        <v>914616</v>
      </c>
      <c r="AC74" s="42">
        <v>1082497</v>
      </c>
      <c r="AE74" s="42">
        <v>15916556</v>
      </c>
      <c r="AF74" s="42">
        <f t="shared" si="14"/>
        <v>0</v>
      </c>
      <c r="AH74" s="42">
        <f t="shared" si="7"/>
        <v>0</v>
      </c>
    </row>
    <row r="75" spans="1:34" hidden="1">
      <c r="A75" s="9" t="s">
        <v>787</v>
      </c>
      <c r="B75" s="9"/>
      <c r="C75" s="9" t="s">
        <v>346</v>
      </c>
      <c r="D75" s="9"/>
      <c r="E75" s="23">
        <v>47613</v>
      </c>
      <c r="G75" s="42">
        <f t="shared" si="5"/>
        <v>0</v>
      </c>
      <c r="I75" s="42">
        <v>0</v>
      </c>
      <c r="K75" s="42">
        <v>0</v>
      </c>
      <c r="M75" s="42">
        <v>0</v>
      </c>
      <c r="O75" s="42">
        <f t="shared" si="3"/>
        <v>0</v>
      </c>
      <c r="Q75" s="42">
        <v>0</v>
      </c>
      <c r="S75" s="42">
        <v>0</v>
      </c>
      <c r="U75" s="42">
        <v>0</v>
      </c>
      <c r="W75" s="42">
        <v>0</v>
      </c>
      <c r="Y75" s="42">
        <v>0</v>
      </c>
      <c r="AA75" s="42">
        <f t="shared" si="6"/>
        <v>0</v>
      </c>
      <c r="AC75" s="42">
        <v>0</v>
      </c>
      <c r="AE75" s="42">
        <v>0</v>
      </c>
      <c r="AF75" s="42">
        <f t="shared" si="14"/>
        <v>0</v>
      </c>
      <c r="AH75" s="42">
        <f t="shared" si="7"/>
        <v>0</v>
      </c>
    </row>
    <row r="76" spans="1:34">
      <c r="A76" s="9" t="s">
        <v>515</v>
      </c>
      <c r="B76" s="9"/>
      <c r="C76" s="9" t="s">
        <v>64</v>
      </c>
      <c r="D76" s="9"/>
      <c r="E76" s="23">
        <v>50112</v>
      </c>
      <c r="G76" s="42">
        <f t="shared" si="5"/>
        <v>5886224</v>
      </c>
      <c r="I76" s="42">
        <v>9215522</v>
      </c>
      <c r="K76" s="42">
        <v>22416</v>
      </c>
      <c r="M76" s="42">
        <f>15101746+22416</f>
        <v>15124162</v>
      </c>
      <c r="O76" s="42">
        <f t="shared" si="3"/>
        <v>643302</v>
      </c>
      <c r="Q76" s="42">
        <v>222595</v>
      </c>
      <c r="S76" s="42">
        <v>1715134</v>
      </c>
      <c r="U76" s="42">
        <v>2489945</v>
      </c>
      <c r="W76" s="42">
        <f>2581031+2489945</f>
        <v>5070976</v>
      </c>
      <c r="Y76" s="42">
        <v>7804771</v>
      </c>
      <c r="AA76" s="42">
        <f t="shared" si="6"/>
        <v>681364</v>
      </c>
      <c r="AC76" s="42">
        <v>1567051</v>
      </c>
      <c r="AE76" s="42">
        <v>10053186</v>
      </c>
      <c r="AF76" s="42">
        <f t="shared" si="14"/>
        <v>0</v>
      </c>
      <c r="AH76" s="42">
        <f t="shared" si="7"/>
        <v>0</v>
      </c>
    </row>
    <row r="77" spans="1:34">
      <c r="A77" s="9" t="s">
        <v>668</v>
      </c>
      <c r="B77" s="9"/>
      <c r="C77" s="9" t="s">
        <v>64</v>
      </c>
      <c r="D77" s="9"/>
      <c r="E77" s="23">
        <v>50120</v>
      </c>
      <c r="G77" s="42">
        <f t="shared" si="5"/>
        <v>5980446</v>
      </c>
      <c r="I77" s="42">
        <f>1169151+32447171</f>
        <v>33616322</v>
      </c>
      <c r="K77" s="42">
        <v>0</v>
      </c>
      <c r="M77" s="42">
        <v>39596768</v>
      </c>
      <c r="O77" s="42">
        <f t="shared" si="3"/>
        <v>2686119</v>
      </c>
      <c r="Q77" s="42">
        <v>392874</v>
      </c>
      <c r="S77" s="42">
        <v>14252839</v>
      </c>
      <c r="U77" s="42">
        <v>3832063</v>
      </c>
      <c r="W77" s="42">
        <f>17331832+3832063</f>
        <v>21163895</v>
      </c>
      <c r="Y77" s="42">
        <v>19955788</v>
      </c>
      <c r="AA77" s="42">
        <f t="shared" si="6"/>
        <v>769188</v>
      </c>
      <c r="AC77" s="42">
        <v>-2292103</v>
      </c>
      <c r="AE77" s="42">
        <v>18432873</v>
      </c>
      <c r="AF77" s="42">
        <f t="shared" si="14"/>
        <v>0</v>
      </c>
      <c r="AH77" s="42">
        <f t="shared" si="7"/>
        <v>0</v>
      </c>
    </row>
    <row r="78" spans="1:34">
      <c r="A78" s="9" t="s">
        <v>262</v>
      </c>
      <c r="B78" s="9"/>
      <c r="C78" s="9" t="s">
        <v>20</v>
      </c>
      <c r="D78" s="9"/>
      <c r="E78" s="23">
        <v>43653</v>
      </c>
      <c r="G78" s="42">
        <f t="shared" si="5"/>
        <v>14150656</v>
      </c>
      <c r="I78" s="42">
        <f>33000+3125976</f>
        <v>3158976</v>
      </c>
      <c r="K78" s="42">
        <v>0</v>
      </c>
      <c r="M78" s="42">
        <v>17309632</v>
      </c>
      <c r="O78" s="42">
        <f t="shared" ref="O78:O141" si="20">+W78-Q78-S78-U78</f>
        <v>1734103</v>
      </c>
      <c r="Q78" s="42">
        <v>47149</v>
      </c>
      <c r="S78" s="42">
        <v>1344291</v>
      </c>
      <c r="U78" s="42">
        <v>7253510</v>
      </c>
      <c r="W78" s="42">
        <f>3125543+7253510</f>
        <v>10379053</v>
      </c>
      <c r="Y78" s="42">
        <v>3158976</v>
      </c>
      <c r="AA78" s="42">
        <f t="shared" si="6"/>
        <v>465107</v>
      </c>
      <c r="AC78" s="42">
        <v>3306496</v>
      </c>
      <c r="AE78" s="42">
        <v>6930579</v>
      </c>
      <c r="AF78" s="42">
        <f t="shared" si="14"/>
        <v>0</v>
      </c>
      <c r="AH78" s="42">
        <f t="shared" si="7"/>
        <v>0</v>
      </c>
    </row>
    <row r="79" spans="1:34">
      <c r="A79" s="9" t="s">
        <v>425</v>
      </c>
      <c r="B79" s="9"/>
      <c r="C79" s="9" t="s">
        <v>50</v>
      </c>
      <c r="D79" s="9"/>
      <c r="E79" s="23">
        <v>48678</v>
      </c>
      <c r="G79" s="42">
        <f t="shared" ref="G79:G142" si="21">+M79-I79-K79</f>
        <v>16710483</v>
      </c>
      <c r="I79" s="42">
        <f>935308+30004912</f>
        <v>30940220</v>
      </c>
      <c r="K79" s="42">
        <v>0</v>
      </c>
      <c r="M79" s="42">
        <v>47650703</v>
      </c>
      <c r="O79" s="42">
        <f t="shared" si="20"/>
        <v>7590671</v>
      </c>
      <c r="Q79" s="42">
        <v>880307</v>
      </c>
      <c r="S79" s="42">
        <v>20133226</v>
      </c>
      <c r="U79" s="42">
        <v>0</v>
      </c>
      <c r="W79" s="42">
        <v>28604204</v>
      </c>
      <c r="Y79" s="42">
        <v>11871586</v>
      </c>
      <c r="AA79" s="42">
        <f t="shared" si="6"/>
        <v>6080457</v>
      </c>
      <c r="AC79" s="42">
        <v>1094456</v>
      </c>
      <c r="AE79" s="42">
        <v>19046499</v>
      </c>
      <c r="AF79" s="42">
        <f t="shared" si="14"/>
        <v>0</v>
      </c>
      <c r="AH79" s="42">
        <f t="shared" si="7"/>
        <v>0</v>
      </c>
    </row>
    <row r="80" spans="1:34">
      <c r="A80" s="8" t="s">
        <v>226</v>
      </c>
      <c r="B80" s="8"/>
      <c r="C80" s="8" t="s">
        <v>16</v>
      </c>
      <c r="D80" s="8"/>
      <c r="E80" s="23">
        <v>46177</v>
      </c>
      <c r="G80" s="42">
        <f t="shared" si="21"/>
        <v>7802935</v>
      </c>
      <c r="I80" s="42">
        <f>87317+961732</f>
        <v>1049049</v>
      </c>
      <c r="K80" s="42">
        <v>0</v>
      </c>
      <c r="M80" s="42">
        <v>8851984</v>
      </c>
      <c r="O80" s="42">
        <f t="shared" si="20"/>
        <v>609173</v>
      </c>
      <c r="Q80" s="42">
        <v>73175</v>
      </c>
      <c r="S80" s="42">
        <v>173299</v>
      </c>
      <c r="U80" s="42">
        <v>1882087</v>
      </c>
      <c r="W80" s="42">
        <f>1882087+855647</f>
        <v>2737734</v>
      </c>
      <c r="Y80" s="42">
        <v>983555</v>
      </c>
      <c r="AA80" s="42">
        <f t="shared" si="6"/>
        <v>670200</v>
      </c>
      <c r="AC80" s="42">
        <v>4460495</v>
      </c>
      <c r="AE80" s="42">
        <v>6114250</v>
      </c>
      <c r="AF80" s="42">
        <f t="shared" si="14"/>
        <v>0</v>
      </c>
      <c r="AH80" s="42">
        <f t="shared" ref="AH80:AH143" si="22">+G80+I80+K80-O80-Q80-Y80-AA80-AC80-S80-U80</f>
        <v>0</v>
      </c>
    </row>
    <row r="81" spans="1:34">
      <c r="A81" s="9" t="s">
        <v>412</v>
      </c>
      <c r="B81" s="9"/>
      <c r="C81" s="9" t="s">
        <v>47</v>
      </c>
      <c r="D81" s="9"/>
      <c r="E81" s="23">
        <v>43661</v>
      </c>
      <c r="G81" s="42">
        <f t="shared" si="21"/>
        <v>50288241</v>
      </c>
      <c r="I81" s="42">
        <f>1580645+38767632</f>
        <v>40348277</v>
      </c>
      <c r="K81" s="42">
        <v>0</v>
      </c>
      <c r="M81" s="42">
        <v>90636518</v>
      </c>
      <c r="O81" s="42">
        <f t="shared" si="20"/>
        <v>42069538</v>
      </c>
      <c r="Q81" s="42">
        <v>2475009</v>
      </c>
      <c r="S81" s="42">
        <v>37983901</v>
      </c>
      <c r="U81" s="42">
        <v>0</v>
      </c>
      <c r="W81" s="42">
        <v>82528448</v>
      </c>
      <c r="Y81" s="42">
        <v>5911260</v>
      </c>
      <c r="AA81" s="42">
        <f t="shared" si="6"/>
        <v>5806158</v>
      </c>
      <c r="AC81" s="42">
        <v>-3609348</v>
      </c>
      <c r="AE81" s="42">
        <v>8108070</v>
      </c>
      <c r="AF81" s="42">
        <f t="shared" si="14"/>
        <v>0</v>
      </c>
      <c r="AH81" s="42">
        <f t="shared" si="22"/>
        <v>0</v>
      </c>
    </row>
    <row r="82" spans="1:34" hidden="1">
      <c r="A82" s="9" t="s">
        <v>669</v>
      </c>
      <c r="B82" s="9"/>
      <c r="C82" s="9" t="s">
        <v>548</v>
      </c>
      <c r="D82" s="9"/>
      <c r="E82" s="23">
        <v>43679</v>
      </c>
      <c r="G82" s="42">
        <f t="shared" si="21"/>
        <v>0</v>
      </c>
      <c r="I82" s="42">
        <v>0</v>
      </c>
      <c r="K82" s="42">
        <v>0</v>
      </c>
      <c r="M82" s="42">
        <v>0</v>
      </c>
      <c r="O82" s="42">
        <f t="shared" si="20"/>
        <v>0</v>
      </c>
      <c r="Q82" s="42">
        <v>0</v>
      </c>
      <c r="S82" s="42">
        <v>0</v>
      </c>
      <c r="U82" s="42">
        <v>0</v>
      </c>
      <c r="W82" s="42">
        <v>0</v>
      </c>
      <c r="Y82" s="42">
        <v>0</v>
      </c>
      <c r="AA82" s="42">
        <f t="shared" si="6"/>
        <v>0</v>
      </c>
      <c r="AC82" s="42">
        <v>0</v>
      </c>
      <c r="AE82" s="42">
        <v>0</v>
      </c>
      <c r="AF82" s="42">
        <f t="shared" si="14"/>
        <v>0</v>
      </c>
      <c r="AH82" s="42">
        <f t="shared" si="22"/>
        <v>0</v>
      </c>
    </row>
    <row r="83" spans="1:34">
      <c r="A83" s="9" t="s">
        <v>254</v>
      </c>
      <c r="B83" s="9"/>
      <c r="C83" s="9" t="s">
        <v>110</v>
      </c>
      <c r="D83" s="9"/>
      <c r="E83" s="23">
        <v>46508</v>
      </c>
      <c r="G83" s="42">
        <f t="shared" si="21"/>
        <v>9042907</v>
      </c>
      <c r="I83" s="42">
        <v>24455526</v>
      </c>
      <c r="K83" s="42">
        <v>0</v>
      </c>
      <c r="M83" s="42">
        <v>33498433</v>
      </c>
      <c r="O83" s="42">
        <f t="shared" si="20"/>
        <v>862996</v>
      </c>
      <c r="Q83" s="42">
        <v>376720</v>
      </c>
      <c r="S83" s="42">
        <v>8321072</v>
      </c>
      <c r="U83" s="42">
        <v>1824381</v>
      </c>
      <c r="W83" s="42">
        <f>9560788+1824381</f>
        <v>11385169</v>
      </c>
      <c r="Y83" s="42">
        <v>16243765</v>
      </c>
      <c r="AA83" s="42">
        <f t="shared" si="6"/>
        <v>2801538</v>
      </c>
      <c r="AC83" s="42">
        <v>3067961</v>
      </c>
      <c r="AE83" s="42">
        <v>22113264</v>
      </c>
      <c r="AF83" s="42">
        <f t="shared" si="14"/>
        <v>0</v>
      </c>
      <c r="AH83" s="42">
        <f t="shared" si="22"/>
        <v>0</v>
      </c>
    </row>
    <row r="84" spans="1:34">
      <c r="A84" s="9" t="s">
        <v>205</v>
      </c>
      <c r="B84" s="9"/>
      <c r="C84" s="9" t="s">
        <v>12</v>
      </c>
      <c r="D84" s="9"/>
      <c r="E84" s="23">
        <v>45856</v>
      </c>
      <c r="F84" s="7"/>
      <c r="G84" s="42">
        <f t="shared" si="21"/>
        <v>12756754</v>
      </c>
      <c r="I84" s="42">
        <f>402305+2494794</f>
        <v>2897099</v>
      </c>
      <c r="K84" s="42">
        <v>0</v>
      </c>
      <c r="M84" s="42">
        <v>15653853</v>
      </c>
      <c r="O84" s="42">
        <f t="shared" si="20"/>
        <v>2095320</v>
      </c>
      <c r="Q84" s="42">
        <v>64120</v>
      </c>
      <c r="S84" s="42">
        <v>1055399</v>
      </c>
      <c r="U84" s="42">
        <v>5633793</v>
      </c>
      <c r="W84" s="42">
        <f>3214839+5633793</f>
        <v>8848632</v>
      </c>
      <c r="Y84" s="42">
        <v>2881279</v>
      </c>
      <c r="AA84" s="42">
        <f t="shared" si="6"/>
        <v>694713</v>
      </c>
      <c r="AC84" s="42">
        <v>3229229</v>
      </c>
      <c r="AE84" s="42">
        <v>6805221</v>
      </c>
      <c r="AF84" s="42">
        <f t="shared" ref="AF84:AF89" si="23">+M84-W84-AE84</f>
        <v>0</v>
      </c>
      <c r="AH84" s="42">
        <f t="shared" si="22"/>
        <v>0</v>
      </c>
    </row>
    <row r="85" spans="1:34">
      <c r="A85" s="9" t="s">
        <v>205</v>
      </c>
      <c r="B85" s="9"/>
      <c r="C85" s="9" t="s">
        <v>39</v>
      </c>
      <c r="D85" s="9"/>
      <c r="E85" s="23">
        <v>47787</v>
      </c>
      <c r="F85" s="7"/>
      <c r="G85" s="42">
        <f t="shared" si="21"/>
        <v>9502342</v>
      </c>
      <c r="I85" s="42">
        <f>576897+9399617</f>
        <v>9976514</v>
      </c>
      <c r="K85" s="42">
        <v>0</v>
      </c>
      <c r="M85" s="42">
        <v>19478856</v>
      </c>
      <c r="O85" s="42">
        <f t="shared" si="20"/>
        <v>2747004</v>
      </c>
      <c r="Q85" s="42">
        <v>137831</v>
      </c>
      <c r="S85" s="42">
        <v>2022385</v>
      </c>
      <c r="U85" s="42">
        <v>6646685</v>
      </c>
      <c r="W85" s="42">
        <f>4907220+6646685</f>
        <v>11553905</v>
      </c>
      <c r="Y85" s="42">
        <v>8939425</v>
      </c>
      <c r="AA85" s="42">
        <f t="shared" si="6"/>
        <v>404729</v>
      </c>
      <c r="AC85" s="42">
        <v>-1419203</v>
      </c>
      <c r="AE85" s="42">
        <v>7924951</v>
      </c>
      <c r="AF85" s="42">
        <f t="shared" si="23"/>
        <v>0</v>
      </c>
      <c r="AH85" s="42">
        <f t="shared" si="22"/>
        <v>0</v>
      </c>
    </row>
    <row r="86" spans="1:34">
      <c r="A86" s="9" t="s">
        <v>670</v>
      </c>
      <c r="B86" s="9"/>
      <c r="C86" s="9" t="s">
        <v>47</v>
      </c>
      <c r="D86" s="9"/>
      <c r="E86" s="23">
        <v>48470</v>
      </c>
      <c r="G86" s="42">
        <f t="shared" si="21"/>
        <v>19450027</v>
      </c>
      <c r="I86" s="42">
        <f>830095+25905778</f>
        <v>26735873</v>
      </c>
      <c r="K86" s="42">
        <v>0</v>
      </c>
      <c r="M86" s="42">
        <v>46185900</v>
      </c>
      <c r="O86" s="42">
        <f t="shared" si="20"/>
        <v>14569887</v>
      </c>
      <c r="Q86" s="42">
        <v>1593772</v>
      </c>
      <c r="S86" s="42">
        <v>19404772</v>
      </c>
      <c r="U86" s="42">
        <v>0</v>
      </c>
      <c r="W86" s="42">
        <v>35568431</v>
      </c>
      <c r="Y86" s="42">
        <v>7965758</v>
      </c>
      <c r="AA86" s="42">
        <f>AE86-AC86-Y86</f>
        <v>3413331</v>
      </c>
      <c r="AC86" s="42">
        <v>-761620</v>
      </c>
      <c r="AE86" s="42">
        <v>10617469</v>
      </c>
      <c r="AF86" s="42">
        <f t="shared" si="23"/>
        <v>0</v>
      </c>
      <c r="AH86" s="42">
        <f t="shared" si="22"/>
        <v>0</v>
      </c>
    </row>
    <row r="87" spans="1:34" hidden="1">
      <c r="A87" s="35" t="s">
        <v>788</v>
      </c>
      <c r="C87" s="42" t="s">
        <v>111</v>
      </c>
      <c r="D87" s="9"/>
      <c r="E87" s="54" t="s">
        <v>871</v>
      </c>
      <c r="G87" s="42">
        <f t="shared" si="21"/>
        <v>0</v>
      </c>
      <c r="I87" s="42">
        <v>0</v>
      </c>
      <c r="K87" s="42">
        <v>0</v>
      </c>
      <c r="M87" s="42">
        <v>0</v>
      </c>
      <c r="O87" s="42">
        <f t="shared" si="20"/>
        <v>0</v>
      </c>
      <c r="Q87" s="42">
        <v>0</v>
      </c>
      <c r="S87" s="42">
        <v>0</v>
      </c>
      <c r="U87" s="42">
        <v>0</v>
      </c>
      <c r="W87" s="42">
        <v>0</v>
      </c>
      <c r="Y87" s="42">
        <v>0</v>
      </c>
      <c r="AA87" s="42">
        <f>AE87-AC87-Y87</f>
        <v>0</v>
      </c>
      <c r="AC87" s="42">
        <v>0</v>
      </c>
      <c r="AE87" s="42">
        <v>0</v>
      </c>
      <c r="AF87" s="42">
        <f t="shared" si="23"/>
        <v>0</v>
      </c>
      <c r="AH87" s="42">
        <f t="shared" si="22"/>
        <v>0</v>
      </c>
    </row>
    <row r="88" spans="1:34">
      <c r="A88" s="9" t="s">
        <v>631</v>
      </c>
      <c r="B88" s="9"/>
      <c r="C88" s="9" t="s">
        <v>23</v>
      </c>
      <c r="D88" s="9"/>
      <c r="E88" s="23">
        <v>46755</v>
      </c>
      <c r="G88" s="42">
        <f t="shared" si="21"/>
        <v>22479124</v>
      </c>
      <c r="I88" s="42">
        <v>29741426</v>
      </c>
      <c r="K88" s="42">
        <v>264697</v>
      </c>
      <c r="M88" s="42">
        <f>52220550+264697</f>
        <v>52485247</v>
      </c>
      <c r="O88" s="42">
        <f t="shared" si="20"/>
        <v>2317792</v>
      </c>
      <c r="Q88" s="42">
        <v>1609049</v>
      </c>
      <c r="S88" s="42">
        <v>22229933</v>
      </c>
      <c r="U88" s="42">
        <v>9200066</v>
      </c>
      <c r="W88" s="42">
        <f>26156774+9200066</f>
        <v>35356840</v>
      </c>
      <c r="Y88" s="42">
        <v>8913876</v>
      </c>
      <c r="AA88" s="42">
        <f>AE88-AC88-Y88</f>
        <v>1531703</v>
      </c>
      <c r="AC88" s="42">
        <v>6682828</v>
      </c>
      <c r="AE88" s="42">
        <v>17128407</v>
      </c>
      <c r="AF88" s="42">
        <f t="shared" si="23"/>
        <v>0</v>
      </c>
      <c r="AH88" s="42">
        <f t="shared" si="22"/>
        <v>0</v>
      </c>
    </row>
    <row r="89" spans="1:34">
      <c r="A89" s="9" t="s">
        <v>255</v>
      </c>
      <c r="B89" s="9"/>
      <c r="C89" s="9" t="s">
        <v>110</v>
      </c>
      <c r="D89" s="9"/>
      <c r="E89" s="23">
        <v>43687</v>
      </c>
      <c r="F89" s="53"/>
      <c r="G89" s="42">
        <f t="shared" si="21"/>
        <v>13666574</v>
      </c>
      <c r="I89" s="42">
        <f>475000+34973202</f>
        <v>35448202</v>
      </c>
      <c r="K89" s="42">
        <v>1466979</v>
      </c>
      <c r="M89" s="42">
        <f>1466979+49114776</f>
        <v>50581755</v>
      </c>
      <c r="O89" s="42">
        <f t="shared" si="20"/>
        <v>2184653</v>
      </c>
      <c r="Q89" s="42">
        <v>506563</v>
      </c>
      <c r="S89" s="42">
        <v>14278494</v>
      </c>
      <c r="U89" s="42">
        <v>3806037</v>
      </c>
      <c r="W89" s="42">
        <f>16969710+3806037</f>
        <v>20775747</v>
      </c>
      <c r="Y89" s="42">
        <v>23546025</v>
      </c>
      <c r="AA89" s="42">
        <f>AE89-AC89-Y89</f>
        <v>1950078</v>
      </c>
      <c r="AC89" s="42">
        <v>4309905</v>
      </c>
      <c r="AE89" s="42">
        <v>29806008</v>
      </c>
      <c r="AF89" s="42">
        <f t="shared" si="23"/>
        <v>0</v>
      </c>
      <c r="AH89" s="42">
        <f t="shared" si="22"/>
        <v>0</v>
      </c>
    </row>
    <row r="90" spans="1:34">
      <c r="A90" s="9" t="s">
        <v>746</v>
      </c>
      <c r="B90" s="9"/>
      <c r="C90" s="9" t="s">
        <v>52</v>
      </c>
      <c r="D90" s="9"/>
      <c r="E90" s="23">
        <v>45252</v>
      </c>
      <c r="G90" s="42">
        <f t="shared" si="21"/>
        <v>6767660</v>
      </c>
      <c r="I90" s="42">
        <f>381096+3540654</f>
        <v>3921750</v>
      </c>
      <c r="K90" s="42">
        <v>0</v>
      </c>
      <c r="M90" s="42">
        <v>10689410</v>
      </c>
      <c r="O90" s="42">
        <f t="shared" si="20"/>
        <v>1233005</v>
      </c>
      <c r="Q90" s="42">
        <v>16313</v>
      </c>
      <c r="S90" s="42">
        <v>305653</v>
      </c>
      <c r="U90" s="42">
        <v>1974954</v>
      </c>
      <c r="W90" s="42">
        <f>1554971+1974954</f>
        <v>3529925</v>
      </c>
      <c r="Y90" s="42">
        <v>3912393</v>
      </c>
      <c r="AA90" s="42">
        <f t="shared" ref="AA90:AA153" si="24">AE90-AC90-Y90</f>
        <v>386774</v>
      </c>
      <c r="AC90" s="42">
        <v>2860318</v>
      </c>
      <c r="AE90" s="42">
        <v>7159485</v>
      </c>
      <c r="AF90" s="42">
        <f t="shared" ref="AF90:AF156" si="25">+M90-W90-AE90</f>
        <v>0</v>
      </c>
      <c r="AH90" s="42">
        <f t="shared" si="22"/>
        <v>0</v>
      </c>
    </row>
    <row r="91" spans="1:34">
      <c r="A91" s="9" t="s">
        <v>317</v>
      </c>
      <c r="B91" s="9"/>
      <c r="C91" s="9" t="s">
        <v>31</v>
      </c>
      <c r="D91" s="9"/>
      <c r="E91" s="23">
        <v>43695</v>
      </c>
      <c r="G91" s="42">
        <f t="shared" si="21"/>
        <v>15506525</v>
      </c>
      <c r="I91" s="42">
        <f>5031339+32458921</f>
        <v>37490260</v>
      </c>
      <c r="K91" s="42">
        <v>0</v>
      </c>
      <c r="M91" s="42">
        <v>52996785</v>
      </c>
      <c r="O91" s="42">
        <f t="shared" si="20"/>
        <v>3383930</v>
      </c>
      <c r="Q91" s="42">
        <v>554916</v>
      </c>
      <c r="S91" s="42">
        <v>6046287</v>
      </c>
      <c r="U91" s="42">
        <v>4116703</v>
      </c>
      <c r="W91" s="42">
        <f>9985133+4116703</f>
        <v>14101836</v>
      </c>
      <c r="Y91" s="42">
        <v>32887887</v>
      </c>
      <c r="AA91" s="42">
        <f t="shared" si="24"/>
        <v>4257179</v>
      </c>
      <c r="AC91" s="42">
        <v>1749883</v>
      </c>
      <c r="AE91" s="42">
        <v>38894949</v>
      </c>
      <c r="AF91" s="42">
        <f t="shared" si="25"/>
        <v>0</v>
      </c>
      <c r="AH91" s="42">
        <f t="shared" si="22"/>
        <v>0</v>
      </c>
    </row>
    <row r="92" spans="1:34">
      <c r="A92" s="9" t="s">
        <v>642</v>
      </c>
      <c r="B92" s="9"/>
      <c r="C92" s="9" t="s">
        <v>45</v>
      </c>
      <c r="D92" s="9"/>
      <c r="E92" s="23">
        <v>43703</v>
      </c>
      <c r="G92" s="42">
        <f t="shared" si="21"/>
        <v>4764793</v>
      </c>
      <c r="I92" s="42">
        <f>130245+31713408</f>
        <v>31843653</v>
      </c>
      <c r="K92" s="42">
        <v>0</v>
      </c>
      <c r="M92" s="42">
        <v>36608446</v>
      </c>
      <c r="O92" s="42">
        <f t="shared" si="20"/>
        <v>2077746</v>
      </c>
      <c r="Q92" s="42">
        <v>406834</v>
      </c>
      <c r="S92" s="42">
        <v>3890175</v>
      </c>
      <c r="U92" s="42">
        <v>2026318</v>
      </c>
      <c r="W92" s="42">
        <f>6374755+2026318</f>
        <v>8401073</v>
      </c>
      <c r="Y92" s="42">
        <v>28456134</v>
      </c>
      <c r="AA92" s="42">
        <f t="shared" si="24"/>
        <v>1323152</v>
      </c>
      <c r="AC92" s="42">
        <v>-1571913</v>
      </c>
      <c r="AE92" s="42">
        <v>28207373</v>
      </c>
      <c r="AF92" s="42">
        <f t="shared" si="25"/>
        <v>0</v>
      </c>
      <c r="AH92" s="42">
        <f t="shared" si="22"/>
        <v>0</v>
      </c>
    </row>
    <row r="93" spans="1:34">
      <c r="A93" s="9" t="s">
        <v>298</v>
      </c>
      <c r="B93" s="9"/>
      <c r="C93" s="9" t="s">
        <v>27</v>
      </c>
      <c r="D93" s="9"/>
      <c r="E93" s="23">
        <v>46946</v>
      </c>
      <c r="G93" s="42">
        <f t="shared" si="21"/>
        <v>40456286</v>
      </c>
      <c r="I93" s="42">
        <v>71009334</v>
      </c>
      <c r="K93" s="42">
        <v>1322925</v>
      </c>
      <c r="M93" s="42">
        <f>111465620+1322925</f>
        <v>112788545</v>
      </c>
      <c r="O93" s="42">
        <f t="shared" si="20"/>
        <v>4382734</v>
      </c>
      <c r="Q93" s="42">
        <v>2318541</v>
      </c>
      <c r="S93" s="42">
        <v>67483278</v>
      </c>
      <c r="U93" s="42">
        <v>14577820</v>
      </c>
      <c r="W93" s="42">
        <f>74184553+14577820</f>
        <v>88762373</v>
      </c>
      <c r="Y93" s="42">
        <v>7861374</v>
      </c>
      <c r="AA93" s="42">
        <f t="shared" si="24"/>
        <v>1999758</v>
      </c>
      <c r="AC93" s="42">
        <v>14165040</v>
      </c>
      <c r="AE93" s="42">
        <v>24026172</v>
      </c>
      <c r="AF93" s="42">
        <f t="shared" si="25"/>
        <v>0</v>
      </c>
      <c r="AH93" s="42">
        <f t="shared" si="22"/>
        <v>0</v>
      </c>
    </row>
    <row r="94" spans="1:34">
      <c r="A94" s="9" t="s">
        <v>400</v>
      </c>
      <c r="B94" s="9"/>
      <c r="C94" s="9" t="s">
        <v>45</v>
      </c>
      <c r="D94" s="9"/>
      <c r="E94" s="23">
        <v>48314</v>
      </c>
      <c r="G94" s="42">
        <f t="shared" si="21"/>
        <v>25646732</v>
      </c>
      <c r="I94" s="42">
        <f>441370+12979583</f>
        <v>13420953</v>
      </c>
      <c r="K94" s="42">
        <v>0</v>
      </c>
      <c r="M94" s="42">
        <v>39067685</v>
      </c>
      <c r="O94" s="42">
        <f t="shared" si="20"/>
        <v>2457961</v>
      </c>
      <c r="Q94" s="42">
        <v>126819</v>
      </c>
      <c r="S94" s="42">
        <v>2607357</v>
      </c>
      <c r="U94" s="42">
        <v>15306529</v>
      </c>
      <c r="W94" s="42">
        <f>5192137+15306529</f>
        <v>20498666</v>
      </c>
      <c r="Y94" s="42">
        <v>13394725</v>
      </c>
      <c r="AA94" s="42">
        <f t="shared" si="24"/>
        <v>2914015</v>
      </c>
      <c r="AC94" s="42">
        <v>2260279</v>
      </c>
      <c r="AE94" s="42">
        <v>18569019</v>
      </c>
      <c r="AF94" s="42">
        <f t="shared" si="25"/>
        <v>0</v>
      </c>
      <c r="AH94" s="42">
        <f t="shared" si="22"/>
        <v>0</v>
      </c>
    </row>
    <row r="95" spans="1:34">
      <c r="A95" s="9" t="s">
        <v>490</v>
      </c>
      <c r="B95" s="9"/>
      <c r="C95" s="9" t="s">
        <v>62</v>
      </c>
      <c r="D95" s="9"/>
      <c r="E95" s="23">
        <v>43711</v>
      </c>
      <c r="G95" s="42">
        <f t="shared" si="21"/>
        <v>88969000</v>
      </c>
      <c r="I95" s="42">
        <v>178066000</v>
      </c>
      <c r="K95" s="42">
        <v>2085000</v>
      </c>
      <c r="M95" s="42">
        <v>269120000</v>
      </c>
      <c r="O95" s="42">
        <f t="shared" si="20"/>
        <v>15694000</v>
      </c>
      <c r="Q95" s="42">
        <v>17684000</v>
      </c>
      <c r="S95" s="42">
        <v>44681000</v>
      </c>
      <c r="U95" s="42">
        <v>27089000</v>
      </c>
      <c r="W95" s="42">
        <v>105148000</v>
      </c>
      <c r="Y95" s="42">
        <v>130768000</v>
      </c>
      <c r="AA95" s="42">
        <f>AE95-AC95-Y95</f>
        <v>28851000</v>
      </c>
      <c r="AC95" s="42">
        <v>4353000</v>
      </c>
      <c r="AE95" s="42">
        <v>163972000</v>
      </c>
      <c r="AF95" s="42">
        <f>+M95-W95-AE95</f>
        <v>0</v>
      </c>
      <c r="AH95" s="42">
        <f t="shared" si="22"/>
        <v>0</v>
      </c>
    </row>
    <row r="96" spans="1:34">
      <c r="A96" s="9" t="s">
        <v>491</v>
      </c>
      <c r="B96" s="9"/>
      <c r="C96" s="9" t="s">
        <v>62</v>
      </c>
      <c r="D96" s="9"/>
      <c r="E96" s="23">
        <v>49833</v>
      </c>
      <c r="G96" s="42">
        <f t="shared" si="21"/>
        <v>12462039</v>
      </c>
      <c r="I96" s="42">
        <v>3445499</v>
      </c>
      <c r="K96" s="42">
        <v>0</v>
      </c>
      <c r="M96" s="42">
        <v>15907538</v>
      </c>
      <c r="O96" s="42">
        <f t="shared" si="20"/>
        <v>3221513</v>
      </c>
      <c r="Q96" s="42">
        <v>570999</v>
      </c>
      <c r="S96" s="42">
        <v>3224550</v>
      </c>
      <c r="U96" s="42">
        <v>7778378</v>
      </c>
      <c r="W96" s="42">
        <f>7017062+7778378</f>
        <v>14795440</v>
      </c>
      <c r="Y96" s="42">
        <v>3091931</v>
      </c>
      <c r="AA96" s="42">
        <f>AE96-AC96-Y96</f>
        <v>284061</v>
      </c>
      <c r="AC96" s="42">
        <v>-2263894</v>
      </c>
      <c r="AE96" s="42">
        <v>1112098</v>
      </c>
      <c r="AF96" s="42">
        <f>+M96-W96-AE96</f>
        <v>0</v>
      </c>
      <c r="AH96" s="42">
        <f t="shared" si="22"/>
        <v>0</v>
      </c>
    </row>
    <row r="97" spans="1:34">
      <c r="A97" s="9" t="s">
        <v>643</v>
      </c>
      <c r="B97" s="9"/>
      <c r="C97" s="9" t="s">
        <v>30</v>
      </c>
      <c r="D97" s="9"/>
      <c r="E97" s="23">
        <v>47175</v>
      </c>
      <c r="G97" s="42">
        <f t="shared" si="21"/>
        <v>9848184</v>
      </c>
      <c r="I97" s="42">
        <f>560094+8889127</f>
        <v>9449221</v>
      </c>
      <c r="K97" s="42">
        <v>292184</v>
      </c>
      <c r="M97" s="42">
        <f>19297405+292184</f>
        <v>19589589</v>
      </c>
      <c r="O97" s="42">
        <f t="shared" si="20"/>
        <v>1870864</v>
      </c>
      <c r="Q97" s="42">
        <v>1075468</v>
      </c>
      <c r="S97" s="42">
        <v>9743964</v>
      </c>
      <c r="U97" s="42">
        <v>6059975</v>
      </c>
      <c r="W97" s="42">
        <f>12690296+6059975</f>
        <v>18750271</v>
      </c>
      <c r="Y97" s="42">
        <v>2052820</v>
      </c>
      <c r="AA97" s="42">
        <f t="shared" si="24"/>
        <v>374907</v>
      </c>
      <c r="AC97" s="42">
        <v>-1588409</v>
      </c>
      <c r="AE97" s="42">
        <v>839318</v>
      </c>
      <c r="AF97" s="42">
        <f t="shared" si="25"/>
        <v>0</v>
      </c>
      <c r="AH97" s="42">
        <f t="shared" si="22"/>
        <v>0</v>
      </c>
    </row>
    <row r="98" spans="1:34">
      <c r="A98" s="9" t="s">
        <v>438</v>
      </c>
      <c r="B98" s="9"/>
      <c r="C98" s="9" t="s">
        <v>78</v>
      </c>
      <c r="D98" s="9"/>
      <c r="E98" s="23">
        <v>48793</v>
      </c>
      <c r="G98" s="42">
        <f t="shared" si="21"/>
        <v>4717991</v>
      </c>
      <c r="I98" s="42">
        <v>22950061</v>
      </c>
      <c r="K98" s="42">
        <v>0</v>
      </c>
      <c r="M98" s="42">
        <v>27668052</v>
      </c>
      <c r="O98" s="42">
        <f t="shared" si="20"/>
        <v>1273167</v>
      </c>
      <c r="Q98" s="42">
        <v>458703</v>
      </c>
      <c r="S98" s="42">
        <v>4126234</v>
      </c>
      <c r="U98" s="42">
        <v>2213494</v>
      </c>
      <c r="W98" s="42">
        <f>5858104+2213494</f>
        <v>8071598</v>
      </c>
      <c r="Y98" s="42">
        <v>19537488</v>
      </c>
      <c r="AA98" s="42">
        <f t="shared" si="24"/>
        <v>1009151</v>
      </c>
      <c r="AC98" s="42">
        <v>-950185</v>
      </c>
      <c r="AE98" s="42">
        <v>19596454</v>
      </c>
      <c r="AF98" s="42">
        <f t="shared" si="25"/>
        <v>0</v>
      </c>
      <c r="AH98" s="42">
        <f t="shared" si="22"/>
        <v>0</v>
      </c>
    </row>
    <row r="99" spans="1:34" hidden="1">
      <c r="A99" s="9" t="s">
        <v>855</v>
      </c>
      <c r="B99" s="9"/>
      <c r="C99" s="9" t="s">
        <v>553</v>
      </c>
      <c r="D99" s="9"/>
      <c r="E99" s="23">
        <v>45260</v>
      </c>
      <c r="G99" s="42">
        <f t="shared" si="21"/>
        <v>0</v>
      </c>
      <c r="I99" s="42">
        <v>0</v>
      </c>
      <c r="K99" s="42">
        <v>0</v>
      </c>
      <c r="M99" s="42">
        <v>0</v>
      </c>
      <c r="O99" s="42">
        <f t="shared" si="20"/>
        <v>0</v>
      </c>
      <c r="Q99" s="42">
        <v>0</v>
      </c>
      <c r="S99" s="42">
        <v>0</v>
      </c>
      <c r="U99" s="42">
        <v>0</v>
      </c>
      <c r="W99" s="42">
        <v>0</v>
      </c>
      <c r="Y99" s="42">
        <v>0</v>
      </c>
      <c r="AA99" s="42">
        <f t="shared" si="24"/>
        <v>0</v>
      </c>
      <c r="AC99" s="42">
        <v>0</v>
      </c>
      <c r="AE99" s="42">
        <v>0</v>
      </c>
      <c r="AF99" s="42">
        <f t="shared" si="25"/>
        <v>0</v>
      </c>
      <c r="AH99" s="42">
        <f t="shared" si="22"/>
        <v>0</v>
      </c>
    </row>
    <row r="100" spans="1:34">
      <c r="A100" s="9" t="s">
        <v>539</v>
      </c>
      <c r="B100" s="9"/>
      <c r="C100" s="9" t="s">
        <v>69</v>
      </c>
      <c r="D100" s="9"/>
      <c r="E100" s="23">
        <v>50419</v>
      </c>
      <c r="G100" s="42">
        <f t="shared" si="21"/>
        <v>6183657</v>
      </c>
      <c r="I100" s="42">
        <f>325000+1705457</f>
        <v>2030457</v>
      </c>
      <c r="K100" s="42">
        <v>0</v>
      </c>
      <c r="M100" s="42">
        <v>8214114</v>
      </c>
      <c r="O100" s="42">
        <f t="shared" si="20"/>
        <v>1911063</v>
      </c>
      <c r="Q100" s="42">
        <v>111954</v>
      </c>
      <c r="S100" s="42">
        <v>664111</v>
      </c>
      <c r="U100" s="42">
        <v>3869182</v>
      </c>
      <c r="W100" s="42">
        <f>2687128+3869182</f>
        <v>6556310</v>
      </c>
      <c r="Y100" s="42">
        <v>1932920</v>
      </c>
      <c r="AA100" s="42">
        <f t="shared" si="24"/>
        <v>254681</v>
      </c>
      <c r="AC100" s="42">
        <v>-529797</v>
      </c>
      <c r="AE100" s="42">
        <v>1657804</v>
      </c>
      <c r="AF100" s="42">
        <f t="shared" si="25"/>
        <v>0</v>
      </c>
      <c r="AH100" s="42">
        <f t="shared" si="22"/>
        <v>0</v>
      </c>
    </row>
    <row r="101" spans="1:34" s="24" customFormat="1">
      <c r="A101" s="51" t="s">
        <v>747</v>
      </c>
      <c r="B101" s="51"/>
      <c r="C101" s="51" t="s">
        <v>16</v>
      </c>
      <c r="D101" s="51"/>
      <c r="E101" s="51">
        <v>45278</v>
      </c>
      <c r="F101" s="52"/>
      <c r="G101" s="24">
        <f t="shared" si="21"/>
        <v>14277521</v>
      </c>
      <c r="I101" s="24">
        <f>112325+5354531</f>
        <v>5466856</v>
      </c>
      <c r="K101" s="24">
        <v>0</v>
      </c>
      <c r="M101" s="24">
        <v>19744377</v>
      </c>
      <c r="O101" s="24">
        <f t="shared" si="20"/>
        <v>7691266</v>
      </c>
      <c r="Q101" s="24">
        <v>219269</v>
      </c>
      <c r="S101" s="24">
        <v>1742450</v>
      </c>
      <c r="U101" s="24">
        <v>0</v>
      </c>
      <c r="W101" s="24">
        <v>9652985</v>
      </c>
      <c r="Y101" s="24">
        <v>5368006</v>
      </c>
      <c r="AA101" s="24">
        <f t="shared" si="24"/>
        <v>68424</v>
      </c>
      <c r="AC101" s="24">
        <v>4654962</v>
      </c>
      <c r="AE101" s="24">
        <v>10091392</v>
      </c>
      <c r="AF101" s="24">
        <f t="shared" si="25"/>
        <v>0</v>
      </c>
      <c r="AH101" s="24">
        <f t="shared" si="22"/>
        <v>0</v>
      </c>
    </row>
    <row r="102" spans="1:34">
      <c r="A102" s="9" t="s">
        <v>644</v>
      </c>
      <c r="B102" s="9"/>
      <c r="C102" s="9" t="s">
        <v>113</v>
      </c>
      <c r="D102" s="9"/>
      <c r="E102" s="23">
        <v>47258</v>
      </c>
      <c r="G102" s="42">
        <f t="shared" si="21"/>
        <v>8387714</v>
      </c>
      <c r="I102" s="42">
        <f>1146391+23824332</f>
        <v>24970723</v>
      </c>
      <c r="K102" s="42">
        <v>0</v>
      </c>
      <c r="M102" s="42">
        <v>33358437</v>
      </c>
      <c r="O102" s="42">
        <f t="shared" si="20"/>
        <v>1115419</v>
      </c>
      <c r="Q102" s="42">
        <v>40000</v>
      </c>
      <c r="S102" s="42">
        <v>13956609</v>
      </c>
      <c r="U102" s="42">
        <v>2216480</v>
      </c>
      <c r="W102" s="42">
        <v>17328508</v>
      </c>
      <c r="Y102" s="42">
        <v>11921975</v>
      </c>
      <c r="AA102" s="42">
        <f t="shared" si="24"/>
        <v>1954911</v>
      </c>
      <c r="AC102" s="42">
        <v>2153043</v>
      </c>
      <c r="AE102" s="42">
        <v>16029929</v>
      </c>
      <c r="AF102" s="42">
        <f>+M102-W102-AE102</f>
        <v>0</v>
      </c>
      <c r="AH102" s="42">
        <f t="shared" si="22"/>
        <v>0</v>
      </c>
    </row>
    <row r="103" spans="1:34" hidden="1">
      <c r="A103" s="9" t="s">
        <v>613</v>
      </c>
      <c r="B103" s="9"/>
      <c r="C103" s="9" t="s">
        <v>419</v>
      </c>
      <c r="D103" s="9"/>
      <c r="E103" s="23">
        <v>43729</v>
      </c>
      <c r="G103" s="42">
        <f t="shared" si="21"/>
        <v>0</v>
      </c>
      <c r="I103" s="42">
        <v>0</v>
      </c>
      <c r="K103" s="42">
        <v>0</v>
      </c>
      <c r="M103" s="42">
        <v>0</v>
      </c>
      <c r="O103" s="42">
        <f t="shared" si="20"/>
        <v>0</v>
      </c>
      <c r="Q103" s="42">
        <v>0</v>
      </c>
      <c r="S103" s="42">
        <v>0</v>
      </c>
      <c r="U103" s="42">
        <v>0</v>
      </c>
      <c r="W103" s="42">
        <v>0</v>
      </c>
      <c r="Y103" s="42">
        <v>0</v>
      </c>
      <c r="AA103" s="42">
        <f t="shared" si="24"/>
        <v>0</v>
      </c>
      <c r="AC103" s="42">
        <v>0</v>
      </c>
      <c r="AE103" s="42">
        <v>0</v>
      </c>
      <c r="AF103" s="42">
        <f t="shared" si="25"/>
        <v>0</v>
      </c>
      <c r="AH103" s="42">
        <f t="shared" si="22"/>
        <v>0</v>
      </c>
    </row>
    <row r="104" spans="1:34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f t="shared" si="21"/>
        <v>0</v>
      </c>
      <c r="I104" s="42">
        <v>0</v>
      </c>
      <c r="K104" s="42">
        <v>0</v>
      </c>
      <c r="M104" s="42">
        <v>0</v>
      </c>
      <c r="O104" s="42">
        <f t="shared" si="20"/>
        <v>0</v>
      </c>
      <c r="Q104" s="42">
        <v>0</v>
      </c>
      <c r="S104" s="42">
        <v>0</v>
      </c>
      <c r="U104" s="42">
        <v>0</v>
      </c>
      <c r="W104" s="42">
        <v>0</v>
      </c>
      <c r="Y104" s="42">
        <v>0</v>
      </c>
      <c r="AA104" s="42">
        <f t="shared" si="24"/>
        <v>0</v>
      </c>
      <c r="AC104" s="42">
        <v>0</v>
      </c>
      <c r="AE104" s="42">
        <v>0</v>
      </c>
      <c r="AF104" s="42">
        <f t="shared" si="25"/>
        <v>0</v>
      </c>
      <c r="AH104" s="42">
        <f t="shared" si="22"/>
        <v>0</v>
      </c>
    </row>
    <row r="105" spans="1:34" s="24" customFormat="1">
      <c r="A105" s="51" t="s">
        <v>645</v>
      </c>
      <c r="B105" s="51"/>
      <c r="C105" s="51" t="s">
        <v>50</v>
      </c>
      <c r="D105" s="51"/>
      <c r="E105" s="23">
        <v>43737</v>
      </c>
      <c r="G105" s="42">
        <f t="shared" si="21"/>
        <v>93264190</v>
      </c>
      <c r="H105" s="42"/>
      <c r="I105" s="42">
        <f>2420016+76400316</f>
        <v>78820332</v>
      </c>
      <c r="J105" s="42"/>
      <c r="K105" s="42">
        <v>0</v>
      </c>
      <c r="L105" s="42"/>
      <c r="M105" s="42">
        <v>172084522</v>
      </c>
      <c r="N105" s="42"/>
      <c r="O105" s="42">
        <f t="shared" si="20"/>
        <v>63913300</v>
      </c>
      <c r="P105" s="42"/>
      <c r="Q105" s="42">
        <v>5398095</v>
      </c>
      <c r="R105" s="42"/>
      <c r="S105" s="42">
        <v>52729940</v>
      </c>
      <c r="T105" s="42"/>
      <c r="U105" s="42">
        <v>0</v>
      </c>
      <c r="V105" s="42"/>
      <c r="W105" s="42">
        <v>122041335</v>
      </c>
      <c r="X105" s="42"/>
      <c r="Y105" s="42">
        <v>23755262</v>
      </c>
      <c r="Z105" s="42"/>
      <c r="AA105" s="42">
        <f t="shared" si="24"/>
        <v>14924816</v>
      </c>
      <c r="AB105" s="42"/>
      <c r="AC105" s="42">
        <v>11363109</v>
      </c>
      <c r="AD105" s="42"/>
      <c r="AE105" s="42">
        <v>50043187</v>
      </c>
      <c r="AF105" s="42">
        <f t="shared" si="25"/>
        <v>0</v>
      </c>
      <c r="AG105" s="42"/>
      <c r="AH105" s="42">
        <f t="shared" si="22"/>
        <v>0</v>
      </c>
    </row>
    <row r="106" spans="1:34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f t="shared" si="21"/>
        <v>0</v>
      </c>
      <c r="I106" s="42">
        <v>0</v>
      </c>
      <c r="K106" s="42">
        <v>0</v>
      </c>
      <c r="M106" s="42">
        <v>0</v>
      </c>
      <c r="O106" s="42">
        <f t="shared" si="20"/>
        <v>0</v>
      </c>
      <c r="Q106" s="42">
        <v>0</v>
      </c>
      <c r="S106" s="42">
        <v>0</v>
      </c>
      <c r="U106" s="42">
        <v>0</v>
      </c>
      <c r="W106" s="42">
        <v>0</v>
      </c>
      <c r="Y106" s="42">
        <v>0</v>
      </c>
      <c r="AA106" s="42">
        <f t="shared" si="24"/>
        <v>0</v>
      </c>
      <c r="AC106" s="42">
        <v>0</v>
      </c>
      <c r="AE106" s="42">
        <v>0</v>
      </c>
      <c r="AF106" s="42">
        <f t="shared" si="25"/>
        <v>0</v>
      </c>
      <c r="AH106" s="42">
        <f t="shared" si="22"/>
        <v>0</v>
      </c>
    </row>
    <row r="107" spans="1:34">
      <c r="A107" s="9" t="s">
        <v>748</v>
      </c>
      <c r="B107" s="9"/>
      <c r="C107" s="9" t="s">
        <v>20</v>
      </c>
      <c r="D107" s="9"/>
      <c r="E107" s="23">
        <v>45286</v>
      </c>
      <c r="G107" s="42">
        <f t="shared" si="21"/>
        <v>36207517</v>
      </c>
      <c r="I107" s="42">
        <f>1386635+28372888</f>
        <v>29759523</v>
      </c>
      <c r="K107" s="42">
        <v>0</v>
      </c>
      <c r="M107" s="42">
        <v>65967040</v>
      </c>
      <c r="O107" s="42">
        <f t="shared" si="20"/>
        <v>23334137</v>
      </c>
      <c r="Q107" s="42">
        <v>2445094</v>
      </c>
      <c r="S107" s="42">
        <v>25550363</v>
      </c>
      <c r="U107" s="42">
        <v>0</v>
      </c>
      <c r="W107" s="42">
        <v>51329594</v>
      </c>
      <c r="Y107" s="42">
        <v>4423196</v>
      </c>
      <c r="AA107" s="42">
        <f t="shared" si="24"/>
        <v>4598098</v>
      </c>
      <c r="AC107" s="42">
        <v>5616152</v>
      </c>
      <c r="AE107" s="42">
        <v>14637446</v>
      </c>
      <c r="AF107" s="42">
        <f t="shared" si="25"/>
        <v>0</v>
      </c>
      <c r="AH107" s="42">
        <f t="shared" si="22"/>
        <v>0</v>
      </c>
    </row>
    <row r="108" spans="1:34">
      <c r="A108" s="9" t="s">
        <v>516</v>
      </c>
      <c r="B108" s="9"/>
      <c r="C108" s="9" t="s">
        <v>64</v>
      </c>
      <c r="D108" s="9"/>
      <c r="E108" s="23">
        <v>50138</v>
      </c>
      <c r="G108" s="42">
        <f t="shared" si="21"/>
        <v>7883330</v>
      </c>
      <c r="I108" s="42">
        <v>1791382</v>
      </c>
      <c r="K108" s="42">
        <v>0</v>
      </c>
      <c r="M108" s="42">
        <v>9674712</v>
      </c>
      <c r="O108" s="42">
        <f t="shared" si="20"/>
        <v>1510852</v>
      </c>
      <c r="Q108" s="42">
        <v>437911</v>
      </c>
      <c r="S108" s="42">
        <v>2395139</v>
      </c>
      <c r="U108" s="42">
        <v>5161964</v>
      </c>
      <c r="W108" s="42">
        <f>4343902+5161964</f>
        <v>9505866</v>
      </c>
      <c r="Y108" s="42">
        <v>1043842</v>
      </c>
      <c r="AA108" s="42">
        <f t="shared" si="24"/>
        <v>240054</v>
      </c>
      <c r="AC108" s="42">
        <v>-1115050</v>
      </c>
      <c r="AE108" s="42">
        <v>168846</v>
      </c>
      <c r="AF108" s="42">
        <f t="shared" si="25"/>
        <v>0</v>
      </c>
      <c r="AH108" s="42">
        <f t="shared" si="22"/>
        <v>0</v>
      </c>
    </row>
    <row r="109" spans="1:34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f t="shared" si="21"/>
        <v>0</v>
      </c>
      <c r="I109" s="42">
        <v>0</v>
      </c>
      <c r="K109" s="42">
        <v>0</v>
      </c>
      <c r="M109" s="42">
        <v>0</v>
      </c>
      <c r="O109" s="42">
        <f t="shared" si="20"/>
        <v>0</v>
      </c>
      <c r="Q109" s="42">
        <v>0</v>
      </c>
      <c r="S109" s="42">
        <v>0</v>
      </c>
      <c r="U109" s="42">
        <v>0</v>
      </c>
      <c r="W109" s="42">
        <v>0</v>
      </c>
      <c r="Y109" s="42">
        <v>0</v>
      </c>
      <c r="AA109" s="42">
        <f t="shared" si="24"/>
        <v>0</v>
      </c>
      <c r="AC109" s="42">
        <v>0</v>
      </c>
      <c r="AE109" s="42">
        <v>0</v>
      </c>
      <c r="AF109" s="42">
        <f t="shared" si="25"/>
        <v>0</v>
      </c>
      <c r="AH109" s="42">
        <f t="shared" si="22"/>
        <v>0</v>
      </c>
    </row>
    <row r="110" spans="1:34">
      <c r="A110" s="9" t="s">
        <v>749</v>
      </c>
      <c r="B110" s="9"/>
      <c r="C110" s="9" t="s">
        <v>364</v>
      </c>
      <c r="D110" s="9"/>
      <c r="E110" s="23">
        <v>45294</v>
      </c>
      <c r="F110" s="24"/>
      <c r="G110" s="42">
        <f t="shared" si="21"/>
        <v>6745500</v>
      </c>
      <c r="I110" s="42">
        <f>3604019+17095850</f>
        <v>20699869</v>
      </c>
      <c r="K110" s="42">
        <v>89054</v>
      </c>
      <c r="M110" s="42">
        <f>27445369+89054</f>
        <v>27534423</v>
      </c>
      <c r="O110" s="42">
        <f t="shared" si="20"/>
        <v>1769044</v>
      </c>
      <c r="Q110" s="42">
        <v>458748</v>
      </c>
      <c r="S110" s="42">
        <v>4426493</v>
      </c>
      <c r="U110" s="42">
        <v>2103378</v>
      </c>
      <c r="W110" s="42">
        <f>6654285+2103378</f>
        <v>8757663</v>
      </c>
      <c r="Y110" s="42">
        <v>16433428</v>
      </c>
      <c r="AA110" s="42">
        <f t="shared" si="24"/>
        <v>1909955</v>
      </c>
      <c r="AC110" s="42">
        <v>433377</v>
      </c>
      <c r="AE110" s="42">
        <v>18776760</v>
      </c>
      <c r="AF110" s="42">
        <f t="shared" si="25"/>
        <v>0</v>
      </c>
      <c r="AH110" s="42">
        <f t="shared" si="22"/>
        <v>0</v>
      </c>
    </row>
    <row r="111" spans="1:34">
      <c r="A111" s="9" t="s">
        <v>470</v>
      </c>
      <c r="B111" s="9"/>
      <c r="C111" s="9" t="s">
        <v>58</v>
      </c>
      <c r="D111" s="9"/>
      <c r="E111" s="23">
        <v>43745</v>
      </c>
      <c r="G111" s="42">
        <f t="shared" si="21"/>
        <v>19165211</v>
      </c>
      <c r="I111" s="42">
        <f>545010+33690187</f>
        <v>34235197</v>
      </c>
      <c r="K111" s="42">
        <v>0</v>
      </c>
      <c r="M111" s="42">
        <v>53400408</v>
      </c>
      <c r="O111" s="42">
        <f t="shared" si="20"/>
        <v>3404607</v>
      </c>
      <c r="Q111" s="42">
        <v>1154159</v>
      </c>
      <c r="S111" s="42">
        <v>33018146</v>
      </c>
      <c r="U111" s="42">
        <v>11044791</v>
      </c>
      <c r="W111" s="42">
        <f>37576912+11044791</f>
        <v>48621703</v>
      </c>
      <c r="Y111" s="42">
        <v>3683763</v>
      </c>
      <c r="AA111" s="42">
        <f t="shared" si="24"/>
        <v>3237457</v>
      </c>
      <c r="AC111" s="42">
        <v>-2142515</v>
      </c>
      <c r="AE111" s="42">
        <v>4778705</v>
      </c>
      <c r="AF111" s="42">
        <f t="shared" si="25"/>
        <v>0</v>
      </c>
      <c r="AH111" s="42">
        <f t="shared" si="22"/>
        <v>0</v>
      </c>
    </row>
    <row r="112" spans="1:34">
      <c r="A112" s="9" t="s">
        <v>547</v>
      </c>
      <c r="B112" s="9"/>
      <c r="C112" s="9" t="s">
        <v>71</v>
      </c>
      <c r="D112" s="9"/>
      <c r="E112" s="23">
        <v>50534</v>
      </c>
      <c r="G112" s="42">
        <f t="shared" si="21"/>
        <v>14171866</v>
      </c>
      <c r="I112" s="42">
        <v>2641830</v>
      </c>
      <c r="K112" s="42">
        <v>0</v>
      </c>
      <c r="M112" s="42">
        <v>16813696</v>
      </c>
      <c r="O112" s="42">
        <f t="shared" si="20"/>
        <v>1416386</v>
      </c>
      <c r="Q112" s="42">
        <v>87217</v>
      </c>
      <c r="S112" s="42">
        <v>507252</v>
      </c>
      <c r="U112" s="42">
        <v>3483856</v>
      </c>
      <c r="W112" s="42">
        <f>2010855+3483856</f>
        <v>5494711</v>
      </c>
      <c r="Y112" s="42">
        <v>2641830</v>
      </c>
      <c r="AA112" s="42">
        <f t="shared" si="24"/>
        <v>388239</v>
      </c>
      <c r="AC112" s="42">
        <v>8288916</v>
      </c>
      <c r="AE112" s="42">
        <v>11318985</v>
      </c>
      <c r="AF112" s="42">
        <f t="shared" si="25"/>
        <v>0</v>
      </c>
      <c r="AH112" s="42">
        <f t="shared" si="22"/>
        <v>0</v>
      </c>
    </row>
    <row r="113" spans="1:34">
      <c r="A113" s="9" t="s">
        <v>647</v>
      </c>
      <c r="B113" s="9"/>
      <c r="C113" s="9" t="s">
        <v>32</v>
      </c>
      <c r="D113" s="9"/>
      <c r="E113" s="23">
        <v>43752</v>
      </c>
      <c r="G113" s="42">
        <f t="shared" si="21"/>
        <v>654788777</v>
      </c>
      <c r="I113" s="42">
        <f>186200971+841749278</f>
        <v>1027950249</v>
      </c>
      <c r="K113" s="42">
        <v>22084137</v>
      </c>
      <c r="M113" s="42">
        <f>1682739026+22084137</f>
        <v>1704823163</v>
      </c>
      <c r="O113" s="42">
        <f t="shared" si="20"/>
        <v>54700025</v>
      </c>
      <c r="Q113" s="42">
        <v>37648766</v>
      </c>
      <c r="S113" s="42">
        <v>740004639</v>
      </c>
      <c r="U113" s="42">
        <v>253889350</v>
      </c>
      <c r="W113" s="42">
        <f>832353430+253889350</f>
        <v>1086242780</v>
      </c>
      <c r="Y113" s="42">
        <v>371260025</v>
      </c>
      <c r="AA113" s="42">
        <f t="shared" si="24"/>
        <v>75648432</v>
      </c>
      <c r="AC113" s="42">
        <v>171671926</v>
      </c>
      <c r="AE113" s="42">
        <v>618580383</v>
      </c>
      <c r="AF113" s="42">
        <f t="shared" si="25"/>
        <v>0</v>
      </c>
      <c r="AH113" s="42">
        <f t="shared" si="22"/>
        <v>0</v>
      </c>
    </row>
    <row r="114" spans="1:34">
      <c r="A114" s="9" t="s">
        <v>449</v>
      </c>
      <c r="B114" s="9"/>
      <c r="C114" s="9" t="s">
        <v>54</v>
      </c>
      <c r="D114" s="9"/>
      <c r="E114" s="23">
        <v>43760</v>
      </c>
      <c r="G114" s="42">
        <f t="shared" si="21"/>
        <v>70982412</v>
      </c>
      <c r="I114" s="42">
        <v>40048303</v>
      </c>
      <c r="K114" s="42">
        <v>0</v>
      </c>
      <c r="M114" s="42">
        <v>111030715</v>
      </c>
      <c r="O114" s="42">
        <f t="shared" si="20"/>
        <v>5136734</v>
      </c>
      <c r="Q114" s="42">
        <v>836531</v>
      </c>
      <c r="S114" s="42">
        <v>46726786</v>
      </c>
      <c r="U114" s="42">
        <v>7987221</v>
      </c>
      <c r="W114" s="42">
        <f>52700051+7987221</f>
        <v>60687272</v>
      </c>
      <c r="Y114" s="42">
        <v>14554424</v>
      </c>
      <c r="AA114" s="42">
        <f t="shared" si="24"/>
        <v>23983698</v>
      </c>
      <c r="AC114" s="42">
        <v>11805321</v>
      </c>
      <c r="AE114" s="42">
        <v>50343443</v>
      </c>
      <c r="AF114" s="42">
        <f t="shared" si="25"/>
        <v>0</v>
      </c>
      <c r="AH114" s="42">
        <f t="shared" si="22"/>
        <v>0</v>
      </c>
    </row>
    <row r="115" spans="1:34">
      <c r="A115" s="9" t="s">
        <v>229</v>
      </c>
      <c r="B115" s="9"/>
      <c r="C115" s="9" t="s">
        <v>17</v>
      </c>
      <c r="D115" s="9"/>
      <c r="E115" s="23">
        <v>46284</v>
      </c>
      <c r="F115" s="7"/>
      <c r="G115" s="42">
        <f t="shared" si="21"/>
        <v>12821458</v>
      </c>
      <c r="I115" s="42">
        <f>11717152+641103</f>
        <v>12358255</v>
      </c>
      <c r="K115" s="42">
        <v>0</v>
      </c>
      <c r="M115" s="42">
        <v>25179713</v>
      </c>
      <c r="O115" s="42">
        <f t="shared" si="20"/>
        <v>2556291</v>
      </c>
      <c r="Q115" s="42">
        <v>194999</v>
      </c>
      <c r="S115" s="42">
        <v>1144563</v>
      </c>
      <c r="U115" s="42">
        <v>7480450</v>
      </c>
      <c r="W115" s="42">
        <f>3895853+7480450</f>
        <v>11376303</v>
      </c>
      <c r="Y115" s="42">
        <v>12332838</v>
      </c>
      <c r="AA115" s="42">
        <f t="shared" si="24"/>
        <v>764725</v>
      </c>
      <c r="AC115" s="42">
        <v>705847</v>
      </c>
      <c r="AE115" s="42">
        <v>13803410</v>
      </c>
      <c r="AF115" s="42">
        <f t="shared" si="25"/>
        <v>0</v>
      </c>
      <c r="AH115" s="42">
        <f t="shared" si="22"/>
        <v>0</v>
      </c>
    </row>
    <row r="116" spans="1:34">
      <c r="A116" s="9" t="s">
        <v>477</v>
      </c>
      <c r="B116" s="9"/>
      <c r="C116" s="9" t="s">
        <v>59</v>
      </c>
      <c r="D116" s="9"/>
      <c r="E116" s="23">
        <v>49601</v>
      </c>
      <c r="G116" s="42">
        <f t="shared" si="21"/>
        <v>2740475</v>
      </c>
      <c r="I116" s="42">
        <f>38512+22589720</f>
        <v>22628232</v>
      </c>
      <c r="K116" s="42">
        <v>0</v>
      </c>
      <c r="M116" s="42">
        <v>25368707</v>
      </c>
      <c r="O116" s="42">
        <f t="shared" si="20"/>
        <v>935226</v>
      </c>
      <c r="Q116" s="42">
        <v>232584</v>
      </c>
      <c r="S116" s="42">
        <v>5649144</v>
      </c>
      <c r="U116" s="42">
        <v>1227778</v>
      </c>
      <c r="W116" s="42">
        <f>6816954+1227778</f>
        <v>8044732</v>
      </c>
      <c r="Y116" s="42">
        <v>17169142</v>
      </c>
      <c r="AA116" s="42">
        <f t="shared" si="24"/>
        <v>604122</v>
      </c>
      <c r="AC116" s="42">
        <v>-449289</v>
      </c>
      <c r="AE116" s="42">
        <v>17323975</v>
      </c>
      <c r="AF116" s="42">
        <f t="shared" si="25"/>
        <v>0</v>
      </c>
      <c r="AH116" s="42">
        <f t="shared" si="22"/>
        <v>0</v>
      </c>
    </row>
    <row r="117" spans="1:34">
      <c r="A117" s="9" t="s">
        <v>529</v>
      </c>
      <c r="B117" s="9"/>
      <c r="C117" s="9" t="s">
        <v>65</v>
      </c>
      <c r="D117" s="9"/>
      <c r="E117" s="23">
        <v>43778</v>
      </c>
      <c r="G117" s="42">
        <f t="shared" si="21"/>
        <v>8990109</v>
      </c>
      <c r="I117" s="42">
        <v>19193107</v>
      </c>
      <c r="K117" s="42">
        <v>227075</v>
      </c>
      <c r="M117" s="42">
        <f>28183216+227075</f>
        <v>28410291</v>
      </c>
      <c r="O117" s="42">
        <f t="shared" si="20"/>
        <v>1920354</v>
      </c>
      <c r="Q117" s="42">
        <v>593222</v>
      </c>
      <c r="S117" s="42">
        <v>3950347</v>
      </c>
      <c r="U117" s="42">
        <v>2881363</v>
      </c>
      <c r="W117" s="42">
        <f>6463923+2881363</f>
        <v>9345286</v>
      </c>
      <c r="Y117" s="42">
        <v>16772345</v>
      </c>
      <c r="AA117" s="42">
        <f t="shared" si="24"/>
        <v>873364</v>
      </c>
      <c r="AC117" s="42">
        <v>1419296</v>
      </c>
      <c r="AE117" s="42">
        <v>19065005</v>
      </c>
      <c r="AF117" s="42">
        <f t="shared" si="25"/>
        <v>0</v>
      </c>
      <c r="AH117" s="42">
        <f t="shared" si="22"/>
        <v>0</v>
      </c>
    </row>
    <row r="118" spans="1:34">
      <c r="A118" s="9" t="s">
        <v>465</v>
      </c>
      <c r="B118" s="9"/>
      <c r="C118" s="9" t="s">
        <v>109</v>
      </c>
      <c r="D118" s="9"/>
      <c r="E118" s="23">
        <v>49411</v>
      </c>
      <c r="G118" s="42">
        <f t="shared" si="21"/>
        <v>13234330</v>
      </c>
      <c r="I118" s="42">
        <v>8440562</v>
      </c>
      <c r="K118" s="42">
        <v>236298</v>
      </c>
      <c r="M118" s="42">
        <f>21674892+236298</f>
        <v>21911190</v>
      </c>
      <c r="O118" s="42">
        <f t="shared" si="20"/>
        <v>1649440</v>
      </c>
      <c r="Q118" s="42">
        <v>523019</v>
      </c>
      <c r="S118" s="42">
        <v>6432431</v>
      </c>
      <c r="U118" s="42">
        <v>3271863</v>
      </c>
      <c r="W118" s="42">
        <f>8604890+3271863</f>
        <v>11876753</v>
      </c>
      <c r="Y118" s="42">
        <v>3482869</v>
      </c>
      <c r="AA118" s="42">
        <f t="shared" si="24"/>
        <v>204303</v>
      </c>
      <c r="AC118" s="42">
        <v>6347265</v>
      </c>
      <c r="AE118" s="42">
        <v>10034437</v>
      </c>
      <c r="AF118" s="42">
        <f t="shared" si="25"/>
        <v>0</v>
      </c>
      <c r="AH118" s="42">
        <f t="shared" si="22"/>
        <v>0</v>
      </c>
    </row>
    <row r="119" spans="1:34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f t="shared" si="21"/>
        <v>0</v>
      </c>
      <c r="I119" s="42">
        <v>0</v>
      </c>
      <c r="K119" s="42">
        <v>0</v>
      </c>
      <c r="M119" s="42">
        <v>0</v>
      </c>
      <c r="O119" s="42">
        <f t="shared" si="20"/>
        <v>0</v>
      </c>
      <c r="Q119" s="42">
        <v>0</v>
      </c>
      <c r="S119" s="42">
        <v>0</v>
      </c>
      <c r="U119" s="42">
        <v>0</v>
      </c>
      <c r="W119" s="42">
        <v>0</v>
      </c>
      <c r="Y119" s="42">
        <v>0</v>
      </c>
      <c r="AA119" s="42">
        <f t="shared" si="24"/>
        <v>0</v>
      </c>
      <c r="AC119" s="42">
        <v>0</v>
      </c>
      <c r="AE119" s="42">
        <v>0</v>
      </c>
      <c r="AF119" s="42">
        <f t="shared" si="25"/>
        <v>0</v>
      </c>
      <c r="AH119" s="42">
        <f t="shared" si="22"/>
        <v>0</v>
      </c>
    </row>
    <row r="120" spans="1:34">
      <c r="A120" s="9" t="s">
        <v>648</v>
      </c>
      <c r="B120" s="9"/>
      <c r="C120" s="9" t="s">
        <v>112</v>
      </c>
      <c r="D120" s="9"/>
      <c r="E120" s="23">
        <v>46326</v>
      </c>
      <c r="G120" s="42">
        <f t="shared" si="21"/>
        <v>9787100</v>
      </c>
      <c r="I120" s="42">
        <f>2061836+4420830</f>
        <v>6482666</v>
      </c>
      <c r="K120" s="42">
        <v>0</v>
      </c>
      <c r="M120" s="42">
        <v>16269766</v>
      </c>
      <c r="O120" s="42">
        <f t="shared" si="20"/>
        <v>7102930</v>
      </c>
      <c r="Q120" s="42">
        <v>249971</v>
      </c>
      <c r="S120" s="42">
        <v>692598</v>
      </c>
      <c r="U120" s="42">
        <v>0</v>
      </c>
      <c r="W120" s="42">
        <v>8045499</v>
      </c>
      <c r="Y120" s="42">
        <v>6165610</v>
      </c>
      <c r="AA120" s="42">
        <f t="shared" si="24"/>
        <v>1180466</v>
      </c>
      <c r="AC120" s="42">
        <v>878191</v>
      </c>
      <c r="AE120" s="42">
        <v>8224267</v>
      </c>
      <c r="AF120" s="42">
        <f t="shared" si="25"/>
        <v>0</v>
      </c>
      <c r="AH120" s="42">
        <f t="shared" si="22"/>
        <v>0</v>
      </c>
    </row>
    <row r="121" spans="1:34">
      <c r="A121" s="9" t="s">
        <v>646</v>
      </c>
      <c r="B121" s="9"/>
      <c r="C121" s="9" t="s">
        <v>20</v>
      </c>
      <c r="D121" s="9"/>
      <c r="E121" s="23">
        <v>43794</v>
      </c>
      <c r="G121" s="42">
        <f t="shared" si="21"/>
        <v>129793386</v>
      </c>
      <c r="I121" s="42">
        <f>2814341+32259034</f>
        <v>35073375</v>
      </c>
      <c r="K121" s="42">
        <v>0</v>
      </c>
      <c r="M121" s="42">
        <v>164866761</v>
      </c>
      <c r="O121" s="42">
        <f t="shared" si="20"/>
        <v>64935747</v>
      </c>
      <c r="Q121" s="42">
        <v>1609535</v>
      </c>
      <c r="S121" s="42">
        <v>18329957</v>
      </c>
      <c r="U121" s="42">
        <v>0</v>
      </c>
      <c r="W121" s="42">
        <v>84875239</v>
      </c>
      <c r="Y121" s="42">
        <v>28594961</v>
      </c>
      <c r="AA121" s="42">
        <f t="shared" si="24"/>
        <v>6794785</v>
      </c>
      <c r="AC121" s="42">
        <v>44601776</v>
      </c>
      <c r="AE121" s="42">
        <v>79991522</v>
      </c>
      <c r="AF121" s="42">
        <f t="shared" si="25"/>
        <v>0</v>
      </c>
      <c r="AH121" s="42">
        <f t="shared" si="22"/>
        <v>0</v>
      </c>
    </row>
    <row r="122" spans="1:34">
      <c r="A122" s="9" t="s">
        <v>263</v>
      </c>
      <c r="B122" s="9"/>
      <c r="C122" s="9" t="s">
        <v>20</v>
      </c>
      <c r="D122" s="9"/>
      <c r="E122" s="23">
        <v>43786</v>
      </c>
      <c r="G122" s="42">
        <f t="shared" si="21"/>
        <v>695172042</v>
      </c>
      <c r="I122" s="42">
        <f>118583734+612388237</f>
        <v>730971971</v>
      </c>
      <c r="K122" s="42">
        <v>0</v>
      </c>
      <c r="M122" s="42">
        <v>1426144013</v>
      </c>
      <c r="O122" s="42">
        <f t="shared" si="20"/>
        <v>85744429</v>
      </c>
      <c r="Q122" s="42">
        <v>20341397</v>
      </c>
      <c r="S122" s="42">
        <v>199218403</v>
      </c>
      <c r="U122" s="42">
        <v>174077445</v>
      </c>
      <c r="W122" s="42">
        <f>305304229+174077445</f>
        <v>479381674</v>
      </c>
      <c r="Y122" s="42">
        <v>558674014</v>
      </c>
      <c r="AA122" s="42">
        <f t="shared" si="24"/>
        <v>274534504</v>
      </c>
      <c r="AC122" s="42">
        <v>113553821</v>
      </c>
      <c r="AE122" s="42">
        <v>946762339</v>
      </c>
      <c r="AF122" s="42">
        <f t="shared" si="25"/>
        <v>0</v>
      </c>
      <c r="AH122" s="42">
        <f t="shared" si="22"/>
        <v>0</v>
      </c>
    </row>
    <row r="123" spans="1:34">
      <c r="A123" s="8" t="s">
        <v>241</v>
      </c>
      <c r="B123" s="8"/>
      <c r="C123" s="8" t="s">
        <v>18</v>
      </c>
      <c r="D123" s="8"/>
      <c r="E123" s="23">
        <v>46391</v>
      </c>
      <c r="G123" s="42">
        <f t="shared" si="21"/>
        <v>10440951</v>
      </c>
      <c r="I123" s="42">
        <f>462953+41964569</f>
        <v>42427522</v>
      </c>
      <c r="K123" s="42">
        <v>0</v>
      </c>
      <c r="M123" s="42">
        <v>52868473</v>
      </c>
      <c r="O123" s="42">
        <f t="shared" si="20"/>
        <v>6454925</v>
      </c>
      <c r="Q123" s="42">
        <v>857245</v>
      </c>
      <c r="S123" s="42">
        <v>8984088</v>
      </c>
      <c r="U123" s="42">
        <v>0</v>
      </c>
      <c r="W123" s="42">
        <v>16296258</v>
      </c>
      <c r="Y123" s="42">
        <v>33524585</v>
      </c>
      <c r="AA123" s="42">
        <f t="shared" si="24"/>
        <v>1510395</v>
      </c>
      <c r="AC123" s="42">
        <v>1537235</v>
      </c>
      <c r="AE123" s="42">
        <v>36572215</v>
      </c>
      <c r="AF123" s="42">
        <f t="shared" si="25"/>
        <v>0</v>
      </c>
      <c r="AH123" s="42">
        <f t="shared" si="22"/>
        <v>0</v>
      </c>
    </row>
    <row r="124" spans="1:34">
      <c r="A124" s="9" t="s">
        <v>413</v>
      </c>
      <c r="B124" s="9"/>
      <c r="C124" s="9" t="s">
        <v>47</v>
      </c>
      <c r="D124" s="9"/>
      <c r="E124" s="23">
        <v>48488</v>
      </c>
      <c r="G124" s="42">
        <f t="shared" si="21"/>
        <v>23426958</v>
      </c>
      <c r="I124" s="42">
        <v>34922479</v>
      </c>
      <c r="K124" s="42">
        <v>0</v>
      </c>
      <c r="M124" s="42">
        <v>58349437</v>
      </c>
      <c r="O124" s="42">
        <f t="shared" si="20"/>
        <v>4091363</v>
      </c>
      <c r="Q124" s="42">
        <v>430884</v>
      </c>
      <c r="S124" s="42">
        <v>27852532</v>
      </c>
      <c r="U124" s="42">
        <v>13241300</v>
      </c>
      <c r="W124" s="42">
        <f>32374779+13241300</f>
        <v>45616079</v>
      </c>
      <c r="Y124" s="42">
        <v>8592498</v>
      </c>
      <c r="AA124" s="42">
        <f t="shared" si="24"/>
        <v>4484551</v>
      </c>
      <c r="AC124" s="42">
        <v>-343691</v>
      </c>
      <c r="AE124" s="42">
        <v>12733358</v>
      </c>
      <c r="AF124" s="42">
        <f t="shared" si="25"/>
        <v>0</v>
      </c>
      <c r="AH124" s="42">
        <f t="shared" si="22"/>
        <v>0</v>
      </c>
    </row>
    <row r="125" spans="1:34">
      <c r="A125" s="9" t="s">
        <v>750</v>
      </c>
      <c r="B125" s="9"/>
      <c r="C125" s="9" t="s">
        <v>79</v>
      </c>
      <c r="D125" s="9"/>
      <c r="E125" s="23">
        <v>45302</v>
      </c>
      <c r="G125" s="42">
        <f t="shared" si="21"/>
        <v>21935463</v>
      </c>
      <c r="I125" s="42">
        <v>42749867</v>
      </c>
      <c r="K125" s="42">
        <v>121992</v>
      </c>
      <c r="M125" s="42">
        <f>64685330+121992</f>
        <v>64807322</v>
      </c>
      <c r="O125" s="42">
        <f t="shared" si="20"/>
        <v>2402880</v>
      </c>
      <c r="Q125" s="42">
        <v>1240593</v>
      </c>
      <c r="S125" s="42">
        <v>26904288</v>
      </c>
      <c r="U125" s="42">
        <v>5555971</v>
      </c>
      <c r="W125" s="42">
        <f>30547761+5555971</f>
        <v>36103732</v>
      </c>
      <c r="Y125" s="42">
        <v>25312930</v>
      </c>
      <c r="AA125" s="42">
        <f t="shared" si="24"/>
        <v>3154286</v>
      </c>
      <c r="AC125" s="42">
        <v>236374</v>
      </c>
      <c r="AE125" s="42">
        <v>28703590</v>
      </c>
      <c r="AF125" s="42">
        <f t="shared" si="25"/>
        <v>0</v>
      </c>
      <c r="AH125" s="42">
        <f t="shared" si="22"/>
        <v>0</v>
      </c>
    </row>
    <row r="126" spans="1:34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f t="shared" si="21"/>
        <v>0</v>
      </c>
      <c r="I126" s="42">
        <v>0</v>
      </c>
      <c r="K126" s="42">
        <v>0</v>
      </c>
      <c r="M126" s="42">
        <v>0</v>
      </c>
      <c r="O126" s="42">
        <f t="shared" si="20"/>
        <v>0</v>
      </c>
      <c r="Q126" s="42">
        <v>0</v>
      </c>
      <c r="S126" s="42">
        <v>0</v>
      </c>
      <c r="U126" s="42">
        <v>0</v>
      </c>
      <c r="W126" s="42">
        <v>0</v>
      </c>
      <c r="Y126" s="42">
        <v>0</v>
      </c>
      <c r="AA126" s="42">
        <f t="shared" si="24"/>
        <v>0</v>
      </c>
      <c r="AC126" s="42">
        <v>0</v>
      </c>
      <c r="AE126" s="42">
        <v>0</v>
      </c>
      <c r="AF126" s="42">
        <f t="shared" si="25"/>
        <v>0</v>
      </c>
      <c r="AH126" s="42">
        <f t="shared" si="22"/>
        <v>0</v>
      </c>
    </row>
    <row r="127" spans="1:34" hidden="1">
      <c r="A127" s="9" t="s">
        <v>605</v>
      </c>
      <c r="B127" s="9"/>
      <c r="C127" s="9" t="s">
        <v>57</v>
      </c>
      <c r="D127" s="9"/>
      <c r="E127" s="23">
        <v>64964</v>
      </c>
      <c r="G127" s="42">
        <f t="shared" si="21"/>
        <v>0</v>
      </c>
      <c r="I127" s="42">
        <v>0</v>
      </c>
      <c r="K127" s="42">
        <v>0</v>
      </c>
      <c r="M127" s="42">
        <v>0</v>
      </c>
      <c r="O127" s="42">
        <f t="shared" si="20"/>
        <v>0</v>
      </c>
      <c r="Q127" s="42">
        <v>0</v>
      </c>
      <c r="S127" s="42">
        <v>0</v>
      </c>
      <c r="U127" s="42">
        <v>0</v>
      </c>
      <c r="W127" s="42">
        <v>0</v>
      </c>
      <c r="Y127" s="42">
        <v>0</v>
      </c>
      <c r="AA127" s="42">
        <f t="shared" si="24"/>
        <v>0</v>
      </c>
      <c r="AC127" s="42">
        <v>0</v>
      </c>
      <c r="AE127" s="42">
        <v>0</v>
      </c>
      <c r="AF127" s="42">
        <f t="shared" si="25"/>
        <v>0</v>
      </c>
      <c r="AH127" s="42">
        <f t="shared" si="22"/>
        <v>0</v>
      </c>
    </row>
    <row r="128" spans="1:34">
      <c r="A128" s="9" t="s">
        <v>256</v>
      </c>
      <c r="B128" s="9"/>
      <c r="C128" s="9" t="s">
        <v>110</v>
      </c>
      <c r="D128" s="9"/>
      <c r="E128" s="23">
        <v>46516</v>
      </c>
      <c r="G128" s="42">
        <f t="shared" si="21"/>
        <v>6495520</v>
      </c>
      <c r="I128" s="42">
        <v>14896578</v>
      </c>
      <c r="K128" s="42">
        <v>314522</v>
      </c>
      <c r="M128" s="42">
        <f>21392098+314522</f>
        <v>21706620</v>
      </c>
      <c r="O128" s="42">
        <f t="shared" si="20"/>
        <v>1443023</v>
      </c>
      <c r="Q128" s="42">
        <v>535820</v>
      </c>
      <c r="S128" s="42">
        <v>13326253</v>
      </c>
      <c r="U128" s="42">
        <v>1790669</v>
      </c>
      <c r="W128" s="42">
        <f>15305096+1790669</f>
        <v>17095765</v>
      </c>
      <c r="Y128" s="42">
        <v>2545487</v>
      </c>
      <c r="AA128" s="42">
        <f t="shared" si="24"/>
        <v>93396</v>
      </c>
      <c r="AC128" s="42">
        <v>1971972</v>
      </c>
      <c r="AE128" s="42">
        <v>4610855</v>
      </c>
      <c r="AF128" s="42">
        <f t="shared" si="25"/>
        <v>0</v>
      </c>
      <c r="AH128" s="42">
        <f t="shared" si="22"/>
        <v>0</v>
      </c>
    </row>
    <row r="129" spans="1:34">
      <c r="A129" s="9" t="s">
        <v>380</v>
      </c>
      <c r="B129" s="9"/>
      <c r="C129" s="9" t="s">
        <v>44</v>
      </c>
      <c r="D129" s="9"/>
      <c r="E129" s="23">
        <v>48140</v>
      </c>
      <c r="G129" s="42">
        <f t="shared" si="21"/>
        <v>7538401</v>
      </c>
      <c r="I129" s="42">
        <v>9677356</v>
      </c>
      <c r="K129" s="42">
        <v>0</v>
      </c>
      <c r="M129" s="42">
        <v>17215757</v>
      </c>
      <c r="O129" s="42">
        <f t="shared" si="20"/>
        <v>1424937</v>
      </c>
      <c r="Q129" s="42">
        <v>330013</v>
      </c>
      <c r="S129" s="42">
        <v>8555167</v>
      </c>
      <c r="U129" s="42">
        <v>5834441</v>
      </c>
      <c r="W129" s="42">
        <f>10310117+5834441</f>
        <v>16144558</v>
      </c>
      <c r="Y129" s="42">
        <v>1548021</v>
      </c>
      <c r="AA129" s="42">
        <f t="shared" si="24"/>
        <v>426339</v>
      </c>
      <c r="AC129" s="42">
        <v>-903161</v>
      </c>
      <c r="AE129" s="42">
        <v>1071199</v>
      </c>
      <c r="AF129" s="42">
        <f t="shared" si="25"/>
        <v>0</v>
      </c>
      <c r="AH129" s="42">
        <f t="shared" si="22"/>
        <v>0</v>
      </c>
    </row>
    <row r="130" spans="1:34">
      <c r="A130" s="9" t="s">
        <v>751</v>
      </c>
      <c r="B130" s="9"/>
      <c r="C130" s="9" t="s">
        <v>111</v>
      </c>
      <c r="D130" s="9"/>
      <c r="E130" s="23">
        <v>45328</v>
      </c>
      <c r="G130" s="42">
        <f t="shared" si="21"/>
        <v>9387553</v>
      </c>
      <c r="I130" s="42">
        <f>177777+13253811</f>
        <v>13431588</v>
      </c>
      <c r="K130" s="42">
        <v>368404</v>
      </c>
      <c r="M130" s="42">
        <f>22819141+368404</f>
        <v>23187545</v>
      </c>
      <c r="O130" s="42">
        <f t="shared" si="20"/>
        <v>982616</v>
      </c>
      <c r="Q130" s="42">
        <v>339080</v>
      </c>
      <c r="S130" s="42">
        <v>15000643</v>
      </c>
      <c r="U130" s="42">
        <v>3735249</v>
      </c>
      <c r="W130" s="42">
        <f>16322339+3735249</f>
        <v>20057588</v>
      </c>
      <c r="Y130" s="42">
        <v>73699</v>
      </c>
      <c r="AA130" s="42">
        <f t="shared" si="24"/>
        <v>1168539</v>
      </c>
      <c r="AC130" s="42">
        <v>1887719</v>
      </c>
      <c r="AE130" s="42">
        <v>3129957</v>
      </c>
      <c r="AF130" s="42">
        <f t="shared" si="25"/>
        <v>0</v>
      </c>
      <c r="AH130" s="42">
        <f t="shared" si="22"/>
        <v>0</v>
      </c>
    </row>
    <row r="131" spans="1:34">
      <c r="A131" s="9" t="s">
        <v>299</v>
      </c>
      <c r="B131" s="9"/>
      <c r="C131" s="9" t="s">
        <v>27</v>
      </c>
      <c r="D131" s="9"/>
      <c r="E131" s="23">
        <v>43802</v>
      </c>
      <c r="G131" s="42">
        <f t="shared" si="21"/>
        <v>922923863</v>
      </c>
      <c r="I131" s="42">
        <f>30625409+99724987+535197420</f>
        <v>665547816</v>
      </c>
      <c r="K131" s="42">
        <v>849711</v>
      </c>
      <c r="M131" s="42">
        <f>1588471679+849711</f>
        <v>1589321390</v>
      </c>
      <c r="O131" s="42">
        <f t="shared" si="20"/>
        <v>117105569</v>
      </c>
      <c r="Q131" s="42">
        <v>31064201</v>
      </c>
      <c r="S131" s="42">
        <v>567148830</v>
      </c>
      <c r="U131" s="42">
        <v>277849035</v>
      </c>
      <c r="W131" s="42">
        <f>715318600+277849035</f>
        <v>993167635</v>
      </c>
      <c r="Y131" s="42">
        <v>208074740</v>
      </c>
      <c r="AA131" s="42">
        <f t="shared" si="24"/>
        <v>173920649</v>
      </c>
      <c r="AC131" s="42">
        <v>214158366</v>
      </c>
      <c r="AE131" s="42">
        <v>596153755</v>
      </c>
      <c r="AF131" s="42">
        <f t="shared" si="25"/>
        <v>0</v>
      </c>
      <c r="AH131" s="42">
        <f t="shared" si="22"/>
        <v>0</v>
      </c>
    </row>
    <row r="132" spans="1:34" hidden="1">
      <c r="A132" s="9" t="s">
        <v>606</v>
      </c>
      <c r="B132" s="9"/>
      <c r="C132" s="9" t="s">
        <v>464</v>
      </c>
      <c r="D132" s="9"/>
      <c r="E132" s="23">
        <v>49312</v>
      </c>
      <c r="G132" s="42">
        <f t="shared" si="21"/>
        <v>0</v>
      </c>
      <c r="I132" s="42">
        <v>0</v>
      </c>
      <c r="K132" s="42">
        <v>0</v>
      </c>
      <c r="M132" s="42">
        <v>0</v>
      </c>
      <c r="O132" s="42">
        <f t="shared" si="20"/>
        <v>0</v>
      </c>
      <c r="Q132" s="42">
        <v>0</v>
      </c>
      <c r="S132" s="42">
        <v>0</v>
      </c>
      <c r="U132" s="42">
        <v>0</v>
      </c>
      <c r="W132" s="42">
        <v>0</v>
      </c>
      <c r="Y132" s="42">
        <v>0</v>
      </c>
      <c r="AA132" s="42">
        <f t="shared" si="24"/>
        <v>0</v>
      </c>
      <c r="AC132" s="42">
        <v>0</v>
      </c>
      <c r="AE132" s="42">
        <v>0</v>
      </c>
      <c r="AF132" s="42">
        <f>+M132-W132-AE132</f>
        <v>0</v>
      </c>
      <c r="AH132" s="42">
        <f t="shared" si="22"/>
        <v>0</v>
      </c>
    </row>
    <row r="133" spans="1:34">
      <c r="A133" s="8" t="s">
        <v>206</v>
      </c>
      <c r="B133" s="8"/>
      <c r="C133" s="8" t="s">
        <v>12</v>
      </c>
      <c r="D133" s="8"/>
      <c r="E133" s="23">
        <v>43810</v>
      </c>
      <c r="G133" s="42">
        <f t="shared" si="21"/>
        <v>12354468</v>
      </c>
      <c r="I133" s="42">
        <f>2701288+33347581</f>
        <v>36048869</v>
      </c>
      <c r="K133" s="42">
        <v>87274</v>
      </c>
      <c r="M133" s="42">
        <f>48403337+87274</f>
        <v>48490611</v>
      </c>
      <c r="O133" s="42">
        <f t="shared" si="20"/>
        <v>2371681</v>
      </c>
      <c r="Q133" s="42">
        <v>597933</v>
      </c>
      <c r="S133" s="42">
        <v>6216694</v>
      </c>
      <c r="U133" s="42">
        <v>3288188</v>
      </c>
      <c r="W133" s="42">
        <f>9186308+3288188</f>
        <v>12474496</v>
      </c>
      <c r="Y133" s="42">
        <v>30317882</v>
      </c>
      <c r="AA133" s="42">
        <f t="shared" si="24"/>
        <v>4311912</v>
      </c>
      <c r="AC133" s="42">
        <v>1386321</v>
      </c>
      <c r="AE133" s="42">
        <v>36016115</v>
      </c>
      <c r="AF133" s="42">
        <f>+M133-W133-AE133</f>
        <v>0</v>
      </c>
      <c r="AH133" s="42">
        <f t="shared" si="22"/>
        <v>0</v>
      </c>
    </row>
    <row r="134" spans="1:34">
      <c r="A134" s="9" t="s">
        <v>340</v>
      </c>
      <c r="B134" s="9"/>
      <c r="C134" s="9" t="s">
        <v>341</v>
      </c>
      <c r="D134" s="9"/>
      <c r="E134" s="23">
        <v>47548</v>
      </c>
      <c r="G134" s="42">
        <f t="shared" si="21"/>
        <v>3320156</v>
      </c>
      <c r="I134" s="42">
        <v>502454</v>
      </c>
      <c r="K134" s="42">
        <v>0</v>
      </c>
      <c r="M134" s="42">
        <v>3822610</v>
      </c>
      <c r="O134" s="42">
        <f t="shared" si="20"/>
        <v>452747</v>
      </c>
      <c r="Q134" s="42">
        <v>21122</v>
      </c>
      <c r="S134" s="42">
        <v>120330</v>
      </c>
      <c r="U134" s="42">
        <v>1737009</v>
      </c>
      <c r="W134" s="42">
        <f>594199+1737009</f>
        <v>2331208</v>
      </c>
      <c r="Y134" s="42">
        <v>502454</v>
      </c>
      <c r="AA134" s="42">
        <f t="shared" si="24"/>
        <v>277061</v>
      </c>
      <c r="AC134" s="42">
        <v>711887</v>
      </c>
      <c r="AE134" s="42">
        <v>1491402</v>
      </c>
      <c r="AF134" s="42">
        <f t="shared" si="25"/>
        <v>0</v>
      </c>
      <c r="AH134" s="42">
        <f t="shared" si="22"/>
        <v>0</v>
      </c>
    </row>
    <row r="135" spans="1:34" hidden="1">
      <c r="A135" s="9" t="s">
        <v>671</v>
      </c>
      <c r="B135" s="9"/>
      <c r="C135" s="9" t="s">
        <v>464</v>
      </c>
      <c r="D135" s="9"/>
      <c r="E135" s="23">
        <v>49320</v>
      </c>
      <c r="G135" s="42">
        <f t="shared" si="21"/>
        <v>0</v>
      </c>
      <c r="I135" s="42">
        <v>0</v>
      </c>
      <c r="K135" s="42">
        <v>0</v>
      </c>
      <c r="M135" s="42">
        <v>0</v>
      </c>
      <c r="O135" s="42">
        <f t="shared" si="20"/>
        <v>0</v>
      </c>
      <c r="Q135" s="42">
        <v>0</v>
      </c>
      <c r="S135" s="42">
        <v>0</v>
      </c>
      <c r="U135" s="42">
        <v>0</v>
      </c>
      <c r="W135" s="42">
        <v>0</v>
      </c>
      <c r="Y135" s="42">
        <v>0</v>
      </c>
      <c r="AA135" s="42">
        <f t="shared" si="24"/>
        <v>0</v>
      </c>
      <c r="AC135" s="42">
        <v>0</v>
      </c>
      <c r="AE135" s="42">
        <v>0</v>
      </c>
      <c r="AF135" s="42">
        <f>+M135-W135-AE135</f>
        <v>0</v>
      </c>
      <c r="AH135" s="42">
        <f t="shared" si="22"/>
        <v>0</v>
      </c>
    </row>
    <row r="136" spans="1:34">
      <c r="A136" s="9" t="s">
        <v>504</v>
      </c>
      <c r="B136" s="9"/>
      <c r="C136" s="9" t="s">
        <v>63</v>
      </c>
      <c r="D136" s="9"/>
      <c r="E136" s="23">
        <v>49981</v>
      </c>
      <c r="G136" s="42">
        <f t="shared" si="21"/>
        <v>49987700</v>
      </c>
      <c r="I136" s="42">
        <v>19530673</v>
      </c>
      <c r="K136" s="42">
        <v>0</v>
      </c>
      <c r="M136" s="42">
        <v>69518373</v>
      </c>
      <c r="O136" s="42">
        <f t="shared" si="20"/>
        <v>5263865</v>
      </c>
      <c r="Q136" s="42">
        <v>1543381</v>
      </c>
      <c r="S136" s="42">
        <v>5238405</v>
      </c>
      <c r="U136" s="42">
        <v>29269699</v>
      </c>
      <c r="W136" s="42">
        <f>12045651+29269699</f>
        <v>41315350</v>
      </c>
      <c r="Y136" s="42">
        <v>16524748</v>
      </c>
      <c r="AA136" s="42">
        <f t="shared" si="24"/>
        <v>2282783</v>
      </c>
      <c r="AC136" s="42">
        <v>9395492</v>
      </c>
      <c r="AE136" s="42">
        <v>28203023</v>
      </c>
      <c r="AF136" s="42">
        <f t="shared" si="25"/>
        <v>0</v>
      </c>
      <c r="AH136" s="42">
        <f t="shared" si="22"/>
        <v>0</v>
      </c>
    </row>
    <row r="137" spans="1:34">
      <c r="A137" s="9" t="s">
        <v>334</v>
      </c>
      <c r="B137" s="9"/>
      <c r="C137" s="9" t="s">
        <v>33</v>
      </c>
      <c r="D137" s="9"/>
      <c r="E137" s="23">
        <v>47431</v>
      </c>
      <c r="G137" s="42">
        <f t="shared" si="21"/>
        <v>5968482</v>
      </c>
      <c r="I137" s="42">
        <f>11535539+2413876</f>
        <v>13949415</v>
      </c>
      <c r="K137" s="42">
        <v>0</v>
      </c>
      <c r="M137" s="42">
        <v>19917897</v>
      </c>
      <c r="O137" s="42">
        <f t="shared" si="20"/>
        <v>1444203</v>
      </c>
      <c r="Q137" s="42">
        <v>187606</v>
      </c>
      <c r="S137" s="42">
        <v>6463401</v>
      </c>
      <c r="U137" s="42">
        <v>1881801</v>
      </c>
      <c r="W137" s="42">
        <f>8095210+1881801</f>
        <v>9977011</v>
      </c>
      <c r="Y137" s="42">
        <v>8452001</v>
      </c>
      <c r="AA137" s="42">
        <f t="shared" si="24"/>
        <v>1003139</v>
      </c>
      <c r="AC137" s="42">
        <v>485746</v>
      </c>
      <c r="AE137" s="42">
        <v>9940886</v>
      </c>
      <c r="AF137" s="42">
        <f>+M137-W137-AE137</f>
        <v>0</v>
      </c>
      <c r="AH137" s="42">
        <f t="shared" si="22"/>
        <v>0</v>
      </c>
    </row>
    <row r="138" spans="1:34">
      <c r="A138" s="9" t="s">
        <v>251</v>
      </c>
      <c r="B138" s="9"/>
      <c r="C138" s="9" t="s">
        <v>19</v>
      </c>
      <c r="D138" s="9"/>
      <c r="E138" s="23">
        <v>43828</v>
      </c>
      <c r="G138" s="42">
        <f t="shared" si="21"/>
        <v>22088547</v>
      </c>
      <c r="I138" s="42">
        <f>686524+20434889</f>
        <v>21121413</v>
      </c>
      <c r="K138" s="42">
        <v>0</v>
      </c>
      <c r="M138" s="42">
        <v>43209960</v>
      </c>
      <c r="O138" s="42">
        <f t="shared" si="20"/>
        <v>2334334</v>
      </c>
      <c r="Q138" s="42">
        <v>773530</v>
      </c>
      <c r="S138" s="42">
        <v>10405442</v>
      </c>
      <c r="U138" s="42">
        <v>5013381</v>
      </c>
      <c r="W138" s="42">
        <f>13513306+5013381</f>
        <v>18526687</v>
      </c>
      <c r="Y138" s="42">
        <v>20674829</v>
      </c>
      <c r="AA138" s="42">
        <f t="shared" si="24"/>
        <v>886193</v>
      </c>
      <c r="AC138" s="42">
        <v>3122251</v>
      </c>
      <c r="AE138" s="42">
        <v>24683273</v>
      </c>
      <c r="AF138" s="42">
        <f t="shared" si="25"/>
        <v>0</v>
      </c>
      <c r="AH138" s="42">
        <f t="shared" si="22"/>
        <v>0</v>
      </c>
    </row>
    <row r="139" spans="1:34">
      <c r="A139" s="9" t="s">
        <v>599</v>
      </c>
      <c r="B139" s="9"/>
      <c r="C139" s="9" t="s">
        <v>63</v>
      </c>
      <c r="D139" s="9"/>
      <c r="E139" s="23">
        <v>49999</v>
      </c>
      <c r="G139" s="42">
        <f t="shared" si="21"/>
        <v>11654560</v>
      </c>
      <c r="I139" s="42">
        <f>544210+4306139</f>
        <v>4850349</v>
      </c>
      <c r="K139" s="42">
        <v>0</v>
      </c>
      <c r="M139" s="42">
        <v>16504909</v>
      </c>
      <c r="O139" s="42">
        <f t="shared" si="20"/>
        <v>4565302</v>
      </c>
      <c r="Q139" s="42">
        <v>1195118</v>
      </c>
      <c r="S139" s="42">
        <f>6130013-1195118</f>
        <v>4934895</v>
      </c>
      <c r="U139" s="42">
        <v>9326991</v>
      </c>
      <c r="W139" s="42">
        <v>20022306</v>
      </c>
      <c r="Y139" s="42">
        <v>1968419</v>
      </c>
      <c r="AA139" s="42">
        <f t="shared" si="24"/>
        <v>348697</v>
      </c>
      <c r="AC139" s="42">
        <v>-5834513</v>
      </c>
      <c r="AE139" s="42">
        <v>-3517397</v>
      </c>
      <c r="AF139" s="42">
        <f>+M139-W139-AE139</f>
        <v>0</v>
      </c>
      <c r="AH139" s="42">
        <f t="shared" si="22"/>
        <v>0</v>
      </c>
    </row>
    <row r="140" spans="1:34">
      <c r="A140" s="9" t="s">
        <v>752</v>
      </c>
      <c r="B140" s="9"/>
      <c r="C140" s="9" t="s">
        <v>48</v>
      </c>
      <c r="D140" s="9"/>
      <c r="E140" s="23">
        <v>45336</v>
      </c>
      <c r="G140" s="42">
        <f t="shared" ref="G140" si="26">+M140-I140-K140</f>
        <v>4718153</v>
      </c>
      <c r="I140" s="42">
        <v>1471278</v>
      </c>
      <c r="K140" s="42">
        <v>0</v>
      </c>
      <c r="M140" s="42">
        <v>6189431</v>
      </c>
      <c r="O140" s="42">
        <f t="shared" ref="O140" si="27">+W140-Q140-S140-U140</f>
        <v>721610</v>
      </c>
      <c r="Q140" s="42">
        <v>59289</v>
      </c>
      <c r="S140" s="42">
        <v>635078</v>
      </c>
      <c r="U140" s="42">
        <v>1448946</v>
      </c>
      <c r="W140" s="42">
        <f>1415977+1448946</f>
        <v>2864923</v>
      </c>
      <c r="Y140" s="42">
        <v>1321695</v>
      </c>
      <c r="AA140" s="42">
        <f t="shared" ref="AA140" si="28">AE140-AC140-Y140</f>
        <v>342787</v>
      </c>
      <c r="AC140" s="42">
        <v>1660026</v>
      </c>
      <c r="AE140" s="42">
        <v>3324508</v>
      </c>
      <c r="AF140" s="42">
        <f t="shared" si="25"/>
        <v>0</v>
      </c>
      <c r="AH140" s="42">
        <f t="shared" si="22"/>
        <v>0</v>
      </c>
    </row>
    <row r="141" spans="1:34" hidden="1">
      <c r="A141" s="9" t="s">
        <v>825</v>
      </c>
      <c r="B141" s="9"/>
      <c r="C141" s="9" t="s">
        <v>110</v>
      </c>
      <c r="D141" s="9"/>
      <c r="E141" s="23">
        <v>45344</v>
      </c>
      <c r="G141" s="42">
        <f t="shared" si="21"/>
        <v>0</v>
      </c>
      <c r="I141" s="42">
        <v>0</v>
      </c>
      <c r="K141" s="42">
        <v>0</v>
      </c>
      <c r="M141" s="42">
        <v>0</v>
      </c>
      <c r="O141" s="42">
        <f t="shared" si="20"/>
        <v>0</v>
      </c>
      <c r="Q141" s="42">
        <v>0</v>
      </c>
      <c r="S141" s="42">
        <v>0</v>
      </c>
      <c r="U141" s="42">
        <v>0</v>
      </c>
      <c r="W141" s="42">
        <v>0</v>
      </c>
      <c r="Y141" s="42">
        <v>0</v>
      </c>
      <c r="AA141" s="42">
        <f t="shared" si="24"/>
        <v>0</v>
      </c>
      <c r="AC141" s="42">
        <v>0</v>
      </c>
      <c r="AE141" s="42">
        <v>0</v>
      </c>
      <c r="AF141" s="42">
        <f t="shared" si="25"/>
        <v>0</v>
      </c>
      <c r="AH141" s="42">
        <f t="shared" si="22"/>
        <v>0</v>
      </c>
    </row>
    <row r="142" spans="1:34">
      <c r="A142" s="9" t="s">
        <v>245</v>
      </c>
      <c r="B142" s="9"/>
      <c r="C142" s="9" t="s">
        <v>111</v>
      </c>
      <c r="D142" s="9"/>
      <c r="E142" s="23">
        <v>46433</v>
      </c>
      <c r="G142" s="42">
        <f t="shared" si="21"/>
        <v>6235248</v>
      </c>
      <c r="I142" s="42">
        <f>250000+15679696</f>
        <v>15929696</v>
      </c>
      <c r="K142" s="42">
        <v>0</v>
      </c>
      <c r="M142" s="42">
        <v>22164944</v>
      </c>
      <c r="O142" s="42">
        <f t="shared" ref="O142:O205" si="29">+W142-Q142-S142-U142</f>
        <v>1539967</v>
      </c>
      <c r="Q142" s="42">
        <v>569705</v>
      </c>
      <c r="S142" s="42">
        <v>5040390</v>
      </c>
      <c r="U142" s="42">
        <v>2221116</v>
      </c>
      <c r="W142" s="42">
        <f>7150062+2221116</f>
        <v>9371178</v>
      </c>
      <c r="Y142" s="42">
        <v>10969851</v>
      </c>
      <c r="AA142" s="42">
        <f t="shared" si="24"/>
        <v>545843</v>
      </c>
      <c r="AC142" s="42">
        <v>1278072</v>
      </c>
      <c r="AE142" s="42">
        <v>12793766</v>
      </c>
      <c r="AF142" s="42">
        <f t="shared" si="25"/>
        <v>0</v>
      </c>
      <c r="AH142" s="42">
        <f t="shared" si="22"/>
        <v>0</v>
      </c>
    </row>
    <row r="143" spans="1:34">
      <c r="A143" s="9" t="s">
        <v>245</v>
      </c>
      <c r="B143" s="9"/>
      <c r="C143" s="9" t="s">
        <v>109</v>
      </c>
      <c r="D143" s="9"/>
      <c r="E143" s="23">
        <v>49429</v>
      </c>
      <c r="G143" s="42">
        <f t="shared" ref="G143:G206" si="30">+M143-I143-K143</f>
        <v>10430414</v>
      </c>
      <c r="I143" s="42">
        <v>22072275</v>
      </c>
      <c r="K143" s="42">
        <v>48516</v>
      </c>
      <c r="M143" s="42">
        <f>32502689+48516</f>
        <v>32551205</v>
      </c>
      <c r="O143" s="42">
        <f t="shared" si="29"/>
        <v>1139544</v>
      </c>
      <c r="Q143" s="42">
        <v>323119</v>
      </c>
      <c r="S143" s="42">
        <v>2310519</v>
      </c>
      <c r="U143" s="42">
        <v>2371349</v>
      </c>
      <c r="W143" s="42">
        <f>3773182+2371349</f>
        <v>6144531</v>
      </c>
      <c r="Y143" s="42">
        <v>19940791</v>
      </c>
      <c r="AA143" s="42">
        <f t="shared" si="24"/>
        <v>1048038</v>
      </c>
      <c r="AC143" s="42">
        <v>5417845</v>
      </c>
      <c r="AE143" s="42">
        <v>26406674</v>
      </c>
      <c r="AF143" s="42">
        <f t="shared" si="25"/>
        <v>0</v>
      </c>
      <c r="AH143" s="42">
        <f t="shared" si="22"/>
        <v>0</v>
      </c>
    </row>
    <row r="144" spans="1:34" hidden="1">
      <c r="A144" s="9" t="s">
        <v>650</v>
      </c>
      <c r="B144" s="9"/>
      <c r="C144" s="9" t="s">
        <v>67</v>
      </c>
      <c r="D144" s="9"/>
      <c r="E144" s="23">
        <v>50351</v>
      </c>
      <c r="G144" s="42">
        <f t="shared" si="30"/>
        <v>0</v>
      </c>
      <c r="I144" s="42">
        <v>0</v>
      </c>
      <c r="K144" s="42">
        <v>0</v>
      </c>
      <c r="M144" s="42">
        <v>0</v>
      </c>
      <c r="O144" s="42">
        <f t="shared" si="29"/>
        <v>0</v>
      </c>
      <c r="Q144" s="42">
        <v>0</v>
      </c>
      <c r="S144" s="42">
        <v>0</v>
      </c>
      <c r="U144" s="42">
        <v>0</v>
      </c>
      <c r="W144" s="42">
        <v>0</v>
      </c>
      <c r="Y144" s="42">
        <v>0</v>
      </c>
      <c r="AA144" s="42">
        <f t="shared" si="24"/>
        <v>0</v>
      </c>
      <c r="AC144" s="42">
        <v>0</v>
      </c>
      <c r="AE144" s="42">
        <v>0</v>
      </c>
      <c r="AF144" s="42">
        <f t="shared" si="25"/>
        <v>0</v>
      </c>
      <c r="AH144" s="42">
        <f t="shared" ref="AH144:AH207" si="31">+G144+I144+K144-O144-Q144-Y144-AA144-AC144-S144-U144</f>
        <v>0</v>
      </c>
    </row>
    <row r="145" spans="1:34">
      <c r="A145" s="9" t="s">
        <v>712</v>
      </c>
      <c r="B145" s="9"/>
      <c r="C145" s="9" t="s">
        <v>56</v>
      </c>
      <c r="D145" s="9"/>
      <c r="E145" s="23">
        <v>49189</v>
      </c>
      <c r="G145" s="42">
        <f t="shared" si="30"/>
        <v>16957344</v>
      </c>
      <c r="I145" s="42">
        <f>2013621+20663669</f>
        <v>22677290</v>
      </c>
      <c r="K145" s="42">
        <v>0</v>
      </c>
      <c r="M145" s="42">
        <v>39634634</v>
      </c>
      <c r="O145" s="42">
        <f t="shared" si="29"/>
        <v>9630194</v>
      </c>
      <c r="Q145" s="42">
        <v>1033541</v>
      </c>
      <c r="S145" s="42">
        <v>8720734</v>
      </c>
      <c r="U145" s="42">
        <v>0</v>
      </c>
      <c r="W145" s="42">
        <v>19384469</v>
      </c>
      <c r="Y145" s="42">
        <v>16882814</v>
      </c>
      <c r="AA145" s="42">
        <f t="shared" si="24"/>
        <v>4094125</v>
      </c>
      <c r="AC145" s="42">
        <v>-726774</v>
      </c>
      <c r="AE145" s="42">
        <v>20250165</v>
      </c>
      <c r="AF145" s="42">
        <f t="shared" si="25"/>
        <v>0</v>
      </c>
      <c r="AH145" s="42">
        <f t="shared" si="31"/>
        <v>0</v>
      </c>
    </row>
    <row r="146" spans="1:34">
      <c r="A146" s="9" t="s">
        <v>753</v>
      </c>
      <c r="B146" s="9"/>
      <c r="C146" s="9" t="s">
        <v>448</v>
      </c>
      <c r="D146" s="9"/>
      <c r="E146" s="23">
        <v>45351</v>
      </c>
      <c r="G146" s="42">
        <f t="shared" si="30"/>
        <v>4053064</v>
      </c>
      <c r="I146" s="42">
        <f>98680+8433182</f>
        <v>8531862</v>
      </c>
      <c r="K146" s="42">
        <v>0</v>
      </c>
      <c r="M146" s="42">
        <v>12584926</v>
      </c>
      <c r="O146" s="42">
        <f t="shared" si="29"/>
        <v>1035336</v>
      </c>
      <c r="Q146" s="42">
        <v>161542</v>
      </c>
      <c r="S146" s="42">
        <v>1423379</v>
      </c>
      <c r="U146" s="42">
        <v>1707082</v>
      </c>
      <c r="W146" s="42">
        <f>2620257+1707082</f>
        <v>4327339</v>
      </c>
      <c r="Y146" s="42">
        <v>7433199</v>
      </c>
      <c r="AA146" s="42">
        <f t="shared" si="24"/>
        <v>918908</v>
      </c>
      <c r="AC146" s="42">
        <v>-94520</v>
      </c>
      <c r="AE146" s="42">
        <v>8257587</v>
      </c>
      <c r="AF146" s="42">
        <f>+M146-W146-AE146</f>
        <v>0</v>
      </c>
      <c r="AH146" s="42">
        <f t="shared" si="31"/>
        <v>0</v>
      </c>
    </row>
    <row r="147" spans="1:34">
      <c r="A147" s="9" t="s">
        <v>651</v>
      </c>
      <c r="B147" s="9"/>
      <c r="C147" s="9" t="s">
        <v>63</v>
      </c>
      <c r="D147" s="9"/>
      <c r="E147" s="23">
        <v>43836</v>
      </c>
      <c r="G147" s="42">
        <f t="shared" si="30"/>
        <v>36278103</v>
      </c>
      <c r="I147" s="42">
        <v>8628645</v>
      </c>
      <c r="K147" s="42">
        <v>66098</v>
      </c>
      <c r="M147" s="42">
        <f>44906748+66098</f>
        <v>44972846</v>
      </c>
      <c r="O147" s="42">
        <f t="shared" si="29"/>
        <v>5275617</v>
      </c>
      <c r="Q147" s="42">
        <v>1094139</v>
      </c>
      <c r="S147" s="42">
        <v>4822062</v>
      </c>
      <c r="U147" s="42">
        <v>26326399</v>
      </c>
      <c r="W147" s="42">
        <f>11191818+26326399</f>
        <v>37518217</v>
      </c>
      <c r="Y147" s="42">
        <v>5274094</v>
      </c>
      <c r="AA147" s="42">
        <f t="shared" si="24"/>
        <v>928146</v>
      </c>
      <c r="AC147" s="42">
        <v>1252389</v>
      </c>
      <c r="AE147" s="42">
        <v>7454629</v>
      </c>
      <c r="AF147" s="42">
        <f t="shared" si="25"/>
        <v>0</v>
      </c>
      <c r="AH147" s="42">
        <f t="shared" si="31"/>
        <v>0</v>
      </c>
    </row>
    <row r="148" spans="1:34">
      <c r="A148" s="9" t="s">
        <v>713</v>
      </c>
      <c r="B148" s="9"/>
      <c r="C148" s="9" t="s">
        <v>20</v>
      </c>
      <c r="D148" s="9"/>
      <c r="E148" s="23">
        <v>46557</v>
      </c>
      <c r="G148" s="42">
        <f t="shared" si="30"/>
        <v>14935404</v>
      </c>
      <c r="I148" s="42">
        <f>798600+3388796</f>
        <v>4187396</v>
      </c>
      <c r="K148" s="42">
        <v>0</v>
      </c>
      <c r="M148" s="42">
        <v>19122800</v>
      </c>
      <c r="O148" s="42">
        <f t="shared" si="29"/>
        <v>1408247</v>
      </c>
      <c r="Q148" s="42">
        <v>791629</v>
      </c>
      <c r="S148" s="42">
        <v>1795690</v>
      </c>
      <c r="U148" s="42">
        <v>7857254</v>
      </c>
      <c r="W148" s="42">
        <f>3995566+7857254</f>
        <v>11852820</v>
      </c>
      <c r="Y148" s="42">
        <v>2622271</v>
      </c>
      <c r="AA148" s="42">
        <f t="shared" si="24"/>
        <v>1445133</v>
      </c>
      <c r="AC148" s="42">
        <v>3202576</v>
      </c>
      <c r="AE148" s="42">
        <v>7269980</v>
      </c>
      <c r="AF148" s="42">
        <f t="shared" si="25"/>
        <v>0</v>
      </c>
      <c r="AH148" s="42">
        <f t="shared" si="31"/>
        <v>0</v>
      </c>
    </row>
    <row r="149" spans="1:34">
      <c r="A149" s="9" t="s">
        <v>604</v>
      </c>
      <c r="B149" s="9"/>
      <c r="C149" s="9" t="s">
        <v>71</v>
      </c>
      <c r="D149" s="9"/>
      <c r="E149" s="23">
        <v>50542</v>
      </c>
      <c r="G149" s="42">
        <f t="shared" si="30"/>
        <v>24315806</v>
      </c>
      <c r="I149" s="42">
        <v>9042678</v>
      </c>
      <c r="K149" s="42">
        <v>0</v>
      </c>
      <c r="M149" s="42">
        <v>33358484</v>
      </c>
      <c r="O149" s="42">
        <f t="shared" si="29"/>
        <v>1957826</v>
      </c>
      <c r="Q149" s="42">
        <v>136910</v>
      </c>
      <c r="S149" s="42">
        <v>16348697</v>
      </c>
      <c r="U149" s="42">
        <v>2923259</v>
      </c>
      <c r="W149" s="42">
        <f>18443433+2923259</f>
        <v>21366692</v>
      </c>
      <c r="Y149" s="42">
        <v>4338271</v>
      </c>
      <c r="AA149" s="42">
        <f t="shared" si="24"/>
        <v>7247342</v>
      </c>
      <c r="AC149" s="42">
        <v>406179</v>
      </c>
      <c r="AE149" s="42">
        <v>11991792</v>
      </c>
      <c r="AF149" s="42">
        <f>+M149-W149-AE149</f>
        <v>0</v>
      </c>
      <c r="AH149" s="42">
        <f t="shared" si="31"/>
        <v>0</v>
      </c>
    </row>
    <row r="150" spans="1:34" hidden="1">
      <c r="A150" s="8" t="s">
        <v>735</v>
      </c>
      <c r="B150" s="9"/>
      <c r="C150" s="9" t="s">
        <v>53</v>
      </c>
      <c r="D150" s="9"/>
      <c r="E150" s="23">
        <v>48934</v>
      </c>
      <c r="G150" s="42">
        <f t="shared" si="30"/>
        <v>0</v>
      </c>
      <c r="I150" s="42">
        <v>0</v>
      </c>
      <c r="K150" s="42">
        <v>0</v>
      </c>
      <c r="M150" s="42">
        <v>0</v>
      </c>
      <c r="O150" s="42">
        <f t="shared" si="29"/>
        <v>0</v>
      </c>
      <c r="Q150" s="42">
        <v>0</v>
      </c>
      <c r="S150" s="42">
        <v>0</v>
      </c>
      <c r="U150" s="42">
        <v>0</v>
      </c>
      <c r="W150" s="42">
        <v>0</v>
      </c>
      <c r="Y150" s="42">
        <v>0</v>
      </c>
      <c r="AA150" s="42">
        <f t="shared" si="24"/>
        <v>0</v>
      </c>
      <c r="AC150" s="42">
        <v>0</v>
      </c>
      <c r="AE150" s="42">
        <v>0</v>
      </c>
      <c r="AF150" s="42">
        <f>+M150-W150-AE150</f>
        <v>0</v>
      </c>
      <c r="AH150" s="42">
        <f t="shared" si="31"/>
        <v>0</v>
      </c>
    </row>
    <row r="151" spans="1:34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f t="shared" si="30"/>
        <v>0</v>
      </c>
      <c r="I151" s="42">
        <v>0</v>
      </c>
      <c r="K151" s="42">
        <v>0</v>
      </c>
      <c r="M151" s="42">
        <v>0</v>
      </c>
      <c r="O151" s="42">
        <f t="shared" si="29"/>
        <v>0</v>
      </c>
      <c r="Q151" s="42">
        <v>0</v>
      </c>
      <c r="S151" s="42">
        <v>0</v>
      </c>
      <c r="U151" s="42">
        <v>0</v>
      </c>
      <c r="W151" s="42">
        <v>0</v>
      </c>
      <c r="Y151" s="42">
        <v>0</v>
      </c>
      <c r="AA151" s="42">
        <f t="shared" si="24"/>
        <v>0</v>
      </c>
      <c r="AC151" s="42">
        <v>0</v>
      </c>
      <c r="AE151" s="42">
        <v>0</v>
      </c>
      <c r="AF151" s="42">
        <f t="shared" si="25"/>
        <v>0</v>
      </c>
      <c r="AH151" s="42">
        <f t="shared" si="31"/>
        <v>0</v>
      </c>
    </row>
    <row r="152" spans="1:34">
      <c r="A152" s="9" t="s">
        <v>365</v>
      </c>
      <c r="B152" s="9"/>
      <c r="C152" s="9" t="s">
        <v>364</v>
      </c>
      <c r="D152" s="9"/>
      <c r="E152" s="23">
        <v>47928</v>
      </c>
      <c r="F152" s="24"/>
      <c r="G152" s="42">
        <f t="shared" si="30"/>
        <v>7927816</v>
      </c>
      <c r="I152" s="42">
        <f>814476+28510904</f>
        <v>29325380</v>
      </c>
      <c r="K152" s="42">
        <v>13439</v>
      </c>
      <c r="M152" s="42">
        <f>37253196+13439</f>
        <v>37266635</v>
      </c>
      <c r="O152" s="42">
        <f t="shared" si="29"/>
        <v>1784436</v>
      </c>
      <c r="Q152" s="42">
        <v>294489</v>
      </c>
      <c r="S152" s="42">
        <v>2475514</v>
      </c>
      <c r="U152" s="42">
        <v>1107993</v>
      </c>
      <c r="W152" s="42">
        <f>4554439+1107993</f>
        <v>5662432</v>
      </c>
      <c r="Y152" s="42">
        <v>27013590</v>
      </c>
      <c r="AA152" s="42">
        <f t="shared" si="24"/>
        <v>1173531</v>
      </c>
      <c r="AC152" s="42">
        <v>3417082</v>
      </c>
      <c r="AE152" s="42">
        <v>31604203</v>
      </c>
      <c r="AF152" s="42">
        <f t="shared" si="25"/>
        <v>0</v>
      </c>
      <c r="AH152" s="42">
        <f t="shared" si="31"/>
        <v>0</v>
      </c>
    </row>
    <row r="153" spans="1:34">
      <c r="A153" s="9" t="s">
        <v>426</v>
      </c>
      <c r="B153" s="9"/>
      <c r="C153" s="9" t="s">
        <v>50</v>
      </c>
      <c r="D153" s="9"/>
      <c r="E153" s="23">
        <v>43844</v>
      </c>
      <c r="G153" s="42">
        <f t="shared" si="30"/>
        <v>215320860</v>
      </c>
      <c r="I153" s="42">
        <f>11688101+478100920</f>
        <v>489789021</v>
      </c>
      <c r="K153" s="42">
        <v>15121330</v>
      </c>
      <c r="M153" s="42">
        <f>705109881+15121330</f>
        <v>720231211</v>
      </c>
      <c r="O153" s="42">
        <f t="shared" si="29"/>
        <v>22809717</v>
      </c>
      <c r="Q153" s="42">
        <v>12597250</v>
      </c>
      <c r="S153" s="42">
        <v>249338178</v>
      </c>
      <c r="U153" s="42">
        <v>69440952</v>
      </c>
      <c r="W153" s="42">
        <f>284745145+69440952</f>
        <v>354186097</v>
      </c>
      <c r="Y153" s="42">
        <v>254064580</v>
      </c>
      <c r="AA153" s="42">
        <f t="shared" si="24"/>
        <v>74987306</v>
      </c>
      <c r="AC153" s="42">
        <v>36993228</v>
      </c>
      <c r="AE153" s="42">
        <v>366045114</v>
      </c>
      <c r="AF153" s="42">
        <f t="shared" si="25"/>
        <v>0</v>
      </c>
      <c r="AH153" s="42">
        <f t="shared" si="31"/>
        <v>0</v>
      </c>
    </row>
    <row r="154" spans="1:34" ht="12.75" customHeight="1">
      <c r="A154" s="9" t="s">
        <v>877</v>
      </c>
      <c r="B154" s="9"/>
      <c r="C154" s="9" t="s">
        <v>32</v>
      </c>
      <c r="D154" s="9"/>
      <c r="E154" s="23">
        <v>43851</v>
      </c>
      <c r="G154" s="42">
        <f t="shared" si="30"/>
        <v>15368304</v>
      </c>
      <c r="I154" s="42">
        <f>566255+2884342</f>
        <v>3450597</v>
      </c>
      <c r="K154" s="42">
        <v>0</v>
      </c>
      <c r="M154" s="42">
        <v>18818901</v>
      </c>
      <c r="O154" s="42">
        <f t="shared" si="29"/>
        <v>6481869</v>
      </c>
      <c r="Q154" s="42">
        <v>391207</v>
      </c>
      <c r="S154" s="42">
        <v>1051442</v>
      </c>
      <c r="U154" s="42">
        <v>0</v>
      </c>
      <c r="W154" s="42">
        <v>7924518</v>
      </c>
      <c r="Y154" s="42">
        <v>2790915</v>
      </c>
      <c r="AA154" s="42">
        <f>AE154-AC154-Y154</f>
        <v>1166997</v>
      </c>
      <c r="AC154" s="42">
        <v>6936471</v>
      </c>
      <c r="AE154" s="42">
        <v>10894383</v>
      </c>
      <c r="AF154" s="42">
        <f t="shared" si="25"/>
        <v>0</v>
      </c>
      <c r="AH154" s="42">
        <f t="shared" si="31"/>
        <v>0</v>
      </c>
    </row>
    <row r="155" spans="1:34" hidden="1">
      <c r="A155" s="9" t="s">
        <v>653</v>
      </c>
      <c r="B155" s="9"/>
      <c r="C155" s="9" t="s">
        <v>22</v>
      </c>
      <c r="D155" s="9"/>
      <c r="E155" s="23">
        <v>43869</v>
      </c>
      <c r="G155" s="42">
        <f t="shared" si="30"/>
        <v>0</v>
      </c>
      <c r="I155" s="42">
        <v>0</v>
      </c>
      <c r="K155" s="42">
        <v>0</v>
      </c>
      <c r="M155" s="42">
        <v>0</v>
      </c>
      <c r="O155" s="42">
        <f t="shared" si="29"/>
        <v>0</v>
      </c>
      <c r="Q155" s="42">
        <v>0</v>
      </c>
      <c r="S155" s="42">
        <v>0</v>
      </c>
      <c r="U155" s="42">
        <v>0</v>
      </c>
      <c r="W155" s="42">
        <v>0</v>
      </c>
      <c r="Y155" s="42">
        <v>0</v>
      </c>
      <c r="AA155" s="42">
        <f>AE155-AC155-Y155</f>
        <v>0</v>
      </c>
      <c r="AC155" s="42">
        <v>0</v>
      </c>
      <c r="AE155" s="42">
        <v>0</v>
      </c>
      <c r="AF155" s="42">
        <f t="shared" si="25"/>
        <v>0</v>
      </c>
      <c r="AH155" s="42">
        <f t="shared" si="31"/>
        <v>0</v>
      </c>
    </row>
    <row r="156" spans="1:34">
      <c r="A156" s="9" t="s">
        <v>736</v>
      </c>
      <c r="B156" s="9"/>
      <c r="C156" s="9" t="s">
        <v>23</v>
      </c>
      <c r="D156" s="9"/>
      <c r="E156" s="23">
        <v>43877</v>
      </c>
      <c r="G156" s="42">
        <f t="shared" si="30"/>
        <v>47368178</v>
      </c>
      <c r="I156" s="42">
        <f>2782266+35232371</f>
        <v>38014637</v>
      </c>
      <c r="K156" s="42">
        <v>1114479</v>
      </c>
      <c r="M156" s="42">
        <f>85382815+1114479</f>
        <v>86497294</v>
      </c>
      <c r="O156" s="42">
        <f t="shared" si="29"/>
        <v>6738245</v>
      </c>
      <c r="Q156" s="42">
        <v>2954253</v>
      </c>
      <c r="S156" s="42">
        <v>28611718</v>
      </c>
      <c r="U156" s="42">
        <v>24901468</v>
      </c>
      <c r="W156" s="42">
        <f>38304216+24901468</f>
        <v>63205684</v>
      </c>
      <c r="Y156" s="42">
        <v>9770962</v>
      </c>
      <c r="AA156" s="42">
        <f>AE156-AC156-Y156</f>
        <v>4672508</v>
      </c>
      <c r="AC156" s="42">
        <v>8848140</v>
      </c>
      <c r="AE156" s="42">
        <v>23291610</v>
      </c>
      <c r="AF156" s="42">
        <f t="shared" si="25"/>
        <v>0</v>
      </c>
      <c r="AH156" s="42">
        <f t="shared" si="31"/>
        <v>0</v>
      </c>
    </row>
    <row r="157" spans="1:34">
      <c r="A157" s="9" t="s">
        <v>200</v>
      </c>
      <c r="B157" s="9"/>
      <c r="C157" s="9" t="s">
        <v>10</v>
      </c>
      <c r="D157" s="9"/>
      <c r="E157" s="23">
        <v>43885</v>
      </c>
      <c r="F157" s="7"/>
      <c r="G157" s="42">
        <f t="shared" si="30"/>
        <v>5850701</v>
      </c>
      <c r="I157" s="42">
        <f>290420+4062641</f>
        <v>4353061</v>
      </c>
      <c r="K157" s="42">
        <v>0</v>
      </c>
      <c r="M157" s="42">
        <v>10203762</v>
      </c>
      <c r="O157" s="42">
        <f t="shared" si="29"/>
        <v>1237722</v>
      </c>
      <c r="Q157" s="42">
        <v>27132</v>
      </c>
      <c r="S157" s="42">
        <v>527157</v>
      </c>
      <c r="U157" s="42">
        <v>3841809</v>
      </c>
      <c r="W157" s="42">
        <f>1792011+3841809</f>
        <v>5633820</v>
      </c>
      <c r="Y157" s="42">
        <v>4353061</v>
      </c>
      <c r="AA157" s="42">
        <f t="shared" ref="AA157:AA228" si="32">AE157-AC157-Y157</f>
        <v>872867</v>
      </c>
      <c r="AC157" s="42">
        <v>-655986</v>
      </c>
      <c r="AE157" s="42">
        <v>4569942</v>
      </c>
      <c r="AF157" s="42">
        <f t="shared" ref="AF157:AF227" si="33">+M157-W157-AE157</f>
        <v>0</v>
      </c>
      <c r="AH157" s="42">
        <f t="shared" si="31"/>
        <v>0</v>
      </c>
    </row>
    <row r="158" spans="1:34">
      <c r="A158" s="9" t="s">
        <v>530</v>
      </c>
      <c r="B158" s="9"/>
      <c r="C158" s="9" t="s">
        <v>65</v>
      </c>
      <c r="D158" s="9"/>
      <c r="E158" s="23">
        <v>43893</v>
      </c>
      <c r="G158" s="42">
        <f t="shared" si="30"/>
        <v>24677459</v>
      </c>
      <c r="I158" s="42">
        <f>517106+7984005</f>
        <v>8501111</v>
      </c>
      <c r="K158" s="42">
        <v>0</v>
      </c>
      <c r="M158" s="42">
        <v>33178570</v>
      </c>
      <c r="O158" s="42">
        <f t="shared" si="29"/>
        <v>14036365</v>
      </c>
      <c r="Q158" s="42">
        <v>710416</v>
      </c>
      <c r="S158" s="42">
        <v>3727322</v>
      </c>
      <c r="U158" s="42">
        <v>0</v>
      </c>
      <c r="W158" s="42">
        <v>18474103</v>
      </c>
      <c r="Y158" s="42">
        <v>6133939</v>
      </c>
      <c r="AA158" s="42">
        <f t="shared" si="32"/>
        <v>1423270</v>
      </c>
      <c r="AC158" s="42">
        <v>7147258</v>
      </c>
      <c r="AE158" s="42">
        <v>14704467</v>
      </c>
      <c r="AF158" s="42">
        <f t="shared" si="33"/>
        <v>0</v>
      </c>
      <c r="AH158" s="42">
        <f t="shared" si="31"/>
        <v>0</v>
      </c>
    </row>
    <row r="159" spans="1:34">
      <c r="A159" s="9" t="s">
        <v>300</v>
      </c>
      <c r="B159" s="9"/>
      <c r="C159" s="9" t="s">
        <v>27</v>
      </c>
      <c r="D159" s="9"/>
      <c r="E159" s="23">
        <v>47027</v>
      </c>
      <c r="G159" s="42">
        <f t="shared" si="30"/>
        <v>312774295</v>
      </c>
      <c r="I159" s="42">
        <f>12044021+157909764</f>
        <v>169953785</v>
      </c>
      <c r="K159" s="42">
        <v>3691674</v>
      </c>
      <c r="M159" s="42">
        <f>482728080+3691674</f>
        <v>486419754</v>
      </c>
      <c r="O159" s="42">
        <f t="shared" si="29"/>
        <v>19316893</v>
      </c>
      <c r="Q159" s="42">
        <v>21241298</v>
      </c>
      <c r="S159" s="42">
        <v>174788655</v>
      </c>
      <c r="U159" s="42">
        <v>196827721</v>
      </c>
      <c r="W159" s="42">
        <f>215346846+196827721</f>
        <v>412174567</v>
      </c>
      <c r="Y159" s="42">
        <v>7680230</v>
      </c>
      <c r="AA159" s="42">
        <f t="shared" si="32"/>
        <v>14822736</v>
      </c>
      <c r="AC159" s="42">
        <v>51742221</v>
      </c>
      <c r="AE159" s="42">
        <v>74245187</v>
      </c>
      <c r="AF159" s="42">
        <f t="shared" si="33"/>
        <v>0</v>
      </c>
      <c r="AH159" s="42">
        <f t="shared" si="31"/>
        <v>0</v>
      </c>
    </row>
    <row r="160" spans="1:34">
      <c r="A160" s="9" t="s">
        <v>264</v>
      </c>
      <c r="B160" s="9"/>
      <c r="C160" s="9" t="s">
        <v>20</v>
      </c>
      <c r="D160" s="9"/>
      <c r="E160" s="23">
        <v>43901</v>
      </c>
      <c r="G160" s="42">
        <f t="shared" si="30"/>
        <v>40146527</v>
      </c>
      <c r="I160" s="42">
        <f>2389900+77717659</f>
        <v>80107559</v>
      </c>
      <c r="K160" s="42">
        <v>133108</v>
      </c>
      <c r="M160" s="42">
        <f>120254086+133108</f>
        <v>120387194</v>
      </c>
      <c r="O160" s="42">
        <f t="shared" si="29"/>
        <v>4810544</v>
      </c>
      <c r="Q160" s="42">
        <v>1733592</v>
      </c>
      <c r="S160" s="42">
        <v>9112311</v>
      </c>
      <c r="U160" s="42">
        <v>6505873</v>
      </c>
      <c r="W160" s="42">
        <f>15656447+6505873</f>
        <v>22162320</v>
      </c>
      <c r="Y160" s="42">
        <v>74885528</v>
      </c>
      <c r="AA160" s="42">
        <f t="shared" si="32"/>
        <v>5777786</v>
      </c>
      <c r="AC160" s="42">
        <v>17561560</v>
      </c>
      <c r="AE160" s="42">
        <v>98224874</v>
      </c>
      <c r="AF160" s="42">
        <f t="shared" si="33"/>
        <v>0</v>
      </c>
      <c r="AH160" s="42">
        <f t="shared" si="31"/>
        <v>0</v>
      </c>
    </row>
    <row r="161" spans="1:34">
      <c r="A161" s="9" t="s">
        <v>242</v>
      </c>
      <c r="B161" s="9"/>
      <c r="C161" s="9" t="s">
        <v>18</v>
      </c>
      <c r="D161" s="9"/>
      <c r="E161" s="23">
        <v>46409</v>
      </c>
      <c r="F161" s="7"/>
      <c r="G161" s="42">
        <f t="shared" si="30"/>
        <v>9359852</v>
      </c>
      <c r="I161" s="42">
        <f>426976+13954882</f>
        <v>14381858</v>
      </c>
      <c r="K161" s="42">
        <v>97374</v>
      </c>
      <c r="M161" s="42">
        <f>23741710+97374</f>
        <v>23839084</v>
      </c>
      <c r="O161" s="42">
        <f t="shared" si="29"/>
        <v>1331149</v>
      </c>
      <c r="Q161" s="42">
        <v>119986</v>
      </c>
      <c r="S161" s="42">
        <v>2147586</v>
      </c>
      <c r="U161" s="42">
        <v>2996776</v>
      </c>
      <c r="W161" s="42">
        <f>3598721+2996776</f>
        <v>6595497</v>
      </c>
      <c r="Y161" s="42">
        <v>13176074</v>
      </c>
      <c r="AA161" s="42">
        <f t="shared" si="32"/>
        <v>2025967</v>
      </c>
      <c r="AC161" s="42">
        <v>2041546</v>
      </c>
      <c r="AE161" s="42">
        <v>17243587</v>
      </c>
      <c r="AF161" s="42">
        <f t="shared" si="33"/>
        <v>0</v>
      </c>
      <c r="AH161" s="42">
        <f t="shared" si="31"/>
        <v>0</v>
      </c>
    </row>
    <row r="162" spans="1:34">
      <c r="A162" s="9" t="s">
        <v>318</v>
      </c>
      <c r="B162" s="9"/>
      <c r="C162" s="9" t="s">
        <v>31</v>
      </c>
      <c r="D162" s="9"/>
      <c r="E162" s="23">
        <v>69682</v>
      </c>
      <c r="G162" s="42">
        <f t="shared" si="30"/>
        <v>11403783</v>
      </c>
      <c r="I162" s="42">
        <f>161329+21045187</f>
        <v>21206516</v>
      </c>
      <c r="K162" s="42">
        <v>0</v>
      </c>
      <c r="M162" s="42">
        <v>32610299</v>
      </c>
      <c r="O162" s="42">
        <f t="shared" si="29"/>
        <v>3334143</v>
      </c>
      <c r="Q162" s="42">
        <v>407142</v>
      </c>
      <c r="S162" s="42">
        <v>2565952</v>
      </c>
      <c r="U162" s="42">
        <v>0</v>
      </c>
      <c r="W162" s="42">
        <v>6307237</v>
      </c>
      <c r="Y162" s="42">
        <v>18715175</v>
      </c>
      <c r="AA162" s="42">
        <f t="shared" si="32"/>
        <v>3359871</v>
      </c>
      <c r="AC162" s="42">
        <v>4228016</v>
      </c>
      <c r="AE162" s="42">
        <v>26303062</v>
      </c>
      <c r="AF162" s="42">
        <f t="shared" si="33"/>
        <v>0</v>
      </c>
      <c r="AH162" s="42">
        <f t="shared" si="31"/>
        <v>0</v>
      </c>
    </row>
    <row r="163" spans="1:34">
      <c r="A163" s="9" t="s">
        <v>351</v>
      </c>
      <c r="B163" s="9"/>
      <c r="C163" s="9" t="s">
        <v>36</v>
      </c>
      <c r="D163" s="9"/>
      <c r="E163" s="23">
        <v>47688</v>
      </c>
      <c r="G163" s="42">
        <f t="shared" si="30"/>
        <v>16485640</v>
      </c>
      <c r="I163" s="42">
        <f>1067816+8870256</f>
        <v>9938072</v>
      </c>
      <c r="K163" s="42">
        <v>0</v>
      </c>
      <c r="M163" s="42">
        <v>26423712</v>
      </c>
      <c r="O163" s="42">
        <f t="shared" si="29"/>
        <v>9973380</v>
      </c>
      <c r="Q163" s="42">
        <v>331958</v>
      </c>
      <c r="S163" s="42">
        <v>2483128</v>
      </c>
      <c r="U163" s="42">
        <v>0</v>
      </c>
      <c r="W163" s="42">
        <v>12788466</v>
      </c>
      <c r="Y163" s="42">
        <v>8543072</v>
      </c>
      <c r="AA163" s="42">
        <f t="shared" si="32"/>
        <v>1845494</v>
      </c>
      <c r="AC163" s="42">
        <v>3246680</v>
      </c>
      <c r="AE163" s="42">
        <v>13635246</v>
      </c>
      <c r="AF163" s="42">
        <f t="shared" si="33"/>
        <v>0</v>
      </c>
      <c r="AH163" s="42">
        <f t="shared" si="31"/>
        <v>0</v>
      </c>
    </row>
    <row r="164" spans="1:34" hidden="1">
      <c r="A164" s="9" t="s">
        <v>654</v>
      </c>
      <c r="B164" s="9"/>
      <c r="C164" s="9" t="s">
        <v>40</v>
      </c>
      <c r="D164" s="9"/>
      <c r="E164" s="23">
        <v>47845</v>
      </c>
      <c r="G164" s="42">
        <f t="shared" si="30"/>
        <v>0</v>
      </c>
      <c r="I164" s="42">
        <v>0</v>
      </c>
      <c r="K164" s="42">
        <v>0</v>
      </c>
      <c r="M164" s="42">
        <v>0</v>
      </c>
      <c r="O164" s="42">
        <f t="shared" si="29"/>
        <v>0</v>
      </c>
      <c r="Q164" s="42">
        <v>0</v>
      </c>
      <c r="S164" s="42">
        <v>0</v>
      </c>
      <c r="U164" s="42">
        <v>0</v>
      </c>
      <c r="W164" s="42">
        <v>0</v>
      </c>
      <c r="Y164" s="42">
        <v>0</v>
      </c>
      <c r="AA164" s="42">
        <f t="shared" si="32"/>
        <v>0</v>
      </c>
      <c r="AC164" s="42">
        <v>0</v>
      </c>
      <c r="AE164" s="42">
        <v>0</v>
      </c>
      <c r="AF164" s="42">
        <f t="shared" si="33"/>
        <v>0</v>
      </c>
      <c r="AH164" s="42">
        <f t="shared" si="31"/>
        <v>0</v>
      </c>
    </row>
    <row r="165" spans="1:34">
      <c r="A165" s="9" t="s">
        <v>246</v>
      </c>
      <c r="B165" s="9"/>
      <c r="C165" s="9" t="s">
        <v>111</v>
      </c>
      <c r="D165" s="9"/>
      <c r="E165" s="23">
        <v>43919</v>
      </c>
      <c r="G165" s="42">
        <f t="shared" si="30"/>
        <v>20092818</v>
      </c>
      <c r="I165" s="42">
        <f>1283017+44447933</f>
        <v>45730950</v>
      </c>
      <c r="K165" s="42">
        <v>0</v>
      </c>
      <c r="M165" s="42">
        <v>65823768</v>
      </c>
      <c r="O165" s="42">
        <f t="shared" si="29"/>
        <v>7349439</v>
      </c>
      <c r="Q165" s="42">
        <v>478051</v>
      </c>
      <c r="S165" s="42">
        <v>10401792</v>
      </c>
      <c r="U165" s="42">
        <v>0</v>
      </c>
      <c r="W165" s="42">
        <v>18229282</v>
      </c>
      <c r="Y165" s="42">
        <v>37257643</v>
      </c>
      <c r="AA165" s="42">
        <f t="shared" si="32"/>
        <v>8254675</v>
      </c>
      <c r="AC165" s="42">
        <v>2082168</v>
      </c>
      <c r="AE165" s="42">
        <v>47594486</v>
      </c>
      <c r="AF165" s="42">
        <f t="shared" si="33"/>
        <v>0</v>
      </c>
      <c r="AH165" s="42">
        <f t="shared" si="31"/>
        <v>0</v>
      </c>
    </row>
    <row r="166" spans="1:34">
      <c r="A166" s="9" t="s">
        <v>440</v>
      </c>
      <c r="B166" s="9"/>
      <c r="C166" s="9" t="s">
        <v>51</v>
      </c>
      <c r="D166" s="9"/>
      <c r="E166" s="23">
        <v>48835</v>
      </c>
      <c r="G166" s="42">
        <f t="shared" si="30"/>
        <v>18069025</v>
      </c>
      <c r="I166" s="42">
        <f>150965+24280046</f>
        <v>24431011</v>
      </c>
      <c r="K166" s="42">
        <v>0</v>
      </c>
      <c r="M166" s="42">
        <v>42500036</v>
      </c>
      <c r="O166" s="42">
        <f t="shared" si="29"/>
        <v>3151602</v>
      </c>
      <c r="Q166" s="42">
        <v>611853</v>
      </c>
      <c r="S166" s="42">
        <v>6067516</v>
      </c>
      <c r="U166" s="42">
        <v>5046635</v>
      </c>
      <c r="W166" s="42">
        <f>9830971+5046635</f>
        <v>14877606</v>
      </c>
      <c r="Y166" s="42">
        <v>19252924</v>
      </c>
      <c r="AA166" s="42">
        <f t="shared" si="32"/>
        <v>2876753</v>
      </c>
      <c r="AC166" s="42">
        <v>5492753</v>
      </c>
      <c r="AE166" s="42">
        <v>27622430</v>
      </c>
      <c r="AF166" s="42">
        <f>+M166-W166-AE166</f>
        <v>0</v>
      </c>
      <c r="AH166" s="42">
        <f t="shared" si="31"/>
        <v>0</v>
      </c>
    </row>
    <row r="167" spans="1:34">
      <c r="A167" s="9" t="s">
        <v>247</v>
      </c>
      <c r="B167" s="9"/>
      <c r="C167" s="9" t="s">
        <v>111</v>
      </c>
      <c r="D167" s="9"/>
      <c r="E167" s="23">
        <v>43927</v>
      </c>
      <c r="G167" s="42">
        <f t="shared" si="30"/>
        <v>5677054</v>
      </c>
      <c r="I167" s="42">
        <f>475814+21448450</f>
        <v>21924264</v>
      </c>
      <c r="K167" s="42">
        <v>0</v>
      </c>
      <c r="M167" s="42">
        <v>27601318</v>
      </c>
      <c r="O167" s="42">
        <f t="shared" si="29"/>
        <v>3661310</v>
      </c>
      <c r="Q167" s="42">
        <v>351023</v>
      </c>
      <c r="S167" s="42">
        <v>1203535</v>
      </c>
      <c r="U167" s="42">
        <v>0</v>
      </c>
      <c r="W167" s="42">
        <v>5215868</v>
      </c>
      <c r="Y167" s="42">
        <v>20712919</v>
      </c>
      <c r="AA167" s="42">
        <f t="shared" si="32"/>
        <v>1210273</v>
      </c>
      <c r="AC167" s="42">
        <v>462258</v>
      </c>
      <c r="AE167" s="42">
        <v>22385450</v>
      </c>
      <c r="AF167" s="42">
        <f t="shared" si="33"/>
        <v>0</v>
      </c>
      <c r="AH167" s="42">
        <f t="shared" si="31"/>
        <v>0</v>
      </c>
    </row>
    <row r="168" spans="1:34">
      <c r="A168" s="8" t="s">
        <v>217</v>
      </c>
      <c r="B168" s="8"/>
      <c r="C168" s="8" t="s">
        <v>77</v>
      </c>
      <c r="D168" s="8"/>
      <c r="E168" s="23">
        <v>46037</v>
      </c>
      <c r="G168" s="42">
        <f t="shared" si="30"/>
        <v>8967221</v>
      </c>
      <c r="I168" s="42">
        <f>271526+43547779</f>
        <v>43819305</v>
      </c>
      <c r="K168" s="42">
        <v>0</v>
      </c>
      <c r="M168" s="42">
        <v>52786526</v>
      </c>
      <c r="O168" s="42">
        <f t="shared" si="29"/>
        <v>1387915</v>
      </c>
      <c r="Q168" s="42">
        <v>663658</v>
      </c>
      <c r="S168" s="42">
        <v>7694574</v>
      </c>
      <c r="U168" s="42">
        <v>3148651</v>
      </c>
      <c r="W168" s="42">
        <f>9746147+3148651</f>
        <v>12894798</v>
      </c>
      <c r="Y168" s="42">
        <v>36369305</v>
      </c>
      <c r="AA168" s="42">
        <f t="shared" si="32"/>
        <v>2219859</v>
      </c>
      <c r="AC168" s="42">
        <v>1302564</v>
      </c>
      <c r="AE168" s="42">
        <v>39891728</v>
      </c>
      <c r="AF168" s="42">
        <f t="shared" si="33"/>
        <v>0</v>
      </c>
      <c r="AH168" s="42">
        <f t="shared" si="31"/>
        <v>0</v>
      </c>
    </row>
    <row r="169" spans="1:34">
      <c r="A169" s="8" t="s">
        <v>217</v>
      </c>
      <c r="B169" s="8"/>
      <c r="C169" s="8" t="s">
        <v>417</v>
      </c>
      <c r="D169" s="8"/>
      <c r="E169" s="23">
        <v>48512</v>
      </c>
      <c r="G169" s="42">
        <f t="shared" si="30"/>
        <v>4340211</v>
      </c>
      <c r="I169" s="42">
        <f>23487+7400151</f>
        <v>7423638</v>
      </c>
      <c r="K169" s="42">
        <v>0</v>
      </c>
      <c r="M169" s="42">
        <v>11763849</v>
      </c>
      <c r="O169" s="42">
        <f t="shared" si="29"/>
        <v>1097156</v>
      </c>
      <c r="Q169" s="42">
        <v>108127</v>
      </c>
      <c r="S169" s="42">
        <v>865496</v>
      </c>
      <c r="U169" s="42">
        <v>580242</v>
      </c>
      <c r="W169" s="42">
        <v>2651021</v>
      </c>
      <c r="Y169" s="42">
        <v>6687220</v>
      </c>
      <c r="AA169" s="42">
        <f t="shared" si="32"/>
        <v>1420537</v>
      </c>
      <c r="AC169" s="42">
        <v>1005071</v>
      </c>
      <c r="AE169" s="42">
        <v>9112828</v>
      </c>
      <c r="AF169" s="42">
        <f t="shared" si="33"/>
        <v>0</v>
      </c>
      <c r="AH169" s="42">
        <f t="shared" si="31"/>
        <v>0</v>
      </c>
    </row>
    <row r="170" spans="1:34" hidden="1">
      <c r="A170" s="9" t="s">
        <v>655</v>
      </c>
      <c r="B170" s="9"/>
      <c r="C170" s="9" t="s">
        <v>55</v>
      </c>
      <c r="D170" s="9"/>
      <c r="E170" s="23">
        <v>49122</v>
      </c>
      <c r="G170" s="42">
        <f t="shared" si="30"/>
        <v>0</v>
      </c>
      <c r="I170" s="42">
        <v>0</v>
      </c>
      <c r="K170" s="42">
        <v>0</v>
      </c>
      <c r="M170" s="42">
        <v>0</v>
      </c>
      <c r="O170" s="42">
        <f t="shared" si="29"/>
        <v>0</v>
      </c>
      <c r="Q170" s="42">
        <v>0</v>
      </c>
      <c r="S170" s="42">
        <v>0</v>
      </c>
      <c r="U170" s="42">
        <v>0</v>
      </c>
      <c r="W170" s="42">
        <v>0</v>
      </c>
      <c r="Y170" s="42">
        <v>0</v>
      </c>
      <c r="AA170" s="42">
        <f t="shared" si="32"/>
        <v>0</v>
      </c>
      <c r="AC170" s="42">
        <v>0</v>
      </c>
      <c r="AE170" s="42">
        <v>0</v>
      </c>
      <c r="AF170" s="42">
        <f t="shared" si="33"/>
        <v>0</v>
      </c>
      <c r="AH170" s="42">
        <f t="shared" si="31"/>
        <v>0</v>
      </c>
    </row>
    <row r="171" spans="1:34">
      <c r="A171" s="8" t="s">
        <v>550</v>
      </c>
      <c r="B171" s="8"/>
      <c r="C171" s="8" t="s">
        <v>72</v>
      </c>
      <c r="D171" s="8"/>
      <c r="E171" s="23">
        <v>50674</v>
      </c>
      <c r="G171" s="42">
        <f t="shared" si="30"/>
        <v>15931014</v>
      </c>
      <c r="I171" s="42">
        <f>303944+4314680</f>
        <v>4618624</v>
      </c>
      <c r="K171" s="42">
        <v>0</v>
      </c>
      <c r="M171" s="42">
        <v>20549638</v>
      </c>
      <c r="O171" s="42">
        <f t="shared" si="29"/>
        <v>1768607</v>
      </c>
      <c r="Q171" s="42">
        <v>469520</v>
      </c>
      <c r="S171" s="42">
        <v>3631239</v>
      </c>
      <c r="U171" s="42">
        <v>4156522</v>
      </c>
      <c r="W171" s="42">
        <f>5869366+4156522</f>
        <v>10025888</v>
      </c>
      <c r="Y171" s="42">
        <v>1547660</v>
      </c>
      <c r="AA171" s="42">
        <f t="shared" si="32"/>
        <v>589051</v>
      </c>
      <c r="AC171" s="42">
        <v>8387039</v>
      </c>
      <c r="AE171" s="42">
        <v>10523750</v>
      </c>
      <c r="AF171" s="42">
        <f t="shared" si="33"/>
        <v>0</v>
      </c>
      <c r="AH171" s="42">
        <f t="shared" si="31"/>
        <v>0</v>
      </c>
    </row>
    <row r="172" spans="1:34" hidden="1">
      <c r="A172" s="8" t="s">
        <v>858</v>
      </c>
      <c r="B172" s="8"/>
      <c r="C172" s="8" t="s">
        <v>57</v>
      </c>
      <c r="D172" s="8"/>
      <c r="E172" s="23">
        <v>43935</v>
      </c>
      <c r="G172" s="42">
        <f t="shared" si="30"/>
        <v>0</v>
      </c>
      <c r="I172" s="42">
        <v>0</v>
      </c>
      <c r="K172" s="42">
        <v>0</v>
      </c>
      <c r="M172" s="42">
        <v>0</v>
      </c>
      <c r="O172" s="42">
        <f t="shared" si="29"/>
        <v>0</v>
      </c>
      <c r="Q172" s="42">
        <v>0</v>
      </c>
      <c r="S172" s="42">
        <v>0</v>
      </c>
      <c r="U172" s="42">
        <v>0</v>
      </c>
      <c r="W172" s="42">
        <v>0</v>
      </c>
      <c r="Y172" s="42">
        <v>0</v>
      </c>
      <c r="AA172" s="42">
        <f t="shared" si="32"/>
        <v>0</v>
      </c>
      <c r="AC172" s="42">
        <v>0</v>
      </c>
      <c r="AE172" s="42">
        <v>0</v>
      </c>
      <c r="AF172" s="42">
        <f t="shared" si="33"/>
        <v>0</v>
      </c>
      <c r="AH172" s="42">
        <f t="shared" si="31"/>
        <v>0</v>
      </c>
    </row>
    <row r="173" spans="1:34" hidden="1">
      <c r="A173" s="8" t="s">
        <v>656</v>
      </c>
      <c r="B173" s="8"/>
      <c r="C173" s="8" t="s">
        <v>548</v>
      </c>
      <c r="D173" s="8"/>
      <c r="E173" s="23">
        <v>50617</v>
      </c>
      <c r="G173" s="42">
        <f t="shared" si="30"/>
        <v>0</v>
      </c>
      <c r="I173" s="42">
        <v>0</v>
      </c>
      <c r="K173" s="42">
        <v>0</v>
      </c>
      <c r="M173" s="42">
        <v>0</v>
      </c>
      <c r="O173" s="42">
        <f t="shared" si="29"/>
        <v>0</v>
      </c>
      <c r="Q173" s="42">
        <v>0</v>
      </c>
      <c r="S173" s="42">
        <v>0</v>
      </c>
      <c r="U173" s="42">
        <v>0</v>
      </c>
      <c r="W173" s="42">
        <v>0</v>
      </c>
      <c r="Y173" s="42">
        <v>0</v>
      </c>
      <c r="AA173" s="42">
        <f t="shared" si="32"/>
        <v>0</v>
      </c>
      <c r="AC173" s="42">
        <v>0</v>
      </c>
      <c r="AE173" s="42">
        <v>0</v>
      </c>
      <c r="AF173" s="42">
        <f t="shared" si="33"/>
        <v>0</v>
      </c>
      <c r="AH173" s="42">
        <f t="shared" si="31"/>
        <v>0</v>
      </c>
    </row>
    <row r="174" spans="1:34">
      <c r="A174" s="8" t="s">
        <v>657</v>
      </c>
      <c r="B174" s="8"/>
      <c r="C174" s="8" t="s">
        <v>220</v>
      </c>
      <c r="D174" s="8"/>
      <c r="E174" s="23">
        <v>46094</v>
      </c>
      <c r="G174" s="42">
        <f t="shared" si="30"/>
        <v>36706322</v>
      </c>
      <c r="I174" s="42">
        <v>59840047</v>
      </c>
      <c r="K174" s="42">
        <v>522921</v>
      </c>
      <c r="M174" s="42">
        <f>96546369+522921</f>
        <v>97069290</v>
      </c>
      <c r="O174" s="42">
        <f t="shared" si="29"/>
        <v>4648425</v>
      </c>
      <c r="Q174" s="42">
        <v>2013375</v>
      </c>
      <c r="S174" s="42">
        <v>40343786</v>
      </c>
      <c r="U174" s="42">
        <v>16492312</v>
      </c>
      <c r="W174" s="42">
        <f>47005586+16492312</f>
        <v>63497898</v>
      </c>
      <c r="Y174" s="42">
        <v>28935147</v>
      </c>
      <c r="AA174" s="42">
        <f t="shared" si="32"/>
        <v>1786564</v>
      </c>
      <c r="AC174" s="42">
        <v>2849681</v>
      </c>
      <c r="AE174" s="42">
        <v>33571392</v>
      </c>
      <c r="AF174" s="42">
        <f t="shared" si="33"/>
        <v>0</v>
      </c>
      <c r="AH174" s="42">
        <f t="shared" si="31"/>
        <v>0</v>
      </c>
    </row>
    <row r="175" spans="1:34">
      <c r="A175" s="8" t="s">
        <v>360</v>
      </c>
      <c r="B175" s="8"/>
      <c r="C175" s="8" t="s">
        <v>24</v>
      </c>
      <c r="D175" s="8"/>
      <c r="E175" s="23">
        <v>46789</v>
      </c>
      <c r="G175" s="42">
        <f t="shared" si="30"/>
        <v>11538832</v>
      </c>
      <c r="I175" s="42">
        <v>3574321</v>
      </c>
      <c r="K175" s="42">
        <v>0</v>
      </c>
      <c r="M175" s="42">
        <v>15113153</v>
      </c>
      <c r="O175" s="42">
        <f t="shared" si="29"/>
        <v>1748066</v>
      </c>
      <c r="Q175" s="42">
        <v>197864</v>
      </c>
      <c r="S175" s="42">
        <v>692991</v>
      </c>
      <c r="U175" s="42">
        <v>5232281</v>
      </c>
      <c r="W175" s="42">
        <f>2638921+5232281</f>
        <v>7871202</v>
      </c>
      <c r="Y175" s="42">
        <v>3461069</v>
      </c>
      <c r="AA175" s="42">
        <f t="shared" ref="AA175" si="34">AE175-AC175-Y175</f>
        <v>2280537</v>
      </c>
      <c r="AC175" s="42">
        <v>1500345</v>
      </c>
      <c r="AE175" s="42">
        <v>7241951</v>
      </c>
      <c r="AF175" s="42">
        <f t="shared" ref="AF175" si="35">+M175-W175-AE175</f>
        <v>0</v>
      </c>
      <c r="AH175" s="42">
        <f t="shared" si="31"/>
        <v>0</v>
      </c>
    </row>
    <row r="176" spans="1:34">
      <c r="A176" s="8" t="s">
        <v>360</v>
      </c>
      <c r="B176" s="8"/>
      <c r="C176" s="8" t="s">
        <v>39</v>
      </c>
      <c r="D176" s="8"/>
      <c r="E176" s="23">
        <v>47795</v>
      </c>
      <c r="G176" s="42">
        <f t="shared" si="30"/>
        <v>10630916</v>
      </c>
      <c r="I176" s="42">
        <v>3487927</v>
      </c>
      <c r="K176" s="42">
        <v>0</v>
      </c>
      <c r="M176" s="42">
        <v>14118843</v>
      </c>
      <c r="O176" s="42">
        <f t="shared" si="29"/>
        <v>1795090</v>
      </c>
      <c r="Q176" s="42">
        <v>293981</v>
      </c>
      <c r="S176" s="42">
        <v>1108819</v>
      </c>
      <c r="U176" s="42">
        <v>7170766</v>
      </c>
      <c r="W176" s="42">
        <f>3197890+7170766</f>
        <v>10368656</v>
      </c>
      <c r="Y176" s="42">
        <v>3388142</v>
      </c>
      <c r="AA176" s="42">
        <f t="shared" si="32"/>
        <v>202511</v>
      </c>
      <c r="AC176" s="42">
        <v>159534</v>
      </c>
      <c r="AE176" s="42">
        <v>3750187</v>
      </c>
      <c r="AF176" s="42">
        <f t="shared" si="33"/>
        <v>0</v>
      </c>
      <c r="AH176" s="42">
        <f t="shared" si="31"/>
        <v>0</v>
      </c>
    </row>
    <row r="177" spans="1:34" hidden="1">
      <c r="A177" s="9" t="s">
        <v>859</v>
      </c>
      <c r="B177" s="8"/>
      <c r="C177" s="8" t="s">
        <v>548</v>
      </c>
      <c r="D177" s="8"/>
      <c r="E177" s="23">
        <v>50625</v>
      </c>
      <c r="G177" s="42">
        <f t="shared" si="30"/>
        <v>0</v>
      </c>
      <c r="I177" s="42">
        <v>0</v>
      </c>
      <c r="K177" s="42">
        <v>0</v>
      </c>
      <c r="M177" s="42">
        <v>0</v>
      </c>
      <c r="O177" s="42">
        <f t="shared" si="29"/>
        <v>0</v>
      </c>
      <c r="Q177" s="42">
        <v>0</v>
      </c>
      <c r="S177" s="42">
        <v>0</v>
      </c>
      <c r="U177" s="42">
        <v>0</v>
      </c>
      <c r="W177" s="42">
        <v>0</v>
      </c>
      <c r="Y177" s="42">
        <v>0</v>
      </c>
      <c r="AA177" s="42">
        <f t="shared" si="32"/>
        <v>0</v>
      </c>
      <c r="AC177" s="42">
        <v>0</v>
      </c>
      <c r="AE177" s="42">
        <v>0</v>
      </c>
      <c r="AF177" s="42">
        <f t="shared" si="33"/>
        <v>0</v>
      </c>
      <c r="AH177" s="42">
        <f t="shared" si="31"/>
        <v>0</v>
      </c>
    </row>
    <row r="178" spans="1:34">
      <c r="A178" s="8" t="s">
        <v>672</v>
      </c>
      <c r="B178" s="8"/>
      <c r="C178" s="8" t="s">
        <v>46</v>
      </c>
      <c r="D178" s="8"/>
      <c r="E178" s="23">
        <v>48413</v>
      </c>
      <c r="F178" s="7"/>
      <c r="G178" s="42">
        <f t="shared" si="30"/>
        <v>22709939</v>
      </c>
      <c r="I178" s="42">
        <f>28479983+1639740</f>
        <v>30119723</v>
      </c>
      <c r="K178" s="42">
        <v>0</v>
      </c>
      <c r="M178" s="42">
        <v>52829662</v>
      </c>
      <c r="O178" s="42">
        <f t="shared" si="29"/>
        <v>3278547</v>
      </c>
      <c r="Q178" s="42">
        <v>858696</v>
      </c>
      <c r="S178" s="42">
        <v>15633592</v>
      </c>
      <c r="U178" s="42">
        <v>2935044</v>
      </c>
      <c r="W178" s="42">
        <f>19770835+2935044</f>
        <v>22705879</v>
      </c>
      <c r="Y178" s="42">
        <v>21165283</v>
      </c>
      <c r="AA178" s="42">
        <f t="shared" ref="AA178" si="36">AE178-AC178-Y178</f>
        <v>4006574</v>
      </c>
      <c r="AC178" s="42">
        <v>4951926</v>
      </c>
      <c r="AE178" s="42">
        <v>30123783</v>
      </c>
      <c r="AF178" s="42">
        <f t="shared" ref="AF178" si="37">+M178-W178-AE178</f>
        <v>0</v>
      </c>
      <c r="AH178" s="42">
        <f t="shared" si="31"/>
        <v>0</v>
      </c>
    </row>
    <row r="179" spans="1:34" hidden="1">
      <c r="A179" s="9" t="s">
        <v>658</v>
      </c>
      <c r="B179" s="9"/>
      <c r="C179" s="9" t="s">
        <v>10</v>
      </c>
      <c r="D179" s="8"/>
      <c r="E179" s="23">
        <v>45773</v>
      </c>
      <c r="G179" s="42">
        <f t="shared" si="30"/>
        <v>0</v>
      </c>
      <c r="I179" s="42">
        <v>0</v>
      </c>
      <c r="K179" s="42">
        <v>0</v>
      </c>
      <c r="M179" s="42">
        <v>0</v>
      </c>
      <c r="O179" s="42">
        <f t="shared" si="29"/>
        <v>0</v>
      </c>
      <c r="Q179" s="42">
        <v>0</v>
      </c>
      <c r="S179" s="42">
        <v>0</v>
      </c>
      <c r="U179" s="42">
        <v>0</v>
      </c>
      <c r="W179" s="42">
        <v>0</v>
      </c>
      <c r="Y179" s="42">
        <v>0</v>
      </c>
      <c r="AA179" s="42">
        <f t="shared" si="32"/>
        <v>0</v>
      </c>
      <c r="AC179" s="42">
        <v>0</v>
      </c>
      <c r="AE179" s="42">
        <v>0</v>
      </c>
      <c r="AF179" s="42">
        <f t="shared" si="33"/>
        <v>0</v>
      </c>
      <c r="AH179" s="42">
        <f t="shared" si="31"/>
        <v>0</v>
      </c>
    </row>
    <row r="180" spans="1:34" hidden="1">
      <c r="A180" s="8" t="s">
        <v>687</v>
      </c>
      <c r="B180" s="8"/>
      <c r="C180" s="8" t="s">
        <v>72</v>
      </c>
      <c r="D180" s="8"/>
      <c r="E180" s="23">
        <v>50682</v>
      </c>
      <c r="F180" s="7"/>
      <c r="G180" s="42">
        <f t="shared" si="30"/>
        <v>0</v>
      </c>
      <c r="I180" s="42">
        <v>0</v>
      </c>
      <c r="K180" s="42">
        <v>0</v>
      </c>
      <c r="M180" s="42">
        <v>0</v>
      </c>
      <c r="O180" s="42">
        <f t="shared" si="29"/>
        <v>0</v>
      </c>
      <c r="Q180" s="42">
        <v>0</v>
      </c>
      <c r="S180" s="42">
        <v>0</v>
      </c>
      <c r="U180" s="42">
        <v>0</v>
      </c>
      <c r="W180" s="42">
        <v>0</v>
      </c>
      <c r="Y180" s="42">
        <v>0</v>
      </c>
      <c r="AA180" s="42">
        <f t="shared" si="32"/>
        <v>0</v>
      </c>
      <c r="AC180" s="42">
        <v>0</v>
      </c>
      <c r="AE180" s="42">
        <v>0</v>
      </c>
      <c r="AF180" s="42">
        <f t="shared" si="33"/>
        <v>0</v>
      </c>
      <c r="AH180" s="42">
        <f t="shared" si="31"/>
        <v>0</v>
      </c>
    </row>
    <row r="181" spans="1:34">
      <c r="A181" s="8" t="s">
        <v>381</v>
      </c>
      <c r="B181" s="8"/>
      <c r="C181" s="8" t="s">
        <v>44</v>
      </c>
      <c r="D181" s="8"/>
      <c r="E181" s="23">
        <v>43943</v>
      </c>
      <c r="G181" s="42">
        <f t="shared" si="30"/>
        <v>50825161</v>
      </c>
      <c r="I181" s="42">
        <f>9042600+64245829</f>
        <v>73288429</v>
      </c>
      <c r="K181" s="42">
        <v>0</v>
      </c>
      <c r="M181" s="42">
        <v>124113590</v>
      </c>
      <c r="O181" s="42">
        <f t="shared" si="29"/>
        <v>39866720</v>
      </c>
      <c r="Q181" s="42">
        <v>2018400</v>
      </c>
      <c r="S181" s="42">
        <v>50471860</v>
      </c>
      <c r="U181" s="42">
        <v>0</v>
      </c>
      <c r="W181" s="42">
        <v>92356980</v>
      </c>
      <c r="Y181" s="42">
        <v>26894482</v>
      </c>
      <c r="AA181" s="42">
        <f t="shared" si="32"/>
        <v>4651069</v>
      </c>
      <c r="AC181" s="42">
        <v>211059</v>
      </c>
      <c r="AE181" s="42">
        <v>31756610</v>
      </c>
      <c r="AF181" s="42">
        <f t="shared" si="33"/>
        <v>0</v>
      </c>
      <c r="AH181" s="42">
        <f t="shared" si="31"/>
        <v>0</v>
      </c>
    </row>
    <row r="182" spans="1:34">
      <c r="A182" s="8" t="s">
        <v>265</v>
      </c>
      <c r="B182" s="8"/>
      <c r="C182" s="8" t="s">
        <v>20</v>
      </c>
      <c r="D182" s="8"/>
      <c r="E182" s="23">
        <v>43950</v>
      </c>
      <c r="G182" s="42">
        <f t="shared" si="30"/>
        <v>65859519</v>
      </c>
      <c r="I182" s="42">
        <f>2683630+84092125</f>
        <v>86775755</v>
      </c>
      <c r="K182" s="42">
        <v>0</v>
      </c>
      <c r="M182" s="42">
        <v>152635274</v>
      </c>
      <c r="O182" s="42">
        <f t="shared" si="29"/>
        <v>10252964</v>
      </c>
      <c r="Q182" s="42">
        <v>3662148</v>
      </c>
      <c r="S182" s="42">
        <v>45203574</v>
      </c>
      <c r="U182" s="42">
        <v>30317086</v>
      </c>
      <c r="W182" s="42">
        <f>59118686+30317086</f>
        <v>89435772</v>
      </c>
      <c r="Y182" s="42">
        <v>41111623</v>
      </c>
      <c r="AA182" s="42">
        <f t="shared" si="32"/>
        <v>9331415</v>
      </c>
      <c r="AC182" s="42">
        <v>12756464</v>
      </c>
      <c r="AE182" s="42">
        <v>63199502</v>
      </c>
      <c r="AF182" s="42">
        <f t="shared" si="33"/>
        <v>0</v>
      </c>
      <c r="AH182" s="42">
        <f t="shared" si="31"/>
        <v>0</v>
      </c>
    </row>
    <row r="183" spans="1:34" hidden="1">
      <c r="A183" s="9" t="s">
        <v>614</v>
      </c>
      <c r="B183" s="8"/>
      <c r="C183" s="8" t="s">
        <v>28</v>
      </c>
      <c r="D183" s="8"/>
      <c r="E183" s="23">
        <v>47050</v>
      </c>
      <c r="G183" s="42">
        <f t="shared" si="30"/>
        <v>0</v>
      </c>
      <c r="I183" s="42">
        <v>0</v>
      </c>
      <c r="K183" s="42">
        <v>0</v>
      </c>
      <c r="M183" s="42">
        <v>0</v>
      </c>
      <c r="O183" s="42">
        <f t="shared" si="29"/>
        <v>0</v>
      </c>
      <c r="Q183" s="42">
        <v>0</v>
      </c>
      <c r="S183" s="42">
        <v>0</v>
      </c>
      <c r="U183" s="42">
        <v>0</v>
      </c>
      <c r="W183" s="42">
        <v>0</v>
      </c>
      <c r="Y183" s="42">
        <v>0</v>
      </c>
      <c r="AA183" s="42">
        <f t="shared" si="32"/>
        <v>0</v>
      </c>
      <c r="AC183" s="42">
        <v>0</v>
      </c>
      <c r="AE183" s="42">
        <v>0</v>
      </c>
      <c r="AF183" s="42">
        <f>+M183-W183-AE183</f>
        <v>0</v>
      </c>
      <c r="AH183" s="42">
        <f t="shared" si="31"/>
        <v>0</v>
      </c>
    </row>
    <row r="184" spans="1:34">
      <c r="A184" s="8" t="s">
        <v>535</v>
      </c>
      <c r="B184" s="8"/>
      <c r="C184" s="8" t="s">
        <v>66</v>
      </c>
      <c r="D184" s="8"/>
      <c r="E184" s="23">
        <v>50328</v>
      </c>
      <c r="G184" s="42">
        <f t="shared" si="30"/>
        <v>11176574</v>
      </c>
      <c r="I184" s="42">
        <v>16484435</v>
      </c>
      <c r="K184" s="42">
        <v>13952</v>
      </c>
      <c r="M184" s="42">
        <f>27661009+13952</f>
        <v>27674961</v>
      </c>
      <c r="O184" s="42">
        <f t="shared" si="29"/>
        <v>1146516</v>
      </c>
      <c r="Q184" s="42">
        <v>604967</v>
      </c>
      <c r="S184" s="42">
        <v>11284828</v>
      </c>
      <c r="U184" s="42">
        <v>4658620</v>
      </c>
      <c r="W184" s="42">
        <f>13036311+4658620</f>
        <v>17694931</v>
      </c>
      <c r="Y184" s="42">
        <v>5719229</v>
      </c>
      <c r="AA184" s="42">
        <f t="shared" si="32"/>
        <v>847067</v>
      </c>
      <c r="AC184" s="42">
        <v>3413734</v>
      </c>
      <c r="AE184" s="42">
        <v>9980030</v>
      </c>
      <c r="AF184" s="42">
        <f t="shared" si="33"/>
        <v>0</v>
      </c>
      <c r="AH184" s="42">
        <f t="shared" si="31"/>
        <v>0</v>
      </c>
    </row>
    <row r="185" spans="1:34" s="24" customFormat="1">
      <c r="A185" s="51" t="s">
        <v>621</v>
      </c>
      <c r="B185" s="51"/>
      <c r="C185" s="51" t="s">
        <v>113</v>
      </c>
      <c r="D185" s="51"/>
      <c r="E185" s="23">
        <v>43968</v>
      </c>
      <c r="G185" s="42">
        <f t="shared" si="30"/>
        <v>27030100</v>
      </c>
      <c r="H185" s="42"/>
      <c r="I185" s="42">
        <f>299675+10790376</f>
        <v>11090051</v>
      </c>
      <c r="J185" s="42"/>
      <c r="K185" s="42">
        <v>0</v>
      </c>
      <c r="L185" s="42"/>
      <c r="M185" s="42">
        <v>38120151</v>
      </c>
      <c r="N185" s="42"/>
      <c r="O185" s="42">
        <f t="shared" si="29"/>
        <v>19225094</v>
      </c>
      <c r="P185" s="42"/>
      <c r="Q185" s="42">
        <v>1594034</v>
      </c>
      <c r="R185" s="42"/>
      <c r="S185" s="42">
        <v>17298795</v>
      </c>
      <c r="T185" s="42"/>
      <c r="U185" s="42">
        <v>0</v>
      </c>
      <c r="V185" s="42"/>
      <c r="W185" s="42">
        <v>38117923</v>
      </c>
      <c r="X185" s="42"/>
      <c r="Y185" s="42">
        <v>-3246698</v>
      </c>
      <c r="Z185" s="42"/>
      <c r="AA185" s="42">
        <f>AE185-AC185-Y185</f>
        <v>2890844</v>
      </c>
      <c r="AB185" s="42"/>
      <c r="AC185" s="42">
        <v>358082</v>
      </c>
      <c r="AD185" s="42"/>
      <c r="AE185" s="42">
        <v>2228</v>
      </c>
      <c r="AF185" s="42">
        <f>+M185-W185-AE185</f>
        <v>0</v>
      </c>
      <c r="AG185" s="42"/>
      <c r="AH185" s="42">
        <f t="shared" si="31"/>
        <v>0</v>
      </c>
    </row>
    <row r="186" spans="1:34">
      <c r="A186" s="8" t="s">
        <v>221</v>
      </c>
      <c r="B186" s="8"/>
      <c r="C186" s="8" t="s">
        <v>220</v>
      </c>
      <c r="D186" s="8"/>
      <c r="E186" s="23">
        <v>46102</v>
      </c>
      <c r="G186" s="42">
        <f t="shared" si="30"/>
        <v>85955224</v>
      </c>
      <c r="I186" s="42">
        <f>3803351+57358577</f>
        <v>61161928</v>
      </c>
      <c r="K186" s="42">
        <v>0</v>
      </c>
      <c r="M186" s="42">
        <v>147117152</v>
      </c>
      <c r="O186" s="42">
        <f t="shared" si="29"/>
        <v>63053355</v>
      </c>
      <c r="Q186" s="42">
        <v>1932519</v>
      </c>
      <c r="S186" s="42">
        <v>37462950</v>
      </c>
      <c r="U186" s="42">
        <v>0</v>
      </c>
      <c r="W186" s="42">
        <v>102448824</v>
      </c>
      <c r="Y186" s="42">
        <v>30763596</v>
      </c>
      <c r="AA186" s="42">
        <f t="shared" si="32"/>
        <v>3224394</v>
      </c>
      <c r="AC186" s="42">
        <v>10680338</v>
      </c>
      <c r="AE186" s="42">
        <v>44668328</v>
      </c>
      <c r="AF186" s="42">
        <f t="shared" si="33"/>
        <v>0</v>
      </c>
      <c r="AH186" s="42">
        <f t="shared" si="31"/>
        <v>0</v>
      </c>
    </row>
    <row r="187" spans="1:34">
      <c r="A187" s="8" t="s">
        <v>347</v>
      </c>
      <c r="B187" s="8"/>
      <c r="C187" s="8" t="s">
        <v>346</v>
      </c>
      <c r="D187" s="8"/>
      <c r="E187" s="23">
        <v>47621</v>
      </c>
      <c r="G187" s="42">
        <f t="shared" si="30"/>
        <v>4839527</v>
      </c>
      <c r="I187" s="42">
        <f>399200+13529479</f>
        <v>13928679</v>
      </c>
      <c r="K187" s="42">
        <v>56191</v>
      </c>
      <c r="M187" s="42">
        <f>18768206+56191</f>
        <v>18824397</v>
      </c>
      <c r="O187" s="42">
        <f t="shared" si="29"/>
        <v>806953</v>
      </c>
      <c r="Q187" s="42">
        <v>105834</v>
      </c>
      <c r="S187" s="42">
        <v>2093249</v>
      </c>
      <c r="U187" s="42">
        <v>1375435</v>
      </c>
      <c r="W187" s="42">
        <f>3006036+1375435</f>
        <v>4381471</v>
      </c>
      <c r="Y187" s="42">
        <v>12481681</v>
      </c>
      <c r="AA187" s="42">
        <f t="shared" si="32"/>
        <v>1002162</v>
      </c>
      <c r="AC187" s="42">
        <v>959083</v>
      </c>
      <c r="AE187" s="42">
        <v>14442926</v>
      </c>
      <c r="AF187" s="42">
        <f t="shared" si="33"/>
        <v>0</v>
      </c>
      <c r="AH187" s="42">
        <f t="shared" si="31"/>
        <v>0</v>
      </c>
    </row>
    <row r="188" spans="1:34">
      <c r="A188" s="8" t="s">
        <v>292</v>
      </c>
      <c r="B188" s="8"/>
      <c r="C188" s="8" t="s">
        <v>25</v>
      </c>
      <c r="D188" s="8"/>
      <c r="E188" s="23">
        <v>46870</v>
      </c>
      <c r="G188" s="42">
        <f t="shared" si="30"/>
        <v>29201453</v>
      </c>
      <c r="I188" s="42">
        <v>63584060</v>
      </c>
      <c r="K188" s="42">
        <v>1052111</v>
      </c>
      <c r="M188" s="42">
        <f>92785513+1052111</f>
        <v>93837624</v>
      </c>
      <c r="O188" s="42">
        <f t="shared" si="29"/>
        <v>2677297</v>
      </c>
      <c r="Q188" s="42">
        <v>1156675</v>
      </c>
      <c r="S188" s="42">
        <v>26562337</v>
      </c>
      <c r="U188" s="42">
        <v>4775737</v>
      </c>
      <c r="W188" s="42">
        <f>30396309+4775737</f>
        <v>35172046</v>
      </c>
      <c r="Y188" s="42">
        <v>38337737</v>
      </c>
      <c r="AA188" s="42">
        <f t="shared" si="32"/>
        <v>9743821</v>
      </c>
      <c r="AC188" s="42">
        <v>10584020</v>
      </c>
      <c r="AE188" s="42">
        <v>58665578</v>
      </c>
      <c r="AF188" s="42">
        <f>+M188-W188-AE188</f>
        <v>0</v>
      </c>
      <c r="AH188" s="42">
        <f t="shared" si="31"/>
        <v>0</v>
      </c>
    </row>
    <row r="189" spans="1:34">
      <c r="A189" s="8" t="s">
        <v>366</v>
      </c>
      <c r="B189" s="8"/>
      <c r="C189" s="8" t="s">
        <v>364</v>
      </c>
      <c r="D189" s="8"/>
      <c r="E189" s="23">
        <v>47936</v>
      </c>
      <c r="G189" s="42">
        <f t="shared" si="30"/>
        <v>10555537</v>
      </c>
      <c r="I189" s="42">
        <f>963800+26768526</f>
        <v>27732326</v>
      </c>
      <c r="K189" s="42">
        <v>0</v>
      </c>
      <c r="M189" s="42">
        <v>38287863</v>
      </c>
      <c r="O189" s="42">
        <f t="shared" si="29"/>
        <v>2561435</v>
      </c>
      <c r="Q189" s="42">
        <v>396596</v>
      </c>
      <c r="S189" s="42">
        <v>3281844</v>
      </c>
      <c r="U189" s="42">
        <v>2926606</v>
      </c>
      <c r="W189" s="42">
        <f>6239875+2926606</f>
        <v>9166481</v>
      </c>
      <c r="Y189" s="42">
        <v>25247857</v>
      </c>
      <c r="AA189" s="42">
        <f t="shared" si="32"/>
        <v>1410483</v>
      </c>
      <c r="AC189" s="42">
        <v>2463042</v>
      </c>
      <c r="AE189" s="42">
        <v>29121382</v>
      </c>
      <c r="AF189" s="42">
        <f>+M189-W189-AE189</f>
        <v>0</v>
      </c>
      <c r="AH189" s="42">
        <f t="shared" si="31"/>
        <v>0</v>
      </c>
    </row>
    <row r="190" spans="1:34" hidden="1">
      <c r="A190" s="8" t="s">
        <v>615</v>
      </c>
      <c r="B190" s="8"/>
      <c r="C190" s="8" t="s">
        <v>61</v>
      </c>
      <c r="D190" s="8"/>
      <c r="E190" s="23">
        <v>49775</v>
      </c>
      <c r="G190" s="42">
        <f t="shared" si="30"/>
        <v>0</v>
      </c>
      <c r="I190" s="42">
        <v>0</v>
      </c>
      <c r="K190" s="42">
        <v>0</v>
      </c>
      <c r="M190" s="42">
        <v>0</v>
      </c>
      <c r="O190" s="42">
        <f t="shared" si="29"/>
        <v>0</v>
      </c>
      <c r="Q190" s="42">
        <v>0</v>
      </c>
      <c r="S190" s="42">
        <v>0</v>
      </c>
      <c r="U190" s="42">
        <v>0</v>
      </c>
      <c r="W190" s="42">
        <v>0</v>
      </c>
      <c r="Y190" s="42">
        <v>0</v>
      </c>
      <c r="AA190" s="42">
        <f t="shared" si="32"/>
        <v>0</v>
      </c>
      <c r="AC190" s="42">
        <v>0</v>
      </c>
      <c r="AE190" s="42">
        <v>0</v>
      </c>
      <c r="AF190" s="42">
        <f>+M190-W190-AE190</f>
        <v>0</v>
      </c>
      <c r="AH190" s="42">
        <f t="shared" si="31"/>
        <v>0</v>
      </c>
    </row>
    <row r="191" spans="1:34">
      <c r="A191" s="8" t="s">
        <v>492</v>
      </c>
      <c r="B191" s="8"/>
      <c r="C191" s="8" t="s">
        <v>62</v>
      </c>
      <c r="D191" s="8"/>
      <c r="E191" s="23">
        <v>49841</v>
      </c>
      <c r="G191" s="42">
        <f t="shared" si="30"/>
        <v>10548771</v>
      </c>
      <c r="I191" s="42">
        <v>26369168</v>
      </c>
      <c r="K191" s="42">
        <v>1325199</v>
      </c>
      <c r="M191" s="42">
        <f>36917939+1325199</f>
        <v>38243138</v>
      </c>
      <c r="O191" s="42">
        <f t="shared" si="29"/>
        <v>2006866</v>
      </c>
      <c r="Q191" s="42">
        <v>724766</v>
      </c>
      <c r="S191" s="42">
        <v>13012214</v>
      </c>
      <c r="U191" s="42">
        <v>5663074</v>
      </c>
      <c r="W191" s="42">
        <f>15743846+5663074</f>
        <v>21406920</v>
      </c>
      <c r="Y191" s="42">
        <v>14660385</v>
      </c>
      <c r="AA191" s="42">
        <f t="shared" si="32"/>
        <v>1360411</v>
      </c>
      <c r="AC191" s="42">
        <v>815422</v>
      </c>
      <c r="AE191" s="42">
        <v>16836218</v>
      </c>
      <c r="AF191" s="42">
        <f>+M191-W191-AE191</f>
        <v>0</v>
      </c>
      <c r="AH191" s="42">
        <f t="shared" si="31"/>
        <v>0</v>
      </c>
    </row>
    <row r="192" spans="1:34" hidden="1">
      <c r="A192" s="8" t="s">
        <v>878</v>
      </c>
      <c r="B192" s="8"/>
      <c r="C192" s="8" t="s">
        <v>41</v>
      </c>
      <c r="D192" s="8"/>
      <c r="E192" s="23">
        <v>45369</v>
      </c>
      <c r="F192" s="7"/>
      <c r="G192" s="42">
        <f t="shared" si="30"/>
        <v>0</v>
      </c>
      <c r="I192" s="42">
        <v>0</v>
      </c>
      <c r="K192" s="42">
        <v>0</v>
      </c>
      <c r="M192" s="42">
        <v>0</v>
      </c>
      <c r="O192" s="42">
        <f t="shared" si="29"/>
        <v>0</v>
      </c>
      <c r="Q192" s="42">
        <v>0</v>
      </c>
      <c r="S192" s="42">
        <v>0</v>
      </c>
      <c r="U192" s="42">
        <v>0</v>
      </c>
      <c r="W192" s="42">
        <v>0</v>
      </c>
      <c r="Y192" s="42">
        <v>0</v>
      </c>
      <c r="AA192" s="42">
        <f t="shared" si="32"/>
        <v>0</v>
      </c>
      <c r="AC192" s="42">
        <v>0</v>
      </c>
      <c r="AE192" s="42">
        <v>0</v>
      </c>
      <c r="AF192" s="42">
        <f t="shared" si="33"/>
        <v>0</v>
      </c>
      <c r="AH192" s="42">
        <f t="shared" si="31"/>
        <v>0</v>
      </c>
    </row>
    <row r="193" spans="1:34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f t="shared" si="30"/>
        <v>35778824</v>
      </c>
      <c r="I193" s="24">
        <v>33832456</v>
      </c>
      <c r="K193" s="24">
        <v>1947775</v>
      </c>
      <c r="M193" s="24">
        <f>69611280+1947775</f>
        <v>71559055</v>
      </c>
      <c r="O193" s="24">
        <f t="shared" si="29"/>
        <v>1881141</v>
      </c>
      <c r="Q193" s="24">
        <v>1867753</v>
      </c>
      <c r="S193" s="24">
        <v>27999585</v>
      </c>
      <c r="U193" s="24">
        <v>14123529</v>
      </c>
      <c r="W193" s="24">
        <f>31748479+14123529</f>
        <v>45872008</v>
      </c>
      <c r="Y193" s="24">
        <v>7549500</v>
      </c>
      <c r="AA193" s="24">
        <f t="shared" si="32"/>
        <v>2957589</v>
      </c>
      <c r="AC193" s="24">
        <v>15179958</v>
      </c>
      <c r="AE193" s="24">
        <v>25687047</v>
      </c>
      <c r="AF193" s="24">
        <f t="shared" si="33"/>
        <v>0</v>
      </c>
      <c r="AH193" s="24">
        <f t="shared" si="31"/>
        <v>0</v>
      </c>
    </row>
    <row r="194" spans="1:34" hidden="1">
      <c r="A194" s="8" t="s">
        <v>739</v>
      </c>
      <c r="B194" s="8"/>
      <c r="C194" s="8" t="s">
        <v>28</v>
      </c>
      <c r="D194" s="8"/>
      <c r="E194" s="23">
        <v>47068</v>
      </c>
      <c r="G194" s="42">
        <f t="shared" si="30"/>
        <v>0</v>
      </c>
      <c r="I194" s="42">
        <v>0</v>
      </c>
      <c r="K194" s="42">
        <v>0</v>
      </c>
      <c r="M194" s="42">
        <v>0</v>
      </c>
      <c r="O194" s="42">
        <f t="shared" si="29"/>
        <v>0</v>
      </c>
      <c r="Q194" s="42">
        <v>0</v>
      </c>
      <c r="S194" s="42">
        <v>0</v>
      </c>
      <c r="U194" s="42">
        <v>0</v>
      </c>
      <c r="W194" s="42">
        <v>0</v>
      </c>
      <c r="Y194" s="42">
        <v>0</v>
      </c>
      <c r="AA194" s="42">
        <f t="shared" si="32"/>
        <v>0</v>
      </c>
      <c r="AC194" s="42">
        <v>0</v>
      </c>
      <c r="AE194" s="42">
        <v>0</v>
      </c>
      <c r="AF194" s="42">
        <f t="shared" si="33"/>
        <v>0</v>
      </c>
      <c r="AH194" s="42">
        <f t="shared" si="31"/>
        <v>0</v>
      </c>
    </row>
    <row r="195" spans="1:34">
      <c r="A195" s="8" t="s">
        <v>218</v>
      </c>
      <c r="B195" s="8"/>
      <c r="C195" s="8" t="s">
        <v>77</v>
      </c>
      <c r="D195" s="8"/>
      <c r="E195" s="23">
        <v>46045</v>
      </c>
      <c r="G195" s="42">
        <f t="shared" si="30"/>
        <v>29854994</v>
      </c>
      <c r="I195" s="42">
        <v>3248272</v>
      </c>
      <c r="K195" s="42">
        <v>77583</v>
      </c>
      <c r="M195" s="42">
        <f>33103266+77583</f>
        <v>33180849</v>
      </c>
      <c r="O195" s="42">
        <f t="shared" si="29"/>
        <v>959324</v>
      </c>
      <c r="Q195" s="42">
        <v>434309</v>
      </c>
      <c r="S195" s="42">
        <v>7154221</v>
      </c>
      <c r="U195" s="42">
        <v>1696917</v>
      </c>
      <c r="W195" s="42">
        <f>8547854+1696917</f>
        <v>10244771</v>
      </c>
      <c r="Y195" s="42">
        <v>19902353</v>
      </c>
      <c r="AA195" s="42">
        <f t="shared" si="32"/>
        <v>2216399</v>
      </c>
      <c r="AC195" s="42">
        <v>817326</v>
      </c>
      <c r="AE195" s="42">
        <v>22936078</v>
      </c>
      <c r="AF195" s="42">
        <f t="shared" si="33"/>
        <v>0</v>
      </c>
      <c r="AH195" s="42">
        <f t="shared" si="31"/>
        <v>0</v>
      </c>
    </row>
    <row r="196" spans="1:34">
      <c r="A196" s="9" t="s">
        <v>737</v>
      </c>
      <c r="B196" s="9"/>
      <c r="C196" s="9" t="s">
        <v>13</v>
      </c>
      <c r="D196" s="8"/>
      <c r="E196" s="23">
        <v>45914</v>
      </c>
      <c r="G196" s="42">
        <f t="shared" si="30"/>
        <v>8946637</v>
      </c>
      <c r="I196" s="42">
        <f>44623+8352099</f>
        <v>8396722</v>
      </c>
      <c r="K196" s="42">
        <v>4767</v>
      </c>
      <c r="M196" s="42">
        <f>17343359+4767</f>
        <v>17348126</v>
      </c>
      <c r="O196" s="42">
        <f t="shared" si="29"/>
        <v>1439008</v>
      </c>
      <c r="Q196" s="42">
        <v>145279</v>
      </c>
      <c r="S196" s="42">
        <v>807655</v>
      </c>
      <c r="U196" s="42">
        <v>2768095</v>
      </c>
      <c r="W196" s="42">
        <f>2391942+2768095</f>
        <v>5160037</v>
      </c>
      <c r="Y196" s="42">
        <v>7988339</v>
      </c>
      <c r="AA196" s="42">
        <f t="shared" si="32"/>
        <v>1348918</v>
      </c>
      <c r="AC196" s="42">
        <v>2850832</v>
      </c>
      <c r="AE196" s="42">
        <v>12188089</v>
      </c>
      <c r="AF196" s="42">
        <f t="shared" si="33"/>
        <v>0</v>
      </c>
      <c r="AH196" s="42">
        <f t="shared" si="31"/>
        <v>0</v>
      </c>
    </row>
    <row r="197" spans="1:34">
      <c r="A197" s="8" t="s">
        <v>237</v>
      </c>
      <c r="B197" s="8"/>
      <c r="C197" s="8" t="s">
        <v>112</v>
      </c>
      <c r="D197" s="8"/>
      <c r="E197" s="23">
        <v>46334</v>
      </c>
      <c r="G197" s="42">
        <f t="shared" si="30"/>
        <v>5489690</v>
      </c>
      <c r="I197" s="42">
        <f>65450+16984697</f>
        <v>17050147</v>
      </c>
      <c r="K197" s="42">
        <v>0</v>
      </c>
      <c r="M197" s="42">
        <v>22539837</v>
      </c>
      <c r="O197" s="42">
        <f t="shared" si="29"/>
        <v>2490074</v>
      </c>
      <c r="Q197" s="42">
        <v>347018</v>
      </c>
      <c r="S197" s="42">
        <v>2515491</v>
      </c>
      <c r="U197" s="42">
        <v>0</v>
      </c>
      <c r="W197" s="42">
        <v>5352583</v>
      </c>
      <c r="Y197" s="42">
        <v>14635790</v>
      </c>
      <c r="AA197" s="42">
        <f t="shared" si="32"/>
        <v>1407511</v>
      </c>
      <c r="AC197" s="42">
        <v>1143953</v>
      </c>
      <c r="AE197" s="42">
        <v>17187254</v>
      </c>
      <c r="AF197" s="42">
        <f t="shared" si="33"/>
        <v>0</v>
      </c>
      <c r="AH197" s="42">
        <f t="shared" si="31"/>
        <v>0</v>
      </c>
    </row>
    <row r="198" spans="1:34">
      <c r="A198" s="8" t="s">
        <v>714</v>
      </c>
      <c r="B198" s="8"/>
      <c r="C198" s="8" t="s">
        <v>56</v>
      </c>
      <c r="D198" s="8"/>
      <c r="E198" s="23">
        <v>49197</v>
      </c>
      <c r="G198" s="42">
        <f t="shared" si="30"/>
        <v>14256266</v>
      </c>
      <c r="I198" s="42">
        <v>27181771</v>
      </c>
      <c r="K198" s="42">
        <v>1034745</v>
      </c>
      <c r="M198" s="42">
        <f>41438037+1034745</f>
        <v>42472782</v>
      </c>
      <c r="O198" s="42">
        <f t="shared" si="29"/>
        <v>1969247</v>
      </c>
      <c r="Q198" s="42">
        <v>872618</v>
      </c>
      <c r="S198" s="42">
        <v>26044669</v>
      </c>
      <c r="U198" s="42">
        <v>9420857</v>
      </c>
      <c r="W198" s="42">
        <f>28886534+9420857</f>
        <v>38307391</v>
      </c>
      <c r="Y198" s="42">
        <v>2361842</v>
      </c>
      <c r="AA198" s="42">
        <f t="shared" si="32"/>
        <v>1360884</v>
      </c>
      <c r="AC198" s="42">
        <v>442665</v>
      </c>
      <c r="AE198" s="42">
        <v>4165391</v>
      </c>
      <c r="AF198" s="42">
        <f t="shared" si="33"/>
        <v>0</v>
      </c>
      <c r="AH198" s="42">
        <f t="shared" si="31"/>
        <v>0</v>
      </c>
    </row>
    <row r="199" spans="1:34">
      <c r="A199" s="8" t="s">
        <v>335</v>
      </c>
      <c r="B199" s="8"/>
      <c r="C199" s="8" t="s">
        <v>33</v>
      </c>
      <c r="D199" s="8"/>
      <c r="E199" s="23">
        <v>43984</v>
      </c>
      <c r="G199" s="42">
        <f t="shared" si="30"/>
        <v>61269768</v>
      </c>
      <c r="I199" s="42">
        <v>85831688</v>
      </c>
      <c r="K199" s="42">
        <v>0</v>
      </c>
      <c r="M199" s="42">
        <v>147101456</v>
      </c>
      <c r="O199" s="42">
        <f t="shared" si="29"/>
        <v>8771993</v>
      </c>
      <c r="Q199" s="42">
        <v>2782576</v>
      </c>
      <c r="S199" s="42">
        <v>53920208</v>
      </c>
      <c r="U199" s="42">
        <v>24515622</v>
      </c>
      <c r="W199" s="42">
        <f>65474777+24515622</f>
        <v>89990399</v>
      </c>
      <c r="Y199" s="42">
        <v>36707854</v>
      </c>
      <c r="AA199" s="42">
        <f t="shared" si="32"/>
        <v>10083166</v>
      </c>
      <c r="AC199" s="42">
        <v>10320037</v>
      </c>
      <c r="AE199" s="42">
        <v>57111057</v>
      </c>
      <c r="AF199" s="42">
        <f t="shared" si="33"/>
        <v>0</v>
      </c>
      <c r="AH199" s="42">
        <f t="shared" si="31"/>
        <v>0</v>
      </c>
    </row>
    <row r="200" spans="1:34">
      <c r="A200" s="8" t="s">
        <v>320</v>
      </c>
      <c r="B200" s="8"/>
      <c r="C200" s="8" t="s">
        <v>32</v>
      </c>
      <c r="D200" s="8"/>
      <c r="E200" s="23">
        <v>47332</v>
      </c>
      <c r="G200" s="42">
        <f t="shared" si="30"/>
        <v>20531499</v>
      </c>
      <c r="I200" s="42">
        <f>4135774+6068692</f>
        <v>10204466</v>
      </c>
      <c r="K200" s="42">
        <v>0</v>
      </c>
      <c r="M200" s="42">
        <v>30735965</v>
      </c>
      <c r="O200" s="42">
        <f t="shared" si="29"/>
        <v>10751126</v>
      </c>
      <c r="Q200" s="42">
        <v>5673386</v>
      </c>
      <c r="S200" s="42">
        <v>7644555</v>
      </c>
      <c r="U200" s="42">
        <v>0</v>
      </c>
      <c r="W200" s="42">
        <v>24069067</v>
      </c>
      <c r="Y200" s="42">
        <v>1028922</v>
      </c>
      <c r="AA200" s="42">
        <f t="shared" si="32"/>
        <v>1902079</v>
      </c>
      <c r="AC200" s="42">
        <v>3735897</v>
      </c>
      <c r="AE200" s="42">
        <v>6666898</v>
      </c>
      <c r="AF200" s="42">
        <f t="shared" si="33"/>
        <v>0</v>
      </c>
      <c r="AH200" s="42">
        <f t="shared" si="31"/>
        <v>0</v>
      </c>
    </row>
    <row r="201" spans="1:34">
      <c r="A201" s="8" t="s">
        <v>382</v>
      </c>
      <c r="B201" s="8"/>
      <c r="C201" s="8" t="s">
        <v>44</v>
      </c>
      <c r="D201" s="8"/>
      <c r="E201" s="23">
        <v>48157</v>
      </c>
      <c r="G201" s="42">
        <f t="shared" si="30"/>
        <v>12564274</v>
      </c>
      <c r="I201" s="42">
        <v>5425447</v>
      </c>
      <c r="K201" s="42">
        <v>0</v>
      </c>
      <c r="M201" s="42">
        <v>17989721</v>
      </c>
      <c r="O201" s="42">
        <f t="shared" si="29"/>
        <v>1803421</v>
      </c>
      <c r="Q201" s="42">
        <v>424029</v>
      </c>
      <c r="S201" s="42">
        <v>1554382</v>
      </c>
      <c r="U201" s="42">
        <v>7166545</v>
      </c>
      <c r="W201" s="42">
        <f>3781832+7166545</f>
        <v>10948377</v>
      </c>
      <c r="Y201" s="42">
        <v>4414154</v>
      </c>
      <c r="AA201" s="42">
        <f t="shared" si="32"/>
        <v>39729</v>
      </c>
      <c r="AC201" s="42">
        <v>2587461</v>
      </c>
      <c r="AE201" s="42">
        <v>7041344</v>
      </c>
      <c r="AF201" s="42">
        <f t="shared" si="33"/>
        <v>0</v>
      </c>
      <c r="AH201" s="42">
        <f t="shared" si="31"/>
        <v>0</v>
      </c>
    </row>
    <row r="202" spans="1:34">
      <c r="A202" s="8" t="s">
        <v>321</v>
      </c>
      <c r="B202" s="8"/>
      <c r="C202" s="8" t="s">
        <v>32</v>
      </c>
      <c r="D202" s="8"/>
      <c r="E202" s="23">
        <v>47340</v>
      </c>
      <c r="G202" s="42">
        <f t="shared" si="30"/>
        <v>68224139</v>
      </c>
      <c r="I202" s="42">
        <f>1300394+23422658</f>
        <v>24723052</v>
      </c>
      <c r="K202" s="42">
        <v>0</v>
      </c>
      <c r="M202" s="42">
        <v>92947191</v>
      </c>
      <c r="O202" s="42">
        <f t="shared" si="29"/>
        <v>40987748</v>
      </c>
      <c r="Q202" s="42">
        <v>2911921</v>
      </c>
      <c r="S202" s="42">
        <v>6245077</v>
      </c>
      <c r="U202" s="42">
        <v>0</v>
      </c>
      <c r="W202" s="42">
        <v>50144746</v>
      </c>
      <c r="Y202" s="42">
        <v>17811384</v>
      </c>
      <c r="AA202" s="42">
        <f t="shared" si="32"/>
        <v>6073253</v>
      </c>
      <c r="AC202" s="42">
        <v>18917808</v>
      </c>
      <c r="AE202" s="42">
        <v>42802445</v>
      </c>
      <c r="AF202" s="42">
        <f t="shared" si="33"/>
        <v>0</v>
      </c>
      <c r="AH202" s="42">
        <f t="shared" si="31"/>
        <v>0</v>
      </c>
    </row>
    <row r="203" spans="1:34" hidden="1">
      <c r="A203" s="8" t="s">
        <v>611</v>
      </c>
      <c r="B203" s="8"/>
      <c r="C203" s="8" t="s">
        <v>70</v>
      </c>
      <c r="D203" s="8"/>
      <c r="E203" s="23">
        <v>50484</v>
      </c>
      <c r="G203" s="42">
        <f t="shared" si="30"/>
        <v>0</v>
      </c>
      <c r="I203" s="42">
        <v>0</v>
      </c>
      <c r="K203" s="42">
        <v>0</v>
      </c>
      <c r="M203" s="42">
        <v>0</v>
      </c>
      <c r="O203" s="42">
        <f t="shared" si="29"/>
        <v>0</v>
      </c>
      <c r="Q203" s="42">
        <v>0</v>
      </c>
      <c r="S203" s="42">
        <v>0</v>
      </c>
      <c r="U203" s="42">
        <v>0</v>
      </c>
      <c r="W203" s="42">
        <v>0</v>
      </c>
      <c r="Y203" s="42">
        <v>0</v>
      </c>
      <c r="AA203" s="42">
        <f t="shared" si="32"/>
        <v>0</v>
      </c>
      <c r="AC203" s="42">
        <v>0</v>
      </c>
      <c r="AE203" s="42">
        <v>0</v>
      </c>
      <c r="AF203" s="42">
        <f t="shared" si="33"/>
        <v>0</v>
      </c>
      <c r="AH203" s="42">
        <f t="shared" si="31"/>
        <v>0</v>
      </c>
    </row>
    <row r="204" spans="1:34">
      <c r="A204" s="8" t="s">
        <v>486</v>
      </c>
      <c r="B204" s="8"/>
      <c r="C204" s="8" t="s">
        <v>61</v>
      </c>
      <c r="D204" s="8"/>
      <c r="E204" s="23">
        <v>49783</v>
      </c>
      <c r="G204" s="42">
        <f t="shared" si="30"/>
        <v>8196787</v>
      </c>
      <c r="I204" s="42">
        <f>140200+22394315</f>
        <v>22534515</v>
      </c>
      <c r="K204" s="42">
        <v>121059</v>
      </c>
      <c r="M204" s="42">
        <f>30731302+121059</f>
        <v>30852361</v>
      </c>
      <c r="O204" s="42">
        <f t="shared" si="29"/>
        <v>950333</v>
      </c>
      <c r="Q204" s="42">
        <v>552287</v>
      </c>
      <c r="S204" s="42">
        <v>10136854</v>
      </c>
      <c r="U204" s="42">
        <v>2336747</v>
      </c>
      <c r="W204" s="42">
        <f>11639474+2336747</f>
        <v>13976221</v>
      </c>
      <c r="Y204" s="42">
        <v>12804577</v>
      </c>
      <c r="AA204" s="42">
        <f t="shared" si="32"/>
        <v>1407896</v>
      </c>
      <c r="AC204" s="42">
        <v>2663667</v>
      </c>
      <c r="AE204" s="42">
        <v>16876140</v>
      </c>
      <c r="AF204" s="42">
        <f t="shared" si="33"/>
        <v>0</v>
      </c>
      <c r="AH204" s="42">
        <f t="shared" si="31"/>
        <v>0</v>
      </c>
    </row>
    <row r="205" spans="1:34" hidden="1">
      <c r="A205" s="9" t="s">
        <v>758</v>
      </c>
      <c r="B205" s="9"/>
      <c r="C205" s="9" t="s">
        <v>419</v>
      </c>
      <c r="D205" s="8"/>
      <c r="E205" s="23">
        <v>48595</v>
      </c>
      <c r="G205" s="42">
        <f t="shared" si="30"/>
        <v>0</v>
      </c>
      <c r="I205" s="42">
        <v>0</v>
      </c>
      <c r="K205" s="42">
        <v>0</v>
      </c>
      <c r="M205" s="42">
        <v>0</v>
      </c>
      <c r="O205" s="42">
        <f t="shared" si="29"/>
        <v>0</v>
      </c>
      <c r="Q205" s="42">
        <v>0</v>
      </c>
      <c r="S205" s="42">
        <v>0</v>
      </c>
      <c r="U205" s="42">
        <v>0</v>
      </c>
      <c r="W205" s="42">
        <v>0</v>
      </c>
      <c r="Y205" s="42">
        <v>0</v>
      </c>
      <c r="AA205" s="42">
        <f t="shared" si="32"/>
        <v>0</v>
      </c>
      <c r="AC205" s="42">
        <v>0</v>
      </c>
      <c r="AE205" s="42">
        <v>0</v>
      </c>
      <c r="AF205" s="42">
        <f t="shared" si="33"/>
        <v>0</v>
      </c>
      <c r="AH205" s="42">
        <f t="shared" si="31"/>
        <v>0</v>
      </c>
    </row>
    <row r="206" spans="1:34" hidden="1">
      <c r="A206" s="8" t="s">
        <v>741</v>
      </c>
      <c r="B206" s="8"/>
      <c r="C206" s="8" t="s">
        <v>60</v>
      </c>
      <c r="D206" s="8"/>
      <c r="E206" s="23">
        <v>43992</v>
      </c>
      <c r="G206" s="42">
        <f t="shared" si="30"/>
        <v>0</v>
      </c>
      <c r="I206" s="42">
        <v>0</v>
      </c>
      <c r="K206" s="42">
        <v>0</v>
      </c>
      <c r="M206" s="42">
        <v>0</v>
      </c>
      <c r="O206" s="42">
        <f t="shared" ref="O206:O269" si="38">+W206-Q206-S206-U206</f>
        <v>0</v>
      </c>
      <c r="Q206" s="42">
        <v>0</v>
      </c>
      <c r="S206" s="42">
        <v>0</v>
      </c>
      <c r="U206" s="42">
        <v>0</v>
      </c>
      <c r="W206" s="42">
        <v>0</v>
      </c>
      <c r="Y206" s="42">
        <v>0</v>
      </c>
      <c r="AA206" s="42">
        <f t="shared" si="32"/>
        <v>0</v>
      </c>
      <c r="AC206" s="42">
        <v>0</v>
      </c>
      <c r="AE206" s="42">
        <v>0</v>
      </c>
      <c r="AF206" s="42">
        <f t="shared" si="33"/>
        <v>0</v>
      </c>
      <c r="AH206" s="42">
        <f t="shared" si="31"/>
        <v>0</v>
      </c>
    </row>
    <row r="207" spans="1:34">
      <c r="A207" s="8" t="s">
        <v>540</v>
      </c>
      <c r="B207" s="8"/>
      <c r="C207" s="8" t="s">
        <v>69</v>
      </c>
      <c r="D207" s="8"/>
      <c r="E207" s="23">
        <v>44008</v>
      </c>
      <c r="G207" s="42">
        <f t="shared" ref="G207:G270" si="39">+M207-I207-K207</f>
        <v>19866153</v>
      </c>
      <c r="I207" s="42">
        <f>15509271+409574</f>
        <v>15918845</v>
      </c>
      <c r="K207" s="42">
        <v>97968</v>
      </c>
      <c r="M207" s="42">
        <f>35784998+97968</f>
        <v>35882966</v>
      </c>
      <c r="O207" s="42">
        <f t="shared" si="38"/>
        <v>3362329</v>
      </c>
      <c r="Q207" s="42">
        <v>577345</v>
      </c>
      <c r="S207" s="42">
        <v>4664588</v>
      </c>
      <c r="U207" s="42">
        <v>10796291</v>
      </c>
      <c r="W207" s="42">
        <f>8604262+10796291</f>
        <v>19400553</v>
      </c>
      <c r="Y207" s="42">
        <v>14777756</v>
      </c>
      <c r="AA207" s="42">
        <f t="shared" si="32"/>
        <v>2306129</v>
      </c>
      <c r="AC207" s="42">
        <v>-601472</v>
      </c>
      <c r="AE207" s="42">
        <v>16482413</v>
      </c>
      <c r="AF207" s="42">
        <f t="shared" si="33"/>
        <v>0</v>
      </c>
      <c r="AH207" s="42">
        <f t="shared" si="31"/>
        <v>0</v>
      </c>
    </row>
    <row r="208" spans="1:34">
      <c r="A208" s="8" t="s">
        <v>441</v>
      </c>
      <c r="B208" s="8"/>
      <c r="C208" s="8" t="s">
        <v>51</v>
      </c>
      <c r="D208" s="8"/>
      <c r="E208" s="23">
        <v>48843</v>
      </c>
      <c r="G208" s="42">
        <f t="shared" si="39"/>
        <v>23258620</v>
      </c>
      <c r="I208" s="42">
        <f>1590123+33446301</f>
        <v>35036424</v>
      </c>
      <c r="K208" s="42">
        <v>336008</v>
      </c>
      <c r="M208" s="42">
        <f>58295044+336008</f>
        <v>58631052</v>
      </c>
      <c r="O208" s="42">
        <f t="shared" si="38"/>
        <v>3761766</v>
      </c>
      <c r="Q208" s="42">
        <v>689374</v>
      </c>
      <c r="S208" s="42">
        <v>6575174</v>
      </c>
      <c r="U208" s="42">
        <v>4708234</v>
      </c>
      <c r="W208" s="42">
        <f>11026314+4708234</f>
        <v>15734548</v>
      </c>
      <c r="Y208" s="42">
        <v>29967615</v>
      </c>
      <c r="AA208" s="42">
        <f t="shared" si="32"/>
        <v>5286288</v>
      </c>
      <c r="AC208" s="42">
        <v>7642601</v>
      </c>
      <c r="AE208" s="42">
        <v>42896504</v>
      </c>
      <c r="AF208" s="42">
        <f t="shared" si="33"/>
        <v>0</v>
      </c>
      <c r="AH208" s="42">
        <f t="shared" ref="AH208:AH271" si="40">+G208+I208+K208-O208-Q208-Y208-AA208-AC208-S208-U208</f>
        <v>0</v>
      </c>
    </row>
    <row r="209" spans="1:34" hidden="1">
      <c r="A209" s="8" t="s">
        <v>610</v>
      </c>
      <c r="B209" s="8"/>
      <c r="C209" s="8" t="s">
        <v>21</v>
      </c>
      <c r="D209" s="8"/>
      <c r="E209" s="23">
        <v>46649</v>
      </c>
      <c r="G209" s="42">
        <f t="shared" si="39"/>
        <v>0</v>
      </c>
      <c r="I209" s="42">
        <v>0</v>
      </c>
      <c r="K209" s="42">
        <v>0</v>
      </c>
      <c r="M209" s="42">
        <v>0</v>
      </c>
      <c r="O209" s="42">
        <f t="shared" si="38"/>
        <v>0</v>
      </c>
      <c r="Q209" s="42">
        <v>0</v>
      </c>
      <c r="S209" s="42">
        <v>0</v>
      </c>
      <c r="U209" s="42">
        <v>0</v>
      </c>
      <c r="W209" s="42">
        <v>0</v>
      </c>
      <c r="Y209" s="42">
        <v>0</v>
      </c>
      <c r="AA209" s="42">
        <f t="shared" si="32"/>
        <v>0</v>
      </c>
      <c r="AC209" s="42">
        <v>0</v>
      </c>
      <c r="AE209" s="42">
        <v>0</v>
      </c>
      <c r="AF209" s="42">
        <f>+M209-W209-AE209</f>
        <v>0</v>
      </c>
      <c r="AH209" s="42">
        <f t="shared" si="40"/>
        <v>0</v>
      </c>
    </row>
    <row r="210" spans="1:34" hidden="1">
      <c r="A210" s="8" t="s">
        <v>659</v>
      </c>
      <c r="B210" s="8"/>
      <c r="C210" s="8" t="s">
        <v>40</v>
      </c>
      <c r="D210" s="8"/>
      <c r="E210" s="23">
        <v>47852</v>
      </c>
      <c r="G210" s="42">
        <f t="shared" si="39"/>
        <v>0</v>
      </c>
      <c r="I210" s="42">
        <v>0</v>
      </c>
      <c r="K210" s="42">
        <v>0</v>
      </c>
      <c r="M210" s="42">
        <v>0</v>
      </c>
      <c r="O210" s="42">
        <f t="shared" si="38"/>
        <v>0</v>
      </c>
      <c r="Q210" s="42">
        <v>0</v>
      </c>
      <c r="S210" s="42">
        <v>0</v>
      </c>
      <c r="U210" s="42">
        <v>0</v>
      </c>
      <c r="W210" s="42">
        <v>0</v>
      </c>
      <c r="Y210" s="42">
        <v>0</v>
      </c>
      <c r="AA210" s="42">
        <f t="shared" si="32"/>
        <v>0</v>
      </c>
      <c r="AC210" s="42">
        <v>0</v>
      </c>
      <c r="AE210" s="42">
        <v>0</v>
      </c>
      <c r="AF210" s="42">
        <f t="shared" si="33"/>
        <v>0</v>
      </c>
      <c r="AH210" s="42">
        <f t="shared" si="40"/>
        <v>0</v>
      </c>
    </row>
    <row r="211" spans="1:34">
      <c r="A211" s="8" t="s">
        <v>639</v>
      </c>
      <c r="B211" s="8"/>
      <c r="C211" s="8" t="s">
        <v>79</v>
      </c>
      <c r="D211" s="8"/>
      <c r="E211" s="23">
        <v>44016</v>
      </c>
      <c r="G211" s="42">
        <f t="shared" si="39"/>
        <v>38435879</v>
      </c>
      <c r="I211" s="42">
        <v>32102087</v>
      </c>
      <c r="K211" s="42">
        <v>0</v>
      </c>
      <c r="M211" s="42">
        <v>70537966</v>
      </c>
      <c r="O211" s="42">
        <f t="shared" si="38"/>
        <v>6094466</v>
      </c>
      <c r="Q211" s="42">
        <v>1077543</v>
      </c>
      <c r="S211" s="42">
        <v>20570112</v>
      </c>
      <c r="U211" s="42">
        <v>10505663</v>
      </c>
      <c r="W211" s="42">
        <f>27742121+10505663</f>
        <v>38247784</v>
      </c>
      <c r="Y211" s="42">
        <v>17232473</v>
      </c>
      <c r="AA211" s="42">
        <f t="shared" si="32"/>
        <v>5930424</v>
      </c>
      <c r="AC211" s="42">
        <v>9127285</v>
      </c>
      <c r="AE211" s="42">
        <v>32290182</v>
      </c>
      <c r="AF211" s="42">
        <f t="shared" si="33"/>
        <v>0</v>
      </c>
      <c r="AH211" s="42">
        <f t="shared" si="40"/>
        <v>0</v>
      </c>
    </row>
    <row r="212" spans="1:34">
      <c r="A212" s="8" t="s">
        <v>544</v>
      </c>
      <c r="B212" s="8"/>
      <c r="C212" s="8" t="s">
        <v>70</v>
      </c>
      <c r="D212" s="8"/>
      <c r="E212" s="23">
        <v>50492</v>
      </c>
      <c r="G212" s="42">
        <f t="shared" si="39"/>
        <v>3892097</v>
      </c>
      <c r="I212" s="42">
        <v>17439472</v>
      </c>
      <c r="K212" s="42">
        <v>15532</v>
      </c>
      <c r="M212" s="42">
        <f>21331569+15532</f>
        <v>21347101</v>
      </c>
      <c r="O212" s="42">
        <f t="shared" si="38"/>
        <v>786868</v>
      </c>
      <c r="Q212" s="42">
        <v>198307</v>
      </c>
      <c r="S212" s="42">
        <v>2434440</v>
      </c>
      <c r="U212" s="42">
        <v>1335768</v>
      </c>
      <c r="W212" s="42">
        <f>3419615+1335768</f>
        <v>4755383</v>
      </c>
      <c r="Y212" s="42">
        <v>15838927</v>
      </c>
      <c r="AA212" s="42">
        <f t="shared" si="32"/>
        <v>1287086</v>
      </c>
      <c r="AC212" s="42">
        <v>-534295</v>
      </c>
      <c r="AE212" s="42">
        <v>16591718</v>
      </c>
      <c r="AF212" s="42">
        <f t="shared" si="33"/>
        <v>0</v>
      </c>
      <c r="AH212" s="42">
        <f t="shared" si="40"/>
        <v>0</v>
      </c>
    </row>
    <row r="213" spans="1:34">
      <c r="A213" s="8" t="s">
        <v>636</v>
      </c>
      <c r="B213" s="8"/>
      <c r="C213" s="8" t="s">
        <v>27</v>
      </c>
      <c r="D213" s="8"/>
      <c r="E213" s="23">
        <v>46961</v>
      </c>
      <c r="G213" s="42">
        <f t="shared" si="39"/>
        <v>110464496</v>
      </c>
      <c r="I213" s="42">
        <v>46112481</v>
      </c>
      <c r="K213" s="42">
        <v>0</v>
      </c>
      <c r="M213" s="42">
        <v>156576977</v>
      </c>
      <c r="O213" s="42">
        <f t="shared" si="38"/>
        <v>13012565</v>
      </c>
      <c r="Q213" s="42">
        <v>4804340</v>
      </c>
      <c r="S213" s="42">
        <v>37916607</v>
      </c>
      <c r="U213" s="42">
        <v>62982054</v>
      </c>
      <c r="W213" s="42">
        <v>118715566</v>
      </c>
      <c r="Y213" s="42">
        <v>14167883</v>
      </c>
      <c r="AA213" s="42">
        <f t="shared" si="32"/>
        <v>6495047</v>
      </c>
      <c r="AC213" s="42">
        <v>17198481</v>
      </c>
      <c r="AE213" s="42">
        <v>37861411</v>
      </c>
      <c r="AF213" s="42">
        <f t="shared" si="33"/>
        <v>0</v>
      </c>
      <c r="AH213" s="42">
        <f t="shared" si="40"/>
        <v>0</v>
      </c>
    </row>
    <row r="214" spans="1:34">
      <c r="A214" s="8" t="s">
        <v>257</v>
      </c>
      <c r="B214" s="8"/>
      <c r="C214" s="8" t="s">
        <v>110</v>
      </c>
      <c r="D214" s="8"/>
      <c r="E214" s="23">
        <v>44024</v>
      </c>
      <c r="G214" s="42">
        <f t="shared" si="39"/>
        <v>10764114</v>
      </c>
      <c r="I214" s="42">
        <v>53372439</v>
      </c>
      <c r="K214" s="42">
        <v>214617</v>
      </c>
      <c r="M214" s="42">
        <v>64351170</v>
      </c>
      <c r="O214" s="42">
        <f t="shared" si="38"/>
        <v>2115043</v>
      </c>
      <c r="Q214" s="42">
        <v>698760</v>
      </c>
      <c r="S214" s="42">
        <v>18089540</v>
      </c>
      <c r="U214" s="42">
        <v>3861174</v>
      </c>
      <c r="W214" s="42">
        <v>24764517</v>
      </c>
      <c r="Y214" s="42">
        <v>36101470</v>
      </c>
      <c r="AA214" s="42">
        <f t="shared" si="32"/>
        <v>2691593</v>
      </c>
      <c r="AC214" s="42">
        <v>793590</v>
      </c>
      <c r="AE214" s="42">
        <v>39586653</v>
      </c>
      <c r="AF214" s="42">
        <f t="shared" si="33"/>
        <v>0</v>
      </c>
      <c r="AH214" s="42">
        <f t="shared" si="40"/>
        <v>0</v>
      </c>
    </row>
    <row r="215" spans="1:34">
      <c r="A215" s="8" t="s">
        <v>637</v>
      </c>
      <c r="B215" s="8"/>
      <c r="C215" s="8" t="s">
        <v>29</v>
      </c>
      <c r="D215" s="8"/>
      <c r="E215" s="23">
        <v>65680</v>
      </c>
      <c r="G215" s="42">
        <f t="shared" si="39"/>
        <v>31181820</v>
      </c>
      <c r="I215" s="42">
        <v>56268629</v>
      </c>
      <c r="K215" s="42">
        <v>0</v>
      </c>
      <c r="M215" s="42">
        <v>87450449</v>
      </c>
      <c r="O215" s="42">
        <f t="shared" si="38"/>
        <v>2640572</v>
      </c>
      <c r="Q215" s="42">
        <v>1318074</v>
      </c>
      <c r="S215" s="42">
        <v>41870765</v>
      </c>
      <c r="U215" s="42">
        <v>12640512</v>
      </c>
      <c r="W215" s="42">
        <v>58469923</v>
      </c>
      <c r="Y215" s="42">
        <v>15095715</v>
      </c>
      <c r="AA215" s="42">
        <f t="shared" si="32"/>
        <v>10410985</v>
      </c>
      <c r="AC215" s="42">
        <v>3473826</v>
      </c>
      <c r="AE215" s="42">
        <v>28980526</v>
      </c>
      <c r="AF215" s="42">
        <f t="shared" si="33"/>
        <v>0</v>
      </c>
      <c r="AH215" s="42">
        <f t="shared" si="40"/>
        <v>0</v>
      </c>
    </row>
    <row r="216" spans="1:34">
      <c r="A216" s="8" t="s">
        <v>311</v>
      </c>
      <c r="B216" s="8"/>
      <c r="C216" s="8" t="s">
        <v>29</v>
      </c>
      <c r="D216" s="8"/>
      <c r="E216" s="23">
        <v>44032</v>
      </c>
      <c r="G216" s="42">
        <f t="shared" si="39"/>
        <v>13752097</v>
      </c>
      <c r="I216" s="42">
        <v>69930417</v>
      </c>
      <c r="K216" s="42">
        <v>2317865</v>
      </c>
      <c r="M216" s="42">
        <v>86000379</v>
      </c>
      <c r="O216" s="42">
        <f t="shared" si="38"/>
        <v>1970993</v>
      </c>
      <c r="Q216" s="42">
        <v>1169031</v>
      </c>
      <c r="S216" s="42">
        <v>24587559</v>
      </c>
      <c r="U216" s="42">
        <v>6983147</v>
      </c>
      <c r="W216" s="42">
        <v>34710730</v>
      </c>
      <c r="Y216" s="42">
        <v>47918744</v>
      </c>
      <c r="AA216" s="42">
        <f t="shared" si="32"/>
        <v>4131425</v>
      </c>
      <c r="AC216" s="42">
        <v>-760520</v>
      </c>
      <c r="AE216" s="42">
        <v>51289649</v>
      </c>
      <c r="AF216" s="42">
        <f t="shared" si="33"/>
        <v>0</v>
      </c>
      <c r="AH216" s="42">
        <f t="shared" si="40"/>
        <v>0</v>
      </c>
    </row>
    <row r="217" spans="1:34">
      <c r="A217" s="8" t="s">
        <v>531</v>
      </c>
      <c r="B217" s="8"/>
      <c r="C217" s="8" t="s">
        <v>65</v>
      </c>
      <c r="D217" s="8"/>
      <c r="E217" s="23">
        <v>50278</v>
      </c>
      <c r="F217" s="24"/>
      <c r="G217" s="42">
        <f t="shared" si="39"/>
        <v>11102192</v>
      </c>
      <c r="I217" s="42">
        <v>2949736</v>
      </c>
      <c r="K217" s="42">
        <v>6037</v>
      </c>
      <c r="M217" s="42">
        <v>14057965</v>
      </c>
      <c r="O217" s="42">
        <f t="shared" si="38"/>
        <v>1874093</v>
      </c>
      <c r="Q217" s="42">
        <v>447571</v>
      </c>
      <c r="S217" s="42">
        <v>990813</v>
      </c>
      <c r="U217" s="42">
        <v>5011546</v>
      </c>
      <c r="W217" s="42">
        <v>8324023</v>
      </c>
      <c r="Y217" s="42">
        <v>2545000</v>
      </c>
      <c r="AA217" s="42">
        <f t="shared" si="32"/>
        <v>694568</v>
      </c>
      <c r="AC217" s="42">
        <v>2494374</v>
      </c>
      <c r="AE217" s="42">
        <v>5733942</v>
      </c>
      <c r="AF217" s="42">
        <f t="shared" si="33"/>
        <v>0</v>
      </c>
      <c r="AH217" s="42">
        <f t="shared" si="40"/>
        <v>0</v>
      </c>
    </row>
    <row r="218" spans="1:34">
      <c r="A218" s="8" t="s">
        <v>673</v>
      </c>
      <c r="B218" s="8"/>
      <c r="C218" s="8" t="s">
        <v>20</v>
      </c>
      <c r="D218" s="8"/>
      <c r="E218" s="23">
        <v>44040</v>
      </c>
      <c r="G218" s="42">
        <f t="shared" si="39"/>
        <v>33353067</v>
      </c>
      <c r="I218" s="42">
        <v>60338311</v>
      </c>
      <c r="K218" s="42">
        <v>1691481</v>
      </c>
      <c r="M218" s="42">
        <v>95382859</v>
      </c>
      <c r="O218" s="42">
        <f t="shared" si="38"/>
        <v>5751548</v>
      </c>
      <c r="Q218" s="42">
        <v>2489539</v>
      </c>
      <c r="S218" s="42">
        <v>50579051</v>
      </c>
      <c r="U218" s="42">
        <v>15671672</v>
      </c>
      <c r="W218" s="42">
        <v>74491810</v>
      </c>
      <c r="Y218" s="42">
        <v>16200647</v>
      </c>
      <c r="AA218" s="42">
        <f t="shared" si="32"/>
        <v>6889232</v>
      </c>
      <c r="AC218" s="42">
        <v>-2198830</v>
      </c>
      <c r="AE218" s="42">
        <v>20891049</v>
      </c>
      <c r="AF218" s="42">
        <f t="shared" si="33"/>
        <v>0</v>
      </c>
      <c r="AH218" s="42">
        <f t="shared" si="40"/>
        <v>0</v>
      </c>
    </row>
    <row r="219" spans="1:34">
      <c r="A219" s="8" t="s">
        <v>638</v>
      </c>
      <c r="B219" s="8"/>
      <c r="C219" s="8" t="s">
        <v>12</v>
      </c>
      <c r="D219" s="8"/>
      <c r="E219" s="23">
        <v>44057</v>
      </c>
      <c r="F219" s="7"/>
      <c r="G219" s="42">
        <f t="shared" si="39"/>
        <v>21126823</v>
      </c>
      <c r="I219" s="42">
        <v>70098819</v>
      </c>
      <c r="K219" s="42">
        <v>0</v>
      </c>
      <c r="M219" s="42">
        <v>91225642</v>
      </c>
      <c r="O219" s="42">
        <f t="shared" si="38"/>
        <v>2678729</v>
      </c>
      <c r="Q219" s="42">
        <v>1130959</v>
      </c>
      <c r="S219" s="42">
        <f>18972544-1130959</f>
        <v>17841585</v>
      </c>
      <c r="U219" s="42">
        <v>6533773</v>
      </c>
      <c r="W219" s="42">
        <f>21651273+6533773</f>
        <v>28185046</v>
      </c>
      <c r="Y219" s="42">
        <v>53923829</v>
      </c>
      <c r="AA219" s="42">
        <f t="shared" si="32"/>
        <v>7779232</v>
      </c>
      <c r="AC219" s="42">
        <v>1337535</v>
      </c>
      <c r="AE219" s="42">
        <v>63040596</v>
      </c>
      <c r="AF219" s="42">
        <f t="shared" si="33"/>
        <v>0</v>
      </c>
      <c r="AH219" s="42">
        <f t="shared" si="40"/>
        <v>0</v>
      </c>
    </row>
    <row r="220" spans="1:34" hidden="1">
      <c r="A220" s="8" t="s">
        <v>826</v>
      </c>
      <c r="B220" s="8"/>
      <c r="C220" s="8" t="s">
        <v>53</v>
      </c>
      <c r="D220" s="8"/>
      <c r="E220" s="23">
        <v>48942</v>
      </c>
      <c r="G220" s="42">
        <f t="shared" si="39"/>
        <v>0</v>
      </c>
      <c r="I220" s="42">
        <v>0</v>
      </c>
      <c r="K220" s="42">
        <v>0</v>
      </c>
      <c r="M220" s="42">
        <v>0</v>
      </c>
      <c r="O220" s="42">
        <f t="shared" si="38"/>
        <v>0</v>
      </c>
      <c r="Q220" s="42">
        <v>0</v>
      </c>
      <c r="S220" s="42">
        <v>0</v>
      </c>
      <c r="U220" s="42">
        <v>0</v>
      </c>
      <c r="W220" s="42">
        <v>0</v>
      </c>
      <c r="Y220" s="42">
        <v>0</v>
      </c>
      <c r="AA220" s="42">
        <f>AE220-AC220-Y220</f>
        <v>0</v>
      </c>
      <c r="AC220" s="42">
        <v>0</v>
      </c>
      <c r="AE220" s="42">
        <v>0</v>
      </c>
      <c r="AF220" s="42">
        <f>+M220-W220-AE220</f>
        <v>0</v>
      </c>
      <c r="AH220" s="42">
        <f t="shared" si="40"/>
        <v>0</v>
      </c>
    </row>
    <row r="221" spans="1:34" hidden="1">
      <c r="A221" s="8" t="s">
        <v>660</v>
      </c>
      <c r="B221" s="8"/>
      <c r="C221" s="8" t="s">
        <v>77</v>
      </c>
      <c r="D221" s="8"/>
      <c r="E221" s="23">
        <v>45377</v>
      </c>
      <c r="G221" s="42">
        <f t="shared" si="39"/>
        <v>0</v>
      </c>
      <c r="I221" s="42">
        <v>0</v>
      </c>
      <c r="K221" s="42">
        <v>0</v>
      </c>
      <c r="M221" s="42">
        <v>0</v>
      </c>
      <c r="O221" s="42">
        <f t="shared" si="38"/>
        <v>0</v>
      </c>
      <c r="Q221" s="42">
        <v>0</v>
      </c>
      <c r="S221" s="42">
        <v>0</v>
      </c>
      <c r="U221" s="42">
        <v>0</v>
      </c>
      <c r="W221" s="42">
        <v>0</v>
      </c>
      <c r="Y221" s="42">
        <v>0</v>
      </c>
      <c r="AA221" s="42">
        <f t="shared" si="32"/>
        <v>0</v>
      </c>
      <c r="AC221" s="42">
        <v>0</v>
      </c>
      <c r="AE221" s="42">
        <v>0</v>
      </c>
      <c r="AF221" s="42">
        <f t="shared" si="33"/>
        <v>0</v>
      </c>
      <c r="AH221" s="42">
        <f t="shared" si="40"/>
        <v>0</v>
      </c>
    </row>
    <row r="222" spans="1:34">
      <c r="A222" s="8" t="s">
        <v>742</v>
      </c>
      <c r="B222" s="8"/>
      <c r="C222" s="8" t="s">
        <v>79</v>
      </c>
      <c r="D222" s="8"/>
      <c r="E222" s="23">
        <v>45385</v>
      </c>
      <c r="G222" s="42">
        <f t="shared" si="39"/>
        <v>5219537</v>
      </c>
      <c r="I222" s="42">
        <v>20173492</v>
      </c>
      <c r="K222" s="42">
        <v>143099</v>
      </c>
      <c r="M222" s="42">
        <f>25393029+143099</f>
        <v>25536128</v>
      </c>
      <c r="O222" s="42">
        <f t="shared" si="38"/>
        <v>1091345</v>
      </c>
      <c r="Q222" s="42">
        <v>387027</v>
      </c>
      <c r="S222" s="42">
        <f>4270576-387027</f>
        <v>3883549</v>
      </c>
      <c r="U222" s="42">
        <v>2190509</v>
      </c>
      <c r="W222" s="42">
        <f>5361921+2190509</f>
        <v>7552430</v>
      </c>
      <c r="Y222" s="42">
        <v>16979919</v>
      </c>
      <c r="AA222" s="42">
        <f t="shared" si="32"/>
        <v>1130200</v>
      </c>
      <c r="AC222" s="42">
        <v>-126421</v>
      </c>
      <c r="AE222" s="42">
        <v>17983698</v>
      </c>
      <c r="AF222" s="42">
        <f t="shared" si="33"/>
        <v>0</v>
      </c>
      <c r="AH222" s="42">
        <f t="shared" si="40"/>
        <v>0</v>
      </c>
    </row>
    <row r="223" spans="1:34">
      <c r="A223" s="8" t="s">
        <v>517</v>
      </c>
      <c r="B223" s="8"/>
      <c r="C223" s="8" t="s">
        <v>64</v>
      </c>
      <c r="D223" s="8"/>
      <c r="E223" s="23">
        <v>44065</v>
      </c>
      <c r="G223" s="42">
        <f t="shared" si="39"/>
        <v>16916602</v>
      </c>
      <c r="I223" s="42">
        <v>33067596</v>
      </c>
      <c r="K223" s="42">
        <v>108484</v>
      </c>
      <c r="M223" s="42">
        <f>49984198+108484</f>
        <v>50092682</v>
      </c>
      <c r="O223" s="42">
        <f t="shared" si="38"/>
        <v>1719237</v>
      </c>
      <c r="Q223" s="42">
        <v>828264</v>
      </c>
      <c r="S223" s="42">
        <f>12204059-828264</f>
        <v>11375795</v>
      </c>
      <c r="U223" s="42">
        <v>5631038</v>
      </c>
      <c r="W223" s="42">
        <f>13923296+5631038</f>
        <v>19554334</v>
      </c>
      <c r="Y223" s="42">
        <v>23455256</v>
      </c>
      <c r="AA223" s="42">
        <f t="shared" si="32"/>
        <v>2803623</v>
      </c>
      <c r="AC223" s="42">
        <v>4279469</v>
      </c>
      <c r="AE223" s="42">
        <v>30538348</v>
      </c>
      <c r="AF223" s="42">
        <f t="shared" si="33"/>
        <v>0</v>
      </c>
      <c r="AH223" s="42">
        <f t="shared" si="40"/>
        <v>0</v>
      </c>
    </row>
    <row r="224" spans="1:34" hidden="1">
      <c r="A224" s="9" t="s">
        <v>784</v>
      </c>
      <c r="B224" s="8"/>
      <c r="C224" s="8" t="s">
        <v>28</v>
      </c>
      <c r="D224" s="8"/>
      <c r="E224" s="23">
        <v>47068</v>
      </c>
      <c r="G224" s="42">
        <f t="shared" si="39"/>
        <v>0</v>
      </c>
      <c r="I224" s="42">
        <v>0</v>
      </c>
      <c r="K224" s="42">
        <v>0</v>
      </c>
      <c r="M224" s="42">
        <v>0</v>
      </c>
      <c r="O224" s="42">
        <f t="shared" si="38"/>
        <v>0</v>
      </c>
      <c r="Q224" s="42">
        <v>0</v>
      </c>
      <c r="S224" s="42">
        <v>0</v>
      </c>
      <c r="U224" s="42">
        <v>0</v>
      </c>
      <c r="W224" s="42">
        <v>0</v>
      </c>
      <c r="Y224" s="42">
        <v>0</v>
      </c>
      <c r="AA224" s="42">
        <f>AE224-AC224-Y224</f>
        <v>0</v>
      </c>
      <c r="AC224" s="42">
        <v>0</v>
      </c>
      <c r="AE224" s="42">
        <v>0</v>
      </c>
      <c r="AF224" s="42">
        <f>+M224-W224-AE224</f>
        <v>0</v>
      </c>
      <c r="AH224" s="42">
        <f t="shared" si="40"/>
        <v>0</v>
      </c>
    </row>
    <row r="225" spans="1:34">
      <c r="A225" s="8" t="s">
        <v>238</v>
      </c>
      <c r="B225" s="8"/>
      <c r="C225" s="8" t="s">
        <v>112</v>
      </c>
      <c r="D225" s="8"/>
      <c r="E225" s="23">
        <v>46342</v>
      </c>
      <c r="G225" s="42">
        <f t="shared" si="39"/>
        <v>13536176</v>
      </c>
      <c r="I225" s="42">
        <f>855205+30383999</f>
        <v>31239204</v>
      </c>
      <c r="K225" s="42">
        <v>230003</v>
      </c>
      <c r="M225" s="42">
        <f>230003+44775380</f>
        <v>45005383</v>
      </c>
      <c r="O225" s="42">
        <f t="shared" si="38"/>
        <v>3077264</v>
      </c>
      <c r="Q225" s="42">
        <v>673121</v>
      </c>
      <c r="S225" s="42">
        <f>10291988-673121</f>
        <v>9618867</v>
      </c>
      <c r="U225" s="42">
        <v>3829046</v>
      </c>
      <c r="W225" s="42">
        <f>13369252+3829046</f>
        <v>17198298</v>
      </c>
      <c r="Y225" s="42">
        <v>23435147</v>
      </c>
      <c r="AA225" s="42">
        <f>AE225-AC225-Y225</f>
        <v>3011024</v>
      </c>
      <c r="AC225" s="42">
        <v>1360914</v>
      </c>
      <c r="AE225" s="42">
        <v>27807085</v>
      </c>
      <c r="AF225" s="42">
        <f t="shared" si="33"/>
        <v>0</v>
      </c>
      <c r="AH225" s="42">
        <f t="shared" si="40"/>
        <v>0</v>
      </c>
    </row>
    <row r="226" spans="1:34" hidden="1">
      <c r="A226" s="9" t="s">
        <v>785</v>
      </c>
      <c r="B226" s="8"/>
      <c r="C226" s="8" t="s">
        <v>227</v>
      </c>
      <c r="D226" s="8"/>
      <c r="E226" s="23">
        <v>46193</v>
      </c>
      <c r="G226" s="42">
        <f t="shared" si="39"/>
        <v>0</v>
      </c>
      <c r="I226" s="42">
        <v>0</v>
      </c>
      <c r="K226" s="42">
        <v>0</v>
      </c>
      <c r="M226" s="42">
        <v>0</v>
      </c>
      <c r="O226" s="42">
        <f t="shared" si="38"/>
        <v>0</v>
      </c>
      <c r="Q226" s="42">
        <v>0</v>
      </c>
      <c r="S226" s="42">
        <v>0</v>
      </c>
      <c r="U226" s="42">
        <v>0</v>
      </c>
      <c r="W226" s="42">
        <v>0</v>
      </c>
      <c r="Y226" s="42">
        <v>0</v>
      </c>
      <c r="AA226" s="42">
        <f t="shared" si="32"/>
        <v>0</v>
      </c>
      <c r="AC226" s="42">
        <v>0</v>
      </c>
      <c r="AE226" s="42">
        <v>0</v>
      </c>
      <c r="AF226" s="42">
        <f t="shared" si="33"/>
        <v>0</v>
      </c>
      <c r="AH226" s="42">
        <f t="shared" si="40"/>
        <v>0</v>
      </c>
    </row>
    <row r="227" spans="1:34">
      <c r="A227" s="8" t="s">
        <v>207</v>
      </c>
      <c r="B227" s="8"/>
      <c r="C227" s="8" t="s">
        <v>12</v>
      </c>
      <c r="D227" s="8"/>
      <c r="E227" s="23">
        <v>45864</v>
      </c>
      <c r="G227" s="42">
        <f t="shared" si="39"/>
        <v>14951086</v>
      </c>
      <c r="I227" s="42">
        <f>845993+25657903</f>
        <v>26503896</v>
      </c>
      <c r="K227" s="42">
        <v>603828</v>
      </c>
      <c r="M227" s="42">
        <f>41454982+603828</f>
        <v>42058810</v>
      </c>
      <c r="O227" s="42">
        <f t="shared" si="38"/>
        <v>1442732</v>
      </c>
      <c r="Q227" s="42">
        <v>805529</v>
      </c>
      <c r="S227" s="42">
        <f>10980014-805529</f>
        <v>10174485</v>
      </c>
      <c r="U227" s="42">
        <v>3831630</v>
      </c>
      <c r="W227" s="42">
        <f>12422746+3831630</f>
        <v>16254376</v>
      </c>
      <c r="Y227" s="42">
        <v>16927441</v>
      </c>
      <c r="AA227" s="42">
        <f t="shared" si="32"/>
        <v>8291716</v>
      </c>
      <c r="AC227" s="42">
        <v>585277</v>
      </c>
      <c r="AE227" s="42">
        <v>25804434</v>
      </c>
      <c r="AF227" s="42">
        <f t="shared" si="33"/>
        <v>0</v>
      </c>
      <c r="AH227" s="42">
        <f t="shared" si="40"/>
        <v>0</v>
      </c>
    </row>
    <row r="228" spans="1:34">
      <c r="A228" s="8" t="s">
        <v>301</v>
      </c>
      <c r="B228" s="8"/>
      <c r="C228" s="8" t="s">
        <v>27</v>
      </c>
      <c r="D228" s="8"/>
      <c r="E228" s="23">
        <v>44073</v>
      </c>
      <c r="G228" s="42">
        <f t="shared" si="39"/>
        <v>20721587</v>
      </c>
      <c r="I228" s="42">
        <v>12147057</v>
      </c>
      <c r="K228" s="42">
        <v>0</v>
      </c>
      <c r="M228" s="42">
        <v>32868644</v>
      </c>
      <c r="O228" s="42">
        <f t="shared" si="38"/>
        <v>2109203</v>
      </c>
      <c r="Q228" s="42">
        <v>545273</v>
      </c>
      <c r="S228" s="42">
        <f>5356723-545273</f>
        <v>4811450</v>
      </c>
      <c r="U228" s="42">
        <v>8687068</v>
      </c>
      <c r="W228" s="42">
        <f>7465926+8687068</f>
        <v>16152994</v>
      </c>
      <c r="Y228" s="42">
        <v>7882680</v>
      </c>
      <c r="AA228" s="42">
        <f t="shared" si="32"/>
        <v>1662266</v>
      </c>
      <c r="AC228" s="42">
        <v>7170704</v>
      </c>
      <c r="AE228" s="42">
        <v>16715650</v>
      </c>
      <c r="AF228" s="42">
        <f t="shared" ref="AF228:AF297" si="41">+M228-W228-AE228</f>
        <v>0</v>
      </c>
      <c r="AH228" s="42">
        <f t="shared" si="40"/>
        <v>0</v>
      </c>
    </row>
    <row r="229" spans="1:34">
      <c r="A229" s="8" t="s">
        <v>661</v>
      </c>
      <c r="B229" s="8"/>
      <c r="C229" s="8" t="s">
        <v>42</v>
      </c>
      <c r="D229" s="8"/>
      <c r="E229" s="23">
        <v>45393</v>
      </c>
      <c r="G229" s="42">
        <f t="shared" si="39"/>
        <v>23297551</v>
      </c>
      <c r="I229" s="42">
        <f>1465969+32163989</f>
        <v>33629958</v>
      </c>
      <c r="K229" s="42">
        <v>684562</v>
      </c>
      <c r="M229" s="42">
        <f>56927509+684562</f>
        <v>57612071</v>
      </c>
      <c r="O229" s="42">
        <f t="shared" si="38"/>
        <v>2976339</v>
      </c>
      <c r="Q229" s="42">
        <v>1076437</v>
      </c>
      <c r="S229" s="42">
        <f>34578255-1076437</f>
        <v>33501818</v>
      </c>
      <c r="U229" s="42">
        <v>17170217</v>
      </c>
      <c r="W229" s="42">
        <f>37554594+17170217</f>
        <v>54724811</v>
      </c>
      <c r="Y229" s="42">
        <v>8620362</v>
      </c>
      <c r="AA229" s="42">
        <f t="shared" ref="AA229:AA233" si="42">AE229-AC229-Y229</f>
        <v>2822971</v>
      </c>
      <c r="AC229" s="42">
        <v>-8556073</v>
      </c>
      <c r="AE229" s="42">
        <v>2887260</v>
      </c>
      <c r="AF229" s="42">
        <f t="shared" si="41"/>
        <v>0</v>
      </c>
      <c r="AH229" s="42">
        <f t="shared" si="40"/>
        <v>0</v>
      </c>
    </row>
    <row r="230" spans="1:34">
      <c r="A230" s="8" t="s">
        <v>478</v>
      </c>
      <c r="B230" s="8"/>
      <c r="C230" s="8" t="s">
        <v>59</v>
      </c>
      <c r="D230" s="8"/>
      <c r="E230" s="23">
        <v>49619</v>
      </c>
      <c r="G230" s="42">
        <f t="shared" si="39"/>
        <v>3536750</v>
      </c>
      <c r="I230" s="42">
        <f>72079+1813928</f>
        <v>1886007</v>
      </c>
      <c r="K230" s="42">
        <v>0</v>
      </c>
      <c r="M230" s="42">
        <v>5422757</v>
      </c>
      <c r="O230" s="42">
        <f t="shared" si="38"/>
        <v>732325</v>
      </c>
      <c r="Q230" s="42">
        <v>140012</v>
      </c>
      <c r="S230" s="42">
        <v>309795</v>
      </c>
      <c r="U230" s="42">
        <v>1474492</v>
      </c>
      <c r="W230" s="42">
        <f>1182132+1474492</f>
        <v>2656624</v>
      </c>
      <c r="Y230" s="42">
        <v>1688066</v>
      </c>
      <c r="AA230" s="42">
        <f t="shared" si="42"/>
        <v>174562</v>
      </c>
      <c r="AC230" s="42">
        <v>903505</v>
      </c>
      <c r="AE230" s="42">
        <v>2766133</v>
      </c>
      <c r="AF230" s="42">
        <f t="shared" si="41"/>
        <v>0</v>
      </c>
      <c r="AH230" s="42">
        <f t="shared" si="40"/>
        <v>0</v>
      </c>
    </row>
    <row r="231" spans="1:34">
      <c r="A231" s="8" t="s">
        <v>478</v>
      </c>
      <c r="B231" s="8"/>
      <c r="C231" s="8" t="s">
        <v>63</v>
      </c>
      <c r="D231" s="8"/>
      <c r="E231" s="23">
        <v>50013</v>
      </c>
      <c r="G231" s="42">
        <f t="shared" si="39"/>
        <v>29860919</v>
      </c>
      <c r="I231" s="42">
        <f>1031143+37256226</f>
        <v>38287369</v>
      </c>
      <c r="K231" s="42">
        <v>0</v>
      </c>
      <c r="M231" s="42">
        <v>68148288</v>
      </c>
      <c r="O231" s="42">
        <f t="shared" si="38"/>
        <v>32676028</v>
      </c>
      <c r="Q231" s="42">
        <v>2410459</v>
      </c>
      <c r="S231" s="42">
        <v>30398793</v>
      </c>
      <c r="U231" s="42">
        <v>0</v>
      </c>
      <c r="W231" s="42">
        <v>65485280</v>
      </c>
      <c r="Y231" s="42">
        <v>20684563</v>
      </c>
      <c r="AA231" s="42">
        <f t="shared" si="42"/>
        <v>1735522</v>
      </c>
      <c r="AC231" s="42">
        <v>-19757077</v>
      </c>
      <c r="AE231" s="42">
        <v>2663008</v>
      </c>
      <c r="AF231" s="42">
        <f t="shared" si="41"/>
        <v>0</v>
      </c>
      <c r="AH231" s="42">
        <f t="shared" si="40"/>
        <v>0</v>
      </c>
    </row>
    <row r="232" spans="1:34" hidden="1">
      <c r="A232" s="8" t="s">
        <v>845</v>
      </c>
      <c r="B232" s="8"/>
      <c r="C232" s="8" t="s">
        <v>71</v>
      </c>
      <c r="D232" s="8"/>
      <c r="E232" s="23">
        <v>50559</v>
      </c>
      <c r="G232" s="42">
        <f t="shared" si="39"/>
        <v>0</v>
      </c>
      <c r="I232" s="42">
        <v>0</v>
      </c>
      <c r="K232" s="42">
        <v>0</v>
      </c>
      <c r="M232" s="42">
        <v>0</v>
      </c>
      <c r="O232" s="42">
        <f t="shared" si="38"/>
        <v>0</v>
      </c>
      <c r="Q232" s="42">
        <v>0</v>
      </c>
      <c r="S232" s="42">
        <v>0</v>
      </c>
      <c r="U232" s="42">
        <v>0</v>
      </c>
      <c r="W232" s="42">
        <v>0</v>
      </c>
      <c r="Y232" s="42">
        <v>0</v>
      </c>
      <c r="AA232" s="42">
        <f t="shared" si="42"/>
        <v>0</v>
      </c>
      <c r="AC232" s="42">
        <v>0</v>
      </c>
      <c r="AE232" s="42">
        <v>0</v>
      </c>
      <c r="AF232" s="42">
        <f>+M232-W232-AE232</f>
        <v>0</v>
      </c>
      <c r="AH232" s="42">
        <f t="shared" si="40"/>
        <v>0</v>
      </c>
    </row>
    <row r="233" spans="1:34">
      <c r="A233" s="8" t="s">
        <v>316</v>
      </c>
      <c r="B233" s="8"/>
      <c r="C233" s="8" t="s">
        <v>113</v>
      </c>
      <c r="D233" s="8"/>
      <c r="E233" s="23">
        <v>47266</v>
      </c>
      <c r="G233" s="42">
        <f t="shared" si="39"/>
        <v>13476525</v>
      </c>
      <c r="I233" s="42">
        <f>544748+26924003</f>
        <v>27468751</v>
      </c>
      <c r="K233" s="42">
        <v>60911</v>
      </c>
      <c r="M233" s="42">
        <f>40945276+60911</f>
        <v>41006187</v>
      </c>
      <c r="O233" s="42">
        <f t="shared" si="38"/>
        <v>1579401</v>
      </c>
      <c r="Q233" s="42">
        <v>438301</v>
      </c>
      <c r="S233" s="42">
        <v>6525665</v>
      </c>
      <c r="U233" s="42">
        <v>3667163</v>
      </c>
      <c r="W233" s="42">
        <f>8543367+3667163</f>
        <v>12210530</v>
      </c>
      <c r="Y233" s="42">
        <v>21215463</v>
      </c>
      <c r="AA233" s="42">
        <f t="shared" si="42"/>
        <v>907899</v>
      </c>
      <c r="AC233" s="42">
        <v>6672295</v>
      </c>
      <c r="AE233" s="42">
        <v>28795657</v>
      </c>
      <c r="AF233" s="42">
        <f t="shared" si="41"/>
        <v>0</v>
      </c>
      <c r="AH233" s="42">
        <f t="shared" si="40"/>
        <v>0</v>
      </c>
    </row>
    <row r="234" spans="1:34">
      <c r="A234" s="9" t="s">
        <v>754</v>
      </c>
      <c r="B234" s="9"/>
      <c r="C234" s="9" t="s">
        <v>346</v>
      </c>
      <c r="D234" s="9"/>
      <c r="E234" s="23">
        <v>45401</v>
      </c>
      <c r="G234" s="42">
        <f t="shared" si="39"/>
        <v>20028946</v>
      </c>
      <c r="I234" s="42">
        <f>21789106+42231</f>
        <v>21831337</v>
      </c>
      <c r="K234" s="42">
        <v>14119</v>
      </c>
      <c r="M234" s="42">
        <f>41860283+14119</f>
        <v>41874402</v>
      </c>
      <c r="O234" s="42">
        <f t="shared" si="38"/>
        <v>1928978</v>
      </c>
      <c r="Q234" s="42">
        <v>390457</v>
      </c>
      <c r="S234" s="42">
        <v>2696827</v>
      </c>
      <c r="U234" s="42">
        <v>3194445</v>
      </c>
      <c r="W234" s="42">
        <f>5016259+3194448</f>
        <v>8210707</v>
      </c>
      <c r="Y234" s="42">
        <v>20014117</v>
      </c>
      <c r="AA234" s="42">
        <f t="shared" ref="AA234:AA302" si="43">AE234-AC234-Y234</f>
        <v>3764885</v>
      </c>
      <c r="AC234" s="42">
        <v>9884693</v>
      </c>
      <c r="AE234" s="42">
        <v>33663695</v>
      </c>
      <c r="AF234" s="42">
        <f t="shared" si="41"/>
        <v>0</v>
      </c>
      <c r="AH234" s="42">
        <f t="shared" si="40"/>
        <v>0</v>
      </c>
    </row>
    <row r="235" spans="1:34">
      <c r="A235" s="9" t="s">
        <v>230</v>
      </c>
      <c r="B235" s="9"/>
      <c r="C235" s="9" t="s">
        <v>17</v>
      </c>
      <c r="D235" s="9"/>
      <c r="E235" s="23">
        <v>46235</v>
      </c>
      <c r="G235" s="42">
        <f t="shared" si="39"/>
        <v>11313092</v>
      </c>
      <c r="I235" s="42">
        <v>6721839</v>
      </c>
      <c r="K235" s="42">
        <v>0</v>
      </c>
      <c r="M235" s="42">
        <v>18034931</v>
      </c>
      <c r="O235" s="42">
        <f t="shared" si="38"/>
        <v>1595192</v>
      </c>
      <c r="Q235" s="42">
        <v>233765</v>
      </c>
      <c r="S235" s="42">
        <v>808649</v>
      </c>
      <c r="U235" s="42">
        <v>6216611</v>
      </c>
      <c r="W235" s="42">
        <f>2637606+6216611</f>
        <v>8854217</v>
      </c>
      <c r="Y235" s="42">
        <v>6672112</v>
      </c>
      <c r="AA235" s="42">
        <f t="shared" si="43"/>
        <v>1333520</v>
      </c>
      <c r="AC235" s="42">
        <v>1175082</v>
      </c>
      <c r="AE235" s="42">
        <v>9180714</v>
      </c>
      <c r="AF235" s="42">
        <f t="shared" si="41"/>
        <v>0</v>
      </c>
      <c r="AH235" s="42">
        <f t="shared" si="40"/>
        <v>0</v>
      </c>
    </row>
    <row r="236" spans="1:34">
      <c r="A236" s="8" t="s">
        <v>280</v>
      </c>
      <c r="B236" s="8"/>
      <c r="C236" s="8" t="s">
        <v>21</v>
      </c>
      <c r="D236" s="8"/>
      <c r="E236" s="23">
        <v>44099</v>
      </c>
      <c r="G236" s="42">
        <f t="shared" si="39"/>
        <v>23518048</v>
      </c>
      <c r="I236" s="42">
        <f>1163162+7775312</f>
        <v>8938474</v>
      </c>
      <c r="K236" s="42">
        <v>0</v>
      </c>
      <c r="M236" s="42">
        <v>32456522</v>
      </c>
      <c r="O236" s="42">
        <f t="shared" si="38"/>
        <v>3208038</v>
      </c>
      <c r="Q236" s="42">
        <v>154642</v>
      </c>
      <c r="S236" s="42">
        <v>830486</v>
      </c>
      <c r="U236" s="42">
        <v>9048664</v>
      </c>
      <c r="W236" s="42">
        <f>4193166+9048664</f>
        <v>13241830</v>
      </c>
      <c r="Y236" s="42">
        <v>8938474</v>
      </c>
      <c r="AA236" s="42">
        <f t="shared" si="43"/>
        <v>3367676</v>
      </c>
      <c r="AC236" s="42">
        <v>6908542</v>
      </c>
      <c r="AE236" s="42">
        <v>19214692</v>
      </c>
      <c r="AF236" s="42">
        <f>+M236-W236-AE236</f>
        <v>0</v>
      </c>
      <c r="AH236" s="42">
        <f t="shared" si="40"/>
        <v>0</v>
      </c>
    </row>
    <row r="237" spans="1:34">
      <c r="A237" s="8" t="s">
        <v>302</v>
      </c>
      <c r="B237" s="8"/>
      <c r="C237" s="8" t="s">
        <v>27</v>
      </c>
      <c r="D237" s="8"/>
      <c r="E237" s="23">
        <v>46979</v>
      </c>
      <c r="G237" s="42">
        <f t="shared" si="39"/>
        <v>28024919</v>
      </c>
      <c r="I237" s="42">
        <f>1521786+17729567</f>
        <v>19251353</v>
      </c>
      <c r="K237" s="42">
        <v>0</v>
      </c>
      <c r="M237" s="42">
        <v>47276272</v>
      </c>
      <c r="O237" s="42">
        <f t="shared" si="38"/>
        <v>7813664</v>
      </c>
      <c r="Q237" s="42">
        <v>1299529</v>
      </c>
      <c r="S237" s="42">
        <v>10602960</v>
      </c>
      <c r="U237" s="42">
        <v>14977336</v>
      </c>
      <c r="W237" s="42">
        <f>19716153+14977336</f>
        <v>34693489</v>
      </c>
      <c r="Y237" s="42">
        <v>9610834</v>
      </c>
      <c r="AA237" s="42">
        <f t="shared" si="43"/>
        <v>3032975</v>
      </c>
      <c r="AC237" s="42">
        <v>-61026</v>
      </c>
      <c r="AE237" s="42">
        <v>12582783</v>
      </c>
      <c r="AF237" s="42">
        <f t="shared" si="41"/>
        <v>0</v>
      </c>
      <c r="AH237" s="42">
        <f t="shared" si="40"/>
        <v>0</v>
      </c>
    </row>
    <row r="238" spans="1:34" hidden="1">
      <c r="A238" s="8" t="s">
        <v>846</v>
      </c>
      <c r="B238" s="8"/>
      <c r="C238" s="8" t="s">
        <v>220</v>
      </c>
      <c r="D238" s="8"/>
      <c r="E238" s="23">
        <v>44107</v>
      </c>
      <c r="G238" s="42">
        <f t="shared" si="39"/>
        <v>0</v>
      </c>
      <c r="I238" s="42">
        <v>0</v>
      </c>
      <c r="K238" s="42">
        <v>0</v>
      </c>
      <c r="M238" s="42">
        <v>0</v>
      </c>
      <c r="O238" s="42">
        <f t="shared" si="38"/>
        <v>0</v>
      </c>
      <c r="Q238" s="42">
        <v>0</v>
      </c>
      <c r="S238" s="42">
        <v>0</v>
      </c>
      <c r="U238" s="42">
        <v>0</v>
      </c>
      <c r="W238" s="42">
        <v>0</v>
      </c>
      <c r="Y238" s="42">
        <v>0</v>
      </c>
      <c r="AA238" s="42">
        <f t="shared" si="43"/>
        <v>0</v>
      </c>
      <c r="AC238" s="42">
        <v>0</v>
      </c>
      <c r="AE238" s="42">
        <v>0</v>
      </c>
      <c r="AF238" s="42">
        <f t="shared" si="41"/>
        <v>0</v>
      </c>
      <c r="AH238" s="42">
        <f t="shared" si="40"/>
        <v>0</v>
      </c>
    </row>
    <row r="239" spans="1:34">
      <c r="A239" s="8" t="s">
        <v>796</v>
      </c>
      <c r="B239" s="8"/>
      <c r="C239" s="8" t="s">
        <v>27</v>
      </c>
      <c r="D239" s="8"/>
      <c r="E239" s="23">
        <v>46953</v>
      </c>
      <c r="F239" s="7"/>
      <c r="G239" s="42">
        <f t="shared" si="39"/>
        <v>22168569</v>
      </c>
      <c r="I239" s="42">
        <f>806378+67194391</f>
        <v>68000769</v>
      </c>
      <c r="K239" s="42">
        <v>1145575</v>
      </c>
      <c r="M239" s="42">
        <f>90169338+1145575</f>
        <v>91314913</v>
      </c>
      <c r="O239" s="42">
        <f t="shared" si="38"/>
        <v>2229225</v>
      </c>
      <c r="Q239" s="42">
        <v>1446839</v>
      </c>
      <c r="S239" s="42">
        <v>24469833</v>
      </c>
      <c r="U239" s="42">
        <v>3976596</v>
      </c>
      <c r="W239" s="42">
        <f>28145897+3976596</f>
        <v>32122493</v>
      </c>
      <c r="Y239" s="42">
        <v>45581436</v>
      </c>
      <c r="AA239" s="42">
        <f t="shared" si="43"/>
        <v>4488037</v>
      </c>
      <c r="AC239" s="42">
        <v>9122947</v>
      </c>
      <c r="AE239" s="42">
        <v>59192420</v>
      </c>
      <c r="AF239" s="42">
        <f t="shared" si="41"/>
        <v>0</v>
      </c>
      <c r="AH239" s="42">
        <f t="shared" si="40"/>
        <v>0</v>
      </c>
    </row>
    <row r="240" spans="1:34" hidden="1">
      <c r="A240" s="8" t="s">
        <v>338</v>
      </c>
      <c r="B240" s="8"/>
      <c r="C240" s="8" t="s">
        <v>337</v>
      </c>
      <c r="D240" s="8"/>
      <c r="E240" s="23">
        <v>47498</v>
      </c>
      <c r="G240" s="42">
        <f t="shared" si="39"/>
        <v>0</v>
      </c>
      <c r="I240" s="42">
        <v>0</v>
      </c>
      <c r="K240" s="42">
        <v>0</v>
      </c>
      <c r="M240" s="42">
        <v>0</v>
      </c>
      <c r="O240" s="42">
        <f t="shared" si="38"/>
        <v>0</v>
      </c>
      <c r="Q240" s="42">
        <v>0</v>
      </c>
      <c r="S240" s="42">
        <v>0</v>
      </c>
      <c r="U240" s="42">
        <v>0</v>
      </c>
      <c r="W240" s="42">
        <v>0</v>
      </c>
      <c r="Y240" s="42">
        <v>0</v>
      </c>
      <c r="AA240" s="42">
        <f t="shared" si="43"/>
        <v>0</v>
      </c>
      <c r="AC240" s="42">
        <v>0</v>
      </c>
      <c r="AE240" s="42">
        <v>0</v>
      </c>
      <c r="AF240" s="42">
        <f t="shared" si="41"/>
        <v>0</v>
      </c>
      <c r="AH240" s="42">
        <f t="shared" si="40"/>
        <v>0</v>
      </c>
    </row>
    <row r="241" spans="1:34">
      <c r="A241" s="8" t="s">
        <v>487</v>
      </c>
      <c r="B241" s="8"/>
      <c r="C241" s="8" t="s">
        <v>61</v>
      </c>
      <c r="D241" s="8"/>
      <c r="E241" s="23">
        <v>49791</v>
      </c>
      <c r="G241" s="42">
        <f t="shared" si="39"/>
        <v>6785356</v>
      </c>
      <c r="I241" s="42">
        <v>24263933</v>
      </c>
      <c r="K241" s="42">
        <v>0</v>
      </c>
      <c r="M241" s="42">
        <v>31049289</v>
      </c>
      <c r="O241" s="42">
        <f t="shared" si="38"/>
        <v>1006131</v>
      </c>
      <c r="Q241" s="42">
        <v>245000</v>
      </c>
      <c r="S241" s="42">
        <v>8870969</v>
      </c>
      <c r="U241" s="42">
        <v>2151630</v>
      </c>
      <c r="W241" s="42">
        <f>10122100+2151630</f>
        <v>12273730</v>
      </c>
      <c r="Y241" s="42">
        <v>15644184</v>
      </c>
      <c r="AA241" s="42">
        <f t="shared" si="43"/>
        <v>1606833</v>
      </c>
      <c r="AC241" s="42">
        <v>1524542</v>
      </c>
      <c r="AE241" s="42">
        <v>18775559</v>
      </c>
      <c r="AF241" s="42">
        <f t="shared" si="41"/>
        <v>0</v>
      </c>
      <c r="AH241" s="42">
        <f t="shared" si="40"/>
        <v>0</v>
      </c>
    </row>
    <row r="242" spans="1:34" hidden="1">
      <c r="A242" s="8" t="s">
        <v>847</v>
      </c>
      <c r="B242" s="8"/>
      <c r="C242" s="8" t="s">
        <v>341</v>
      </c>
      <c r="D242" s="8"/>
      <c r="E242" s="23">
        <v>45245</v>
      </c>
      <c r="G242" s="42">
        <f t="shared" si="39"/>
        <v>0</v>
      </c>
      <c r="I242" s="42">
        <v>0</v>
      </c>
      <c r="K242" s="42">
        <v>0</v>
      </c>
      <c r="M242" s="42">
        <v>0</v>
      </c>
      <c r="O242" s="42">
        <f t="shared" si="38"/>
        <v>0</v>
      </c>
      <c r="Q242" s="42">
        <v>0</v>
      </c>
      <c r="S242" s="42">
        <v>0</v>
      </c>
      <c r="U242" s="42">
        <v>0</v>
      </c>
      <c r="W242" s="42">
        <v>0</v>
      </c>
      <c r="Y242" s="42">
        <v>0</v>
      </c>
      <c r="AA242" s="42">
        <f t="shared" si="43"/>
        <v>0</v>
      </c>
      <c r="AC242" s="42">
        <v>0</v>
      </c>
      <c r="AE242" s="42">
        <v>0</v>
      </c>
      <c r="AF242" s="42">
        <f t="shared" si="41"/>
        <v>0</v>
      </c>
      <c r="AH242" s="42">
        <f t="shared" si="40"/>
        <v>0</v>
      </c>
    </row>
    <row r="243" spans="1:34">
      <c r="A243" s="8" t="s">
        <v>371</v>
      </c>
      <c r="B243" s="8"/>
      <c r="C243" s="8" t="s">
        <v>42</v>
      </c>
      <c r="D243" s="8"/>
      <c r="E243" s="23">
        <v>44115</v>
      </c>
      <c r="G243" s="42">
        <f t="shared" si="39"/>
        <v>12599896</v>
      </c>
      <c r="I243" s="42">
        <v>14145211</v>
      </c>
      <c r="K243" s="42">
        <v>117870</v>
      </c>
      <c r="M243" s="42">
        <f>26745107+117870</f>
        <v>26862977</v>
      </c>
      <c r="O243" s="42">
        <f t="shared" si="38"/>
        <v>1563687</v>
      </c>
      <c r="Q243" s="42">
        <v>1201949</v>
      </c>
      <c r="S243" s="42">
        <v>14569594</v>
      </c>
      <c r="U243" s="42">
        <v>8471866</v>
      </c>
      <c r="W243" s="42">
        <f>17335230+8471866</f>
        <v>25807096</v>
      </c>
      <c r="Y243" s="42">
        <v>1569237</v>
      </c>
      <c r="AA243" s="42">
        <f t="shared" si="43"/>
        <v>1830005</v>
      </c>
      <c r="AC243" s="42">
        <v>-2343361</v>
      </c>
      <c r="AE243" s="42">
        <v>1055881</v>
      </c>
      <c r="AF243" s="42">
        <f t="shared" si="41"/>
        <v>0</v>
      </c>
      <c r="AH243" s="42">
        <f t="shared" si="40"/>
        <v>0</v>
      </c>
    </row>
    <row r="244" spans="1:34" hidden="1">
      <c r="A244" s="8" t="s">
        <v>662</v>
      </c>
      <c r="B244" s="8"/>
      <c r="C244" s="8" t="s">
        <v>22</v>
      </c>
      <c r="D244" s="8"/>
      <c r="E244" s="23">
        <v>45419</v>
      </c>
      <c r="G244" s="42">
        <f t="shared" si="39"/>
        <v>0</v>
      </c>
      <c r="I244" s="42">
        <v>0</v>
      </c>
      <c r="K244" s="42">
        <v>0</v>
      </c>
      <c r="M244" s="42">
        <v>0</v>
      </c>
      <c r="O244" s="42">
        <f t="shared" si="38"/>
        <v>0</v>
      </c>
      <c r="Q244" s="42">
        <v>0</v>
      </c>
      <c r="S244" s="42">
        <v>0</v>
      </c>
      <c r="U244" s="42">
        <v>0</v>
      </c>
      <c r="W244" s="42">
        <v>0</v>
      </c>
      <c r="Y244" s="42">
        <v>0</v>
      </c>
      <c r="AA244" s="42">
        <f t="shared" si="43"/>
        <v>0</v>
      </c>
      <c r="AC244" s="42">
        <v>0</v>
      </c>
      <c r="AE244" s="42">
        <v>0</v>
      </c>
      <c r="AF244" s="42">
        <f t="shared" si="41"/>
        <v>0</v>
      </c>
      <c r="AH244" s="42">
        <f t="shared" si="40"/>
        <v>0</v>
      </c>
    </row>
    <row r="245" spans="1:34">
      <c r="A245" s="8" t="s">
        <v>414</v>
      </c>
      <c r="B245" s="8"/>
      <c r="C245" s="8" t="s">
        <v>47</v>
      </c>
      <c r="D245" s="8"/>
      <c r="E245" s="23">
        <v>48496</v>
      </c>
      <c r="G245" s="42">
        <f t="shared" si="39"/>
        <v>40406211</v>
      </c>
      <c r="I245" s="42">
        <f>1299013+36558913</f>
        <v>37857926</v>
      </c>
      <c r="K245" s="42">
        <v>0</v>
      </c>
      <c r="M245" s="42">
        <v>78264137</v>
      </c>
      <c r="O245" s="42">
        <f t="shared" si="38"/>
        <v>3678853</v>
      </c>
      <c r="Q245" s="42">
        <v>1677982</v>
      </c>
      <c r="S245" s="42">
        <v>29615605</v>
      </c>
      <c r="U245" s="42">
        <v>20110932</v>
      </c>
      <c r="W245" s="42">
        <f>34972440+20110932</f>
        <v>55083372</v>
      </c>
      <c r="Y245" s="42">
        <v>10511519</v>
      </c>
      <c r="AA245" s="42">
        <f t="shared" si="43"/>
        <v>6984001</v>
      </c>
      <c r="AC245" s="42">
        <v>5685245</v>
      </c>
      <c r="AE245" s="42">
        <v>23180765</v>
      </c>
      <c r="AF245" s="42">
        <f>+M245-W245-AE245</f>
        <v>0</v>
      </c>
      <c r="AH245" s="42">
        <f t="shared" si="40"/>
        <v>0</v>
      </c>
    </row>
    <row r="246" spans="1:34">
      <c r="A246" s="8" t="s">
        <v>414</v>
      </c>
      <c r="B246" s="8"/>
      <c r="C246" s="8" t="s">
        <v>78</v>
      </c>
      <c r="D246" s="8"/>
      <c r="E246" s="23">
        <v>48801</v>
      </c>
      <c r="G246" s="42">
        <f t="shared" si="39"/>
        <v>15062475</v>
      </c>
      <c r="I246" s="42">
        <f>1417954+56715872</f>
        <v>58133826</v>
      </c>
      <c r="K246" s="42">
        <v>0</v>
      </c>
      <c r="M246" s="42">
        <v>73196301</v>
      </c>
      <c r="O246" s="42">
        <f t="shared" si="38"/>
        <v>2192385</v>
      </c>
      <c r="Q246" s="42">
        <v>237352</v>
      </c>
      <c r="S246" s="42">
        <v>15882501</v>
      </c>
      <c r="U246" s="42">
        <v>3545354</v>
      </c>
      <c r="W246" s="42">
        <f>18312238+3545354</f>
        <v>21857592</v>
      </c>
      <c r="Y246" s="42">
        <v>43754227</v>
      </c>
      <c r="AA246" s="42">
        <f t="shared" si="43"/>
        <v>3135194</v>
      </c>
      <c r="AC246" s="42">
        <v>4449288</v>
      </c>
      <c r="AE246" s="42">
        <v>51338709</v>
      </c>
      <c r="AF246" s="42">
        <f>+M246-W246-AE246</f>
        <v>0</v>
      </c>
      <c r="AH246" s="42">
        <f t="shared" si="40"/>
        <v>0</v>
      </c>
    </row>
    <row r="247" spans="1:34">
      <c r="A247" s="8" t="s">
        <v>303</v>
      </c>
      <c r="B247" s="8"/>
      <c r="C247" s="8" t="s">
        <v>27</v>
      </c>
      <c r="D247" s="8"/>
      <c r="E247" s="23">
        <v>47019</v>
      </c>
      <c r="G247" s="42">
        <f t="shared" si="39"/>
        <v>177456038</v>
      </c>
      <c r="I247" s="42">
        <f>19106844+60641+147058658</f>
        <v>166226143</v>
      </c>
      <c r="K247" s="42">
        <v>9682917</v>
      </c>
      <c r="M247" s="42">
        <f>343682181+9682917</f>
        <v>353365098</v>
      </c>
      <c r="O247" s="42">
        <f t="shared" si="38"/>
        <v>19743973</v>
      </c>
      <c r="Q247" s="42">
        <v>13198657</v>
      </c>
      <c r="S247" s="42">
        <v>184050966</v>
      </c>
      <c r="U247" s="42">
        <v>80494655</v>
      </c>
      <c r="W247" s="42">
        <f>216993596+80494655</f>
        <v>297488251</v>
      </c>
      <c r="Y247" s="42">
        <v>-1635849</v>
      </c>
      <c r="AA247" s="42">
        <f t="shared" si="43"/>
        <v>20130187</v>
      </c>
      <c r="AC247" s="42">
        <v>37382509</v>
      </c>
      <c r="AE247" s="42">
        <v>55876847</v>
      </c>
      <c r="AF247" s="42">
        <f t="shared" si="41"/>
        <v>0</v>
      </c>
      <c r="AH247" s="42">
        <f t="shared" si="40"/>
        <v>0</v>
      </c>
    </row>
    <row r="248" spans="1:34">
      <c r="A248" s="8" t="s">
        <v>348</v>
      </c>
      <c r="B248" s="8"/>
      <c r="C248" s="8" t="s">
        <v>346</v>
      </c>
      <c r="D248" s="8"/>
      <c r="E248" s="23">
        <v>44123</v>
      </c>
      <c r="G248" s="42">
        <f t="shared" si="39"/>
        <v>18431220</v>
      </c>
      <c r="I248" s="42">
        <f>775073+55770635</f>
        <v>56545708</v>
      </c>
      <c r="K248" s="42">
        <v>122220</v>
      </c>
      <c r="M248" s="42">
        <f>74976928+122220</f>
        <v>75099148</v>
      </c>
      <c r="O248" s="42">
        <f t="shared" si="38"/>
        <v>2263866</v>
      </c>
      <c r="Q248" s="42">
        <v>659246</v>
      </c>
      <c r="S248" s="42">
        <v>11107523</v>
      </c>
      <c r="U248" s="42">
        <v>5792919</v>
      </c>
      <c r="W248" s="42">
        <f>14030635+5792919</f>
        <v>19823554</v>
      </c>
      <c r="Y248" s="42">
        <v>45958563</v>
      </c>
      <c r="AA248" s="42">
        <f t="shared" si="43"/>
        <v>4968201</v>
      </c>
      <c r="AC248" s="42">
        <v>4348830</v>
      </c>
      <c r="AE248" s="42">
        <v>55275594</v>
      </c>
      <c r="AF248" s="42">
        <f t="shared" si="41"/>
        <v>0</v>
      </c>
      <c r="AH248" s="42">
        <f t="shared" si="40"/>
        <v>0</v>
      </c>
    </row>
    <row r="249" spans="1:34">
      <c r="A249" s="8" t="s">
        <v>203</v>
      </c>
      <c r="B249" s="8"/>
      <c r="C249" s="8" t="s">
        <v>11</v>
      </c>
      <c r="D249" s="8"/>
      <c r="E249" s="23">
        <v>45823</v>
      </c>
      <c r="G249" s="42">
        <f t="shared" si="39"/>
        <v>6028765</v>
      </c>
      <c r="I249" s="42">
        <v>1918747</v>
      </c>
      <c r="K249" s="42">
        <v>0</v>
      </c>
      <c r="M249" s="42">
        <v>7947512</v>
      </c>
      <c r="O249" s="42">
        <f t="shared" si="38"/>
        <v>1578992</v>
      </c>
      <c r="Q249" s="42">
        <v>378965</v>
      </c>
      <c r="S249" s="42">
        <v>778534</v>
      </c>
      <c r="U249" s="42">
        <v>3326809</v>
      </c>
      <c r="W249" s="42">
        <f>2736491+3326809</f>
        <v>6063300</v>
      </c>
      <c r="Y249" s="42">
        <v>1810897</v>
      </c>
      <c r="AA249" s="42">
        <f t="shared" si="43"/>
        <v>223623</v>
      </c>
      <c r="AC249" s="42">
        <v>-150308</v>
      </c>
      <c r="AE249" s="42">
        <v>1884212</v>
      </c>
      <c r="AF249" s="42">
        <f t="shared" si="41"/>
        <v>0</v>
      </c>
      <c r="AH249" s="42">
        <f t="shared" si="40"/>
        <v>0</v>
      </c>
    </row>
    <row r="250" spans="1:34">
      <c r="A250" s="8" t="s">
        <v>342</v>
      </c>
      <c r="B250" s="8"/>
      <c r="C250" s="8" t="s">
        <v>34</v>
      </c>
      <c r="D250" s="8"/>
      <c r="E250" s="23">
        <v>47571</v>
      </c>
      <c r="G250" s="42">
        <f t="shared" si="39"/>
        <v>4939697</v>
      </c>
      <c r="I250" s="42">
        <f>448987+19916942</f>
        <v>20365929</v>
      </c>
      <c r="K250" s="42">
        <v>0</v>
      </c>
      <c r="M250" s="42">
        <v>25305626</v>
      </c>
      <c r="O250" s="42">
        <f t="shared" si="38"/>
        <v>542151</v>
      </c>
      <c r="Q250" s="42">
        <v>183566</v>
      </c>
      <c r="S250" s="42">
        <v>3945011</v>
      </c>
      <c r="U250" s="42">
        <v>1235744</v>
      </c>
      <c r="W250" s="42">
        <f>4670728+1235744</f>
        <v>5906472</v>
      </c>
      <c r="Y250" s="42">
        <v>16476929</v>
      </c>
      <c r="AA250" s="42">
        <f t="shared" si="43"/>
        <v>1012538</v>
      </c>
      <c r="AC250" s="42">
        <v>1909687</v>
      </c>
      <c r="AE250" s="42">
        <v>19399154</v>
      </c>
      <c r="AF250" s="42">
        <f t="shared" si="41"/>
        <v>0</v>
      </c>
      <c r="AH250" s="42">
        <f t="shared" si="40"/>
        <v>0</v>
      </c>
    </row>
    <row r="251" spans="1:34" hidden="1">
      <c r="A251" s="8" t="s">
        <v>879</v>
      </c>
      <c r="B251" s="8"/>
      <c r="C251" s="8" t="s">
        <v>60</v>
      </c>
      <c r="D251" s="8"/>
      <c r="E251" s="23">
        <v>49700</v>
      </c>
      <c r="G251" s="42">
        <f t="shared" si="39"/>
        <v>0</v>
      </c>
      <c r="I251" s="42">
        <v>0</v>
      </c>
      <c r="K251" s="42">
        <v>0</v>
      </c>
      <c r="M251" s="42">
        <v>0</v>
      </c>
      <c r="O251" s="42">
        <f t="shared" si="38"/>
        <v>0</v>
      </c>
      <c r="Q251" s="42">
        <v>0</v>
      </c>
      <c r="S251" s="42">
        <v>0</v>
      </c>
      <c r="U251" s="42">
        <v>0</v>
      </c>
      <c r="W251" s="42">
        <v>0</v>
      </c>
      <c r="Y251" s="42">
        <v>0</v>
      </c>
      <c r="AA251" s="42">
        <f t="shared" ref="AA251" si="44">AE251-AC251-Y251</f>
        <v>0</v>
      </c>
      <c r="AC251" s="42">
        <v>0</v>
      </c>
      <c r="AE251" s="42">
        <v>0</v>
      </c>
      <c r="AF251" s="42">
        <f t="shared" ref="AF251" si="45">+M251-W251-AE251</f>
        <v>0</v>
      </c>
      <c r="AH251" s="42">
        <f t="shared" si="40"/>
        <v>0</v>
      </c>
    </row>
    <row r="252" spans="1:34">
      <c r="A252" s="8" t="s">
        <v>518</v>
      </c>
      <c r="B252" s="8"/>
      <c r="C252" s="8" t="s">
        <v>64</v>
      </c>
      <c r="D252" s="8"/>
      <c r="E252" s="23">
        <v>50161</v>
      </c>
      <c r="G252" s="42">
        <f t="shared" si="39"/>
        <v>22369309</v>
      </c>
      <c r="I252" s="42">
        <v>3580476</v>
      </c>
      <c r="K252" s="42">
        <v>0</v>
      </c>
      <c r="M252" s="42">
        <v>25949785</v>
      </c>
      <c r="O252" s="42">
        <f t="shared" si="38"/>
        <v>3866013</v>
      </c>
      <c r="Q252" s="42">
        <v>377697</v>
      </c>
      <c r="S252" s="42">
        <v>3666041</v>
      </c>
      <c r="U252" s="42">
        <v>16513890</v>
      </c>
      <c r="W252" s="42">
        <f>7909751+16513890</f>
        <v>24423641</v>
      </c>
      <c r="Y252" s="42">
        <v>3580476</v>
      </c>
      <c r="AA252" s="42">
        <f t="shared" si="43"/>
        <v>667466</v>
      </c>
      <c r="AC252" s="42">
        <v>-2721798</v>
      </c>
      <c r="AE252" s="42">
        <v>1526144</v>
      </c>
      <c r="AF252" s="42">
        <f t="shared" si="41"/>
        <v>0</v>
      </c>
      <c r="AH252" s="42">
        <f t="shared" si="40"/>
        <v>0</v>
      </c>
    </row>
    <row r="253" spans="1:34">
      <c r="A253" s="8" t="s">
        <v>755</v>
      </c>
      <c r="B253" s="8"/>
      <c r="C253" s="8" t="s">
        <v>64</v>
      </c>
      <c r="D253" s="8"/>
      <c r="E253" s="23">
        <v>45427</v>
      </c>
      <c r="G253" s="42">
        <f t="shared" si="39"/>
        <v>15480661</v>
      </c>
      <c r="I253" s="42">
        <f>462720+52571072</f>
        <v>53033792</v>
      </c>
      <c r="K253" s="42">
        <v>1304502</v>
      </c>
      <c r="M253" s="42">
        <f>68514453+1304502</f>
        <v>69818955</v>
      </c>
      <c r="O253" s="42">
        <f t="shared" si="38"/>
        <v>2450725</v>
      </c>
      <c r="Q253" s="42">
        <v>853329</v>
      </c>
      <c r="S253" s="42">
        <v>18327671</v>
      </c>
      <c r="U253" s="42">
        <v>6902443</v>
      </c>
      <c r="W253" s="42">
        <f>21631725+6902443</f>
        <v>28534168</v>
      </c>
      <c r="Y253" s="42">
        <v>36469586</v>
      </c>
      <c r="AA253" s="42">
        <f t="shared" si="43"/>
        <v>3339763</v>
      </c>
      <c r="AC253" s="42">
        <v>1475438</v>
      </c>
      <c r="AE253" s="42">
        <v>41284787</v>
      </c>
      <c r="AF253" s="42">
        <f t="shared" si="41"/>
        <v>0</v>
      </c>
      <c r="AH253" s="42">
        <f t="shared" si="40"/>
        <v>0</v>
      </c>
    </row>
    <row r="254" spans="1:34">
      <c r="A254" s="8" t="s">
        <v>427</v>
      </c>
      <c r="B254" s="8"/>
      <c r="C254" s="8" t="s">
        <v>50</v>
      </c>
      <c r="D254" s="8"/>
      <c r="E254" s="23">
        <v>48751</v>
      </c>
      <c r="G254" s="42">
        <f t="shared" si="39"/>
        <v>67776362</v>
      </c>
      <c r="I254" s="42">
        <f>965003+154151926</f>
        <v>155116929</v>
      </c>
      <c r="K254" s="42">
        <v>0</v>
      </c>
      <c r="M254" s="42">
        <v>222893291</v>
      </c>
      <c r="O254" s="42">
        <f t="shared" si="38"/>
        <v>12048261</v>
      </c>
      <c r="Q254" s="42">
        <v>2360765</v>
      </c>
      <c r="S254" s="42">
        <v>79076522</v>
      </c>
      <c r="U254" s="42">
        <v>28101615</v>
      </c>
      <c r="W254" s="42">
        <f>93485548+28101615</f>
        <v>121587163</v>
      </c>
      <c r="Y254" s="42">
        <v>93086282</v>
      </c>
      <c r="AA254" s="42">
        <f t="shared" si="43"/>
        <v>7329180</v>
      </c>
      <c r="AC254" s="42">
        <v>890666</v>
      </c>
      <c r="AE254" s="42">
        <v>101306128</v>
      </c>
      <c r="AF254" s="42">
        <f t="shared" si="41"/>
        <v>0</v>
      </c>
      <c r="AH254" s="42">
        <f t="shared" si="40"/>
        <v>0</v>
      </c>
    </row>
    <row r="255" spans="1:34">
      <c r="A255" s="8" t="s">
        <v>505</v>
      </c>
      <c r="B255" s="8"/>
      <c r="C255" s="8" t="s">
        <v>63</v>
      </c>
      <c r="D255" s="8"/>
      <c r="E255" s="23">
        <v>50021</v>
      </c>
      <c r="G255" s="42">
        <f t="shared" si="39"/>
        <v>70656976</v>
      </c>
      <c r="I255" s="42">
        <v>55503650</v>
      </c>
      <c r="K255" s="42">
        <v>1696914</v>
      </c>
      <c r="M255" s="42">
        <f>126160626+1696914</f>
        <v>127857540</v>
      </c>
      <c r="O255" s="42">
        <f t="shared" si="38"/>
        <v>8042099</v>
      </c>
      <c r="Q255" s="42">
        <v>4035170</v>
      </c>
      <c r="S255" s="42">
        <v>25247933</v>
      </c>
      <c r="U255" s="42">
        <v>42009559</v>
      </c>
      <c r="W255" s="42">
        <f>37325202+42009559</f>
        <v>79334761</v>
      </c>
      <c r="Y255" s="42">
        <v>33552876</v>
      </c>
      <c r="AA255" s="42">
        <f t="shared" si="43"/>
        <v>4604254</v>
      </c>
      <c r="AC255" s="42">
        <v>10365649</v>
      </c>
      <c r="AE255" s="42">
        <v>48522779</v>
      </c>
      <c r="AF255" s="42">
        <f t="shared" si="41"/>
        <v>0</v>
      </c>
      <c r="AH255" s="42">
        <f t="shared" si="40"/>
        <v>0</v>
      </c>
    </row>
    <row r="256" spans="1:34">
      <c r="A256" s="8" t="s">
        <v>471</v>
      </c>
      <c r="B256" s="8"/>
      <c r="C256" s="8" t="s">
        <v>58</v>
      </c>
      <c r="D256" s="8"/>
      <c r="E256" s="23">
        <v>49502</v>
      </c>
      <c r="G256" s="42">
        <f t="shared" si="39"/>
        <v>12946077</v>
      </c>
      <c r="I256" s="42">
        <v>5363741</v>
      </c>
      <c r="K256" s="42">
        <v>0</v>
      </c>
      <c r="M256" s="42">
        <v>18309818</v>
      </c>
      <c r="O256" s="42">
        <f t="shared" si="38"/>
        <v>1986692</v>
      </c>
      <c r="Q256" s="42">
        <v>218257</v>
      </c>
      <c r="S256" s="42">
        <v>1542294</v>
      </c>
      <c r="U256" s="42">
        <v>1273623</v>
      </c>
      <c r="W256" s="42">
        <f>3747243+1273623</f>
        <v>5020866</v>
      </c>
      <c r="Y256" s="42">
        <v>10149302</v>
      </c>
      <c r="AA256" s="42">
        <f t="shared" si="43"/>
        <v>330904</v>
      </c>
      <c r="AC256" s="42">
        <v>2808746</v>
      </c>
      <c r="AE256" s="42">
        <v>13288952</v>
      </c>
      <c r="AF256" s="42">
        <f t="shared" si="41"/>
        <v>0</v>
      </c>
      <c r="AH256" s="42">
        <f t="shared" si="40"/>
        <v>0</v>
      </c>
    </row>
    <row r="257" spans="1:34">
      <c r="A257" s="8" t="s">
        <v>284</v>
      </c>
      <c r="B257" s="8"/>
      <c r="C257" s="8" t="s">
        <v>24</v>
      </c>
      <c r="D257" s="8"/>
      <c r="E257" s="23">
        <v>44131</v>
      </c>
      <c r="G257" s="42">
        <f t="shared" si="39"/>
        <v>17456969</v>
      </c>
      <c r="I257" s="42">
        <v>8037678</v>
      </c>
      <c r="K257" s="42">
        <v>115435</v>
      </c>
      <c r="M257" s="42">
        <f>25494647+115435</f>
        <v>25610082</v>
      </c>
      <c r="O257" s="42">
        <f t="shared" si="38"/>
        <v>1445921</v>
      </c>
      <c r="Q257" s="42">
        <v>899127</v>
      </c>
      <c r="S257" s="42">
        <v>7473995</v>
      </c>
      <c r="U257" s="42">
        <v>8161309</v>
      </c>
      <c r="W257" s="42">
        <f>9819043+8161309</f>
        <v>17980352</v>
      </c>
      <c r="Y257" s="42">
        <v>3752939</v>
      </c>
      <c r="AA257" s="42">
        <f t="shared" si="43"/>
        <v>459315</v>
      </c>
      <c r="AC257" s="42">
        <v>3417476</v>
      </c>
      <c r="AE257" s="42">
        <v>7629730</v>
      </c>
      <c r="AF257" s="42">
        <f t="shared" si="41"/>
        <v>0</v>
      </c>
      <c r="AH257" s="42">
        <f t="shared" si="40"/>
        <v>0</v>
      </c>
    </row>
    <row r="258" spans="1:34">
      <c r="A258" s="8" t="s">
        <v>267</v>
      </c>
      <c r="B258" s="8"/>
      <c r="C258" s="8" t="s">
        <v>20</v>
      </c>
      <c r="D258" s="8"/>
      <c r="E258" s="23">
        <v>46565</v>
      </c>
      <c r="G258" s="42">
        <f t="shared" si="39"/>
        <v>25800231</v>
      </c>
      <c r="I258" s="42">
        <f>147099+22053387</f>
        <v>22200486</v>
      </c>
      <c r="K258" s="42">
        <v>0</v>
      </c>
      <c r="M258" s="42">
        <v>48000717</v>
      </c>
      <c r="O258" s="42">
        <f t="shared" si="38"/>
        <v>12098749</v>
      </c>
      <c r="Q258" s="42">
        <v>921718</v>
      </c>
      <c r="S258" s="42">
        <v>15780420</v>
      </c>
      <c r="U258" s="42">
        <v>0</v>
      </c>
      <c r="W258" s="42">
        <v>28800887</v>
      </c>
      <c r="Y258" s="42">
        <v>8632047</v>
      </c>
      <c r="AA258" s="42">
        <f t="shared" si="43"/>
        <v>2804740</v>
      </c>
      <c r="AC258" s="42">
        <v>7763043</v>
      </c>
      <c r="AE258" s="42">
        <v>19199830</v>
      </c>
      <c r="AF258" s="42">
        <f t="shared" si="41"/>
        <v>0</v>
      </c>
      <c r="AH258" s="42">
        <f t="shared" si="40"/>
        <v>0</v>
      </c>
    </row>
    <row r="259" spans="1:34">
      <c r="A259" s="8" t="s">
        <v>361</v>
      </c>
      <c r="B259" s="8"/>
      <c r="C259" s="8" t="s">
        <v>39</v>
      </c>
      <c r="D259" s="8"/>
      <c r="E259" s="23">
        <v>47803</v>
      </c>
      <c r="F259" s="7"/>
      <c r="G259" s="42">
        <f t="shared" si="39"/>
        <v>13148587</v>
      </c>
      <c r="I259" s="42">
        <f>87783+21212645</f>
        <v>21300428</v>
      </c>
      <c r="K259" s="42">
        <v>0</v>
      </c>
      <c r="M259" s="42">
        <v>34449015</v>
      </c>
      <c r="O259" s="42">
        <f t="shared" si="38"/>
        <v>2993195</v>
      </c>
      <c r="Q259" s="42">
        <v>731675</v>
      </c>
      <c r="S259" s="42">
        <v>12696005</v>
      </c>
      <c r="U259" s="42">
        <v>6998614</v>
      </c>
      <c r="W259" s="42">
        <f>16420875+6998614</f>
        <v>23419489</v>
      </c>
      <c r="Y259" s="42">
        <v>9437257</v>
      </c>
      <c r="AA259" s="42">
        <f t="shared" si="43"/>
        <v>1978942</v>
      </c>
      <c r="AC259" s="42">
        <v>-386673</v>
      </c>
      <c r="AE259" s="42">
        <v>11029526</v>
      </c>
      <c r="AF259" s="42">
        <f t="shared" si="41"/>
        <v>0</v>
      </c>
      <c r="AH259" s="42">
        <f t="shared" si="40"/>
        <v>0</v>
      </c>
    </row>
    <row r="260" spans="1:34">
      <c r="A260" s="8" t="s">
        <v>756</v>
      </c>
      <c r="B260" s="8"/>
      <c r="C260" s="8" t="s">
        <v>32</v>
      </c>
      <c r="D260" s="8"/>
      <c r="E260" s="23">
        <v>45435</v>
      </c>
      <c r="G260" s="42">
        <f t="shared" si="39"/>
        <v>66925673</v>
      </c>
      <c r="I260" s="42">
        <v>41442824</v>
      </c>
      <c r="K260" s="42">
        <v>1096528</v>
      </c>
      <c r="M260" s="42">
        <f>108368497+1096528</f>
        <v>109465025</v>
      </c>
      <c r="O260" s="42">
        <f t="shared" si="38"/>
        <v>3021871</v>
      </c>
      <c r="Q260" s="42">
        <v>3019917</v>
      </c>
      <c r="S260" s="42">
        <v>30634914</v>
      </c>
      <c r="U260" s="42">
        <v>19068231</v>
      </c>
      <c r="W260" s="42">
        <f>36676702+19068231</f>
        <v>55744933</v>
      </c>
      <c r="Y260" s="42">
        <v>11757864</v>
      </c>
      <c r="AA260" s="42">
        <f t="shared" si="43"/>
        <v>4018389</v>
      </c>
      <c r="AC260" s="42">
        <v>37943839</v>
      </c>
      <c r="AE260" s="42">
        <v>53720092</v>
      </c>
      <c r="AF260" s="42">
        <f t="shared" si="41"/>
        <v>0</v>
      </c>
      <c r="AH260" s="42">
        <f t="shared" si="40"/>
        <v>0</v>
      </c>
    </row>
    <row r="261" spans="1:34" hidden="1">
      <c r="A261" s="8" t="s">
        <v>789</v>
      </c>
      <c r="B261" s="8"/>
      <c r="C261" s="8" t="s">
        <v>43</v>
      </c>
      <c r="D261" s="8"/>
      <c r="E261" s="23">
        <v>48082</v>
      </c>
      <c r="G261" s="42">
        <f t="shared" si="39"/>
        <v>0</v>
      </c>
      <c r="I261" s="42">
        <v>0</v>
      </c>
      <c r="K261" s="42">
        <v>0</v>
      </c>
      <c r="M261" s="42">
        <v>0</v>
      </c>
      <c r="O261" s="42">
        <f t="shared" si="38"/>
        <v>0</v>
      </c>
      <c r="Q261" s="42">
        <v>0</v>
      </c>
      <c r="S261" s="42">
        <v>0</v>
      </c>
      <c r="U261" s="42">
        <v>0</v>
      </c>
      <c r="W261" s="42">
        <v>0</v>
      </c>
      <c r="Y261" s="42">
        <v>0</v>
      </c>
      <c r="AA261" s="42">
        <f t="shared" si="43"/>
        <v>0</v>
      </c>
      <c r="AC261" s="42">
        <v>0</v>
      </c>
      <c r="AE261" s="42">
        <v>0</v>
      </c>
      <c r="AF261" s="42">
        <f t="shared" si="41"/>
        <v>0</v>
      </c>
      <c r="AH261" s="42">
        <f t="shared" si="40"/>
        <v>0</v>
      </c>
    </row>
    <row r="262" spans="1:34">
      <c r="A262" s="8" t="s">
        <v>532</v>
      </c>
      <c r="B262" s="8"/>
      <c r="C262" s="8" t="s">
        <v>65</v>
      </c>
      <c r="D262" s="8"/>
      <c r="E262" s="23">
        <v>50286</v>
      </c>
      <c r="G262" s="42">
        <f t="shared" si="39"/>
        <v>11448373</v>
      </c>
      <c r="I262" s="42">
        <f>91144+40231027</f>
        <v>40322171</v>
      </c>
      <c r="K262" s="42">
        <v>0</v>
      </c>
      <c r="M262" s="42">
        <v>51770544</v>
      </c>
      <c r="O262" s="42">
        <f t="shared" si="38"/>
        <v>6854706</v>
      </c>
      <c r="Q262" s="42">
        <v>884593</v>
      </c>
      <c r="S262" s="42">
        <v>11247588</v>
      </c>
      <c r="U262" s="42">
        <v>0</v>
      </c>
      <c r="W262" s="42">
        <v>18986887</v>
      </c>
      <c r="Y262" s="42">
        <v>30681325</v>
      </c>
      <c r="AA262" s="42">
        <f t="shared" si="43"/>
        <v>2082856</v>
      </c>
      <c r="AC262" s="42">
        <v>19476</v>
      </c>
      <c r="AE262" s="42">
        <v>32783657</v>
      </c>
      <c r="AF262" s="42">
        <f t="shared" si="41"/>
        <v>0</v>
      </c>
      <c r="AH262" s="42">
        <f t="shared" si="40"/>
        <v>0</v>
      </c>
    </row>
    <row r="263" spans="1:34">
      <c r="A263" s="8" t="s">
        <v>367</v>
      </c>
      <c r="B263" s="8"/>
      <c r="C263" s="8" t="s">
        <v>364</v>
      </c>
      <c r="D263" s="8"/>
      <c r="E263" s="23">
        <v>44149</v>
      </c>
      <c r="G263" s="42">
        <f t="shared" si="39"/>
        <v>11086098</v>
      </c>
      <c r="I263" s="42">
        <f>471255+45591369</f>
        <v>46062624</v>
      </c>
      <c r="K263" s="42">
        <v>1631520</v>
      </c>
      <c r="M263" s="42">
        <f>57148722+1631520</f>
        <v>58780242</v>
      </c>
      <c r="O263" s="42">
        <f t="shared" si="38"/>
        <v>1911188</v>
      </c>
      <c r="Q263" s="42">
        <v>575000</v>
      </c>
      <c r="S263" s="42">
        <v>18703686</v>
      </c>
      <c r="U263" s="42">
        <v>2948108</v>
      </c>
      <c r="W263" s="42">
        <f>21189874+2948108</f>
        <v>24137982</v>
      </c>
      <c r="Y263" s="42">
        <v>29331417</v>
      </c>
      <c r="AA263" s="42">
        <f t="shared" si="43"/>
        <v>4469299</v>
      </c>
      <c r="AC263" s="42">
        <v>841544</v>
      </c>
      <c r="AE263" s="42">
        <v>34642260</v>
      </c>
      <c r="AF263" s="42">
        <f t="shared" si="41"/>
        <v>0</v>
      </c>
      <c r="AH263" s="42">
        <f t="shared" si="40"/>
        <v>0</v>
      </c>
    </row>
    <row r="264" spans="1:34" hidden="1">
      <c r="A264" s="8" t="s">
        <v>663</v>
      </c>
      <c r="B264" s="8"/>
      <c r="C264" s="8" t="s">
        <v>61</v>
      </c>
      <c r="D264" s="8"/>
      <c r="E264" s="23">
        <v>49809</v>
      </c>
      <c r="G264" s="42">
        <f t="shared" si="39"/>
        <v>0</v>
      </c>
      <c r="I264" s="42">
        <v>0</v>
      </c>
      <c r="K264" s="42">
        <v>0</v>
      </c>
      <c r="M264" s="42">
        <v>0</v>
      </c>
      <c r="O264" s="42">
        <f t="shared" si="38"/>
        <v>0</v>
      </c>
      <c r="Q264" s="42">
        <v>0</v>
      </c>
      <c r="S264" s="42">
        <v>0</v>
      </c>
      <c r="U264" s="42">
        <v>0</v>
      </c>
      <c r="W264" s="42">
        <v>0</v>
      </c>
      <c r="Y264" s="42">
        <v>0</v>
      </c>
      <c r="AA264" s="42">
        <f t="shared" si="43"/>
        <v>0</v>
      </c>
      <c r="AC264" s="42">
        <v>0</v>
      </c>
      <c r="AE264" s="42">
        <v>0</v>
      </c>
      <c r="AF264" s="42">
        <f t="shared" si="41"/>
        <v>0</v>
      </c>
      <c r="AH264" s="42">
        <f t="shared" si="40"/>
        <v>0</v>
      </c>
    </row>
    <row r="265" spans="1:34" hidden="1">
      <c r="A265" s="8" t="s">
        <v>674</v>
      </c>
      <c r="B265" s="8"/>
      <c r="C265" s="8" t="s">
        <v>38</v>
      </c>
      <c r="D265" s="8"/>
      <c r="E265" s="23">
        <v>44156</v>
      </c>
      <c r="G265" s="42">
        <f t="shared" si="39"/>
        <v>0</v>
      </c>
      <c r="I265" s="42">
        <v>0</v>
      </c>
      <c r="K265" s="42">
        <v>0</v>
      </c>
      <c r="M265" s="42">
        <v>0</v>
      </c>
      <c r="O265" s="42">
        <f t="shared" si="38"/>
        <v>0</v>
      </c>
      <c r="Q265" s="42">
        <v>0</v>
      </c>
      <c r="S265" s="42">
        <v>0</v>
      </c>
      <c r="U265" s="42">
        <v>0</v>
      </c>
      <c r="W265" s="42">
        <v>0</v>
      </c>
      <c r="Y265" s="42">
        <v>0</v>
      </c>
      <c r="AA265" s="42">
        <f t="shared" si="43"/>
        <v>0</v>
      </c>
      <c r="AC265" s="42">
        <v>0</v>
      </c>
      <c r="AE265" s="42">
        <v>0</v>
      </c>
      <c r="AF265" s="42">
        <f>+M265-W265-AE265</f>
        <v>0</v>
      </c>
      <c r="AH265" s="42">
        <f t="shared" si="40"/>
        <v>0</v>
      </c>
    </row>
    <row r="266" spans="1:34">
      <c r="A266" s="8" t="s">
        <v>493</v>
      </c>
      <c r="B266" s="8"/>
      <c r="C266" s="8" t="s">
        <v>62</v>
      </c>
      <c r="D266" s="8"/>
      <c r="E266" s="23">
        <v>49858</v>
      </c>
      <c r="G266" s="42">
        <f t="shared" si="39"/>
        <v>64965008</v>
      </c>
      <c r="I266" s="42">
        <v>96369938</v>
      </c>
      <c r="K266" s="42">
        <v>1731024</v>
      </c>
      <c r="M266" s="42">
        <f>161334946+1731024</f>
        <v>163065970</v>
      </c>
      <c r="O266" s="42">
        <f t="shared" si="38"/>
        <v>7892184</v>
      </c>
      <c r="Q266" s="42">
        <v>4202546</v>
      </c>
      <c r="S266" s="42">
        <v>60553823</v>
      </c>
      <c r="U266" s="42">
        <v>45808991</v>
      </c>
      <c r="W266" s="42">
        <f>72648553+45808991</f>
        <v>118457544</v>
      </c>
      <c r="Y266" s="42">
        <v>30300685</v>
      </c>
      <c r="AA266" s="42">
        <f t="shared" si="43"/>
        <v>1560578</v>
      </c>
      <c r="AC266" s="42">
        <v>12747163</v>
      </c>
      <c r="AE266" s="42">
        <v>44608426</v>
      </c>
      <c r="AF266" s="42">
        <f t="shared" si="41"/>
        <v>0</v>
      </c>
      <c r="AH266" s="42">
        <f t="shared" si="40"/>
        <v>0</v>
      </c>
    </row>
    <row r="267" spans="1:34">
      <c r="A267" s="8" t="s">
        <v>401</v>
      </c>
      <c r="B267" s="8"/>
      <c r="C267" s="8" t="s">
        <v>45</v>
      </c>
      <c r="D267" s="8"/>
      <c r="E267" s="23">
        <v>48322</v>
      </c>
      <c r="G267" s="42">
        <f t="shared" si="39"/>
        <v>9747431</v>
      </c>
      <c r="I267" s="42">
        <v>17273944</v>
      </c>
      <c r="K267" s="42">
        <v>0</v>
      </c>
      <c r="M267" s="42">
        <v>27021375</v>
      </c>
      <c r="O267" s="42">
        <f t="shared" si="38"/>
        <v>1327342</v>
      </c>
      <c r="Q267" s="42">
        <v>527205</v>
      </c>
      <c r="S267" s="42">
        <v>14823573</v>
      </c>
      <c r="U267" s="42">
        <v>5669980</v>
      </c>
      <c r="W267" s="42">
        <f>16678120+5669980</f>
        <v>22348100</v>
      </c>
      <c r="Y267" s="42">
        <v>2450881</v>
      </c>
      <c r="AA267" s="42">
        <f t="shared" si="43"/>
        <v>920168</v>
      </c>
      <c r="AC267" s="42">
        <v>1302226</v>
      </c>
      <c r="AE267" s="42">
        <v>4673275</v>
      </c>
      <c r="AF267" s="42">
        <f t="shared" si="41"/>
        <v>0</v>
      </c>
      <c r="AH267" s="42">
        <f t="shared" si="40"/>
        <v>0</v>
      </c>
    </row>
    <row r="268" spans="1:34">
      <c r="A268" s="8" t="s">
        <v>457</v>
      </c>
      <c r="B268" s="8"/>
      <c r="C268" s="8" t="s">
        <v>56</v>
      </c>
      <c r="D268" s="8"/>
      <c r="E268" s="23">
        <v>49205</v>
      </c>
      <c r="G268" s="42">
        <f t="shared" si="39"/>
        <v>7697622</v>
      </c>
      <c r="I268" s="42">
        <v>6924819</v>
      </c>
      <c r="K268" s="42">
        <v>98762</v>
      </c>
      <c r="M268" s="42">
        <f>14622441+98762</f>
        <v>14721203</v>
      </c>
      <c r="O268" s="42">
        <f t="shared" si="38"/>
        <v>1746306</v>
      </c>
      <c r="Q268" s="42">
        <v>418386</v>
      </c>
      <c r="S268" s="42">
        <v>5106246</v>
      </c>
      <c r="U268" s="42">
        <v>4098232</v>
      </c>
      <c r="W268" s="42">
        <f>7270938+4098232</f>
        <v>11369170</v>
      </c>
      <c r="Y268" s="42">
        <v>2321358</v>
      </c>
      <c r="AA268" s="42">
        <f t="shared" si="43"/>
        <v>359916</v>
      </c>
      <c r="AC268" s="42">
        <v>670759</v>
      </c>
      <c r="AE268" s="42">
        <v>3352033</v>
      </c>
      <c r="AF268" s="42">
        <f t="shared" si="41"/>
        <v>0</v>
      </c>
      <c r="AH268" s="42">
        <f t="shared" si="40"/>
        <v>0</v>
      </c>
    </row>
    <row r="269" spans="1:34">
      <c r="A269" s="8" t="s">
        <v>208</v>
      </c>
      <c r="B269" s="8"/>
      <c r="C269" s="8" t="s">
        <v>12</v>
      </c>
      <c r="D269" s="8"/>
      <c r="E269" s="23">
        <v>45872</v>
      </c>
      <c r="G269" s="42">
        <f t="shared" si="39"/>
        <v>19621250</v>
      </c>
      <c r="I269" s="42">
        <f>3316080+52338540</f>
        <v>55654620</v>
      </c>
      <c r="K269" s="42">
        <v>1295030</v>
      </c>
      <c r="M269" s="42">
        <f>75275870+1295030</f>
        <v>76570900</v>
      </c>
      <c r="O269" s="42">
        <f t="shared" si="38"/>
        <v>3682661</v>
      </c>
      <c r="Q269" s="42">
        <v>992050</v>
      </c>
      <c r="S269" s="42">
        <v>23083237</v>
      </c>
      <c r="U269" s="42">
        <v>5928033</v>
      </c>
      <c r="W269" s="42">
        <f>27757948+5928033</f>
        <v>33685981</v>
      </c>
      <c r="Y269" s="42">
        <v>34862634</v>
      </c>
      <c r="AA269" s="42">
        <f t="shared" si="43"/>
        <v>6885768</v>
      </c>
      <c r="AC269" s="42">
        <v>1136517</v>
      </c>
      <c r="AE269" s="42">
        <v>42884919</v>
      </c>
      <c r="AF269" s="42">
        <f t="shared" si="41"/>
        <v>0</v>
      </c>
      <c r="AH269" s="42">
        <f t="shared" si="40"/>
        <v>0</v>
      </c>
    </row>
    <row r="270" spans="1:34">
      <c r="A270" s="8" t="s">
        <v>394</v>
      </c>
      <c r="B270" s="8"/>
      <c r="C270" s="8" t="s">
        <v>395</v>
      </c>
      <c r="D270" s="8"/>
      <c r="E270" s="23">
        <v>48256</v>
      </c>
      <c r="G270" s="42">
        <f t="shared" si="39"/>
        <v>12871221</v>
      </c>
      <c r="I270" s="42">
        <v>28916078</v>
      </c>
      <c r="K270" s="42">
        <v>967240</v>
      </c>
      <c r="M270" s="42">
        <f>41787299+967240</f>
        <v>42754539</v>
      </c>
      <c r="O270" s="42">
        <f t="shared" ref="O270:O333" si="46">+W270-Q270-S270-U270</f>
        <v>1506253</v>
      </c>
      <c r="Q270" s="42">
        <v>1223582</v>
      </c>
      <c r="S270" s="42">
        <v>13267268</v>
      </c>
      <c r="U270" s="42">
        <v>3205923</v>
      </c>
      <c r="W270" s="42">
        <f>15997103+3205923</f>
        <v>19203026</v>
      </c>
      <c r="Y270" s="42">
        <v>16737660</v>
      </c>
      <c r="AA270" s="42">
        <f t="shared" si="43"/>
        <v>2191819</v>
      </c>
      <c r="AC270" s="42">
        <v>4622034</v>
      </c>
      <c r="AE270" s="42">
        <v>23551513</v>
      </c>
      <c r="AF270" s="42">
        <f t="shared" si="41"/>
        <v>0</v>
      </c>
      <c r="AH270" s="42">
        <f t="shared" si="40"/>
        <v>0</v>
      </c>
    </row>
    <row r="271" spans="1:34">
      <c r="A271" s="8" t="s">
        <v>675</v>
      </c>
      <c r="B271" s="8"/>
      <c r="C271" s="8" t="s">
        <v>50</v>
      </c>
      <c r="D271" s="8"/>
      <c r="E271" s="23">
        <v>48686</v>
      </c>
      <c r="G271" s="42">
        <f t="shared" ref="G271:G334" si="47">+M271-I271-K271</f>
        <v>7491703</v>
      </c>
      <c r="I271" s="42">
        <v>1373877</v>
      </c>
      <c r="K271" s="42">
        <v>0</v>
      </c>
      <c r="M271" s="42">
        <v>8865580</v>
      </c>
      <c r="O271" s="42">
        <f t="shared" si="46"/>
        <v>523701</v>
      </c>
      <c r="Q271" s="42">
        <v>73152</v>
      </c>
      <c r="S271" s="42">
        <v>754827</v>
      </c>
      <c r="U271" s="42">
        <v>2455353</v>
      </c>
      <c r="W271" s="42">
        <f>1351680+2455353</f>
        <v>3807033</v>
      </c>
      <c r="Y271" s="42">
        <v>743621</v>
      </c>
      <c r="AA271" s="42">
        <f t="shared" si="43"/>
        <v>83419</v>
      </c>
      <c r="AC271" s="42">
        <v>4231507</v>
      </c>
      <c r="AE271" s="42">
        <v>5058547</v>
      </c>
      <c r="AF271" s="42">
        <f t="shared" si="41"/>
        <v>0</v>
      </c>
      <c r="AH271" s="42">
        <f t="shared" si="40"/>
        <v>0</v>
      </c>
    </row>
    <row r="272" spans="1:34" hidden="1">
      <c r="A272" s="9" t="s">
        <v>860</v>
      </c>
      <c r="B272" s="8"/>
      <c r="C272" s="8" t="s">
        <v>464</v>
      </c>
      <c r="D272" s="8"/>
      <c r="E272" s="23">
        <v>49338</v>
      </c>
      <c r="G272" s="42">
        <f t="shared" si="47"/>
        <v>0</v>
      </c>
      <c r="I272" s="42">
        <v>0</v>
      </c>
      <c r="K272" s="42">
        <v>0</v>
      </c>
      <c r="M272" s="42">
        <v>0</v>
      </c>
      <c r="O272" s="42">
        <f t="shared" si="46"/>
        <v>0</v>
      </c>
      <c r="Q272" s="42">
        <v>0</v>
      </c>
      <c r="S272" s="42">
        <v>0</v>
      </c>
      <c r="U272" s="42">
        <v>0</v>
      </c>
      <c r="W272" s="42">
        <v>0</v>
      </c>
      <c r="Y272" s="42">
        <v>0</v>
      </c>
      <c r="AA272" s="42">
        <f t="shared" si="43"/>
        <v>0</v>
      </c>
      <c r="AC272" s="42">
        <v>0</v>
      </c>
      <c r="AE272" s="42">
        <v>0</v>
      </c>
      <c r="AF272" s="42">
        <f t="shared" si="41"/>
        <v>0</v>
      </c>
      <c r="AH272" s="42">
        <f t="shared" ref="AH272:AH335" si="48">+G272+I272+K272-O272-Q272-Y272-AA272-AC272-S272-U272</f>
        <v>0</v>
      </c>
    </row>
    <row r="273" spans="1:34">
      <c r="A273" s="8" t="s">
        <v>372</v>
      </c>
      <c r="B273" s="8"/>
      <c r="C273" s="8" t="s">
        <v>42</v>
      </c>
      <c r="D273" s="8"/>
      <c r="E273" s="23">
        <v>47985</v>
      </c>
      <c r="G273" s="42">
        <f t="shared" si="47"/>
        <v>21437102</v>
      </c>
      <c r="I273" s="42">
        <v>2376485</v>
      </c>
      <c r="K273" s="42">
        <v>0</v>
      </c>
      <c r="M273" s="42">
        <v>23813587</v>
      </c>
      <c r="O273" s="42">
        <f t="shared" si="46"/>
        <v>1102765</v>
      </c>
      <c r="Q273" s="42">
        <v>188009</v>
      </c>
      <c r="S273" s="42">
        <v>404862</v>
      </c>
      <c r="U273" s="42">
        <v>5752588</v>
      </c>
      <c r="W273" s="42">
        <f>1695636+5752588</f>
        <v>7448224</v>
      </c>
      <c r="Y273" s="42">
        <v>2172453</v>
      </c>
      <c r="AA273" s="42">
        <f t="shared" si="43"/>
        <v>298295</v>
      </c>
      <c r="AC273" s="42">
        <v>13894615</v>
      </c>
      <c r="AE273" s="42">
        <v>16365363</v>
      </c>
      <c r="AF273" s="42">
        <f t="shared" si="41"/>
        <v>0</v>
      </c>
      <c r="AH273" s="42">
        <f t="shared" si="48"/>
        <v>0</v>
      </c>
    </row>
    <row r="274" spans="1:34">
      <c r="A274" s="8" t="s">
        <v>396</v>
      </c>
      <c r="B274" s="8"/>
      <c r="C274" s="8" t="s">
        <v>395</v>
      </c>
      <c r="D274" s="8"/>
      <c r="E274" s="23">
        <v>48264</v>
      </c>
      <c r="G274" s="42">
        <f t="shared" si="47"/>
        <v>12005758</v>
      </c>
      <c r="I274" s="42">
        <v>52465115</v>
      </c>
      <c r="K274" s="42">
        <v>740615</v>
      </c>
      <c r="M274" s="42">
        <f>64470873+740615</f>
        <v>65211488</v>
      </c>
      <c r="O274" s="42">
        <f t="shared" si="46"/>
        <v>2851073</v>
      </c>
      <c r="Q274" s="42">
        <v>1123659</v>
      </c>
      <c r="S274" s="42">
        <v>21173043</v>
      </c>
      <c r="U274" s="42">
        <v>5333991</v>
      </c>
      <c r="W274" s="42">
        <f>25147775+5333991</f>
        <v>30481766</v>
      </c>
      <c r="Y274" s="42">
        <v>32297528</v>
      </c>
      <c r="AA274" s="42">
        <f t="shared" si="43"/>
        <v>1869321</v>
      </c>
      <c r="AC274" s="42">
        <v>562873</v>
      </c>
      <c r="AE274" s="42">
        <v>34729722</v>
      </c>
      <c r="AF274" s="42">
        <f t="shared" si="41"/>
        <v>0</v>
      </c>
      <c r="AH274" s="42">
        <f t="shared" si="48"/>
        <v>0</v>
      </c>
    </row>
    <row r="275" spans="1:34">
      <c r="A275" s="9" t="s">
        <v>519</v>
      </c>
      <c r="B275" s="9"/>
      <c r="C275" s="9" t="s">
        <v>64</v>
      </c>
      <c r="D275" s="9"/>
      <c r="E275" s="23">
        <v>50179</v>
      </c>
      <c r="G275" s="42">
        <f t="shared" si="47"/>
        <v>7532432</v>
      </c>
      <c r="I275" s="42">
        <f>528682+23127691</f>
        <v>23656373</v>
      </c>
      <c r="K275" s="42">
        <v>500036</v>
      </c>
      <c r="M275" s="42">
        <f>31188805+500036</f>
        <v>31688841</v>
      </c>
      <c r="O275" s="42">
        <f t="shared" si="46"/>
        <v>740971</v>
      </c>
      <c r="Q275" s="42">
        <v>622109</v>
      </c>
      <c r="S275" s="42">
        <v>8438653</v>
      </c>
      <c r="U275" s="42">
        <v>3440332</v>
      </c>
      <c r="W275" s="42">
        <f>9801733+3440332</f>
        <v>13242065</v>
      </c>
      <c r="Y275" s="42">
        <v>16323080</v>
      </c>
      <c r="AA275" s="42">
        <f t="shared" si="43"/>
        <v>1071436</v>
      </c>
      <c r="AC275" s="42">
        <v>1052260</v>
      </c>
      <c r="AE275" s="42">
        <v>18446776</v>
      </c>
      <c r="AF275" s="42">
        <f t="shared" si="41"/>
        <v>0</v>
      </c>
      <c r="AH275" s="42">
        <f t="shared" si="48"/>
        <v>0</v>
      </c>
    </row>
    <row r="276" spans="1:34" hidden="1">
      <c r="A276" s="8" t="s">
        <v>861</v>
      </c>
      <c r="B276" s="8"/>
      <c r="C276" s="8" t="s">
        <v>464</v>
      </c>
      <c r="D276" s="8"/>
      <c r="E276" s="23">
        <v>49346</v>
      </c>
      <c r="G276" s="42">
        <f t="shared" si="47"/>
        <v>0</v>
      </c>
      <c r="I276" s="42">
        <v>0</v>
      </c>
      <c r="K276" s="42">
        <v>0</v>
      </c>
      <c r="M276" s="42">
        <v>0</v>
      </c>
      <c r="O276" s="42">
        <f t="shared" si="46"/>
        <v>0</v>
      </c>
      <c r="Q276" s="42">
        <v>0</v>
      </c>
      <c r="S276" s="42">
        <v>0</v>
      </c>
      <c r="U276" s="42">
        <v>0</v>
      </c>
      <c r="W276" s="42">
        <v>0</v>
      </c>
      <c r="Y276" s="42">
        <v>0</v>
      </c>
      <c r="AA276" s="42">
        <f t="shared" ref="AA276" si="49">AE276-AC276-Y276</f>
        <v>0</v>
      </c>
      <c r="AC276" s="42">
        <v>0</v>
      </c>
      <c r="AE276" s="42">
        <v>0</v>
      </c>
      <c r="AF276" s="42">
        <f t="shared" ref="AF276" si="50">+M276-W276-AE276</f>
        <v>0</v>
      </c>
      <c r="AH276" s="42">
        <f t="shared" si="48"/>
        <v>0</v>
      </c>
    </row>
    <row r="277" spans="1:34">
      <c r="A277" s="8" t="s">
        <v>285</v>
      </c>
      <c r="B277" s="8"/>
      <c r="C277" s="8" t="s">
        <v>24</v>
      </c>
      <c r="D277" s="8"/>
      <c r="E277" s="23">
        <v>46797</v>
      </c>
      <c r="G277" s="42">
        <f t="shared" si="47"/>
        <v>1477237</v>
      </c>
      <c r="I277" s="42">
        <v>1830203</v>
      </c>
      <c r="K277" s="42">
        <v>0</v>
      </c>
      <c r="M277" s="42">
        <v>3307440</v>
      </c>
      <c r="O277" s="42">
        <f t="shared" si="46"/>
        <v>20862</v>
      </c>
      <c r="Q277" s="42">
        <v>0</v>
      </c>
      <c r="S277" s="42">
        <v>22939</v>
      </c>
      <c r="U277" s="42">
        <v>400770</v>
      </c>
      <c r="W277" s="42">
        <f>43801+400770</f>
        <v>444571</v>
      </c>
      <c r="Y277" s="42">
        <v>1830203</v>
      </c>
      <c r="AA277" s="42">
        <f t="shared" si="43"/>
        <v>19577</v>
      </c>
      <c r="AC277" s="42">
        <v>1013089</v>
      </c>
      <c r="AE277" s="42">
        <v>2862869</v>
      </c>
      <c r="AF277" s="42">
        <f t="shared" si="41"/>
        <v>0</v>
      </c>
      <c r="AH277" s="42">
        <f t="shared" si="48"/>
        <v>0</v>
      </c>
    </row>
    <row r="278" spans="1:34">
      <c r="A278" s="8" t="s">
        <v>312</v>
      </c>
      <c r="B278" s="8"/>
      <c r="C278" s="8" t="s">
        <v>30</v>
      </c>
      <c r="D278" s="8"/>
      <c r="E278" s="23">
        <v>47191</v>
      </c>
      <c r="G278" s="42">
        <f t="shared" si="47"/>
        <v>47631831</v>
      </c>
      <c r="I278" s="42">
        <f>3617926+48474359</f>
        <v>52092285</v>
      </c>
      <c r="K278" s="42">
        <v>2244805</v>
      </c>
      <c r="M278" s="42">
        <f>99724116+2244805</f>
        <v>101968921</v>
      </c>
      <c r="O278" s="42">
        <f t="shared" si="46"/>
        <v>5045331</v>
      </c>
      <c r="Q278" s="42">
        <v>2883312</v>
      </c>
      <c r="S278" s="42">
        <v>43178521</v>
      </c>
      <c r="U278" s="42">
        <v>23277949</v>
      </c>
      <c r="W278" s="42">
        <f>51107164+23277949</f>
        <v>74385113</v>
      </c>
      <c r="Y278" s="42">
        <v>12447702</v>
      </c>
      <c r="AA278" s="42">
        <f t="shared" si="43"/>
        <v>4859482</v>
      </c>
      <c r="AC278" s="42">
        <v>10276624</v>
      </c>
      <c r="AE278" s="42">
        <v>27583808</v>
      </c>
      <c r="AF278" s="42">
        <f t="shared" si="41"/>
        <v>0</v>
      </c>
      <c r="AH278" s="42">
        <f t="shared" si="48"/>
        <v>0</v>
      </c>
    </row>
    <row r="279" spans="1:34">
      <c r="A279" s="8" t="s">
        <v>458</v>
      </c>
      <c r="B279" s="8"/>
      <c r="C279" s="8" t="s">
        <v>56</v>
      </c>
      <c r="D279" s="8"/>
      <c r="E279" s="23">
        <v>44164</v>
      </c>
      <c r="G279" s="42">
        <f t="shared" si="47"/>
        <v>44062183</v>
      </c>
      <c r="I279" s="42">
        <v>25894705</v>
      </c>
      <c r="K279" s="42">
        <v>38786</v>
      </c>
      <c r="M279" s="42">
        <f>69956888+38786</f>
        <v>69995674</v>
      </c>
      <c r="O279" s="42">
        <f t="shared" si="46"/>
        <v>5450769</v>
      </c>
      <c r="Q279" s="42">
        <v>2860263</v>
      </c>
      <c r="S279" s="42">
        <v>24589462</v>
      </c>
      <c r="U279" s="42">
        <v>22679912</v>
      </c>
      <c r="W279" s="42">
        <f>32900494+22679912</f>
        <v>55580406</v>
      </c>
      <c r="Y279" s="42">
        <v>13565064</v>
      </c>
      <c r="AA279" s="42">
        <f t="shared" si="43"/>
        <v>1899268</v>
      </c>
      <c r="AC279" s="42">
        <v>-1049064</v>
      </c>
      <c r="AE279" s="42">
        <v>14415268</v>
      </c>
      <c r="AF279" s="42">
        <f t="shared" si="41"/>
        <v>0</v>
      </c>
      <c r="AH279" s="42">
        <f t="shared" si="48"/>
        <v>0</v>
      </c>
    </row>
    <row r="280" spans="1:34" hidden="1">
      <c r="A280" s="8" t="s">
        <v>902</v>
      </c>
      <c r="B280" s="8"/>
      <c r="C280" s="8" t="s">
        <v>337</v>
      </c>
      <c r="D280" s="8"/>
      <c r="E280" s="23">
        <v>44172</v>
      </c>
      <c r="G280" s="42">
        <f t="shared" si="47"/>
        <v>0</v>
      </c>
      <c r="I280" s="42">
        <v>0</v>
      </c>
      <c r="K280" s="42">
        <v>0</v>
      </c>
      <c r="M280" s="42">
        <v>0</v>
      </c>
      <c r="O280" s="42">
        <f t="shared" si="46"/>
        <v>0</v>
      </c>
      <c r="Q280" s="42">
        <v>0</v>
      </c>
      <c r="S280" s="42">
        <v>0</v>
      </c>
      <c r="U280" s="42">
        <v>0</v>
      </c>
      <c r="W280" s="42">
        <v>0</v>
      </c>
      <c r="Y280" s="42">
        <v>0</v>
      </c>
      <c r="AA280" s="42">
        <f t="shared" si="43"/>
        <v>0</v>
      </c>
      <c r="AC280" s="42">
        <v>0</v>
      </c>
      <c r="AE280" s="42">
        <v>0</v>
      </c>
      <c r="AF280" s="42">
        <f t="shared" si="41"/>
        <v>0</v>
      </c>
      <c r="AH280" s="42">
        <f t="shared" si="48"/>
        <v>0</v>
      </c>
    </row>
    <row r="281" spans="1:34">
      <c r="A281" s="8" t="s">
        <v>428</v>
      </c>
      <c r="B281" s="8"/>
      <c r="C281" s="8" t="s">
        <v>50</v>
      </c>
      <c r="D281" s="8"/>
      <c r="E281" s="23">
        <v>44180</v>
      </c>
      <c r="F281" s="7"/>
      <c r="G281" s="42">
        <f t="shared" si="47"/>
        <v>84987952</v>
      </c>
      <c r="I281" s="42">
        <v>109296155</v>
      </c>
      <c r="K281" s="42">
        <v>2018861</v>
      </c>
      <c r="M281" s="42">
        <f>194284107+2018861</f>
        <v>196302968</v>
      </c>
      <c r="O281" s="42">
        <f t="shared" si="46"/>
        <v>14726901</v>
      </c>
      <c r="Q281" s="42">
        <v>4409299</v>
      </c>
      <c r="S281" s="42">
        <v>94390653</v>
      </c>
      <c r="U281" s="42">
        <v>56257603</v>
      </c>
      <c r="W281" s="42">
        <f>113526853+56257603</f>
        <v>169784456</v>
      </c>
      <c r="Y281" s="42">
        <v>21078401</v>
      </c>
      <c r="AA281" s="42">
        <f t="shared" si="43"/>
        <v>5720633</v>
      </c>
      <c r="AC281" s="42">
        <v>-280522</v>
      </c>
      <c r="AE281" s="42">
        <v>26518512</v>
      </c>
      <c r="AF281" s="42">
        <f t="shared" si="41"/>
        <v>0</v>
      </c>
      <c r="AH281" s="42">
        <f t="shared" si="48"/>
        <v>0</v>
      </c>
    </row>
    <row r="282" spans="1:34">
      <c r="A282" s="8" t="s">
        <v>632</v>
      </c>
      <c r="B282" s="8"/>
      <c r="C282" s="8" t="s">
        <v>44</v>
      </c>
      <c r="D282" s="8"/>
      <c r="E282" s="23">
        <v>48165</v>
      </c>
      <c r="G282" s="42">
        <f t="shared" si="47"/>
        <v>34523963</v>
      </c>
      <c r="I282" s="42">
        <v>29514547</v>
      </c>
      <c r="K282" s="42">
        <v>1061764</v>
      </c>
      <c r="M282" s="42">
        <f>64038510+1061764</f>
        <v>65100274</v>
      </c>
      <c r="O282" s="42">
        <f t="shared" si="46"/>
        <v>2084785</v>
      </c>
      <c r="Q282" s="42">
        <v>635528</v>
      </c>
      <c r="S282" s="42">
        <v>27274797</v>
      </c>
      <c r="U282" s="42">
        <v>5646623</v>
      </c>
      <c r="W282" s="42">
        <f>29995110+5646623</f>
        <v>35641733</v>
      </c>
      <c r="Y282" s="42">
        <v>3218793</v>
      </c>
      <c r="AA282" s="42">
        <f t="shared" si="43"/>
        <v>23173283</v>
      </c>
      <c r="AC282" s="42">
        <v>3066465</v>
      </c>
      <c r="AE282" s="42">
        <v>29458541</v>
      </c>
      <c r="AF282" s="42">
        <f t="shared" si="41"/>
        <v>0</v>
      </c>
      <c r="AH282" s="42">
        <f t="shared" si="48"/>
        <v>0</v>
      </c>
    </row>
    <row r="283" spans="1:34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f t="shared" si="47"/>
        <v>45337726</v>
      </c>
      <c r="I283" s="24">
        <f>3074466+47488257</f>
        <v>50562723</v>
      </c>
      <c r="K283" s="24">
        <v>4515163</v>
      </c>
      <c r="M283" s="24">
        <f>95900449+4515163</f>
        <v>100415612</v>
      </c>
      <c r="O283" s="24">
        <f t="shared" si="46"/>
        <v>3949008</v>
      </c>
      <c r="Q283" s="24">
        <v>2241163</v>
      </c>
      <c r="S283" s="24">
        <v>59100363</v>
      </c>
      <c r="U283" s="24">
        <v>24823229</v>
      </c>
      <c r="W283" s="24">
        <f>65290534+24823229</f>
        <v>90113763</v>
      </c>
      <c r="Y283" s="24">
        <v>-1351207</v>
      </c>
      <c r="AA283" s="24">
        <f t="shared" si="43"/>
        <v>4468321</v>
      </c>
      <c r="AC283" s="24">
        <v>7184735</v>
      </c>
      <c r="AE283" s="24">
        <v>10301849</v>
      </c>
      <c r="AF283" s="24">
        <f t="shared" si="41"/>
        <v>0</v>
      </c>
      <c r="AH283" s="24">
        <f t="shared" si="48"/>
        <v>0</v>
      </c>
    </row>
    <row r="284" spans="1:34">
      <c r="A284" s="8" t="s">
        <v>903</v>
      </c>
      <c r="B284" s="8"/>
      <c r="C284" s="8" t="s">
        <v>41</v>
      </c>
      <c r="D284" s="8"/>
      <c r="E284" s="23">
        <v>47878</v>
      </c>
      <c r="G284" s="42">
        <v>18113584</v>
      </c>
      <c r="I284" s="42">
        <v>17955572</v>
      </c>
      <c r="K284" s="42">
        <v>1230956</v>
      </c>
      <c r="M284" s="42">
        <v>37300112</v>
      </c>
      <c r="O284" s="42">
        <v>1951544</v>
      </c>
      <c r="Q284" s="42">
        <v>666333</v>
      </c>
      <c r="S284" s="42">
        <v>16062990</v>
      </c>
      <c r="U284" s="42">
        <v>9637572</v>
      </c>
      <c r="W284" s="42">
        <v>28318439</v>
      </c>
      <c r="Y284" s="42">
        <v>3910647</v>
      </c>
      <c r="AA284" s="42">
        <v>852209</v>
      </c>
      <c r="AC284" s="42">
        <v>4218817</v>
      </c>
      <c r="AE284" s="42">
        <v>8981673</v>
      </c>
      <c r="AF284" s="42">
        <f t="shared" si="41"/>
        <v>0</v>
      </c>
      <c r="AH284" s="42">
        <f t="shared" si="48"/>
        <v>0</v>
      </c>
    </row>
    <row r="285" spans="1:34">
      <c r="A285" s="8" t="s">
        <v>520</v>
      </c>
      <c r="B285" s="8"/>
      <c r="C285" s="8" t="s">
        <v>64</v>
      </c>
      <c r="D285" s="8"/>
      <c r="E285" s="23">
        <v>50245</v>
      </c>
      <c r="G285" s="42">
        <v>9991012</v>
      </c>
      <c r="I285" s="42">
        <v>21224918</v>
      </c>
      <c r="K285" s="42">
        <v>317009</v>
      </c>
      <c r="M285" s="42">
        <v>31532939</v>
      </c>
      <c r="O285" s="42">
        <v>1547375</v>
      </c>
      <c r="Q285" s="42">
        <v>573590</v>
      </c>
      <c r="S285" s="42">
        <v>7760078</v>
      </c>
      <c r="U285" s="42">
        <v>3201908</v>
      </c>
      <c r="W285" s="42">
        <v>13082951</v>
      </c>
      <c r="Y285" s="42">
        <v>14227590</v>
      </c>
      <c r="AA285" s="42">
        <v>2252972</v>
      </c>
      <c r="AC285" s="42">
        <v>1969426</v>
      </c>
      <c r="AE285" s="42">
        <v>18449988</v>
      </c>
      <c r="AF285" s="42">
        <f t="shared" si="41"/>
        <v>0</v>
      </c>
      <c r="AH285" s="42">
        <f t="shared" si="48"/>
        <v>0</v>
      </c>
    </row>
    <row r="286" spans="1:34">
      <c r="A286" s="8" t="s">
        <v>494</v>
      </c>
      <c r="B286" s="8"/>
      <c r="C286" s="8" t="s">
        <v>62</v>
      </c>
      <c r="D286" s="8"/>
      <c r="E286" s="23">
        <v>49866</v>
      </c>
      <c r="G286" s="42">
        <v>23306249</v>
      </c>
      <c r="I286" s="42">
        <v>35255210</v>
      </c>
      <c r="K286" s="42">
        <v>0</v>
      </c>
      <c r="M286" s="42">
        <v>58561459</v>
      </c>
      <c r="O286" s="42">
        <v>18470946</v>
      </c>
      <c r="Q286" s="42">
        <v>1385673</v>
      </c>
      <c r="S286" s="42">
        <v>25455154</v>
      </c>
      <c r="U286" s="42">
        <v>0</v>
      </c>
      <c r="W286" s="42">
        <v>45311773</v>
      </c>
      <c r="Y286" s="42">
        <v>11648860</v>
      </c>
      <c r="AA286" s="42">
        <v>1841673</v>
      </c>
      <c r="AC286" s="42">
        <v>-240847</v>
      </c>
      <c r="AE286" s="42">
        <v>13249686</v>
      </c>
      <c r="AF286" s="42">
        <f t="shared" si="41"/>
        <v>0</v>
      </c>
      <c r="AH286" s="42">
        <f t="shared" si="48"/>
        <v>0</v>
      </c>
    </row>
    <row r="287" spans="1:34" hidden="1">
      <c r="A287" s="8" t="s">
        <v>790</v>
      </c>
      <c r="B287" s="8"/>
      <c r="C287" s="8" t="s">
        <v>72</v>
      </c>
      <c r="D287" s="8"/>
      <c r="E287" s="23">
        <v>50690</v>
      </c>
      <c r="G287" s="42">
        <f t="shared" si="47"/>
        <v>0</v>
      </c>
      <c r="I287" s="42">
        <v>0</v>
      </c>
      <c r="K287" s="42">
        <v>0</v>
      </c>
      <c r="M287" s="42">
        <v>0</v>
      </c>
      <c r="O287" s="42">
        <f t="shared" si="46"/>
        <v>0</v>
      </c>
      <c r="Q287" s="42">
        <v>0</v>
      </c>
      <c r="S287" s="42">
        <v>0</v>
      </c>
      <c r="U287" s="42">
        <v>0</v>
      </c>
      <c r="W287" s="42">
        <v>0</v>
      </c>
      <c r="Y287" s="42">
        <v>0</v>
      </c>
      <c r="AA287" s="42">
        <f t="shared" si="43"/>
        <v>0</v>
      </c>
      <c r="AC287" s="42">
        <v>0</v>
      </c>
      <c r="AE287" s="42">
        <v>0</v>
      </c>
      <c r="AF287" s="42">
        <f t="shared" si="41"/>
        <v>0</v>
      </c>
      <c r="AH287" s="42">
        <f t="shared" si="48"/>
        <v>0</v>
      </c>
    </row>
    <row r="288" spans="1:34">
      <c r="A288" s="8" t="s">
        <v>521</v>
      </c>
      <c r="B288" s="8"/>
      <c r="C288" s="8" t="s">
        <v>64</v>
      </c>
      <c r="D288" s="8"/>
      <c r="E288" s="23">
        <v>50187</v>
      </c>
      <c r="G288" s="42">
        <f t="shared" si="47"/>
        <v>12507665</v>
      </c>
      <c r="I288" s="42">
        <f>513900+4930667</f>
        <v>5444567</v>
      </c>
      <c r="K288" s="42">
        <v>0</v>
      </c>
      <c r="M288" s="42">
        <v>17952232</v>
      </c>
      <c r="O288" s="42">
        <f t="shared" si="46"/>
        <v>1829109</v>
      </c>
      <c r="Q288" s="42">
        <v>920100</v>
      </c>
      <c r="S288" s="42">
        <v>3239346</v>
      </c>
      <c r="U288" s="42">
        <v>7974566</v>
      </c>
      <c r="W288" s="42">
        <f>5988555+7974566</f>
        <v>13963121</v>
      </c>
      <c r="Y288" s="42">
        <v>3219064</v>
      </c>
      <c r="AA288" s="42">
        <f t="shared" si="43"/>
        <v>688316</v>
      </c>
      <c r="AC288" s="42">
        <v>81731</v>
      </c>
      <c r="AE288" s="42">
        <v>3989111</v>
      </c>
      <c r="AF288" s="42">
        <f t="shared" si="41"/>
        <v>0</v>
      </c>
      <c r="AH288" s="42">
        <f t="shared" si="48"/>
        <v>0</v>
      </c>
    </row>
    <row r="289" spans="1:34">
      <c r="A289" s="8" t="s">
        <v>268</v>
      </c>
      <c r="B289" s="8"/>
      <c r="C289" s="8" t="s">
        <v>20</v>
      </c>
      <c r="D289" s="8"/>
      <c r="E289" s="23">
        <v>44198</v>
      </c>
      <c r="G289" s="42">
        <f t="shared" si="47"/>
        <v>79939497</v>
      </c>
      <c r="I289" s="42">
        <v>128880312</v>
      </c>
      <c r="K289" s="42">
        <v>2561334</v>
      </c>
      <c r="M289" s="42">
        <f>208819809+2561334</f>
        <v>211381143</v>
      </c>
      <c r="O289" s="42">
        <f t="shared" si="46"/>
        <v>10081525</v>
      </c>
      <c r="Q289" s="42">
        <v>7003102</v>
      </c>
      <c r="S289" s="42">
        <v>129258310</v>
      </c>
      <c r="U289" s="42">
        <v>38347826</v>
      </c>
      <c r="W289" s="42">
        <f>146342937+38347826</f>
        <v>184690763</v>
      </c>
      <c r="Y289" s="42">
        <v>20950928</v>
      </c>
      <c r="AA289" s="42">
        <f t="shared" si="43"/>
        <v>2442355</v>
      </c>
      <c r="AC289" s="42">
        <v>3297097</v>
      </c>
      <c r="AE289" s="42">
        <v>26690380</v>
      </c>
      <c r="AF289" s="42">
        <f t="shared" si="41"/>
        <v>0</v>
      </c>
      <c r="AH289" s="42">
        <f t="shared" si="48"/>
        <v>0</v>
      </c>
    </row>
    <row r="290" spans="1:34">
      <c r="A290" s="8" t="s">
        <v>625</v>
      </c>
      <c r="B290" s="8"/>
      <c r="C290" s="8" t="s">
        <v>42</v>
      </c>
      <c r="D290" s="8"/>
      <c r="E290" s="23">
        <v>47993</v>
      </c>
      <c r="G290" s="42">
        <f t="shared" si="47"/>
        <v>24560159</v>
      </c>
      <c r="I290" s="42">
        <v>14085919</v>
      </c>
      <c r="K290" s="42">
        <v>319403</v>
      </c>
      <c r="M290" s="42">
        <f>38646078+319403</f>
        <v>38965481</v>
      </c>
      <c r="O290" s="42">
        <f t="shared" si="46"/>
        <v>2967312</v>
      </c>
      <c r="Q290" s="42">
        <v>900883</v>
      </c>
      <c r="S290" s="42">
        <v>11699944</v>
      </c>
      <c r="U290" s="42">
        <v>11558375</v>
      </c>
      <c r="W290" s="42">
        <f>15568139+11558375</f>
        <v>27126514</v>
      </c>
      <c r="Y290" s="42">
        <v>3187873</v>
      </c>
      <c r="AA290" s="42">
        <f t="shared" si="43"/>
        <v>1047090</v>
      </c>
      <c r="AC290" s="42">
        <v>7604004</v>
      </c>
      <c r="AE290" s="42">
        <v>11838967</v>
      </c>
      <c r="AF290" s="42">
        <f t="shared" si="41"/>
        <v>0</v>
      </c>
      <c r="AH290" s="42">
        <f t="shared" si="48"/>
        <v>0</v>
      </c>
    </row>
    <row r="291" spans="1:34">
      <c r="A291" s="8" t="s">
        <v>222</v>
      </c>
      <c r="B291" s="8"/>
      <c r="C291" s="8" t="s">
        <v>220</v>
      </c>
      <c r="D291" s="8"/>
      <c r="E291" s="23">
        <v>46110</v>
      </c>
      <c r="G291" s="42">
        <f t="shared" si="47"/>
        <v>156547022</v>
      </c>
      <c r="I291" s="42">
        <f>8858505+180228989</f>
        <v>189087494</v>
      </c>
      <c r="K291" s="42">
        <v>0</v>
      </c>
      <c r="M291" s="42">
        <v>345634516</v>
      </c>
      <c r="O291" s="42">
        <f t="shared" si="46"/>
        <v>125806769</v>
      </c>
      <c r="Q291" s="42">
        <v>8831015</v>
      </c>
      <c r="S291" s="42">
        <v>152962532</v>
      </c>
      <c r="U291" s="42">
        <v>0</v>
      </c>
      <c r="W291" s="42">
        <v>287600316</v>
      </c>
      <c r="Y291" s="42">
        <v>26180412</v>
      </c>
      <c r="AA291" s="42">
        <f t="shared" si="43"/>
        <v>12146326</v>
      </c>
      <c r="AC291" s="42">
        <v>19707462</v>
      </c>
      <c r="AE291" s="42">
        <v>58034200</v>
      </c>
      <c r="AF291" s="42">
        <f t="shared" si="41"/>
        <v>0</v>
      </c>
      <c r="AH291" s="42">
        <f t="shared" si="48"/>
        <v>0</v>
      </c>
    </row>
    <row r="292" spans="1:34" hidden="1">
      <c r="A292" s="8" t="s">
        <v>791</v>
      </c>
      <c r="B292" s="8"/>
      <c r="C292" s="8" t="s">
        <v>79</v>
      </c>
      <c r="D292" s="8"/>
      <c r="E292" s="23">
        <v>49569</v>
      </c>
      <c r="G292" s="42">
        <f t="shared" si="47"/>
        <v>0</v>
      </c>
      <c r="I292" s="42">
        <v>0</v>
      </c>
      <c r="K292" s="42">
        <v>0</v>
      </c>
      <c r="M292" s="42">
        <v>0</v>
      </c>
      <c r="O292" s="42">
        <f t="shared" si="46"/>
        <v>0</v>
      </c>
      <c r="Q292" s="42">
        <v>0</v>
      </c>
      <c r="S292" s="42">
        <v>0</v>
      </c>
      <c r="U292" s="42">
        <v>0</v>
      </c>
      <c r="W292" s="42">
        <v>0</v>
      </c>
      <c r="Y292" s="42">
        <v>0</v>
      </c>
      <c r="AA292" s="42">
        <f t="shared" si="43"/>
        <v>0</v>
      </c>
      <c r="AC292" s="42">
        <v>0</v>
      </c>
      <c r="AE292" s="42">
        <v>0</v>
      </c>
      <c r="AF292" s="42">
        <f t="shared" si="41"/>
        <v>0</v>
      </c>
      <c r="AH292" s="42">
        <f t="shared" si="48"/>
        <v>0</v>
      </c>
    </row>
    <row r="293" spans="1:34">
      <c r="A293" s="8" t="s">
        <v>293</v>
      </c>
      <c r="B293" s="8"/>
      <c r="C293" s="8" t="s">
        <v>25</v>
      </c>
      <c r="D293" s="8"/>
      <c r="E293" s="23">
        <v>44206</v>
      </c>
      <c r="G293" s="42">
        <f t="shared" si="47"/>
        <v>173161279</v>
      </c>
      <c r="I293" s="42">
        <f>3360040+9782372</f>
        <v>13142412</v>
      </c>
      <c r="K293" s="42">
        <v>0</v>
      </c>
      <c r="M293" s="42">
        <v>186303691</v>
      </c>
      <c r="O293" s="42">
        <f t="shared" si="46"/>
        <v>8592721</v>
      </c>
      <c r="Q293" s="42">
        <v>2524547</v>
      </c>
      <c r="S293" s="42">
        <v>67423566</v>
      </c>
      <c r="U293" s="42">
        <v>22873981</v>
      </c>
      <c r="W293" s="42">
        <f>78540834+22873981</f>
        <v>101414815</v>
      </c>
      <c r="Y293" s="42">
        <v>11590278</v>
      </c>
      <c r="AA293" s="42">
        <f t="shared" si="43"/>
        <v>29898542</v>
      </c>
      <c r="AC293" s="42">
        <v>43400056</v>
      </c>
      <c r="AE293" s="42">
        <v>84888876</v>
      </c>
      <c r="AF293" s="42">
        <f t="shared" si="41"/>
        <v>0</v>
      </c>
      <c r="AH293" s="42">
        <f t="shared" si="48"/>
        <v>0</v>
      </c>
    </row>
    <row r="294" spans="1:34" hidden="1">
      <c r="A294" s="8" t="s">
        <v>723</v>
      </c>
      <c r="B294" s="8"/>
      <c r="C294" s="8" t="s">
        <v>69</v>
      </c>
      <c r="D294" s="8"/>
      <c r="E294" s="23">
        <v>44214</v>
      </c>
      <c r="G294" s="42">
        <f t="shared" si="47"/>
        <v>0</v>
      </c>
      <c r="I294" s="42">
        <v>0</v>
      </c>
      <c r="K294" s="42">
        <v>0</v>
      </c>
      <c r="M294" s="42">
        <v>0</v>
      </c>
      <c r="O294" s="42">
        <f t="shared" si="46"/>
        <v>0</v>
      </c>
      <c r="Q294" s="42">
        <v>0</v>
      </c>
      <c r="S294" s="42">
        <v>0</v>
      </c>
      <c r="U294" s="42">
        <v>0</v>
      </c>
      <c r="W294" s="42">
        <v>0</v>
      </c>
      <c r="Y294" s="42">
        <v>0</v>
      </c>
      <c r="AA294" s="42">
        <f t="shared" si="43"/>
        <v>0</v>
      </c>
      <c r="AC294" s="42">
        <v>0</v>
      </c>
      <c r="AE294" s="42">
        <v>0</v>
      </c>
      <c r="AF294" s="42">
        <f t="shared" si="41"/>
        <v>0</v>
      </c>
      <c r="AH294" s="42">
        <f t="shared" si="48"/>
        <v>0</v>
      </c>
    </row>
    <row r="295" spans="1:34">
      <c r="A295" s="8" t="s">
        <v>313</v>
      </c>
      <c r="B295" s="8"/>
      <c r="C295" s="8" t="s">
        <v>30</v>
      </c>
      <c r="D295" s="8"/>
      <c r="E295" s="23">
        <v>47209</v>
      </c>
      <c r="F295" s="7"/>
      <c r="G295" s="42">
        <f t="shared" si="47"/>
        <v>2919475</v>
      </c>
      <c r="I295" s="42">
        <f>119100+1038149</f>
        <v>1157249</v>
      </c>
      <c r="K295" s="42">
        <v>0</v>
      </c>
      <c r="M295" s="42">
        <v>4076724</v>
      </c>
      <c r="O295" s="42">
        <f t="shared" si="46"/>
        <v>3471311</v>
      </c>
      <c r="Q295" s="42">
        <v>17108</v>
      </c>
      <c r="S295" s="42">
        <v>213646</v>
      </c>
      <c r="U295" s="42">
        <v>1708824</v>
      </c>
      <c r="W295" s="42">
        <f>3702065+1708824</f>
        <v>5410889</v>
      </c>
      <c r="Y295" s="42">
        <v>1033249</v>
      </c>
      <c r="AA295" s="42">
        <f t="shared" si="43"/>
        <v>94788</v>
      </c>
      <c r="AC295" s="42">
        <v>-2462202</v>
      </c>
      <c r="AE295" s="42">
        <v>-1334165</v>
      </c>
      <c r="AF295" s="42">
        <f t="shared" si="41"/>
        <v>0</v>
      </c>
      <c r="AH295" s="42">
        <f t="shared" si="48"/>
        <v>0</v>
      </c>
    </row>
    <row r="296" spans="1:34" hidden="1">
      <c r="A296" s="9" t="s">
        <v>757</v>
      </c>
      <c r="B296" s="8"/>
      <c r="C296" s="8" t="s">
        <v>111</v>
      </c>
      <c r="D296" s="8"/>
      <c r="E296" s="23">
        <v>45443</v>
      </c>
      <c r="F296" s="7"/>
      <c r="G296" s="42">
        <f t="shared" si="47"/>
        <v>0</v>
      </c>
      <c r="I296" s="42">
        <v>0</v>
      </c>
      <c r="K296" s="42">
        <v>0</v>
      </c>
      <c r="M296" s="42">
        <v>0</v>
      </c>
      <c r="O296" s="42">
        <f t="shared" si="46"/>
        <v>0</v>
      </c>
      <c r="Q296" s="42">
        <v>0</v>
      </c>
      <c r="S296" s="42">
        <v>0</v>
      </c>
      <c r="U296" s="42">
        <v>0</v>
      </c>
      <c r="W296" s="42">
        <v>0</v>
      </c>
      <c r="Y296" s="42">
        <v>0</v>
      </c>
      <c r="AC296" s="42">
        <v>0</v>
      </c>
      <c r="AE296" s="42">
        <v>0</v>
      </c>
      <c r="AH296" s="42">
        <f t="shared" si="48"/>
        <v>0</v>
      </c>
    </row>
    <row r="297" spans="1:34" hidden="1">
      <c r="A297" s="8" t="s">
        <v>676</v>
      </c>
      <c r="B297" s="8"/>
      <c r="C297" s="8" t="s">
        <v>464</v>
      </c>
      <c r="D297" s="8"/>
      <c r="E297" s="23">
        <v>49353</v>
      </c>
      <c r="G297" s="42">
        <f t="shared" si="47"/>
        <v>0</v>
      </c>
      <c r="I297" s="42">
        <v>0</v>
      </c>
      <c r="K297" s="42">
        <v>0</v>
      </c>
      <c r="M297" s="42">
        <v>0</v>
      </c>
      <c r="O297" s="42">
        <f t="shared" si="46"/>
        <v>0</v>
      </c>
      <c r="Q297" s="42">
        <v>0</v>
      </c>
      <c r="S297" s="42">
        <v>0</v>
      </c>
      <c r="U297" s="42">
        <v>0</v>
      </c>
      <c r="W297" s="42">
        <v>0</v>
      </c>
      <c r="Y297" s="42">
        <v>0</v>
      </c>
      <c r="AA297" s="42">
        <f t="shared" si="43"/>
        <v>0</v>
      </c>
      <c r="AC297" s="42">
        <v>0</v>
      </c>
      <c r="AE297" s="42">
        <v>0</v>
      </c>
      <c r="AF297" s="42">
        <f t="shared" si="41"/>
        <v>0</v>
      </c>
      <c r="AH297" s="42">
        <f t="shared" si="48"/>
        <v>0</v>
      </c>
    </row>
    <row r="298" spans="1:34" hidden="1">
      <c r="A298" s="8" t="s">
        <v>792</v>
      </c>
      <c r="B298" s="8"/>
      <c r="C298" s="8" t="s">
        <v>109</v>
      </c>
      <c r="D298" s="8"/>
      <c r="E298" s="23">
        <v>49437</v>
      </c>
      <c r="G298" s="42">
        <f t="shared" si="47"/>
        <v>0</v>
      </c>
      <c r="I298" s="42">
        <v>0</v>
      </c>
      <c r="K298" s="42">
        <v>0</v>
      </c>
      <c r="M298" s="42">
        <v>0</v>
      </c>
      <c r="O298" s="42">
        <f t="shared" si="46"/>
        <v>0</v>
      </c>
      <c r="Q298" s="42">
        <v>0</v>
      </c>
      <c r="S298" s="42">
        <v>0</v>
      </c>
      <c r="U298" s="42">
        <v>0</v>
      </c>
      <c r="W298" s="42">
        <v>0</v>
      </c>
      <c r="Y298" s="42">
        <v>0</v>
      </c>
      <c r="AA298" s="42">
        <f t="shared" si="43"/>
        <v>0</v>
      </c>
      <c r="AC298" s="42">
        <v>0</v>
      </c>
      <c r="AE298" s="42">
        <v>0</v>
      </c>
      <c r="AF298" s="42">
        <f t="shared" ref="AF298:AF320" si="51">+M298-W298-AE298</f>
        <v>0</v>
      </c>
      <c r="AH298" s="42">
        <f t="shared" si="48"/>
        <v>0</v>
      </c>
    </row>
    <row r="299" spans="1:34">
      <c r="A299" s="8" t="s">
        <v>793</v>
      </c>
      <c r="B299" s="8"/>
      <c r="C299" s="8" t="s">
        <v>33</v>
      </c>
      <c r="D299" s="8"/>
      <c r="E299" s="23">
        <v>47449</v>
      </c>
      <c r="G299" s="42">
        <f t="shared" si="47"/>
        <v>13274125</v>
      </c>
      <c r="I299" s="42">
        <f>930570+8235692</f>
        <v>9166262</v>
      </c>
      <c r="K299" s="42">
        <v>10281</v>
      </c>
      <c r="M299" s="42">
        <f>22440387+10281</f>
        <v>22450668</v>
      </c>
      <c r="O299" s="42">
        <f t="shared" si="46"/>
        <v>1318701</v>
      </c>
      <c r="Q299" s="42">
        <v>100922</v>
      </c>
      <c r="S299" s="42">
        <v>4082981</v>
      </c>
      <c r="U299" s="42">
        <v>3898422</v>
      </c>
      <c r="W299" s="42">
        <f>5502604+3898422</f>
        <v>9401026</v>
      </c>
      <c r="Y299" s="42">
        <v>7407484</v>
      </c>
      <c r="AA299" s="42">
        <f>AE299-AC299-Y299</f>
        <v>730854</v>
      </c>
      <c r="AC299" s="42">
        <v>4911304</v>
      </c>
      <c r="AE299" s="42">
        <v>13049642</v>
      </c>
      <c r="AF299" s="42">
        <f>+M299-W299-AE299</f>
        <v>0</v>
      </c>
      <c r="AH299" s="42">
        <f t="shared" si="48"/>
        <v>0</v>
      </c>
    </row>
    <row r="300" spans="1:34">
      <c r="A300" s="8" t="s">
        <v>343</v>
      </c>
      <c r="B300" s="8"/>
      <c r="C300" s="8" t="s">
        <v>34</v>
      </c>
      <c r="D300" s="8"/>
      <c r="E300" s="23">
        <v>47589</v>
      </c>
      <c r="G300" s="42">
        <f t="shared" si="47"/>
        <v>12016816</v>
      </c>
      <c r="I300" s="42">
        <f>1014877+6208671</f>
        <v>7223548</v>
      </c>
      <c r="K300" s="42">
        <v>0</v>
      </c>
      <c r="M300" s="42">
        <v>19240364</v>
      </c>
      <c r="O300" s="42">
        <f t="shared" si="46"/>
        <v>1388128</v>
      </c>
      <c r="Q300" s="42">
        <v>437248</v>
      </c>
      <c r="S300" s="42">
        <v>2333101</v>
      </c>
      <c r="U300" s="42">
        <v>4313316</v>
      </c>
      <c r="W300" s="42">
        <v>8471793</v>
      </c>
      <c r="Y300" s="42">
        <v>5240320</v>
      </c>
      <c r="AA300" s="42">
        <f t="shared" si="43"/>
        <v>807801</v>
      </c>
      <c r="AC300" s="42">
        <v>4720450</v>
      </c>
      <c r="AE300" s="42">
        <v>10768571</v>
      </c>
      <c r="AF300" s="42">
        <f t="shared" si="51"/>
        <v>0</v>
      </c>
      <c r="AH300" s="42">
        <f t="shared" si="48"/>
        <v>0</v>
      </c>
    </row>
    <row r="301" spans="1:34">
      <c r="A301" s="8" t="s">
        <v>522</v>
      </c>
      <c r="B301" s="8"/>
      <c r="C301" s="8" t="s">
        <v>64</v>
      </c>
      <c r="D301" s="8"/>
      <c r="E301" s="23">
        <v>50195</v>
      </c>
      <c r="G301" s="42">
        <f t="shared" si="47"/>
        <v>14304180</v>
      </c>
      <c r="I301" s="42">
        <f>349160+9141580</f>
        <v>9490740</v>
      </c>
      <c r="K301" s="42">
        <v>150903</v>
      </c>
      <c r="M301" s="42">
        <f>23794920+150903</f>
        <v>23945823</v>
      </c>
      <c r="O301" s="42">
        <f t="shared" si="46"/>
        <v>4171087</v>
      </c>
      <c r="Q301" s="42">
        <v>849669</v>
      </c>
      <c r="S301" s="42">
        <v>9174333</v>
      </c>
      <c r="U301" s="42">
        <v>8520679</v>
      </c>
      <c r="W301" s="42">
        <f>14195089+8520679</f>
        <v>22715768</v>
      </c>
      <c r="Y301" s="42">
        <v>3612621</v>
      </c>
      <c r="AA301" s="42">
        <f t="shared" si="43"/>
        <v>2080972</v>
      </c>
      <c r="AC301" s="42">
        <v>-4463538</v>
      </c>
      <c r="AE301" s="42">
        <v>1230055</v>
      </c>
      <c r="AF301" s="42">
        <f t="shared" si="51"/>
        <v>0</v>
      </c>
      <c r="AH301" s="42">
        <f t="shared" si="48"/>
        <v>0</v>
      </c>
    </row>
    <row r="302" spans="1:34">
      <c r="A302" s="8" t="s">
        <v>738</v>
      </c>
      <c r="B302" s="8"/>
      <c r="C302" s="8" t="s">
        <v>25</v>
      </c>
      <c r="D302" s="8"/>
      <c r="E302" s="23">
        <v>46888</v>
      </c>
      <c r="G302" s="42">
        <f t="shared" si="47"/>
        <v>19107313</v>
      </c>
      <c r="I302" s="42">
        <f>588863+26840830</f>
        <v>27429693</v>
      </c>
      <c r="K302" s="42">
        <v>230734</v>
      </c>
      <c r="M302" s="42">
        <f>46537006+230734</f>
        <v>46767740</v>
      </c>
      <c r="O302" s="42">
        <f t="shared" si="46"/>
        <v>1544815</v>
      </c>
      <c r="Q302" s="42">
        <v>1053745</v>
      </c>
      <c r="S302" s="42">
        <v>10312929</v>
      </c>
      <c r="U302" s="42">
        <v>3739535</v>
      </c>
      <c r="W302" s="42">
        <f>12911489+3739535</f>
        <v>16651024</v>
      </c>
      <c r="Y302" s="42">
        <v>17163958</v>
      </c>
      <c r="AA302" s="42">
        <f t="shared" si="43"/>
        <v>6201338</v>
      </c>
      <c r="AC302" s="42">
        <v>6751420</v>
      </c>
      <c r="AE302" s="42">
        <v>30116716</v>
      </c>
      <c r="AF302" s="42">
        <f t="shared" si="51"/>
        <v>0</v>
      </c>
      <c r="AH302" s="42">
        <f t="shared" si="48"/>
        <v>0</v>
      </c>
    </row>
    <row r="303" spans="1:34">
      <c r="A303" s="9" t="s">
        <v>904</v>
      </c>
      <c r="B303" s="8"/>
      <c r="C303" s="8" t="s">
        <v>42</v>
      </c>
      <c r="D303" s="8"/>
      <c r="E303" s="23">
        <v>48009</v>
      </c>
      <c r="G303" s="42">
        <f t="shared" si="47"/>
        <v>35906729</v>
      </c>
      <c r="I303" s="42">
        <f>1821947+58513366</f>
        <v>60335313</v>
      </c>
      <c r="K303" s="42">
        <v>3054726</v>
      </c>
      <c r="M303" s="42">
        <f>96242042+3054726</f>
        <v>99296768</v>
      </c>
      <c r="O303" s="42">
        <f t="shared" si="46"/>
        <v>3751460</v>
      </c>
      <c r="Q303" s="42">
        <v>3201500</v>
      </c>
      <c r="S303" s="42">
        <v>73348102</v>
      </c>
      <c r="U303" s="42">
        <v>17777560</v>
      </c>
      <c r="W303" s="42">
        <f>80301062+17777560</f>
        <v>98078622</v>
      </c>
      <c r="Y303" s="42">
        <v>2030</v>
      </c>
      <c r="AA303" s="42">
        <f>AE303-AC303-Y303</f>
        <v>3975000</v>
      </c>
      <c r="AC303" s="42">
        <v>-2758884</v>
      </c>
      <c r="AE303" s="42">
        <v>1218146</v>
      </c>
      <c r="AF303" s="42">
        <f t="shared" si="51"/>
        <v>0</v>
      </c>
      <c r="AH303" s="42">
        <f t="shared" si="48"/>
        <v>0</v>
      </c>
    </row>
    <row r="304" spans="1:34">
      <c r="A304" s="8" t="s">
        <v>373</v>
      </c>
      <c r="B304" s="8"/>
      <c r="C304" s="8" t="s">
        <v>42</v>
      </c>
      <c r="D304" s="8"/>
      <c r="E304" s="23">
        <v>48017</v>
      </c>
      <c r="G304" s="42">
        <f t="shared" si="47"/>
        <v>14090828</v>
      </c>
      <c r="I304" s="42">
        <f>566500+39294195</f>
        <v>39860695</v>
      </c>
      <c r="K304" s="42">
        <v>0</v>
      </c>
      <c r="M304" s="42">
        <v>53951523</v>
      </c>
      <c r="O304" s="42">
        <f t="shared" si="46"/>
        <v>1857301</v>
      </c>
      <c r="Q304" s="42">
        <v>1370508</v>
      </c>
      <c r="S304" s="42">
        <v>14238011</v>
      </c>
      <c r="U304" s="42">
        <v>4827520</v>
      </c>
      <c r="W304" s="42">
        <f>17465820+4827520</f>
        <v>22293340</v>
      </c>
      <c r="Y304" s="42">
        <v>26266310</v>
      </c>
      <c r="AA304" s="42">
        <f>AE304-AC304-Y304</f>
        <v>1409617</v>
      </c>
      <c r="AC304" s="42">
        <v>3982256</v>
      </c>
      <c r="AE304" s="42">
        <v>31658183</v>
      </c>
      <c r="AF304" s="42">
        <f t="shared" si="51"/>
        <v>0</v>
      </c>
      <c r="AH304" s="42">
        <f t="shared" si="48"/>
        <v>0</v>
      </c>
    </row>
    <row r="305" spans="1:34" hidden="1">
      <c r="A305" s="9" t="s">
        <v>677</v>
      </c>
      <c r="B305" s="9"/>
      <c r="C305" s="9" t="s">
        <v>10</v>
      </c>
      <c r="D305" s="8"/>
      <c r="E305" s="23">
        <v>44222</v>
      </c>
      <c r="G305" s="42">
        <f t="shared" si="47"/>
        <v>0</v>
      </c>
      <c r="I305" s="42">
        <v>0</v>
      </c>
      <c r="K305" s="42">
        <v>0</v>
      </c>
      <c r="M305" s="42">
        <v>0</v>
      </c>
      <c r="O305" s="42">
        <f t="shared" si="46"/>
        <v>0</v>
      </c>
      <c r="Q305" s="42">
        <v>0</v>
      </c>
      <c r="S305" s="42">
        <v>0</v>
      </c>
      <c r="U305" s="42">
        <v>0</v>
      </c>
      <c r="W305" s="42">
        <v>0</v>
      </c>
      <c r="Y305" s="42">
        <v>0</v>
      </c>
      <c r="AA305" s="42">
        <f t="shared" ref="AA305:AA307" si="52">AE305-AC305-Y305</f>
        <v>0</v>
      </c>
      <c r="AC305" s="42">
        <v>0</v>
      </c>
      <c r="AE305" s="42">
        <v>0</v>
      </c>
      <c r="AF305" s="42">
        <f t="shared" si="51"/>
        <v>0</v>
      </c>
      <c r="AH305" s="42">
        <f t="shared" si="48"/>
        <v>0</v>
      </c>
    </row>
    <row r="306" spans="1:34">
      <c r="A306" s="8" t="s">
        <v>537</v>
      </c>
      <c r="B306" s="8"/>
      <c r="C306" s="8" t="s">
        <v>67</v>
      </c>
      <c r="D306" s="8"/>
      <c r="E306" s="23">
        <v>50369</v>
      </c>
      <c r="G306" s="42">
        <f t="shared" si="47"/>
        <v>16841030</v>
      </c>
      <c r="I306" s="42">
        <v>22789794</v>
      </c>
      <c r="K306" s="42">
        <v>298893</v>
      </c>
      <c r="M306" s="42">
        <f>39630824+298893</f>
        <v>39929717</v>
      </c>
      <c r="O306" s="42">
        <f t="shared" si="46"/>
        <v>802067</v>
      </c>
      <c r="Q306" s="42">
        <v>519920</v>
      </c>
      <c r="S306" s="42">
        <v>11304267</v>
      </c>
      <c r="U306" s="42">
        <v>3053949</v>
      </c>
      <c r="W306" s="42">
        <v>15680203</v>
      </c>
      <c r="Y306" s="42">
        <v>12126777</v>
      </c>
      <c r="AA306" s="42">
        <f t="shared" si="52"/>
        <v>1330383</v>
      </c>
      <c r="AC306" s="42">
        <v>10792354</v>
      </c>
      <c r="AE306" s="42">
        <v>24249514</v>
      </c>
      <c r="AF306" s="42">
        <f t="shared" si="51"/>
        <v>0</v>
      </c>
      <c r="AH306" s="42">
        <f t="shared" si="48"/>
        <v>0</v>
      </c>
    </row>
    <row r="307" spans="1:34">
      <c r="A307" s="8" t="s">
        <v>760</v>
      </c>
      <c r="B307" s="8"/>
      <c r="C307" s="8" t="s">
        <v>111</v>
      </c>
      <c r="D307" s="8"/>
      <c r="E307" s="23">
        <v>45450</v>
      </c>
      <c r="G307" s="42">
        <f t="shared" si="47"/>
        <v>22445362</v>
      </c>
      <c r="I307" s="42">
        <v>4993631</v>
      </c>
      <c r="K307" s="42">
        <v>0</v>
      </c>
      <c r="M307" s="42">
        <v>27438993</v>
      </c>
      <c r="O307" s="42">
        <f t="shared" si="46"/>
        <v>876366</v>
      </c>
      <c r="Q307" s="42">
        <v>351226</v>
      </c>
      <c r="S307" s="42">
        <v>5513934</v>
      </c>
      <c r="U307" s="42">
        <v>1949420</v>
      </c>
      <c r="W307" s="42">
        <f>6741526+1949420</f>
        <v>8690946</v>
      </c>
      <c r="Y307" s="42">
        <v>14661917</v>
      </c>
      <c r="AA307" s="42">
        <f t="shared" si="52"/>
        <v>1529176</v>
      </c>
      <c r="AC307" s="42">
        <v>2556954</v>
      </c>
      <c r="AE307" s="42">
        <v>18748047</v>
      </c>
      <c r="AF307" s="42">
        <f t="shared" si="51"/>
        <v>0</v>
      </c>
      <c r="AH307" s="42">
        <f t="shared" si="48"/>
        <v>0</v>
      </c>
    </row>
    <row r="308" spans="1:34">
      <c r="A308" s="9" t="s">
        <v>541</v>
      </c>
      <c r="B308" s="9"/>
      <c r="C308" s="9" t="s">
        <v>69</v>
      </c>
      <c r="D308" s="9"/>
      <c r="E308" s="23">
        <v>50443</v>
      </c>
      <c r="G308" s="42">
        <f t="shared" si="47"/>
        <v>54670745</v>
      </c>
      <c r="I308" s="42">
        <f>2538132+67277755</f>
        <v>69815887</v>
      </c>
      <c r="K308" s="42">
        <v>0</v>
      </c>
      <c r="M308" s="42">
        <v>124486632</v>
      </c>
      <c r="O308" s="42">
        <f t="shared" si="46"/>
        <v>38091377</v>
      </c>
      <c r="Q308" s="42">
        <v>3770474</v>
      </c>
      <c r="S308" s="42">
        <v>70019911</v>
      </c>
      <c r="U308" s="42">
        <v>0</v>
      </c>
      <c r="W308" s="42">
        <v>111881762</v>
      </c>
      <c r="Y308" s="42">
        <v>3732261</v>
      </c>
      <c r="AA308" s="42">
        <f>AE308-AC308-Y308</f>
        <v>4446871</v>
      </c>
      <c r="AC308" s="42">
        <v>4425738</v>
      </c>
      <c r="AE308" s="42">
        <v>12604870</v>
      </c>
      <c r="AF308" s="42">
        <f t="shared" si="51"/>
        <v>0</v>
      </c>
      <c r="AH308" s="42">
        <f t="shared" si="48"/>
        <v>0</v>
      </c>
    </row>
    <row r="309" spans="1:34" hidden="1">
      <c r="A309" s="8" t="s">
        <v>794</v>
      </c>
      <c r="B309" s="8"/>
      <c r="C309" s="8" t="s">
        <v>32</v>
      </c>
      <c r="D309" s="8"/>
      <c r="E309" s="23">
        <v>44230</v>
      </c>
      <c r="G309" s="42">
        <f t="shared" si="47"/>
        <v>0</v>
      </c>
      <c r="I309" s="42">
        <v>0</v>
      </c>
      <c r="K309" s="42">
        <v>0</v>
      </c>
      <c r="M309" s="42">
        <v>0</v>
      </c>
      <c r="O309" s="42">
        <f t="shared" si="46"/>
        <v>0</v>
      </c>
      <c r="Q309" s="42">
        <v>0</v>
      </c>
      <c r="S309" s="42">
        <v>0</v>
      </c>
      <c r="U309" s="42">
        <v>0</v>
      </c>
      <c r="W309" s="42">
        <v>0</v>
      </c>
      <c r="Y309" s="42">
        <v>0</v>
      </c>
      <c r="AA309" s="42">
        <f t="shared" ref="AA309:AA313" si="53">AE309-AC309-Y309</f>
        <v>0</v>
      </c>
      <c r="AC309" s="42">
        <v>0</v>
      </c>
      <c r="AE309" s="42">
        <v>0</v>
      </c>
      <c r="AF309" s="42">
        <f t="shared" si="51"/>
        <v>0</v>
      </c>
      <c r="AH309" s="42">
        <f t="shared" si="48"/>
        <v>0</v>
      </c>
    </row>
    <row r="310" spans="1:34">
      <c r="A310" s="8" t="s">
        <v>450</v>
      </c>
      <c r="B310" s="8"/>
      <c r="C310" s="8" t="s">
        <v>54</v>
      </c>
      <c r="D310" s="8"/>
      <c r="E310" s="23">
        <v>49080</v>
      </c>
      <c r="G310" s="42">
        <f t="shared" si="47"/>
        <v>17292722</v>
      </c>
      <c r="I310" s="42">
        <v>3634749</v>
      </c>
      <c r="K310" s="42">
        <v>0</v>
      </c>
      <c r="M310" s="42">
        <v>20927471</v>
      </c>
      <c r="O310" s="42">
        <f t="shared" si="46"/>
        <v>2166913</v>
      </c>
      <c r="Q310" s="42">
        <v>65445</v>
      </c>
      <c r="S310" s="42">
        <v>1188400</v>
      </c>
      <c r="U310" s="42">
        <v>5916248</v>
      </c>
      <c r="W310" s="42">
        <f>3420758+5916248</f>
        <v>9337006</v>
      </c>
      <c r="Y310" s="42">
        <v>3634749</v>
      </c>
      <c r="AA310" s="42">
        <f t="shared" si="53"/>
        <v>664490</v>
      </c>
      <c r="AC310" s="42">
        <v>7291226</v>
      </c>
      <c r="AE310" s="42">
        <v>11590465</v>
      </c>
      <c r="AF310" s="42">
        <f t="shared" si="51"/>
        <v>0</v>
      </c>
      <c r="AH310" s="42">
        <f t="shared" si="48"/>
        <v>0</v>
      </c>
    </row>
    <row r="311" spans="1:34">
      <c r="A311" s="8" t="s">
        <v>350</v>
      </c>
      <c r="B311" s="8"/>
      <c r="C311" s="8" t="s">
        <v>35</v>
      </c>
      <c r="D311" s="8"/>
      <c r="E311" s="23">
        <v>44248</v>
      </c>
      <c r="G311" s="42">
        <f t="shared" si="47"/>
        <v>28838887</v>
      </c>
      <c r="I311" s="42">
        <f>2364796+99714277</f>
        <v>102079073</v>
      </c>
      <c r="K311" s="42">
        <v>150013</v>
      </c>
      <c r="M311" s="42">
        <f>130917960+150013</f>
        <v>131067973</v>
      </c>
      <c r="O311" s="42">
        <f t="shared" si="46"/>
        <v>5073365</v>
      </c>
      <c r="Q311" s="42">
        <v>1887868</v>
      </c>
      <c r="S311" s="42">
        <v>20813475</v>
      </c>
      <c r="U311" s="42">
        <v>10687132</v>
      </c>
      <c r="W311" s="42">
        <f>27774708+10687132</f>
        <v>38461840</v>
      </c>
      <c r="Y311" s="42">
        <v>83003444</v>
      </c>
      <c r="AA311" s="42">
        <f t="shared" si="53"/>
        <v>7880428</v>
      </c>
      <c r="AC311" s="42">
        <v>1722261</v>
      </c>
      <c r="AE311" s="42">
        <v>92606133</v>
      </c>
      <c r="AF311" s="42">
        <f t="shared" si="51"/>
        <v>0</v>
      </c>
      <c r="AH311" s="42">
        <f t="shared" si="48"/>
        <v>0</v>
      </c>
    </row>
    <row r="312" spans="1:34">
      <c r="A312" s="8" t="s">
        <v>397</v>
      </c>
      <c r="B312" s="8"/>
      <c r="C312" s="8" t="s">
        <v>395</v>
      </c>
      <c r="D312" s="8"/>
      <c r="E312" s="23">
        <v>44255</v>
      </c>
      <c r="G312" s="42">
        <f t="shared" si="47"/>
        <v>16632287</v>
      </c>
      <c r="I312" s="42">
        <f>1330216+51993130</f>
        <v>53323346</v>
      </c>
      <c r="K312" s="42">
        <v>162293</v>
      </c>
      <c r="M312" s="42">
        <f>69955633+162293</f>
        <v>70117926</v>
      </c>
      <c r="O312" s="42">
        <f t="shared" si="46"/>
        <v>2657050</v>
      </c>
      <c r="Q312" s="42">
        <v>4659789</v>
      </c>
      <c r="S312" s="42">
        <v>15326999</v>
      </c>
      <c r="U312" s="42">
        <v>4679913</v>
      </c>
      <c r="W312" s="42">
        <f>22643838+4679913</f>
        <v>27323751</v>
      </c>
      <c r="Y312" s="42">
        <v>36552050</v>
      </c>
      <c r="AA312" s="42">
        <f t="shared" si="53"/>
        <v>4276381</v>
      </c>
      <c r="AC312" s="42">
        <v>1965744</v>
      </c>
      <c r="AE312" s="42">
        <v>42794175</v>
      </c>
      <c r="AF312" s="42">
        <f t="shared" si="51"/>
        <v>0</v>
      </c>
      <c r="AH312" s="42">
        <f t="shared" si="48"/>
        <v>0</v>
      </c>
    </row>
    <row r="313" spans="1:34">
      <c r="A313" s="8" t="s">
        <v>383</v>
      </c>
      <c r="B313" s="8"/>
      <c r="C313" s="8" t="s">
        <v>44</v>
      </c>
      <c r="D313" s="8"/>
      <c r="E313" s="23">
        <v>44263</v>
      </c>
      <c r="G313" s="42">
        <f t="shared" si="47"/>
        <v>138265344</v>
      </c>
      <c r="I313" s="42">
        <f>12166661+108620055</f>
        <v>120786716</v>
      </c>
      <c r="K313" s="42">
        <v>0</v>
      </c>
      <c r="M313" s="42">
        <v>259052060</v>
      </c>
      <c r="O313" s="42">
        <f t="shared" si="46"/>
        <v>40131015</v>
      </c>
      <c r="Q313" s="42">
        <v>4169970</v>
      </c>
      <c r="S313" s="42">
        <v>40137156</v>
      </c>
      <c r="U313" s="42">
        <v>0</v>
      </c>
      <c r="W313" s="42">
        <v>84438141</v>
      </c>
      <c r="Y313" s="42">
        <v>85768540</v>
      </c>
      <c r="AA313" s="42">
        <f t="shared" si="53"/>
        <v>92244480</v>
      </c>
      <c r="AC313" s="42">
        <v>-3399101</v>
      </c>
      <c r="AE313" s="42">
        <v>174613919</v>
      </c>
      <c r="AF313" s="42">
        <f t="shared" si="51"/>
        <v>0</v>
      </c>
      <c r="AH313" s="42">
        <f t="shared" si="48"/>
        <v>0</v>
      </c>
    </row>
    <row r="314" spans="1:34">
      <c r="A314" s="8" t="s">
        <v>523</v>
      </c>
      <c r="B314" s="8"/>
      <c r="C314" s="8" t="s">
        <v>64</v>
      </c>
      <c r="D314" s="8"/>
      <c r="E314" s="23">
        <v>50203</v>
      </c>
      <c r="G314" s="42">
        <f t="shared" si="47"/>
        <v>4424464</v>
      </c>
      <c r="I314" s="42">
        <v>4714361</v>
      </c>
      <c r="K314" s="42">
        <v>0</v>
      </c>
      <c r="M314" s="42">
        <v>9138825</v>
      </c>
      <c r="O314" s="42">
        <f t="shared" si="46"/>
        <v>704428</v>
      </c>
      <c r="Q314" s="42">
        <v>360292</v>
      </c>
      <c r="S314" s="42">
        <v>2075606</v>
      </c>
      <c r="U314" s="42">
        <v>3244289</v>
      </c>
      <c r="W314" s="42">
        <f>3140326+3244289</f>
        <v>6384615</v>
      </c>
      <c r="Y314" s="42">
        <v>2595913</v>
      </c>
      <c r="AA314" s="42">
        <f t="shared" ref="AA314:AA320" si="54">AE314-AC314-Y314</f>
        <v>207224</v>
      </c>
      <c r="AC314" s="42">
        <v>-48927</v>
      </c>
      <c r="AE314" s="42">
        <v>2754210</v>
      </c>
      <c r="AF314" s="42">
        <f t="shared" si="51"/>
        <v>0</v>
      </c>
      <c r="AH314" s="42">
        <f t="shared" si="48"/>
        <v>0</v>
      </c>
    </row>
    <row r="315" spans="1:34">
      <c r="A315" s="8" t="s">
        <v>678</v>
      </c>
      <c r="B315" s="8"/>
      <c r="C315" s="8" t="s">
        <v>11</v>
      </c>
      <c r="D315" s="8"/>
      <c r="E315" s="23">
        <v>45468</v>
      </c>
      <c r="F315" s="7"/>
      <c r="G315" s="42">
        <f t="shared" si="47"/>
        <v>9531685</v>
      </c>
      <c r="I315" s="42">
        <v>3656770</v>
      </c>
      <c r="K315" s="42">
        <v>0</v>
      </c>
      <c r="M315" s="42">
        <v>13188455</v>
      </c>
      <c r="O315" s="42">
        <f t="shared" si="46"/>
        <v>1581188</v>
      </c>
      <c r="Q315" s="42">
        <v>260297</v>
      </c>
      <c r="S315" s="42">
        <v>2056169</v>
      </c>
      <c r="U315" s="42">
        <v>3613775</v>
      </c>
      <c r="W315" s="42">
        <f>3897654+3613775</f>
        <v>7511429</v>
      </c>
      <c r="Y315" s="42">
        <v>2690682</v>
      </c>
      <c r="AA315" s="42">
        <f t="shared" si="54"/>
        <v>245627</v>
      </c>
      <c r="AC315" s="42">
        <v>2740717</v>
      </c>
      <c r="AE315" s="42">
        <v>5677026</v>
      </c>
      <c r="AF315" s="42">
        <f t="shared" si="51"/>
        <v>0</v>
      </c>
      <c r="AH315" s="42">
        <f t="shared" si="48"/>
        <v>0</v>
      </c>
    </row>
    <row r="316" spans="1:34">
      <c r="A316" s="8" t="s">
        <v>495</v>
      </c>
      <c r="B316" s="8"/>
      <c r="C316" s="8" t="s">
        <v>62</v>
      </c>
      <c r="D316" s="8"/>
      <c r="E316" s="23">
        <v>49874</v>
      </c>
      <c r="G316" s="42">
        <f t="shared" si="47"/>
        <v>13802125</v>
      </c>
      <c r="I316" s="42">
        <f>48501376+29301919</f>
        <v>77803295</v>
      </c>
      <c r="K316" s="42">
        <v>893873</v>
      </c>
      <c r="M316" s="42">
        <f>91605420+893873</f>
        <v>92499293</v>
      </c>
      <c r="O316" s="42">
        <f t="shared" si="46"/>
        <v>3792407</v>
      </c>
      <c r="Q316" s="42">
        <v>1240819</v>
      </c>
      <c r="S316" s="42">
        <v>31044329</v>
      </c>
      <c r="U316" s="42">
        <v>7828711</v>
      </c>
      <c r="W316" s="42">
        <f>36077555+7828711</f>
        <v>43906266</v>
      </c>
      <c r="Y316" s="42">
        <v>49169611</v>
      </c>
      <c r="AA316" s="42">
        <f t="shared" si="54"/>
        <v>1715204</v>
      </c>
      <c r="AC316" s="42">
        <v>-2291788</v>
      </c>
      <c r="AE316" s="42">
        <v>48593027</v>
      </c>
      <c r="AF316" s="42">
        <f t="shared" si="51"/>
        <v>0</v>
      </c>
      <c r="AH316" s="42">
        <f t="shared" si="48"/>
        <v>0</v>
      </c>
    </row>
    <row r="317" spans="1:34">
      <c r="A317" s="8" t="s">
        <v>322</v>
      </c>
      <c r="B317" s="8"/>
      <c r="C317" s="8" t="s">
        <v>32</v>
      </c>
      <c r="D317" s="8"/>
      <c r="E317" s="23">
        <v>44271</v>
      </c>
      <c r="F317" s="24"/>
      <c r="G317" s="42">
        <f t="shared" si="47"/>
        <v>40932736</v>
      </c>
      <c r="I317" s="42">
        <f>1436356+43670281</f>
        <v>45106637</v>
      </c>
      <c r="K317" s="42">
        <v>0</v>
      </c>
      <c r="M317" s="42">
        <v>86039373</v>
      </c>
      <c r="O317" s="42">
        <f t="shared" si="46"/>
        <v>30709617</v>
      </c>
      <c r="Q317" s="42">
        <v>2490478</v>
      </c>
      <c r="S317" s="42">
        <v>21436702</v>
      </c>
      <c r="U317" s="42">
        <v>0</v>
      </c>
      <c r="W317" s="42">
        <v>54636797</v>
      </c>
      <c r="Y317" s="42">
        <v>21205124</v>
      </c>
      <c r="AA317" s="42">
        <f t="shared" si="54"/>
        <v>3760749</v>
      </c>
      <c r="AC317" s="42">
        <v>6436703</v>
      </c>
      <c r="AE317" s="42">
        <v>31402576</v>
      </c>
      <c r="AF317" s="42">
        <f t="shared" si="51"/>
        <v>0</v>
      </c>
      <c r="AH317" s="42">
        <f t="shared" si="48"/>
        <v>0</v>
      </c>
    </row>
    <row r="318" spans="1:34">
      <c r="A318" s="8" t="s">
        <v>679</v>
      </c>
      <c r="B318" s="8"/>
      <c r="C318" s="8" t="s">
        <v>45</v>
      </c>
      <c r="D318" s="8"/>
      <c r="E318" s="23">
        <v>48330</v>
      </c>
      <c r="G318" s="42">
        <f t="shared" si="47"/>
        <v>5728168</v>
      </c>
      <c r="I318" s="42">
        <v>11240424</v>
      </c>
      <c r="K318" s="42">
        <v>40162</v>
      </c>
      <c r="M318" s="42">
        <f>16968592+40162</f>
        <v>17008754</v>
      </c>
      <c r="O318" s="42">
        <f t="shared" si="46"/>
        <v>556790</v>
      </c>
      <c r="Q318" s="42">
        <v>195379</v>
      </c>
      <c r="S318" s="42">
        <v>1635327</v>
      </c>
      <c r="U318" s="42">
        <v>1027134</v>
      </c>
      <c r="W318" s="42">
        <f>2387496+1027134</f>
        <v>3414630</v>
      </c>
      <c r="Y318" s="42">
        <v>9806506</v>
      </c>
      <c r="AA318" s="42">
        <f t="shared" si="54"/>
        <v>1028121</v>
      </c>
      <c r="AC318" s="42">
        <v>2759497</v>
      </c>
      <c r="AE318" s="42">
        <v>13594124</v>
      </c>
      <c r="AF318" s="42">
        <f t="shared" si="51"/>
        <v>0</v>
      </c>
      <c r="AH318" s="42">
        <f t="shared" si="48"/>
        <v>0</v>
      </c>
    </row>
    <row r="319" spans="1:34">
      <c r="A319" s="8" t="s">
        <v>795</v>
      </c>
      <c r="B319" s="8"/>
      <c r="C319" s="8" t="s">
        <v>109</v>
      </c>
      <c r="D319" s="8"/>
      <c r="E319" s="23">
        <v>49445</v>
      </c>
      <c r="G319" s="42">
        <f t="shared" si="47"/>
        <v>7211244</v>
      </c>
      <c r="I319" s="42">
        <v>1731224</v>
      </c>
      <c r="K319" s="42">
        <v>0</v>
      </c>
      <c r="M319" s="42">
        <v>8942468</v>
      </c>
      <c r="O319" s="42">
        <f t="shared" si="46"/>
        <v>573305</v>
      </c>
      <c r="Q319" s="42">
        <v>56084</v>
      </c>
      <c r="S319" s="42">
        <v>638557</v>
      </c>
      <c r="U319" s="42">
        <v>1833479</v>
      </c>
      <c r="W319" s="42">
        <f>1267946+1833479</f>
        <v>3101425</v>
      </c>
      <c r="Y319" s="42">
        <v>1250224</v>
      </c>
      <c r="AA319" s="42">
        <f t="shared" si="54"/>
        <v>99399</v>
      </c>
      <c r="AC319" s="42">
        <v>4491420</v>
      </c>
      <c r="AE319" s="42">
        <v>5841043</v>
      </c>
      <c r="AF319" s="42">
        <f t="shared" si="51"/>
        <v>0</v>
      </c>
      <c r="AH319" s="42">
        <f t="shared" si="48"/>
        <v>0</v>
      </c>
    </row>
    <row r="320" spans="1:34">
      <c r="A320" s="8" t="s">
        <v>349</v>
      </c>
      <c r="B320" s="8"/>
      <c r="C320" s="8" t="s">
        <v>346</v>
      </c>
      <c r="D320" s="8"/>
      <c r="E320" s="23">
        <v>47639</v>
      </c>
      <c r="G320" s="42">
        <f t="shared" si="47"/>
        <v>10880685</v>
      </c>
      <c r="I320" s="42">
        <f>405668+16532380</f>
        <v>16938048</v>
      </c>
      <c r="K320" s="42">
        <v>4212</v>
      </c>
      <c r="M320" s="42">
        <f>27818733+4212</f>
        <v>27822945</v>
      </c>
      <c r="O320" s="42">
        <f t="shared" si="46"/>
        <v>1343242</v>
      </c>
      <c r="Q320" s="42">
        <v>206098</v>
      </c>
      <c r="S320" s="42">
        <v>1673199</v>
      </c>
      <c r="U320" s="42">
        <v>1977000</v>
      </c>
      <c r="W320" s="42">
        <f>3222539+1977000</f>
        <v>5199539</v>
      </c>
      <c r="Y320" s="42">
        <v>15679035</v>
      </c>
      <c r="AA320" s="42">
        <f t="shared" si="54"/>
        <v>1478830</v>
      </c>
      <c r="AC320" s="42">
        <v>5465541</v>
      </c>
      <c r="AE320" s="42">
        <v>22623406</v>
      </c>
      <c r="AF320" s="42">
        <f t="shared" si="51"/>
        <v>0</v>
      </c>
      <c r="AH320" s="42">
        <f t="shared" si="48"/>
        <v>0</v>
      </c>
    </row>
    <row r="321" spans="1:34">
      <c r="A321" s="9" t="s">
        <v>705</v>
      </c>
      <c r="B321" s="8"/>
      <c r="C321" s="8" t="s">
        <v>50</v>
      </c>
      <c r="D321" s="8"/>
      <c r="E321" s="23">
        <v>48702</v>
      </c>
      <c r="G321" s="42">
        <f t="shared" si="47"/>
        <v>28083249</v>
      </c>
      <c r="I321" s="42">
        <f>1068500+73221757</f>
        <v>74290257</v>
      </c>
      <c r="K321" s="42">
        <v>0</v>
      </c>
      <c r="M321" s="42">
        <v>102373506</v>
      </c>
      <c r="O321" s="42">
        <f t="shared" si="46"/>
        <v>14295665</v>
      </c>
      <c r="Q321" s="42">
        <v>1546715</v>
      </c>
      <c r="S321" s="42">
        <v>12207363</v>
      </c>
      <c r="U321" s="42">
        <v>0</v>
      </c>
      <c r="W321" s="42">
        <v>28049743</v>
      </c>
      <c r="Y321" s="42">
        <v>63722647</v>
      </c>
      <c r="AA321" s="42">
        <f t="shared" ref="AA321:AA379" si="55">AE321-AC321-Y321</f>
        <v>3732821</v>
      </c>
      <c r="AC321" s="42">
        <v>6868295</v>
      </c>
      <c r="AE321" s="42">
        <v>74323763</v>
      </c>
      <c r="AF321" s="42">
        <f t="shared" ref="AF321:AF367" si="56">+M321-W321-AE321</f>
        <v>0</v>
      </c>
      <c r="AH321" s="42">
        <f t="shared" si="48"/>
        <v>0</v>
      </c>
    </row>
    <row r="322" spans="1:34">
      <c r="A322" s="8" t="s">
        <v>323</v>
      </c>
      <c r="B322" s="8"/>
      <c r="C322" s="8" t="s">
        <v>32</v>
      </c>
      <c r="D322" s="8"/>
      <c r="E322" s="23">
        <v>44289</v>
      </c>
      <c r="G322" s="42">
        <f t="shared" si="47"/>
        <v>24244319</v>
      </c>
      <c r="I322" s="42">
        <f>1011802+28298441</f>
        <v>29310243</v>
      </c>
      <c r="K322" s="42">
        <v>0</v>
      </c>
      <c r="M322" s="42">
        <v>53554562</v>
      </c>
      <c r="O322" s="42">
        <f t="shared" si="46"/>
        <v>11452072</v>
      </c>
      <c r="Q322" s="42">
        <v>925591</v>
      </c>
      <c r="S322" s="42">
        <v>26089124</v>
      </c>
      <c r="U322" s="42">
        <v>0</v>
      </c>
      <c r="W322" s="42">
        <v>38466787</v>
      </c>
      <c r="Y322" s="42">
        <v>4309342</v>
      </c>
      <c r="AA322" s="42">
        <f t="shared" si="55"/>
        <v>1603296</v>
      </c>
      <c r="AC322" s="42">
        <v>9175137</v>
      </c>
      <c r="AE322" s="42">
        <v>15087775</v>
      </c>
      <c r="AF322" s="42">
        <f t="shared" si="56"/>
        <v>0</v>
      </c>
      <c r="AH322" s="42">
        <f t="shared" si="48"/>
        <v>0</v>
      </c>
    </row>
    <row r="323" spans="1:34">
      <c r="A323" s="8" t="s">
        <v>223</v>
      </c>
      <c r="B323" s="8"/>
      <c r="C323" s="8" t="s">
        <v>220</v>
      </c>
      <c r="D323" s="8"/>
      <c r="E323" s="23">
        <v>46128</v>
      </c>
      <c r="G323" s="42">
        <f t="shared" si="47"/>
        <v>9751605</v>
      </c>
      <c r="I323" s="42">
        <f>290152+28805034</f>
        <v>29095186</v>
      </c>
      <c r="K323" s="42">
        <v>0</v>
      </c>
      <c r="M323" s="42">
        <v>38846791</v>
      </c>
      <c r="O323" s="42">
        <f t="shared" si="46"/>
        <v>6527850</v>
      </c>
      <c r="Q323" s="42">
        <v>397412</v>
      </c>
      <c r="S323" s="42">
        <v>13333478</v>
      </c>
      <c r="U323" s="42">
        <v>0</v>
      </c>
      <c r="W323" s="42">
        <v>20258740</v>
      </c>
      <c r="Y323" s="42">
        <v>15903550</v>
      </c>
      <c r="AA323" s="42">
        <f t="shared" si="55"/>
        <v>1673309</v>
      </c>
      <c r="AC323" s="42">
        <v>1011192</v>
      </c>
      <c r="AE323" s="42">
        <v>18588051</v>
      </c>
      <c r="AF323" s="42">
        <f>+M323-W323-AE323</f>
        <v>0</v>
      </c>
      <c r="AH323" s="42">
        <f t="shared" si="48"/>
        <v>0</v>
      </c>
    </row>
    <row r="324" spans="1:34" hidden="1">
      <c r="A324" s="8" t="s">
        <v>724</v>
      </c>
      <c r="B324" s="8"/>
      <c r="C324" s="8" t="s">
        <v>41</v>
      </c>
      <c r="D324" s="8"/>
      <c r="E324" s="23">
        <v>47886</v>
      </c>
      <c r="G324" s="42">
        <f t="shared" si="47"/>
        <v>0</v>
      </c>
      <c r="I324" s="42">
        <v>0</v>
      </c>
      <c r="K324" s="42">
        <v>0</v>
      </c>
      <c r="M324" s="42">
        <v>0</v>
      </c>
      <c r="O324" s="42">
        <f t="shared" si="46"/>
        <v>0</v>
      </c>
      <c r="Q324" s="42">
        <v>0</v>
      </c>
      <c r="S324" s="42">
        <v>0</v>
      </c>
      <c r="U324" s="42">
        <v>0</v>
      </c>
      <c r="W324" s="42">
        <v>0</v>
      </c>
      <c r="Y324" s="42">
        <v>0</v>
      </c>
      <c r="AA324" s="42">
        <f t="shared" si="55"/>
        <v>0</v>
      </c>
      <c r="AC324" s="42">
        <v>0</v>
      </c>
      <c r="AE324" s="42">
        <v>0</v>
      </c>
      <c r="AF324" s="42">
        <f>+M324-W324-AE324</f>
        <v>0</v>
      </c>
      <c r="AH324" s="42">
        <f t="shared" si="48"/>
        <v>0</v>
      </c>
    </row>
    <row r="325" spans="1:34">
      <c r="A325" s="8" t="s">
        <v>223</v>
      </c>
      <c r="B325" s="8"/>
      <c r="C325" s="8" t="s">
        <v>109</v>
      </c>
      <c r="D325" s="8"/>
      <c r="E325" s="23">
        <v>49452</v>
      </c>
      <c r="G325" s="42">
        <f t="shared" si="47"/>
        <v>36538543</v>
      </c>
      <c r="I325" s="42">
        <v>29797951</v>
      </c>
      <c r="K325" s="42">
        <v>0</v>
      </c>
      <c r="M325" s="42">
        <v>66336494</v>
      </c>
      <c r="O325" s="42">
        <f t="shared" si="46"/>
        <v>6448470</v>
      </c>
      <c r="Q325" s="42">
        <v>496117</v>
      </c>
      <c r="S325" s="42">
        <v>29481807</v>
      </c>
      <c r="U325" s="42">
        <v>9700748</v>
      </c>
      <c r="W325" s="42">
        <f>36426394+9700748</f>
        <v>46127142</v>
      </c>
      <c r="Y325" s="42">
        <v>10196783</v>
      </c>
      <c r="AA325" s="42">
        <f t="shared" si="55"/>
        <v>1644341</v>
      </c>
      <c r="AC325" s="42">
        <v>8368228</v>
      </c>
      <c r="AE325" s="42">
        <v>20209352</v>
      </c>
      <c r="AF325" s="42">
        <f t="shared" si="56"/>
        <v>0</v>
      </c>
      <c r="AH325" s="42">
        <f t="shared" si="48"/>
        <v>0</v>
      </c>
    </row>
    <row r="326" spans="1:34">
      <c r="A326" s="8" t="s">
        <v>688</v>
      </c>
      <c r="B326" s="8"/>
      <c r="C326" s="8" t="s">
        <v>395</v>
      </c>
      <c r="D326" s="8"/>
      <c r="E326" s="23">
        <v>48272</v>
      </c>
      <c r="G326" s="42">
        <f t="shared" si="47"/>
        <v>13185156</v>
      </c>
      <c r="I326" s="42">
        <f>202377+7381981</f>
        <v>7584358</v>
      </c>
      <c r="K326" s="42">
        <v>0</v>
      </c>
      <c r="M326" s="42">
        <v>20769514</v>
      </c>
      <c r="O326" s="42">
        <f t="shared" si="46"/>
        <v>5962700</v>
      </c>
      <c r="Q326" s="42">
        <v>107429</v>
      </c>
      <c r="S326" s="42">
        <v>858653</v>
      </c>
      <c r="U326" s="42">
        <v>0</v>
      </c>
      <c r="W326" s="42">
        <v>6928782</v>
      </c>
      <c r="Y326" s="42">
        <v>7584358</v>
      </c>
      <c r="AA326" s="42">
        <f t="shared" si="55"/>
        <v>705280</v>
      </c>
      <c r="AC326" s="42">
        <v>5551094</v>
      </c>
      <c r="AE326" s="42">
        <v>13840732</v>
      </c>
      <c r="AF326" s="42">
        <f t="shared" si="56"/>
        <v>0</v>
      </c>
      <c r="AH326" s="42">
        <f t="shared" si="48"/>
        <v>0</v>
      </c>
    </row>
    <row r="327" spans="1:34">
      <c r="A327" s="8" t="s">
        <v>600</v>
      </c>
      <c r="B327" s="8"/>
      <c r="C327" s="8" t="s">
        <v>199</v>
      </c>
      <c r="D327" s="8"/>
      <c r="E327" s="54" t="s">
        <v>870</v>
      </c>
      <c r="G327" s="42">
        <f t="shared" si="47"/>
        <v>19522868</v>
      </c>
      <c r="I327" s="42">
        <f>665707+25629532</f>
        <v>26295239</v>
      </c>
      <c r="K327" s="42">
        <v>0</v>
      </c>
      <c r="M327" s="42">
        <v>45818107</v>
      </c>
      <c r="O327" s="42">
        <f t="shared" si="46"/>
        <v>1229096</v>
      </c>
      <c r="Q327" s="42">
        <v>1149708</v>
      </c>
      <c r="S327" s="42">
        <v>11101894</v>
      </c>
      <c r="U327" s="42">
        <v>6771538</v>
      </c>
      <c r="W327" s="42">
        <f>13480698+6771538</f>
        <v>20252236</v>
      </c>
      <c r="Y327" s="42">
        <v>14652538</v>
      </c>
      <c r="AA327" s="42">
        <f t="shared" si="55"/>
        <v>1859074</v>
      </c>
      <c r="AC327" s="42">
        <v>9054259</v>
      </c>
      <c r="AE327" s="42">
        <v>25565871</v>
      </c>
      <c r="AF327" s="42">
        <f>+M327-W327-AE327</f>
        <v>0</v>
      </c>
      <c r="AH327" s="42">
        <f t="shared" si="48"/>
        <v>0</v>
      </c>
    </row>
    <row r="328" spans="1:34" hidden="1">
      <c r="A328" s="8" t="s">
        <v>799</v>
      </c>
      <c r="B328" s="8"/>
      <c r="C328" s="8" t="s">
        <v>63</v>
      </c>
      <c r="D328" s="8"/>
      <c r="E328" s="54">
        <v>50005</v>
      </c>
      <c r="G328" s="42">
        <f t="shared" si="47"/>
        <v>0</v>
      </c>
      <c r="I328" s="42">
        <v>0</v>
      </c>
      <c r="K328" s="42">
        <v>0</v>
      </c>
      <c r="M328" s="42">
        <v>0</v>
      </c>
      <c r="O328" s="42">
        <f t="shared" si="46"/>
        <v>0</v>
      </c>
      <c r="Q328" s="42">
        <v>0</v>
      </c>
      <c r="S328" s="42">
        <v>0</v>
      </c>
      <c r="U328" s="42">
        <v>0</v>
      </c>
      <c r="W328" s="42">
        <v>0</v>
      </c>
      <c r="Y328" s="42">
        <v>0</v>
      </c>
      <c r="AA328" s="42">
        <f t="shared" ref="AA328" si="57">AE328-AC328-Y328</f>
        <v>0</v>
      </c>
      <c r="AC328" s="42">
        <v>0</v>
      </c>
      <c r="AE328" s="42">
        <v>0</v>
      </c>
      <c r="AF328" s="42">
        <f t="shared" ref="AF328" si="58">+M328-W328-AE328</f>
        <v>0</v>
      </c>
      <c r="AH328" s="42">
        <f t="shared" si="48"/>
        <v>0</v>
      </c>
    </row>
    <row r="329" spans="1:34">
      <c r="A329" s="8" t="s">
        <v>466</v>
      </c>
      <c r="B329" s="8"/>
      <c r="C329" s="8" t="s">
        <v>109</v>
      </c>
      <c r="D329" s="8"/>
      <c r="E329" s="23">
        <v>44297</v>
      </c>
      <c r="G329" s="42">
        <f t="shared" si="47"/>
        <v>28867938</v>
      </c>
      <c r="I329" s="42">
        <v>51159465</v>
      </c>
      <c r="K329" s="42">
        <v>691981</v>
      </c>
      <c r="M329" s="42">
        <f>80027403+691981</f>
        <v>80719384</v>
      </c>
      <c r="O329" s="42">
        <f t="shared" si="46"/>
        <v>9731101</v>
      </c>
      <c r="Q329" s="42">
        <v>2088572</v>
      </c>
      <c r="S329" s="42">
        <v>18572651</v>
      </c>
      <c r="U329" s="42">
        <v>6044175</v>
      </c>
      <c r="W329" s="42">
        <f>30392324+6044175</f>
        <v>36436499</v>
      </c>
      <c r="Y329" s="42">
        <v>37550768</v>
      </c>
      <c r="AA329" s="42">
        <f t="shared" si="55"/>
        <v>6757679</v>
      </c>
      <c r="AC329" s="42">
        <v>-25562</v>
      </c>
      <c r="AE329" s="42">
        <v>44282885</v>
      </c>
      <c r="AF329" s="42">
        <f t="shared" si="56"/>
        <v>0</v>
      </c>
      <c r="AH329" s="42">
        <f t="shared" si="48"/>
        <v>0</v>
      </c>
    </row>
    <row r="330" spans="1:34">
      <c r="A330" s="8" t="s">
        <v>716</v>
      </c>
      <c r="B330" s="8"/>
      <c r="C330" s="8" t="s">
        <v>20</v>
      </c>
      <c r="D330" s="8"/>
      <c r="E330" s="23">
        <v>44305</v>
      </c>
      <c r="G330" s="42">
        <f t="shared" si="47"/>
        <v>40065187</v>
      </c>
      <c r="I330" s="42">
        <f>4793839+98600289</f>
        <v>103394128</v>
      </c>
      <c r="K330" s="42">
        <v>1345432</v>
      </c>
      <c r="M330" s="42">
        <f>143459315+1345432</f>
        <v>144804747</v>
      </c>
      <c r="O330" s="42">
        <f t="shared" si="46"/>
        <v>10554399</v>
      </c>
      <c r="Q330" s="42">
        <v>697481</v>
      </c>
      <c r="S330" s="42">
        <v>66120934</v>
      </c>
      <c r="U330" s="42">
        <v>13839117</v>
      </c>
      <c r="W330" s="42">
        <f>77372814+13839117</f>
        <v>91211931</v>
      </c>
      <c r="Y330" s="42">
        <v>43813091</v>
      </c>
      <c r="AA330" s="42">
        <f t="shared" si="55"/>
        <v>8821224</v>
      </c>
      <c r="AC330" s="42">
        <v>958501</v>
      </c>
      <c r="AE330" s="42">
        <v>53592816</v>
      </c>
      <c r="AF330" s="42">
        <f t="shared" si="56"/>
        <v>0</v>
      </c>
      <c r="AH330" s="42">
        <f t="shared" si="48"/>
        <v>0</v>
      </c>
    </row>
    <row r="331" spans="1:34">
      <c r="A331" s="8" t="s">
        <v>204</v>
      </c>
      <c r="B331" s="8"/>
      <c r="C331" s="8" t="s">
        <v>11</v>
      </c>
      <c r="D331" s="8"/>
      <c r="E331" s="23">
        <v>45831</v>
      </c>
      <c r="G331" s="42">
        <f t="shared" si="47"/>
        <v>6343197</v>
      </c>
      <c r="I331" s="42">
        <v>14998999</v>
      </c>
      <c r="K331" s="42">
        <v>64622</v>
      </c>
      <c r="M331" s="42">
        <f>21342196+64622</f>
        <v>21406818</v>
      </c>
      <c r="O331" s="42">
        <f t="shared" si="46"/>
        <v>989730</v>
      </c>
      <c r="Q331" s="42">
        <v>388239</v>
      </c>
      <c r="S331" s="42">
        <v>3047471</v>
      </c>
      <c r="U331" s="42">
        <v>2327161</v>
      </c>
      <c r="W331" s="42">
        <f>4425440+2327161</f>
        <v>6752601</v>
      </c>
      <c r="Y331" s="42">
        <v>11890681</v>
      </c>
      <c r="AA331" s="42">
        <f t="shared" si="55"/>
        <v>1231536</v>
      </c>
      <c r="AC331" s="42">
        <v>1532000</v>
      </c>
      <c r="AE331" s="42">
        <v>14654217</v>
      </c>
      <c r="AF331" s="42">
        <f t="shared" si="56"/>
        <v>0</v>
      </c>
      <c r="AH331" s="42">
        <f t="shared" si="48"/>
        <v>0</v>
      </c>
    </row>
    <row r="332" spans="1:34">
      <c r="A332" s="8" t="s">
        <v>524</v>
      </c>
      <c r="B332" s="8"/>
      <c r="C332" s="8" t="s">
        <v>64</v>
      </c>
      <c r="D332" s="8"/>
      <c r="E332" s="23">
        <v>50211</v>
      </c>
      <c r="G332" s="42">
        <f t="shared" si="47"/>
        <v>6799320</v>
      </c>
      <c r="I332" s="42">
        <f>273697+18583155</f>
        <v>18856852</v>
      </c>
      <c r="K332" s="42">
        <v>63486</v>
      </c>
      <c r="M332" s="42">
        <f>25656172+63486</f>
        <v>25719658</v>
      </c>
      <c r="O332" s="42">
        <f t="shared" si="46"/>
        <v>704370</v>
      </c>
      <c r="Q332" s="42">
        <v>209703</v>
      </c>
      <c r="S332" s="42">
        <v>2271825</v>
      </c>
      <c r="U332" s="42">
        <v>2660215</v>
      </c>
      <c r="W332" s="42">
        <f>3185898+2660215</f>
        <v>5846113</v>
      </c>
      <c r="Y332" s="42">
        <v>17187424</v>
      </c>
      <c r="AA332" s="42">
        <f t="shared" si="55"/>
        <v>708421</v>
      </c>
      <c r="AC332" s="42">
        <v>1977700</v>
      </c>
      <c r="AE332" s="42">
        <v>19873545</v>
      </c>
      <c r="AF332" s="42">
        <f t="shared" si="56"/>
        <v>0</v>
      </c>
      <c r="AH332" s="42">
        <f t="shared" si="48"/>
        <v>0</v>
      </c>
    </row>
    <row r="333" spans="1:34">
      <c r="A333" s="8" t="s">
        <v>286</v>
      </c>
      <c r="B333" s="8"/>
      <c r="C333" s="8" t="s">
        <v>24</v>
      </c>
      <c r="D333" s="8"/>
      <c r="E333" s="23">
        <v>46805</v>
      </c>
      <c r="G333" s="42">
        <f t="shared" si="47"/>
        <v>8073866</v>
      </c>
      <c r="I333" s="42">
        <v>5490589</v>
      </c>
      <c r="K333" s="42">
        <v>0</v>
      </c>
      <c r="M333" s="42">
        <v>13564455</v>
      </c>
      <c r="O333" s="42">
        <f t="shared" si="46"/>
        <v>1393529</v>
      </c>
      <c r="Q333" s="42">
        <v>217476</v>
      </c>
      <c r="S333" s="42">
        <v>2828328</v>
      </c>
      <c r="U333" s="42">
        <v>4751627</v>
      </c>
      <c r="W333" s="42">
        <f>4439333+4751627</f>
        <v>9190960</v>
      </c>
      <c r="Y333" s="42">
        <v>3201589</v>
      </c>
      <c r="AA333" s="42">
        <f t="shared" si="55"/>
        <v>138950</v>
      </c>
      <c r="AC333" s="42">
        <v>1032956</v>
      </c>
      <c r="AE333" s="42">
        <v>4373495</v>
      </c>
      <c r="AF333" s="42">
        <f t="shared" si="56"/>
        <v>0</v>
      </c>
      <c r="AH333" s="42">
        <f t="shared" si="48"/>
        <v>0</v>
      </c>
    </row>
    <row r="334" spans="1:34">
      <c r="A334" s="8" t="s">
        <v>324</v>
      </c>
      <c r="B334" s="8"/>
      <c r="C334" s="8" t="s">
        <v>32</v>
      </c>
      <c r="D334" s="8"/>
      <c r="E334" s="23">
        <v>44313</v>
      </c>
      <c r="G334" s="42">
        <f t="shared" si="47"/>
        <v>24881713</v>
      </c>
      <c r="I334" s="42">
        <f>1110469+40234741</f>
        <v>41345210</v>
      </c>
      <c r="K334" s="42">
        <v>0</v>
      </c>
      <c r="M334" s="42">
        <v>66226923</v>
      </c>
      <c r="O334" s="42">
        <f t="shared" ref="O334:O397" si="59">+W334-Q334-S334-U334</f>
        <v>2328439</v>
      </c>
      <c r="Q334" s="42">
        <v>1068089</v>
      </c>
      <c r="S334" s="42">
        <v>49230439</v>
      </c>
      <c r="U334" s="42">
        <v>9834935</v>
      </c>
      <c r="W334" s="42">
        <f>52626967+9834935</f>
        <v>62461902</v>
      </c>
      <c r="Y334" s="42">
        <v>-5312427</v>
      </c>
      <c r="AA334" s="42">
        <f t="shared" si="55"/>
        <v>2246405</v>
      </c>
      <c r="AC334" s="42">
        <v>6831043</v>
      </c>
      <c r="AE334" s="42">
        <v>3765021</v>
      </c>
      <c r="AF334" s="42">
        <f t="shared" si="56"/>
        <v>0</v>
      </c>
      <c r="AH334" s="42">
        <f t="shared" si="48"/>
        <v>0</v>
      </c>
    </row>
    <row r="335" spans="1:34" hidden="1">
      <c r="A335" s="8" t="s">
        <v>607</v>
      </c>
      <c r="B335" s="8"/>
      <c r="C335" s="8" t="s">
        <v>70</v>
      </c>
      <c r="D335" s="8"/>
      <c r="E335" s="23">
        <v>44321</v>
      </c>
      <c r="F335" s="7"/>
      <c r="G335" s="42">
        <f t="shared" ref="G335:G398" si="60">+M335-I335-K335</f>
        <v>0</v>
      </c>
      <c r="I335" s="42">
        <v>0</v>
      </c>
      <c r="K335" s="42">
        <v>0</v>
      </c>
      <c r="M335" s="42">
        <v>0</v>
      </c>
      <c r="O335" s="42">
        <f t="shared" si="59"/>
        <v>0</v>
      </c>
      <c r="Q335" s="42">
        <v>0</v>
      </c>
      <c r="S335" s="42">
        <v>0</v>
      </c>
      <c r="U335" s="42">
        <v>0</v>
      </c>
      <c r="W335" s="42">
        <v>0</v>
      </c>
      <c r="Y335" s="42">
        <v>0</v>
      </c>
      <c r="AA335" s="42">
        <f t="shared" si="55"/>
        <v>0</v>
      </c>
      <c r="AC335" s="42">
        <v>0</v>
      </c>
      <c r="AE335" s="42">
        <v>0</v>
      </c>
      <c r="AF335" s="42">
        <f>+M335-W335-AE335</f>
        <v>0</v>
      </c>
      <c r="AH335" s="42">
        <f t="shared" si="48"/>
        <v>0</v>
      </c>
    </row>
    <row r="336" spans="1:34" ht="11.25" customHeight="1">
      <c r="A336" s="8" t="s">
        <v>407</v>
      </c>
      <c r="B336" s="8"/>
      <c r="C336" s="8" t="s">
        <v>46</v>
      </c>
      <c r="D336" s="8"/>
      <c r="E336" s="23">
        <v>44339</v>
      </c>
      <c r="G336" s="42">
        <f t="shared" si="60"/>
        <v>29923597</v>
      </c>
      <c r="I336" s="42">
        <f>1965229+75640740</f>
        <v>77605969</v>
      </c>
      <c r="K336" s="42">
        <v>420677</v>
      </c>
      <c r="M336" s="42">
        <f>107529566+420677</f>
        <v>107950243</v>
      </c>
      <c r="O336" s="42">
        <f t="shared" si="59"/>
        <v>6152567</v>
      </c>
      <c r="Q336" s="42">
        <v>1261615</v>
      </c>
      <c r="S336" s="42">
        <v>13940871</v>
      </c>
      <c r="U336" s="42">
        <v>5614280</v>
      </c>
      <c r="W336" s="42">
        <f>21355053+5614280</f>
        <v>26969333</v>
      </c>
      <c r="Y336" s="42">
        <v>68164920</v>
      </c>
      <c r="AA336" s="42">
        <f t="shared" si="55"/>
        <v>2386350</v>
      </c>
      <c r="AC336" s="42">
        <v>10429640</v>
      </c>
      <c r="AE336" s="42">
        <v>80980910</v>
      </c>
      <c r="AF336" s="42">
        <f t="shared" si="56"/>
        <v>0</v>
      </c>
      <c r="AH336" s="42">
        <f t="shared" ref="AH336:AH399" si="61">+G336+I336+K336-O336-Q336-Y336-AA336-AC336-S336-U336</f>
        <v>0</v>
      </c>
    </row>
    <row r="337" spans="1:34" ht="12" hidden="1" customHeight="1">
      <c r="A337" s="8" t="s">
        <v>680</v>
      </c>
      <c r="B337" s="8"/>
      <c r="C337" s="8" t="s">
        <v>419</v>
      </c>
      <c r="D337" s="8"/>
      <c r="E337" s="23">
        <v>48553</v>
      </c>
      <c r="G337" s="42">
        <f t="shared" si="60"/>
        <v>0</v>
      </c>
      <c r="I337" s="42">
        <v>0</v>
      </c>
      <c r="K337" s="42">
        <v>0</v>
      </c>
      <c r="M337" s="42">
        <v>0</v>
      </c>
      <c r="O337" s="42">
        <f t="shared" si="59"/>
        <v>0</v>
      </c>
      <c r="Q337" s="42">
        <v>0</v>
      </c>
      <c r="S337" s="42">
        <v>0</v>
      </c>
      <c r="U337" s="42">
        <v>0</v>
      </c>
      <c r="W337" s="42">
        <v>0</v>
      </c>
      <c r="Y337" s="42">
        <v>0</v>
      </c>
      <c r="AA337" s="42">
        <f t="shared" si="55"/>
        <v>0</v>
      </c>
      <c r="AC337" s="42">
        <v>0</v>
      </c>
      <c r="AE337" s="42">
        <v>0</v>
      </c>
      <c r="AF337" s="42">
        <f t="shared" si="56"/>
        <v>0</v>
      </c>
      <c r="AH337" s="42">
        <f t="shared" si="61"/>
        <v>0</v>
      </c>
    </row>
    <row r="338" spans="1:34">
      <c r="A338" s="8" t="s">
        <v>496</v>
      </c>
      <c r="B338" s="8"/>
      <c r="C338" s="8" t="s">
        <v>62</v>
      </c>
      <c r="D338" s="8"/>
      <c r="E338" s="23">
        <v>49882</v>
      </c>
      <c r="G338" s="42">
        <f t="shared" si="60"/>
        <v>19294180</v>
      </c>
      <c r="I338" s="42">
        <f>2466333+5049592</f>
        <v>7515925</v>
      </c>
      <c r="K338" s="42">
        <v>0</v>
      </c>
      <c r="M338" s="42">
        <v>26810105</v>
      </c>
      <c r="O338" s="42">
        <f t="shared" si="59"/>
        <v>2613595</v>
      </c>
      <c r="Q338" s="42">
        <v>155284</v>
      </c>
      <c r="S338" s="42">
        <v>1062660</v>
      </c>
      <c r="U338" s="42">
        <v>7937886</v>
      </c>
      <c r="W338" s="42">
        <f>3831539+7937886</f>
        <v>11769425</v>
      </c>
      <c r="Y338" s="42">
        <v>7515925</v>
      </c>
      <c r="AA338" s="42">
        <f t="shared" si="55"/>
        <v>2119769</v>
      </c>
      <c r="AC338" s="42">
        <v>5404986</v>
      </c>
      <c r="AE338" s="42">
        <v>15040680</v>
      </c>
      <c r="AF338" s="42">
        <f t="shared" si="56"/>
        <v>0</v>
      </c>
      <c r="AH338" s="42">
        <f t="shared" si="61"/>
        <v>0</v>
      </c>
    </row>
    <row r="339" spans="1:34">
      <c r="A339" s="8" t="s">
        <v>215</v>
      </c>
      <c r="B339" s="8"/>
      <c r="C339" s="8" t="s">
        <v>15</v>
      </c>
      <c r="D339" s="8"/>
      <c r="E339" s="23">
        <v>44347</v>
      </c>
      <c r="G339" s="42">
        <f t="shared" si="60"/>
        <v>6399369</v>
      </c>
      <c r="I339" s="42">
        <f>2436556+36698508</f>
        <v>39135064</v>
      </c>
      <c r="K339" s="42">
        <v>905370</v>
      </c>
      <c r="M339" s="42">
        <f>45534433+905370</f>
        <v>46439803</v>
      </c>
      <c r="O339" s="42">
        <f t="shared" si="59"/>
        <v>1732116</v>
      </c>
      <c r="Q339" s="42">
        <v>647424</v>
      </c>
      <c r="S339" s="42">
        <v>14029198</v>
      </c>
      <c r="U339" s="42">
        <v>2903076</v>
      </c>
      <c r="W339" s="42">
        <f>16408738+2903076</f>
        <v>19311814</v>
      </c>
      <c r="Y339" s="42">
        <v>26343676</v>
      </c>
      <c r="AA339" s="42">
        <f t="shared" si="55"/>
        <v>1538079</v>
      </c>
      <c r="AC339" s="42">
        <v>-753766</v>
      </c>
      <c r="AE339" s="42">
        <v>27127989</v>
      </c>
      <c r="AF339" s="42">
        <f t="shared" si="56"/>
        <v>0</v>
      </c>
      <c r="AH339" s="42">
        <f t="shared" si="61"/>
        <v>0</v>
      </c>
    </row>
    <row r="340" spans="1:34">
      <c r="A340" s="8" t="s">
        <v>761</v>
      </c>
      <c r="B340" s="8"/>
      <c r="C340" s="8" t="s">
        <v>66</v>
      </c>
      <c r="D340" s="8"/>
      <c r="E340" s="23">
        <v>45476</v>
      </c>
      <c r="G340" s="42">
        <f t="shared" si="60"/>
        <v>41360723</v>
      </c>
      <c r="I340" s="42">
        <v>101278756</v>
      </c>
      <c r="K340" s="42">
        <v>2177057</v>
      </c>
      <c r="M340" s="42">
        <f>142639479+2177057</f>
        <v>144816536</v>
      </c>
      <c r="O340" s="42">
        <f t="shared" si="59"/>
        <v>7734836</v>
      </c>
      <c r="Q340" s="42">
        <v>4753156</v>
      </c>
      <c r="S340" s="42">
        <v>94763136</v>
      </c>
      <c r="U340" s="42">
        <v>23440604</v>
      </c>
      <c r="W340" s="42">
        <f>107251128+23440604</f>
        <v>130691732</v>
      </c>
      <c r="Y340" s="42">
        <v>15725573</v>
      </c>
      <c r="AA340" s="42">
        <f t="shared" si="55"/>
        <v>7719807</v>
      </c>
      <c r="AC340" s="42">
        <v>-9320576</v>
      </c>
      <c r="AE340" s="42">
        <v>14124804</v>
      </c>
      <c r="AF340" s="42">
        <f t="shared" si="56"/>
        <v>0</v>
      </c>
      <c r="AH340" s="42">
        <f t="shared" si="61"/>
        <v>0</v>
      </c>
    </row>
    <row r="341" spans="1:34">
      <c r="A341" s="8" t="s">
        <v>542</v>
      </c>
      <c r="B341" s="8"/>
      <c r="C341" s="8" t="s">
        <v>69</v>
      </c>
      <c r="D341" s="8"/>
      <c r="E341" s="23">
        <v>50450</v>
      </c>
      <c r="G341" s="42">
        <f t="shared" si="60"/>
        <v>143841783</v>
      </c>
      <c r="I341" s="42">
        <f>4061767+167818544</f>
        <v>171880311</v>
      </c>
      <c r="K341" s="42">
        <v>0</v>
      </c>
      <c r="M341" s="42">
        <v>315722094</v>
      </c>
      <c r="O341" s="42">
        <f t="shared" si="59"/>
        <v>91196247</v>
      </c>
      <c r="Q341" s="42">
        <v>7778015</v>
      </c>
      <c r="S341" s="42">
        <v>114142995</v>
      </c>
      <c r="U341" s="42">
        <v>0</v>
      </c>
      <c r="W341" s="42">
        <v>213117257</v>
      </c>
      <c r="Y341" s="42">
        <v>46466926</v>
      </c>
      <c r="AA341" s="42">
        <f t="shared" si="55"/>
        <v>27840790</v>
      </c>
      <c r="AC341" s="42">
        <v>28297121</v>
      </c>
      <c r="AE341" s="42">
        <v>102604837</v>
      </c>
      <c r="AF341" s="42">
        <f t="shared" si="56"/>
        <v>0</v>
      </c>
      <c r="AH341" s="42">
        <f t="shared" si="61"/>
        <v>0</v>
      </c>
    </row>
    <row r="342" spans="1:34">
      <c r="A342" s="8" t="s">
        <v>497</v>
      </c>
      <c r="B342" s="8"/>
      <c r="C342" s="8" t="s">
        <v>62</v>
      </c>
      <c r="D342" s="8"/>
      <c r="E342" s="23">
        <v>44354</v>
      </c>
      <c r="G342" s="42">
        <f t="shared" si="60"/>
        <v>34092635</v>
      </c>
      <c r="I342" s="42">
        <f>3544936+34113928</f>
        <v>37658864</v>
      </c>
      <c r="K342" s="42">
        <v>0</v>
      </c>
      <c r="M342" s="42">
        <v>71751499</v>
      </c>
      <c r="O342" s="42">
        <f t="shared" si="59"/>
        <v>21001909</v>
      </c>
      <c r="Q342" s="42">
        <v>781922</v>
      </c>
      <c r="S342" s="42">
        <v>13586054</v>
      </c>
      <c r="U342" s="42">
        <v>0</v>
      </c>
      <c r="W342" s="42">
        <v>35369885</v>
      </c>
      <c r="Y342" s="42">
        <v>26825528</v>
      </c>
      <c r="AA342" s="42">
        <f t="shared" si="55"/>
        <v>7792107</v>
      </c>
      <c r="AC342" s="42">
        <v>1763979</v>
      </c>
      <c r="AE342" s="42">
        <v>36381614</v>
      </c>
      <c r="AF342" s="42">
        <f t="shared" si="56"/>
        <v>0</v>
      </c>
      <c r="AH342" s="42">
        <f t="shared" si="61"/>
        <v>0</v>
      </c>
    </row>
    <row r="343" spans="1:34">
      <c r="A343" s="8" t="s">
        <v>525</v>
      </c>
      <c r="B343" s="8"/>
      <c r="C343" s="8" t="s">
        <v>64</v>
      </c>
      <c r="D343" s="8"/>
      <c r="E343" s="23">
        <v>50153</v>
      </c>
      <c r="G343" s="42">
        <f t="shared" si="60"/>
        <v>7107636</v>
      </c>
      <c r="I343" s="42">
        <f>374668+2101475</f>
        <v>2476143</v>
      </c>
      <c r="K343" s="42">
        <v>0</v>
      </c>
      <c r="M343" s="42">
        <v>9583779</v>
      </c>
      <c r="O343" s="42">
        <f t="shared" si="59"/>
        <v>1309973</v>
      </c>
      <c r="Q343" s="42">
        <v>222295</v>
      </c>
      <c r="S343" s="42">
        <v>232215</v>
      </c>
      <c r="U343" s="42">
        <v>5013321</v>
      </c>
      <c r="W343" s="42">
        <f>1764483+5013321</f>
        <v>6777804</v>
      </c>
      <c r="Y343" s="42">
        <v>2476143</v>
      </c>
      <c r="AA343" s="42">
        <f t="shared" si="55"/>
        <v>395062</v>
      </c>
      <c r="AC343" s="42">
        <v>-65230</v>
      </c>
      <c r="AE343" s="42">
        <v>2805975</v>
      </c>
      <c r="AF343" s="42">
        <f t="shared" si="56"/>
        <v>0</v>
      </c>
      <c r="AH343" s="42">
        <f t="shared" si="61"/>
        <v>0</v>
      </c>
    </row>
    <row r="344" spans="1:34" hidden="1">
      <c r="A344" s="8" t="s">
        <v>865</v>
      </c>
      <c r="B344" s="8"/>
      <c r="C344" s="8" t="s">
        <v>114</v>
      </c>
      <c r="D344" s="8"/>
      <c r="E344" s="23">
        <v>44362</v>
      </c>
      <c r="G344" s="42">
        <f t="shared" si="60"/>
        <v>0</v>
      </c>
      <c r="I344" s="42">
        <v>0</v>
      </c>
      <c r="K344" s="42">
        <v>0</v>
      </c>
      <c r="M344" s="42">
        <v>0</v>
      </c>
      <c r="O344" s="42">
        <f t="shared" si="59"/>
        <v>0</v>
      </c>
      <c r="Q344" s="42">
        <v>0</v>
      </c>
      <c r="S344" s="42">
        <v>0</v>
      </c>
      <c r="U344" s="42">
        <v>0</v>
      </c>
      <c r="W344" s="42">
        <v>0</v>
      </c>
      <c r="Y344" s="42">
        <v>0</v>
      </c>
      <c r="AA344" s="42">
        <f t="shared" si="55"/>
        <v>0</v>
      </c>
      <c r="AC344" s="42">
        <v>0</v>
      </c>
      <c r="AE344" s="42">
        <v>0</v>
      </c>
      <c r="AF344" s="42">
        <f t="shared" si="56"/>
        <v>0</v>
      </c>
      <c r="AH344" s="42">
        <f t="shared" si="61"/>
        <v>0</v>
      </c>
    </row>
    <row r="345" spans="1:34">
      <c r="A345" s="8" t="s">
        <v>717</v>
      </c>
      <c r="B345" s="8"/>
      <c r="C345" s="8" t="s">
        <v>20</v>
      </c>
      <c r="D345" s="8"/>
      <c r="E345" s="23">
        <v>44370</v>
      </c>
      <c r="G345" s="42">
        <f t="shared" si="60"/>
        <v>103471236</v>
      </c>
      <c r="I345" s="42">
        <f>493299+63999550</f>
        <v>64492849</v>
      </c>
      <c r="K345" s="42">
        <v>67864</v>
      </c>
      <c r="M345" s="42">
        <f>167964085+67864</f>
        <v>168031949</v>
      </c>
      <c r="O345" s="42">
        <f t="shared" si="59"/>
        <v>10707035</v>
      </c>
      <c r="Q345" s="42">
        <v>2216102</v>
      </c>
      <c r="S345" s="42">
        <v>43244141</v>
      </c>
      <c r="U345" s="42">
        <v>47385579</v>
      </c>
      <c r="W345" s="42">
        <f>56167278+47385579</f>
        <v>103552857</v>
      </c>
      <c r="Y345" s="42">
        <v>23971930</v>
      </c>
      <c r="AA345" s="42">
        <f t="shared" si="55"/>
        <v>6722886</v>
      </c>
      <c r="AC345" s="42">
        <v>33784276</v>
      </c>
      <c r="AE345" s="42">
        <v>64479092</v>
      </c>
      <c r="AF345" s="42">
        <f t="shared" si="56"/>
        <v>0</v>
      </c>
      <c r="AH345" s="42">
        <f t="shared" si="61"/>
        <v>0</v>
      </c>
    </row>
    <row r="346" spans="1:34">
      <c r="A346" s="8" t="s">
        <v>442</v>
      </c>
      <c r="B346" s="8"/>
      <c r="C346" s="8" t="s">
        <v>51</v>
      </c>
      <c r="D346" s="8"/>
      <c r="E346" s="23">
        <v>48850</v>
      </c>
      <c r="G346" s="42">
        <f t="shared" si="60"/>
        <v>8560247</v>
      </c>
      <c r="I346" s="42">
        <f>756108+31914521</f>
        <v>32670629</v>
      </c>
      <c r="K346" s="42">
        <v>74109</v>
      </c>
      <c r="M346" s="42">
        <f>41230876+74109</f>
        <v>41304985</v>
      </c>
      <c r="O346" s="42">
        <f t="shared" si="59"/>
        <v>3803703</v>
      </c>
      <c r="Q346" s="42">
        <v>614835</v>
      </c>
      <c r="S346" s="42">
        <v>4866997</v>
      </c>
      <c r="U346" s="42">
        <v>2703986</v>
      </c>
      <c r="W346" s="42">
        <f>9285535+2703986</f>
        <v>11989521</v>
      </c>
      <c r="Y346" s="42">
        <v>28556621</v>
      </c>
      <c r="AA346" s="42">
        <f t="shared" si="55"/>
        <v>1386273</v>
      </c>
      <c r="AC346" s="42">
        <v>-627430</v>
      </c>
      <c r="AE346" s="42">
        <v>29315464</v>
      </c>
      <c r="AF346" s="42">
        <f t="shared" si="56"/>
        <v>0</v>
      </c>
      <c r="AH346" s="42">
        <f t="shared" si="61"/>
        <v>0</v>
      </c>
    </row>
    <row r="347" spans="1:34" hidden="1">
      <c r="A347" s="8" t="s">
        <v>800</v>
      </c>
      <c r="B347" s="8"/>
      <c r="C347" s="8" t="s">
        <v>33</v>
      </c>
      <c r="D347" s="8"/>
      <c r="E347" s="23">
        <v>47456</v>
      </c>
      <c r="G347" s="42">
        <f t="shared" si="60"/>
        <v>0</v>
      </c>
      <c r="I347" s="42">
        <v>0</v>
      </c>
      <c r="K347" s="42">
        <v>0</v>
      </c>
      <c r="M347" s="42">
        <v>0</v>
      </c>
      <c r="O347" s="42">
        <f t="shared" si="59"/>
        <v>0</v>
      </c>
      <c r="Q347" s="42">
        <v>0</v>
      </c>
      <c r="S347" s="42">
        <v>0</v>
      </c>
      <c r="U347" s="42">
        <v>0</v>
      </c>
      <c r="W347" s="42">
        <v>0</v>
      </c>
      <c r="Y347" s="42">
        <v>0</v>
      </c>
      <c r="AA347" s="42">
        <f t="shared" si="55"/>
        <v>0</v>
      </c>
      <c r="AC347" s="42">
        <v>0</v>
      </c>
      <c r="AE347" s="42">
        <v>0</v>
      </c>
      <c r="AF347" s="42">
        <f t="shared" si="56"/>
        <v>0</v>
      </c>
      <c r="AH347" s="42">
        <f t="shared" si="61"/>
        <v>0</v>
      </c>
    </row>
    <row r="348" spans="1:34">
      <c r="A348" s="8" t="s">
        <v>633</v>
      </c>
      <c r="B348" s="8"/>
      <c r="C348" s="8" t="s">
        <v>64</v>
      </c>
      <c r="D348" s="8"/>
      <c r="E348" s="23">
        <v>50229</v>
      </c>
      <c r="G348" s="42">
        <f t="shared" si="60"/>
        <v>4507673</v>
      </c>
      <c r="I348" s="42">
        <f>311600+12443952</f>
        <v>12755552</v>
      </c>
      <c r="K348" s="42">
        <v>52670</v>
      </c>
      <c r="M348" s="42">
        <f>17263225+52670</f>
        <v>17315895</v>
      </c>
      <c r="O348" s="42">
        <f t="shared" si="59"/>
        <v>686044</v>
      </c>
      <c r="Q348" s="42">
        <v>197835</v>
      </c>
      <c r="S348" s="42">
        <v>1379823</v>
      </c>
      <c r="U348" s="42">
        <v>1852640</v>
      </c>
      <c r="W348" s="42">
        <f>2263702+1852640</f>
        <v>4116342</v>
      </c>
      <c r="Y348" s="42">
        <v>11654292</v>
      </c>
      <c r="AA348" s="42">
        <f t="shared" si="55"/>
        <v>742784</v>
      </c>
      <c r="AC348" s="42">
        <v>802477</v>
      </c>
      <c r="AE348" s="42">
        <v>13199553</v>
      </c>
      <c r="AF348" s="42">
        <f t="shared" si="56"/>
        <v>0</v>
      </c>
      <c r="AH348" s="42">
        <f t="shared" si="61"/>
        <v>0</v>
      </c>
    </row>
    <row r="349" spans="1:34">
      <c r="A349" s="8" t="s">
        <v>762</v>
      </c>
      <c r="B349" s="8"/>
      <c r="C349" s="8" t="s">
        <v>227</v>
      </c>
      <c r="D349" s="8"/>
      <c r="E349" s="23">
        <v>45484</v>
      </c>
      <c r="G349" s="42">
        <f t="shared" si="60"/>
        <v>4562513</v>
      </c>
      <c r="I349" s="42">
        <v>22515849</v>
      </c>
      <c r="K349" s="42">
        <v>583016</v>
      </c>
      <c r="M349" s="42">
        <f>27078362+583016</f>
        <v>27661378</v>
      </c>
      <c r="O349" s="42">
        <f t="shared" si="59"/>
        <v>1085541</v>
      </c>
      <c r="Q349" s="42">
        <v>458468</v>
      </c>
      <c r="S349" s="42">
        <v>7875762</v>
      </c>
      <c r="U349" s="42">
        <v>2130740</v>
      </c>
      <c r="W349" s="42">
        <f>9419771+2130740</f>
        <v>11550511</v>
      </c>
      <c r="Y349" s="42">
        <v>15914932</v>
      </c>
      <c r="AA349" s="42">
        <f t="shared" si="55"/>
        <v>968502</v>
      </c>
      <c r="AC349" s="42">
        <v>-772567</v>
      </c>
      <c r="AE349" s="42">
        <v>16110867</v>
      </c>
      <c r="AF349" s="42">
        <f t="shared" si="56"/>
        <v>0</v>
      </c>
      <c r="AH349" s="42">
        <f t="shared" si="61"/>
        <v>0</v>
      </c>
    </row>
    <row r="350" spans="1:34">
      <c r="A350" s="8" t="s">
        <v>415</v>
      </c>
      <c r="B350" s="8"/>
      <c r="C350" s="8" t="s">
        <v>47</v>
      </c>
      <c r="D350" s="8"/>
      <c r="E350" s="23">
        <v>44388</v>
      </c>
      <c r="G350" s="42">
        <f t="shared" si="60"/>
        <v>91789991</v>
      </c>
      <c r="I350" s="42">
        <f>3251882+98303544</f>
        <v>101555426</v>
      </c>
      <c r="K350" s="42">
        <v>4439591</v>
      </c>
      <c r="M350" s="42">
        <f>193345417+4439591</f>
        <v>197785008</v>
      </c>
      <c r="O350" s="42">
        <f t="shared" si="59"/>
        <v>8660007</v>
      </c>
      <c r="Q350" s="42">
        <v>4776666</v>
      </c>
      <c r="S350" s="42">
        <v>93031315</v>
      </c>
      <c r="U350" s="42">
        <v>46633517</v>
      </c>
      <c r="W350" s="42">
        <f>106467988+46633517</f>
        <v>153101505</v>
      </c>
      <c r="Y350" s="42">
        <v>15373793</v>
      </c>
      <c r="AA350" s="42">
        <f t="shared" si="55"/>
        <v>11823871</v>
      </c>
      <c r="AC350" s="42">
        <v>17485839</v>
      </c>
      <c r="AE350" s="42">
        <v>44683503</v>
      </c>
      <c r="AF350" s="42">
        <f>+M350-W350-AE350</f>
        <v>0</v>
      </c>
      <c r="AH350" s="42">
        <f t="shared" si="61"/>
        <v>0</v>
      </c>
    </row>
    <row r="351" spans="1:34">
      <c r="A351" s="8" t="s">
        <v>418</v>
      </c>
      <c r="B351" s="8"/>
      <c r="C351" s="8" t="s">
        <v>417</v>
      </c>
      <c r="D351" s="8"/>
      <c r="E351" s="23">
        <v>48520</v>
      </c>
      <c r="G351" s="42">
        <f t="shared" si="60"/>
        <v>9644397</v>
      </c>
      <c r="I351" s="42">
        <f>751943+24778613</f>
        <v>25530556</v>
      </c>
      <c r="K351" s="42">
        <v>0</v>
      </c>
      <c r="M351" s="42">
        <v>35174953</v>
      </c>
      <c r="O351" s="42">
        <f t="shared" si="59"/>
        <v>2573081</v>
      </c>
      <c r="Q351" s="42">
        <v>518786</v>
      </c>
      <c r="S351" s="42">
        <v>4869408</v>
      </c>
      <c r="U351" s="42">
        <v>1295280</v>
      </c>
      <c r="W351" s="42">
        <v>9256555</v>
      </c>
      <c r="Y351" s="42">
        <v>21006754</v>
      </c>
      <c r="AA351" s="42">
        <f t="shared" si="55"/>
        <v>1821899</v>
      </c>
      <c r="AC351" s="42">
        <v>3089745</v>
      </c>
      <c r="AE351" s="42">
        <v>25918398</v>
      </c>
      <c r="AF351" s="42">
        <f t="shared" si="56"/>
        <v>0</v>
      </c>
      <c r="AH351" s="42">
        <f t="shared" si="61"/>
        <v>0</v>
      </c>
    </row>
    <row r="352" spans="1:34">
      <c r="A352" s="8" t="s">
        <v>763</v>
      </c>
      <c r="B352" s="8"/>
      <c r="C352" s="8" t="s">
        <v>41</v>
      </c>
      <c r="D352" s="8"/>
      <c r="E352" s="23">
        <v>45492</v>
      </c>
      <c r="G352" s="42">
        <f t="shared" si="60"/>
        <v>134140006</v>
      </c>
      <c r="I352" s="42">
        <f>1299407+19459097</f>
        <v>20758504</v>
      </c>
      <c r="K352" s="42">
        <v>0</v>
      </c>
      <c r="M352" s="42">
        <v>154898510</v>
      </c>
      <c r="O352" s="42">
        <f t="shared" si="59"/>
        <v>15507778</v>
      </c>
      <c r="Q352" s="42">
        <v>1511491</v>
      </c>
      <c r="S352" s="42">
        <v>5498028</v>
      </c>
      <c r="U352" s="42">
        <v>53049457</v>
      </c>
      <c r="W352" s="42">
        <f>22517297+53049457</f>
        <v>75566754</v>
      </c>
      <c r="Y352" s="42">
        <v>18844497</v>
      </c>
      <c r="AA352" s="42">
        <f t="shared" si="55"/>
        <v>2518037</v>
      </c>
      <c r="AC352" s="42">
        <v>57969222</v>
      </c>
      <c r="AE352" s="42">
        <v>79331756</v>
      </c>
      <c r="AF352" s="42">
        <f t="shared" si="56"/>
        <v>0</v>
      </c>
      <c r="AH352" s="42">
        <f t="shared" si="61"/>
        <v>0</v>
      </c>
    </row>
    <row r="353" spans="1:34">
      <c r="A353" s="8" t="s">
        <v>421</v>
      </c>
      <c r="B353" s="8"/>
      <c r="C353" s="8" t="s">
        <v>48</v>
      </c>
      <c r="D353" s="8"/>
      <c r="E353" s="23">
        <v>48629</v>
      </c>
      <c r="G353" s="42">
        <f t="shared" si="60"/>
        <v>11540687</v>
      </c>
      <c r="I353" s="42">
        <v>28541453</v>
      </c>
      <c r="K353" s="42">
        <v>265047</v>
      </c>
      <c r="M353" s="42">
        <f>40082140+265047</f>
        <v>40347187</v>
      </c>
      <c r="O353" s="42">
        <f t="shared" si="59"/>
        <v>1459941</v>
      </c>
      <c r="Q353" s="42">
        <v>1068401</v>
      </c>
      <c r="S353" s="42">
        <v>17452877</v>
      </c>
      <c r="U353" s="42">
        <v>3991273</v>
      </c>
      <c r="W353" s="42">
        <f>19981219+3991273</f>
        <v>23972492</v>
      </c>
      <c r="Y353" s="42">
        <v>12683473</v>
      </c>
      <c r="AA353" s="42">
        <f t="shared" si="55"/>
        <v>2977213</v>
      </c>
      <c r="AC353" s="42">
        <v>714009</v>
      </c>
      <c r="AE353" s="42">
        <v>16374695</v>
      </c>
      <c r="AF353" s="42">
        <f t="shared" si="56"/>
        <v>0</v>
      </c>
      <c r="AH353" s="42">
        <f t="shared" si="61"/>
        <v>0</v>
      </c>
    </row>
    <row r="354" spans="1:34">
      <c r="A354" s="8" t="s">
        <v>295</v>
      </c>
      <c r="B354" s="8"/>
      <c r="C354" s="8" t="s">
        <v>26</v>
      </c>
      <c r="D354" s="8"/>
      <c r="E354" s="23">
        <v>46920</v>
      </c>
      <c r="G354" s="42">
        <f t="shared" si="60"/>
        <v>33812904</v>
      </c>
      <c r="I354" s="42">
        <f>73840+47723623</f>
        <v>47797463</v>
      </c>
      <c r="K354" s="42">
        <v>0</v>
      </c>
      <c r="M354" s="42">
        <v>81610367</v>
      </c>
      <c r="O354" s="42">
        <f t="shared" si="59"/>
        <v>11666511</v>
      </c>
      <c r="Q354" s="42">
        <v>954229</v>
      </c>
      <c r="S354" s="42">
        <v>26284995</v>
      </c>
      <c r="U354" s="42">
        <v>0</v>
      </c>
      <c r="W354" s="42">
        <v>38905735</v>
      </c>
      <c r="Y354" s="42">
        <v>21749816</v>
      </c>
      <c r="AA354" s="42">
        <f t="shared" si="55"/>
        <v>5761106</v>
      </c>
      <c r="AC354" s="42">
        <v>15193710</v>
      </c>
      <c r="AE354" s="42">
        <v>42704632</v>
      </c>
      <c r="AF354" s="42">
        <f t="shared" si="56"/>
        <v>0</v>
      </c>
      <c r="AH354" s="42">
        <f t="shared" si="61"/>
        <v>0</v>
      </c>
    </row>
    <row r="355" spans="1:34">
      <c r="A355" s="8" t="s">
        <v>429</v>
      </c>
      <c r="B355" s="8"/>
      <c r="C355" s="8" t="s">
        <v>50</v>
      </c>
      <c r="D355" s="8"/>
      <c r="E355" s="23">
        <v>44396</v>
      </c>
      <c r="G355" s="42">
        <f t="shared" si="60"/>
        <v>59201965</v>
      </c>
      <c r="I355" s="42">
        <f>2006651+94337708</f>
        <v>96344359</v>
      </c>
      <c r="K355" s="42">
        <v>0</v>
      </c>
      <c r="M355" s="42">
        <v>155546324</v>
      </c>
      <c r="O355" s="42">
        <f t="shared" si="59"/>
        <v>7900262</v>
      </c>
      <c r="Q355" s="42">
        <v>2071717</v>
      </c>
      <c r="S355" s="42">
        <v>85340565</v>
      </c>
      <c r="U355" s="42">
        <v>34698734</v>
      </c>
      <c r="W355" s="42">
        <f>95312544+34698734</f>
        <v>130011278</v>
      </c>
      <c r="Y355" s="42">
        <v>14126325</v>
      </c>
      <c r="AA355" s="42">
        <f t="shared" si="55"/>
        <v>11624879</v>
      </c>
      <c r="AC355" s="42">
        <v>-216158</v>
      </c>
      <c r="AE355" s="42">
        <v>25535046</v>
      </c>
      <c r="AF355" s="42">
        <f t="shared" si="56"/>
        <v>0</v>
      </c>
      <c r="AH355" s="42">
        <f t="shared" si="61"/>
        <v>0</v>
      </c>
    </row>
    <row r="356" spans="1:34" hidden="1">
      <c r="A356" s="8" t="s">
        <v>806</v>
      </c>
      <c r="B356" s="9"/>
      <c r="C356" s="9" t="s">
        <v>53</v>
      </c>
      <c r="D356" s="8"/>
      <c r="E356" s="23">
        <v>48959</v>
      </c>
      <c r="G356" s="42">
        <f t="shared" si="60"/>
        <v>0</v>
      </c>
      <c r="I356" s="42">
        <v>0</v>
      </c>
      <c r="K356" s="42">
        <v>0</v>
      </c>
      <c r="M356" s="42">
        <v>0</v>
      </c>
      <c r="O356" s="42">
        <f t="shared" si="59"/>
        <v>0</v>
      </c>
      <c r="Q356" s="42">
        <v>0</v>
      </c>
      <c r="S356" s="42">
        <v>0</v>
      </c>
      <c r="U356" s="42">
        <v>0</v>
      </c>
      <c r="W356" s="42">
        <v>0</v>
      </c>
      <c r="Y356" s="42">
        <v>0</v>
      </c>
      <c r="AA356" s="42">
        <f t="shared" si="55"/>
        <v>0</v>
      </c>
      <c r="AC356" s="42">
        <v>0</v>
      </c>
      <c r="AE356" s="42">
        <v>0</v>
      </c>
      <c r="AF356" s="42">
        <f t="shared" ref="AF356" si="62">+M356-W356-AE356</f>
        <v>0</v>
      </c>
      <c r="AH356" s="42">
        <f t="shared" si="61"/>
        <v>0</v>
      </c>
    </row>
    <row r="357" spans="1:34">
      <c r="A357" s="8" t="s">
        <v>224</v>
      </c>
      <c r="B357" s="8"/>
      <c r="C357" s="8" t="s">
        <v>220</v>
      </c>
      <c r="D357" s="8"/>
      <c r="E357" s="23">
        <v>44404</v>
      </c>
      <c r="G357" s="42">
        <f t="shared" si="60"/>
        <v>38983175</v>
      </c>
      <c r="I357" s="42">
        <f>1037059+65690124</f>
        <v>66727183</v>
      </c>
      <c r="K357" s="42">
        <v>55382</v>
      </c>
      <c r="M357" s="42">
        <f>105710358+55382</f>
        <v>105765740</v>
      </c>
      <c r="O357" s="42">
        <f t="shared" si="59"/>
        <v>8183081</v>
      </c>
      <c r="Q357" s="42">
        <v>2417214</v>
      </c>
      <c r="S357" s="42">
        <v>61697165</v>
      </c>
      <c r="U357" s="42">
        <v>28290743</v>
      </c>
      <c r="W357" s="42">
        <f>72297460+28290743</f>
        <v>100588203</v>
      </c>
      <c r="Y357" s="42">
        <v>6234371</v>
      </c>
      <c r="AA357" s="42">
        <f t="shared" si="55"/>
        <v>2337991</v>
      </c>
      <c r="AC357" s="42">
        <v>-3394825</v>
      </c>
      <c r="AE357" s="42">
        <v>5177537</v>
      </c>
      <c r="AF357" s="42">
        <f t="shared" si="56"/>
        <v>0</v>
      </c>
      <c r="AH357" s="42">
        <f t="shared" si="61"/>
        <v>0</v>
      </c>
    </row>
    <row r="358" spans="1:34">
      <c r="A358" s="8" t="s">
        <v>384</v>
      </c>
      <c r="B358" s="8"/>
      <c r="C358" s="8" t="s">
        <v>44</v>
      </c>
      <c r="D358" s="8"/>
      <c r="E358" s="23">
        <v>48173</v>
      </c>
      <c r="G358" s="42">
        <f t="shared" si="60"/>
        <v>23539371</v>
      </c>
      <c r="I358" s="42">
        <f>2059497+45685042</f>
        <v>47744539</v>
      </c>
      <c r="K358" s="42">
        <v>0</v>
      </c>
      <c r="M358" s="42">
        <v>71283910</v>
      </c>
      <c r="O358" s="42">
        <f t="shared" si="59"/>
        <v>16613464</v>
      </c>
      <c r="Q358" s="42">
        <v>854040</v>
      </c>
      <c r="S358" s="42">
        <v>25163335</v>
      </c>
      <c r="U358" s="42">
        <v>0</v>
      </c>
      <c r="W358" s="42">
        <v>42630839</v>
      </c>
      <c r="Y358" s="42">
        <v>25247319</v>
      </c>
      <c r="AA358" s="42">
        <f t="shared" si="55"/>
        <v>3030794</v>
      </c>
      <c r="AC358" s="42">
        <v>374958</v>
      </c>
      <c r="AE358" s="42">
        <v>28653071</v>
      </c>
      <c r="AF358" s="42">
        <f t="shared" si="56"/>
        <v>0</v>
      </c>
      <c r="AH358" s="42">
        <f t="shared" si="61"/>
        <v>0</v>
      </c>
    </row>
    <row r="359" spans="1:34">
      <c r="A359" s="9" t="s">
        <v>764</v>
      </c>
      <c r="B359" s="9"/>
      <c r="C359" s="9" t="s">
        <v>112</v>
      </c>
      <c r="D359" s="9"/>
      <c r="E359" s="23">
        <v>45500</v>
      </c>
      <c r="G359" s="42">
        <f t="shared" si="60"/>
        <v>61662591</v>
      </c>
      <c r="I359" s="42">
        <f>4938233+70151832</f>
        <v>75090065</v>
      </c>
      <c r="K359" s="42">
        <v>0</v>
      </c>
      <c r="M359" s="42">
        <v>136752656</v>
      </c>
      <c r="O359" s="42">
        <f t="shared" si="59"/>
        <v>39694736</v>
      </c>
      <c r="Q359" s="42">
        <v>2062640</v>
      </c>
      <c r="S359" s="42">
        <v>69290603</v>
      </c>
      <c r="U359" s="42">
        <v>0</v>
      </c>
      <c r="W359" s="42">
        <v>111047979</v>
      </c>
      <c r="Y359" s="42">
        <v>7398971</v>
      </c>
      <c r="AA359" s="42">
        <f t="shared" si="55"/>
        <v>6312084</v>
      </c>
      <c r="AC359" s="42">
        <v>11993622</v>
      </c>
      <c r="AE359" s="42">
        <v>25704677</v>
      </c>
      <c r="AF359" s="42">
        <f t="shared" si="56"/>
        <v>0</v>
      </c>
      <c r="AH359" s="42">
        <f t="shared" si="61"/>
        <v>0</v>
      </c>
    </row>
    <row r="360" spans="1:34" hidden="1">
      <c r="A360" s="8" t="s">
        <v>608</v>
      </c>
      <c r="B360" s="8"/>
      <c r="C360" s="8" t="s">
        <v>548</v>
      </c>
      <c r="D360" s="8"/>
      <c r="E360" s="23">
        <v>50633</v>
      </c>
      <c r="G360" s="42">
        <f t="shared" si="60"/>
        <v>0</v>
      </c>
      <c r="I360" s="42">
        <v>0</v>
      </c>
      <c r="K360" s="42">
        <v>0</v>
      </c>
      <c r="M360" s="42">
        <v>0</v>
      </c>
      <c r="O360" s="42">
        <f t="shared" si="59"/>
        <v>0</v>
      </c>
      <c r="Q360" s="42">
        <v>0</v>
      </c>
      <c r="S360" s="42">
        <v>0</v>
      </c>
      <c r="U360" s="42">
        <v>0</v>
      </c>
      <c r="W360" s="42">
        <v>0</v>
      </c>
      <c r="Y360" s="42">
        <v>0</v>
      </c>
      <c r="AA360" s="42">
        <f t="shared" si="55"/>
        <v>0</v>
      </c>
      <c r="AC360" s="42">
        <v>0</v>
      </c>
      <c r="AE360" s="42">
        <v>0</v>
      </c>
      <c r="AF360" s="42">
        <f t="shared" si="56"/>
        <v>0</v>
      </c>
      <c r="AH360" s="42">
        <f t="shared" si="61"/>
        <v>0</v>
      </c>
    </row>
    <row r="361" spans="1:34" hidden="1">
      <c r="A361" s="9" t="s">
        <v>880</v>
      </c>
      <c r="B361" s="8"/>
      <c r="C361" s="8" t="s">
        <v>464</v>
      </c>
      <c r="D361" s="8"/>
      <c r="E361" s="23">
        <v>49361</v>
      </c>
      <c r="G361" s="42">
        <f t="shared" si="60"/>
        <v>0</v>
      </c>
      <c r="I361" s="42">
        <v>0</v>
      </c>
      <c r="K361" s="42">
        <v>0</v>
      </c>
      <c r="M361" s="42">
        <v>0</v>
      </c>
      <c r="O361" s="42">
        <f t="shared" si="59"/>
        <v>0</v>
      </c>
      <c r="Q361" s="42">
        <v>0</v>
      </c>
      <c r="S361" s="42">
        <v>0</v>
      </c>
      <c r="U361" s="42">
        <v>0</v>
      </c>
      <c r="W361" s="42">
        <v>0</v>
      </c>
      <c r="Y361" s="42">
        <v>0</v>
      </c>
      <c r="AA361" s="42">
        <f t="shared" si="55"/>
        <v>0</v>
      </c>
      <c r="AC361" s="42">
        <v>0</v>
      </c>
      <c r="AE361" s="42">
        <v>0</v>
      </c>
      <c r="AF361" s="42">
        <f t="shared" si="56"/>
        <v>0</v>
      </c>
      <c r="AH361" s="42">
        <f t="shared" si="61"/>
        <v>0</v>
      </c>
    </row>
    <row r="362" spans="1:34" hidden="1">
      <c r="A362" s="8" t="s">
        <v>801</v>
      </c>
      <c r="B362" s="8"/>
      <c r="C362" s="8" t="s">
        <v>48</v>
      </c>
      <c r="D362" s="8"/>
      <c r="E362" s="23">
        <v>45518</v>
      </c>
      <c r="G362" s="42">
        <f t="shared" si="60"/>
        <v>0</v>
      </c>
      <c r="I362" s="42">
        <v>0</v>
      </c>
      <c r="K362" s="42">
        <v>0</v>
      </c>
      <c r="M362" s="42">
        <v>0</v>
      </c>
      <c r="O362" s="42">
        <f t="shared" si="59"/>
        <v>0</v>
      </c>
      <c r="Q362" s="42">
        <v>0</v>
      </c>
      <c r="S362" s="42">
        <v>0</v>
      </c>
      <c r="U362" s="42">
        <v>0</v>
      </c>
      <c r="W362" s="42">
        <v>0</v>
      </c>
      <c r="Y362" s="42">
        <v>0</v>
      </c>
      <c r="AA362" s="42">
        <f t="shared" si="55"/>
        <v>0</v>
      </c>
      <c r="AC362" s="42">
        <v>0</v>
      </c>
      <c r="AE362" s="42">
        <v>0</v>
      </c>
      <c r="AF362" s="42">
        <f t="shared" si="56"/>
        <v>0</v>
      </c>
      <c r="AH362" s="42">
        <f t="shared" si="61"/>
        <v>0</v>
      </c>
    </row>
    <row r="363" spans="1:34">
      <c r="A363" s="8" t="s">
        <v>498</v>
      </c>
      <c r="B363" s="8"/>
      <c r="C363" s="8" t="s">
        <v>62</v>
      </c>
      <c r="D363" s="8"/>
      <c r="E363" s="23">
        <v>49890</v>
      </c>
      <c r="G363" s="42">
        <f t="shared" si="60"/>
        <v>9939819</v>
      </c>
      <c r="I363" s="42">
        <f>559774+36849834</f>
        <v>37409608</v>
      </c>
      <c r="K363" s="42">
        <v>0</v>
      </c>
      <c r="M363" s="42">
        <v>47349427</v>
      </c>
      <c r="O363" s="42">
        <f t="shared" si="59"/>
        <v>7137480</v>
      </c>
      <c r="Q363" s="42">
        <v>735267</v>
      </c>
      <c r="S363" s="42">
        <v>12123787</v>
      </c>
      <c r="U363" s="42">
        <v>0</v>
      </c>
      <c r="W363" s="42">
        <v>19996534</v>
      </c>
      <c r="Y363" s="42">
        <v>25965899</v>
      </c>
      <c r="AA363" s="42">
        <f t="shared" si="55"/>
        <v>1502151</v>
      </c>
      <c r="AC363" s="42">
        <v>-115157</v>
      </c>
      <c r="AE363" s="42">
        <v>27352893</v>
      </c>
      <c r="AF363" s="42">
        <f t="shared" si="56"/>
        <v>0</v>
      </c>
      <c r="AH363" s="42">
        <f t="shared" si="61"/>
        <v>0</v>
      </c>
    </row>
    <row r="364" spans="1:34">
      <c r="A364" s="8" t="s">
        <v>479</v>
      </c>
      <c r="B364" s="8"/>
      <c r="C364" s="8" t="s">
        <v>59</v>
      </c>
      <c r="D364" s="8"/>
      <c r="E364" s="23">
        <v>49627</v>
      </c>
      <c r="F364" s="7"/>
      <c r="G364" s="42">
        <f t="shared" si="60"/>
        <v>4720821</v>
      </c>
      <c r="I364" s="42">
        <f>674603+24446921</f>
        <v>25121524</v>
      </c>
      <c r="K364" s="42">
        <v>22233</v>
      </c>
      <c r="M364" s="42">
        <f>29842345+22233</f>
        <v>29864578</v>
      </c>
      <c r="O364" s="42">
        <f t="shared" si="59"/>
        <v>1230366</v>
      </c>
      <c r="Q364" s="42">
        <v>439719</v>
      </c>
      <c r="S364" s="42">
        <v>2772302</v>
      </c>
      <c r="U364" s="42">
        <v>1759811</v>
      </c>
      <c r="W364" s="42">
        <f>4442387+1759811</f>
        <v>6202198</v>
      </c>
      <c r="Y364" s="42">
        <v>22865987</v>
      </c>
      <c r="AA364" s="42">
        <f t="shared" si="55"/>
        <v>1159924</v>
      </c>
      <c r="AC364" s="42">
        <v>-363531</v>
      </c>
      <c r="AE364" s="42">
        <v>23662380</v>
      </c>
      <c r="AF364" s="42">
        <f t="shared" si="56"/>
        <v>0</v>
      </c>
      <c r="AH364" s="42">
        <f t="shared" si="61"/>
        <v>0</v>
      </c>
    </row>
    <row r="365" spans="1:34">
      <c r="A365" s="8" t="s">
        <v>212</v>
      </c>
      <c r="B365" s="8"/>
      <c r="C365" s="8" t="s">
        <v>14</v>
      </c>
      <c r="D365" s="8"/>
      <c r="E365" s="23">
        <v>45948</v>
      </c>
      <c r="G365" s="42">
        <f t="shared" si="60"/>
        <v>6865942</v>
      </c>
      <c r="I365" s="42">
        <f>265225+14976796</f>
        <v>15242021</v>
      </c>
      <c r="K365" s="42">
        <v>706264</v>
      </c>
      <c r="M365" s="42">
        <f>22107963+706264</f>
        <v>22814227</v>
      </c>
      <c r="O365" s="42">
        <f t="shared" si="59"/>
        <v>1116724</v>
      </c>
      <c r="Q365" s="42">
        <v>105734</v>
      </c>
      <c r="S365" s="42">
        <v>11754863</v>
      </c>
      <c r="U365" s="42">
        <v>3485560</v>
      </c>
      <c r="W365" s="42">
        <f>12977321+3485560</f>
        <v>16462881</v>
      </c>
      <c r="Y365" s="42">
        <v>6447623</v>
      </c>
      <c r="AA365" s="42">
        <f t="shared" si="55"/>
        <v>877116</v>
      </c>
      <c r="AC365" s="42">
        <v>-973393</v>
      </c>
      <c r="AE365" s="42">
        <v>6351346</v>
      </c>
      <c r="AF365" s="42">
        <f t="shared" si="56"/>
        <v>0</v>
      </c>
      <c r="AH365" s="42">
        <f t="shared" si="61"/>
        <v>0</v>
      </c>
    </row>
    <row r="366" spans="1:34" hidden="1">
      <c r="A366" s="8" t="s">
        <v>635</v>
      </c>
      <c r="B366" s="8"/>
      <c r="C366" s="8" t="s">
        <v>21</v>
      </c>
      <c r="D366" s="8"/>
      <c r="E366" s="23">
        <v>46672</v>
      </c>
      <c r="G366" s="42">
        <f t="shared" si="60"/>
        <v>0</v>
      </c>
      <c r="I366" s="42">
        <v>0</v>
      </c>
      <c r="K366" s="42">
        <v>0</v>
      </c>
      <c r="M366" s="42">
        <v>0</v>
      </c>
      <c r="O366" s="42">
        <f t="shared" si="59"/>
        <v>0</v>
      </c>
      <c r="Q366" s="42">
        <v>0</v>
      </c>
      <c r="S366" s="42">
        <v>0</v>
      </c>
      <c r="U366" s="42">
        <v>0</v>
      </c>
      <c r="W366" s="42">
        <v>0</v>
      </c>
      <c r="Y366" s="42">
        <v>0</v>
      </c>
      <c r="AA366" s="42">
        <f t="shared" si="55"/>
        <v>0</v>
      </c>
      <c r="AC366" s="42">
        <v>0</v>
      </c>
      <c r="AE366" s="42">
        <v>0</v>
      </c>
      <c r="AF366" s="42">
        <f t="shared" si="56"/>
        <v>0</v>
      </c>
      <c r="AH366" s="42">
        <f t="shared" si="61"/>
        <v>0</v>
      </c>
    </row>
    <row r="367" spans="1:34">
      <c r="A367" s="8" t="s">
        <v>506</v>
      </c>
      <c r="B367" s="8"/>
      <c r="C367" s="8" t="s">
        <v>63</v>
      </c>
      <c r="D367" s="8"/>
      <c r="E367" s="23">
        <v>50039</v>
      </c>
      <c r="G367" s="42">
        <f t="shared" si="60"/>
        <v>6615064</v>
      </c>
      <c r="I367" s="42">
        <f>98050+12830140</f>
        <v>12928190</v>
      </c>
      <c r="K367" s="42">
        <v>0</v>
      </c>
      <c r="M367" s="42">
        <v>19543254</v>
      </c>
      <c r="O367" s="42">
        <f t="shared" si="59"/>
        <v>4335408</v>
      </c>
      <c r="Q367" s="42">
        <v>311246</v>
      </c>
      <c r="S367" s="42">
        <v>10662996</v>
      </c>
      <c r="U367" s="42">
        <v>0</v>
      </c>
      <c r="W367" s="42">
        <v>15309650</v>
      </c>
      <c r="Y367" s="42">
        <v>2818383</v>
      </c>
      <c r="AA367" s="42">
        <f t="shared" si="55"/>
        <v>643994</v>
      </c>
      <c r="AC367" s="42">
        <v>771227</v>
      </c>
      <c r="AE367" s="42">
        <v>4233604</v>
      </c>
      <c r="AF367" s="42">
        <f t="shared" si="56"/>
        <v>0</v>
      </c>
      <c r="AH367" s="42">
        <f t="shared" si="61"/>
        <v>0</v>
      </c>
    </row>
    <row r="368" spans="1:34" hidden="1">
      <c r="A368" s="8" t="s">
        <v>616</v>
      </c>
      <c r="B368" s="8"/>
      <c r="C368" s="8" t="s">
        <v>553</v>
      </c>
      <c r="D368" s="8"/>
      <c r="E368" s="23">
        <v>50740</v>
      </c>
      <c r="G368" s="42">
        <f t="shared" si="60"/>
        <v>0</v>
      </c>
      <c r="I368" s="42">
        <v>0</v>
      </c>
      <c r="K368" s="42">
        <v>0</v>
      </c>
      <c r="M368" s="42">
        <v>0</v>
      </c>
      <c r="O368" s="42">
        <f t="shared" si="59"/>
        <v>0</v>
      </c>
      <c r="Q368" s="42">
        <v>0</v>
      </c>
      <c r="S368" s="42">
        <v>0</v>
      </c>
      <c r="U368" s="42">
        <v>0</v>
      </c>
      <c r="W368" s="42">
        <v>0</v>
      </c>
      <c r="Y368" s="42">
        <v>0</v>
      </c>
      <c r="AA368" s="42">
        <f t="shared" si="55"/>
        <v>0</v>
      </c>
      <c r="AC368" s="42">
        <v>0</v>
      </c>
      <c r="AE368" s="42">
        <v>0</v>
      </c>
      <c r="AF368" s="42">
        <f t="shared" ref="AF368:AF438" si="63">+M368-W368-AE368</f>
        <v>0</v>
      </c>
      <c r="AH368" s="42">
        <f t="shared" si="61"/>
        <v>0</v>
      </c>
    </row>
    <row r="369" spans="1:34">
      <c r="A369" s="8" t="s">
        <v>905</v>
      </c>
      <c r="B369" s="8"/>
      <c r="C369" s="8" t="s">
        <v>220</v>
      </c>
      <c r="D369" s="8"/>
      <c r="E369" s="23">
        <v>139303</v>
      </c>
      <c r="G369" s="42">
        <f t="shared" si="60"/>
        <v>19591776</v>
      </c>
      <c r="I369" s="42">
        <f>2475849+36940358</f>
        <v>39416207</v>
      </c>
      <c r="K369" s="42">
        <v>0</v>
      </c>
      <c r="M369" s="42">
        <v>59007983</v>
      </c>
      <c r="O369" s="42">
        <f t="shared" si="59"/>
        <v>1749687</v>
      </c>
      <c r="Q369" s="42">
        <v>1798869</v>
      </c>
      <c r="S369" s="42">
        <v>31489002</v>
      </c>
      <c r="U369" s="42">
        <v>13246137</v>
      </c>
      <c r="W369" s="42">
        <f>35037558+13246137</f>
        <v>48283695</v>
      </c>
      <c r="Y369" s="42">
        <v>10596247</v>
      </c>
      <c r="AA369" s="42">
        <f t="shared" si="55"/>
        <v>5859685</v>
      </c>
      <c r="AC369" s="42">
        <v>-5731644</v>
      </c>
      <c r="AE369" s="42">
        <v>10724288</v>
      </c>
      <c r="AF369" s="42">
        <f t="shared" si="63"/>
        <v>0</v>
      </c>
      <c r="AH369" s="42">
        <f t="shared" si="61"/>
        <v>0</v>
      </c>
    </row>
    <row r="370" spans="1:34">
      <c r="A370" s="8" t="s">
        <v>354</v>
      </c>
      <c r="B370" s="8"/>
      <c r="C370" s="8" t="s">
        <v>37</v>
      </c>
      <c r="D370" s="8"/>
      <c r="E370" s="23">
        <v>47712</v>
      </c>
      <c r="G370" s="42">
        <f t="shared" si="60"/>
        <v>8177113</v>
      </c>
      <c r="I370" s="42">
        <v>1677510</v>
      </c>
      <c r="K370" s="42">
        <v>0</v>
      </c>
      <c r="M370" s="42">
        <v>9854623</v>
      </c>
      <c r="O370" s="42">
        <f t="shared" si="59"/>
        <v>783512</v>
      </c>
      <c r="Q370" s="42">
        <v>366375</v>
      </c>
      <c r="S370" s="42">
        <v>5262766</v>
      </c>
      <c r="U370" s="42">
        <v>2023547</v>
      </c>
      <c r="W370" s="42">
        <f>6412653+2023547</f>
        <v>8436200</v>
      </c>
      <c r="Y370" s="42">
        <v>591702</v>
      </c>
      <c r="AA370" s="42">
        <f t="shared" si="55"/>
        <v>534498</v>
      </c>
      <c r="AC370" s="42">
        <v>292223</v>
      </c>
      <c r="AE370" s="42">
        <v>1418423</v>
      </c>
      <c r="AF370" s="42">
        <f t="shared" si="63"/>
        <v>0</v>
      </c>
      <c r="AH370" s="42">
        <f t="shared" si="61"/>
        <v>0</v>
      </c>
    </row>
    <row r="371" spans="1:34" hidden="1">
      <c r="A371" s="8" t="s">
        <v>802</v>
      </c>
      <c r="B371" s="8"/>
      <c r="C371" s="8" t="s">
        <v>548</v>
      </c>
      <c r="D371" s="8"/>
      <c r="E371" s="23">
        <v>45526</v>
      </c>
      <c r="G371" s="42">
        <f t="shared" si="60"/>
        <v>0</v>
      </c>
      <c r="I371" s="42">
        <v>0</v>
      </c>
      <c r="K371" s="42">
        <v>0</v>
      </c>
      <c r="M371" s="42">
        <v>0</v>
      </c>
      <c r="O371" s="42">
        <f t="shared" si="59"/>
        <v>0</v>
      </c>
      <c r="Q371" s="42">
        <v>0</v>
      </c>
      <c r="S371" s="42">
        <v>0</v>
      </c>
      <c r="U371" s="42">
        <v>0</v>
      </c>
      <c r="W371" s="42">
        <v>0</v>
      </c>
      <c r="Y371" s="42">
        <v>0</v>
      </c>
      <c r="AA371" s="42">
        <f t="shared" si="55"/>
        <v>0</v>
      </c>
      <c r="AC371" s="42">
        <v>0</v>
      </c>
      <c r="AE371" s="42">
        <v>0</v>
      </c>
      <c r="AF371" s="42">
        <f t="shared" si="63"/>
        <v>0</v>
      </c>
      <c r="AH371" s="42">
        <f t="shared" si="61"/>
        <v>0</v>
      </c>
    </row>
    <row r="372" spans="1:34" s="24" customFormat="1">
      <c r="A372" s="51" t="s">
        <v>436</v>
      </c>
      <c r="B372" s="51"/>
      <c r="C372" s="51" t="s">
        <v>437</v>
      </c>
      <c r="D372" s="51"/>
      <c r="E372" s="51">
        <v>48777</v>
      </c>
      <c r="G372" s="24">
        <f t="shared" si="60"/>
        <v>22345928</v>
      </c>
      <c r="I372" s="24">
        <f>348164+38295675</f>
        <v>38643839</v>
      </c>
      <c r="K372" s="24">
        <v>170434</v>
      </c>
      <c r="M372" s="24">
        <f>60989767+170434</f>
        <v>61160201</v>
      </c>
      <c r="O372" s="24">
        <f t="shared" si="59"/>
        <v>2579730</v>
      </c>
      <c r="Q372" s="24">
        <v>777265</v>
      </c>
      <c r="S372" s="24">
        <v>8861155</v>
      </c>
      <c r="U372" s="24">
        <v>4752167</v>
      </c>
      <c r="W372" s="24">
        <f>12218150+4752167</f>
        <v>16970317</v>
      </c>
      <c r="Y372" s="24">
        <v>31041846</v>
      </c>
      <c r="AA372" s="24">
        <f t="shared" si="55"/>
        <v>6497594</v>
      </c>
      <c r="AC372" s="24">
        <v>6650444</v>
      </c>
      <c r="AE372" s="24">
        <v>44189884</v>
      </c>
      <c r="AF372" s="24">
        <f t="shared" si="63"/>
        <v>0</v>
      </c>
      <c r="AH372" s="24">
        <f t="shared" si="61"/>
        <v>0</v>
      </c>
    </row>
    <row r="373" spans="1:34">
      <c r="A373" s="9" t="s">
        <v>765</v>
      </c>
      <c r="B373" s="8"/>
      <c r="C373" s="8" t="s">
        <v>78</v>
      </c>
      <c r="D373" s="8"/>
      <c r="E373" s="23">
        <v>45534</v>
      </c>
      <c r="G373" s="42">
        <f t="shared" si="60"/>
        <v>36725658</v>
      </c>
      <c r="I373" s="42">
        <v>6912934</v>
      </c>
      <c r="K373" s="42">
        <v>0</v>
      </c>
      <c r="M373" s="42">
        <v>43638592</v>
      </c>
      <c r="O373" s="42">
        <f t="shared" si="59"/>
        <v>5132347</v>
      </c>
      <c r="Q373" s="42">
        <v>350670</v>
      </c>
      <c r="S373" s="42">
        <v>8596813</v>
      </c>
      <c r="U373" s="42">
        <v>0</v>
      </c>
      <c r="W373" s="42">
        <v>14079830</v>
      </c>
      <c r="Y373" s="42">
        <v>23897812</v>
      </c>
      <c r="AA373" s="42">
        <f t="shared" si="55"/>
        <v>3003057</v>
      </c>
      <c r="AC373" s="42">
        <v>2657893</v>
      </c>
      <c r="AE373" s="42">
        <v>29558762</v>
      </c>
      <c r="AF373" s="42">
        <f t="shared" si="63"/>
        <v>0</v>
      </c>
      <c r="AH373" s="42">
        <f t="shared" si="61"/>
        <v>0</v>
      </c>
    </row>
    <row r="374" spans="1:34" hidden="1">
      <c r="A374" s="8" t="s">
        <v>866</v>
      </c>
      <c r="B374" s="8"/>
      <c r="C374" s="8" t="s">
        <v>40</v>
      </c>
      <c r="D374" s="8"/>
      <c r="E374" s="23">
        <v>44420</v>
      </c>
      <c r="G374" s="42">
        <f t="shared" si="60"/>
        <v>0</v>
      </c>
      <c r="I374" s="42">
        <v>0</v>
      </c>
      <c r="K374" s="42">
        <v>0</v>
      </c>
      <c r="M374" s="42">
        <v>0</v>
      </c>
      <c r="O374" s="42">
        <f t="shared" si="59"/>
        <v>0</v>
      </c>
      <c r="Q374" s="42">
        <v>0</v>
      </c>
      <c r="S374" s="42">
        <v>0</v>
      </c>
      <c r="U374" s="42">
        <v>0</v>
      </c>
      <c r="W374" s="42">
        <v>0</v>
      </c>
      <c r="Y374" s="42">
        <v>0</v>
      </c>
      <c r="AA374" s="42">
        <f t="shared" si="55"/>
        <v>0</v>
      </c>
      <c r="AC374" s="42">
        <v>0</v>
      </c>
      <c r="AE374" s="42">
        <v>0</v>
      </c>
      <c r="AF374" s="42">
        <f t="shared" si="63"/>
        <v>0</v>
      </c>
      <c r="AH374" s="42">
        <f t="shared" si="61"/>
        <v>0</v>
      </c>
    </row>
    <row r="375" spans="1:34">
      <c r="A375" s="9" t="s">
        <v>706</v>
      </c>
      <c r="B375" s="8"/>
      <c r="C375" s="8" t="s">
        <v>32</v>
      </c>
      <c r="D375" s="8"/>
      <c r="E375" s="23">
        <v>44412</v>
      </c>
      <c r="G375" s="42">
        <f t="shared" si="60"/>
        <v>24880276</v>
      </c>
      <c r="I375" s="42">
        <f>3634113+83226914</f>
        <v>86861027</v>
      </c>
      <c r="K375" s="42">
        <v>0</v>
      </c>
      <c r="M375" s="42">
        <v>111741303</v>
      </c>
      <c r="O375" s="42">
        <f t="shared" si="59"/>
        <v>12161007</v>
      </c>
      <c r="Q375" s="42">
        <v>1158832</v>
      </c>
      <c r="S375" s="42">
        <v>32151996</v>
      </c>
      <c r="U375" s="42">
        <v>0</v>
      </c>
      <c r="W375" s="42">
        <v>45471835</v>
      </c>
      <c r="Y375" s="42">
        <v>55270289</v>
      </c>
      <c r="AA375" s="42">
        <f t="shared" si="55"/>
        <v>2699926</v>
      </c>
      <c r="AC375" s="42">
        <v>8299253</v>
      </c>
      <c r="AE375" s="42">
        <v>66269468</v>
      </c>
      <c r="AF375" s="42">
        <f t="shared" si="63"/>
        <v>0</v>
      </c>
      <c r="AH375" s="42">
        <f t="shared" si="61"/>
        <v>0</v>
      </c>
    </row>
    <row r="376" spans="1:34">
      <c r="A376" s="8" t="s">
        <v>344</v>
      </c>
      <c r="B376" s="8"/>
      <c r="C376" s="8" t="s">
        <v>34</v>
      </c>
      <c r="D376" s="8"/>
      <c r="E376" s="23">
        <v>44438</v>
      </c>
      <c r="G376" s="42">
        <f t="shared" si="60"/>
        <v>59391994</v>
      </c>
      <c r="I376" s="42">
        <f>389956+7990927</f>
        <v>8380883</v>
      </c>
      <c r="K376" s="42">
        <v>0</v>
      </c>
      <c r="M376" s="42">
        <v>67772877</v>
      </c>
      <c r="O376" s="42">
        <f t="shared" si="59"/>
        <v>3041140</v>
      </c>
      <c r="Q376" s="42">
        <v>898336</v>
      </c>
      <c r="S376" s="42">
        <v>36557021</v>
      </c>
      <c r="U376" s="42">
        <v>10428622</v>
      </c>
      <c r="W376" s="42">
        <f>40496497+10428622</f>
        <v>50925119</v>
      </c>
      <c r="Y376" s="42">
        <v>5290726</v>
      </c>
      <c r="AA376" s="42">
        <f t="shared" si="55"/>
        <v>4600999</v>
      </c>
      <c r="AC376" s="42">
        <v>6956033</v>
      </c>
      <c r="AE376" s="42">
        <v>16847758</v>
      </c>
      <c r="AF376" s="42">
        <f t="shared" si="63"/>
        <v>0</v>
      </c>
      <c r="AH376" s="42">
        <f t="shared" si="61"/>
        <v>0</v>
      </c>
    </row>
    <row r="377" spans="1:34" hidden="1">
      <c r="A377" s="9" t="s">
        <v>759</v>
      </c>
      <c r="B377" s="9"/>
      <c r="C377" s="9" t="s">
        <v>57</v>
      </c>
      <c r="D377" s="8"/>
      <c r="E377" s="23">
        <v>49270</v>
      </c>
      <c r="G377" s="42">
        <f t="shared" si="60"/>
        <v>0</v>
      </c>
      <c r="I377" s="42">
        <v>0</v>
      </c>
      <c r="K377" s="42">
        <v>0</v>
      </c>
      <c r="M377" s="42">
        <v>0</v>
      </c>
      <c r="O377" s="42">
        <f t="shared" si="59"/>
        <v>0</v>
      </c>
      <c r="Q377" s="42">
        <v>0</v>
      </c>
      <c r="S377" s="42">
        <v>0</v>
      </c>
      <c r="U377" s="42">
        <v>0</v>
      </c>
      <c r="W377" s="42">
        <v>0</v>
      </c>
      <c r="Y377" s="42">
        <v>0</v>
      </c>
      <c r="AC377" s="42">
        <v>0</v>
      </c>
      <c r="AE377" s="42">
        <v>0</v>
      </c>
      <c r="AH377" s="42">
        <f t="shared" si="61"/>
        <v>0</v>
      </c>
    </row>
    <row r="378" spans="1:34">
      <c r="A378" s="8" t="s">
        <v>210</v>
      </c>
      <c r="B378" s="8"/>
      <c r="C378" s="8" t="s">
        <v>13</v>
      </c>
      <c r="D378" s="8"/>
      <c r="E378" s="23">
        <v>44446</v>
      </c>
      <c r="G378" s="42">
        <f t="shared" si="60"/>
        <v>9604732</v>
      </c>
      <c r="I378" s="42">
        <v>16650001</v>
      </c>
      <c r="K378" s="42">
        <v>0</v>
      </c>
      <c r="M378" s="42">
        <v>26254733</v>
      </c>
      <c r="O378" s="42">
        <f t="shared" si="59"/>
        <v>1550345</v>
      </c>
      <c r="Q378" s="42">
        <v>602955</v>
      </c>
      <c r="S378" s="42">
        <v>6121290</v>
      </c>
      <c r="U378" s="42">
        <v>1666364</v>
      </c>
      <c r="W378" s="42">
        <f>8274590+1666364</f>
        <v>9940954</v>
      </c>
      <c r="Y378" s="42">
        <v>10670224</v>
      </c>
      <c r="AA378" s="42">
        <f t="shared" si="55"/>
        <v>3093047</v>
      </c>
      <c r="AC378" s="42">
        <v>2550508</v>
      </c>
      <c r="AE378" s="42">
        <v>16313779</v>
      </c>
      <c r="AF378" s="42">
        <f t="shared" si="63"/>
        <v>0</v>
      </c>
      <c r="AH378" s="42">
        <f t="shared" si="61"/>
        <v>0</v>
      </c>
    </row>
    <row r="379" spans="1:34">
      <c r="A379" s="8" t="s">
        <v>603</v>
      </c>
      <c r="B379" s="8"/>
      <c r="C379" s="8" t="s">
        <v>27</v>
      </c>
      <c r="D379" s="8"/>
      <c r="E379" s="23">
        <v>46995</v>
      </c>
      <c r="G379" s="42">
        <f t="shared" si="60"/>
        <v>120633378</v>
      </c>
      <c r="I379" s="42">
        <f>5160151+66541881</f>
        <v>71702032</v>
      </c>
      <c r="K379" s="42">
        <v>5518605</v>
      </c>
      <c r="M379" s="42">
        <f>192335410+5518605</f>
        <v>197854015</v>
      </c>
      <c r="O379" s="42">
        <f t="shared" si="59"/>
        <v>7786165</v>
      </c>
      <c r="Q379" s="42">
        <v>6857063</v>
      </c>
      <c r="S379" s="42">
        <v>121375972</v>
      </c>
      <c r="U379" s="42">
        <v>33392200</v>
      </c>
      <c r="W379" s="42">
        <f>136019200+33392200</f>
        <v>169411400</v>
      </c>
      <c r="Y379" s="42">
        <v>1895526</v>
      </c>
      <c r="AA379" s="42">
        <f t="shared" si="55"/>
        <v>11158112</v>
      </c>
      <c r="AC379" s="42">
        <v>15388977</v>
      </c>
      <c r="AE379" s="42">
        <v>28442615</v>
      </c>
      <c r="AF379" s="42">
        <f>+M379-W379-AE379</f>
        <v>0</v>
      </c>
      <c r="AH379" s="42">
        <f t="shared" si="61"/>
        <v>0</v>
      </c>
    </row>
    <row r="380" spans="1:34">
      <c r="A380" s="8" t="s">
        <v>480</v>
      </c>
      <c r="B380" s="8"/>
      <c r="C380" s="8" t="s">
        <v>59</v>
      </c>
      <c r="D380" s="8"/>
      <c r="E380" s="23">
        <v>44461</v>
      </c>
      <c r="G380" s="42">
        <f t="shared" si="60"/>
        <v>5495728</v>
      </c>
      <c r="I380" s="42">
        <f>29077+19724713</f>
        <v>19753790</v>
      </c>
      <c r="K380" s="42">
        <v>0</v>
      </c>
      <c r="M380" s="42">
        <v>25249518</v>
      </c>
      <c r="O380" s="42">
        <f t="shared" si="59"/>
        <v>1389111</v>
      </c>
      <c r="Q380" s="42">
        <v>99402</v>
      </c>
      <c r="S380" s="42">
        <v>3482373</v>
      </c>
      <c r="U380" s="42">
        <v>922194</v>
      </c>
      <c r="W380" s="42">
        <f>4970886+922194</f>
        <v>5893080</v>
      </c>
      <c r="Y380" s="42">
        <v>16032380</v>
      </c>
      <c r="AA380" s="42">
        <f>AE380-AC380-Y380</f>
        <v>1677656</v>
      </c>
      <c r="AC380" s="42">
        <v>1646402</v>
      </c>
      <c r="AE380" s="42">
        <v>19356438</v>
      </c>
      <c r="AF380" s="42">
        <f t="shared" si="63"/>
        <v>0</v>
      </c>
      <c r="AH380" s="42">
        <f t="shared" si="61"/>
        <v>0</v>
      </c>
    </row>
    <row r="381" spans="1:34">
      <c r="A381" s="8" t="s">
        <v>213</v>
      </c>
      <c r="B381" s="8"/>
      <c r="C381" s="8" t="s">
        <v>14</v>
      </c>
      <c r="D381" s="8"/>
      <c r="E381" s="23">
        <v>45955</v>
      </c>
      <c r="G381" s="42">
        <f t="shared" si="60"/>
        <v>10873854</v>
      </c>
      <c r="I381" s="42">
        <f>1071518+11729757</f>
        <v>12801275</v>
      </c>
      <c r="K381" s="42">
        <v>285634</v>
      </c>
      <c r="M381" s="42">
        <f>23675129+285634</f>
        <v>23960763</v>
      </c>
      <c r="O381" s="42">
        <f t="shared" si="59"/>
        <v>1193136</v>
      </c>
      <c r="Q381" s="42">
        <v>163647</v>
      </c>
      <c r="S381" s="42">
        <v>4410674</v>
      </c>
      <c r="U381" s="42">
        <v>2254440</v>
      </c>
      <c r="W381" s="42">
        <f>5767457+2254440</f>
        <v>8021897</v>
      </c>
      <c r="Y381" s="42">
        <v>9917799</v>
      </c>
      <c r="AA381" s="42">
        <f>AE381-AC381-Y381</f>
        <v>1625664</v>
      </c>
      <c r="AC381" s="42">
        <v>4395403</v>
      </c>
      <c r="AE381" s="42">
        <v>15938866</v>
      </c>
      <c r="AF381" s="42">
        <f t="shared" si="63"/>
        <v>0</v>
      </c>
      <c r="AH381" s="42">
        <f t="shared" si="61"/>
        <v>0</v>
      </c>
    </row>
    <row r="382" spans="1:34" hidden="1">
      <c r="A382" s="8" t="s">
        <v>700</v>
      </c>
      <c r="B382" s="8"/>
      <c r="C382" s="8" t="s">
        <v>14</v>
      </c>
      <c r="D382" s="8"/>
      <c r="E382" s="23">
        <v>45963</v>
      </c>
      <c r="G382" s="42">
        <f t="shared" si="60"/>
        <v>0</v>
      </c>
      <c r="I382" s="42">
        <v>0</v>
      </c>
      <c r="K382" s="42">
        <v>0</v>
      </c>
      <c r="M382" s="42">
        <v>0</v>
      </c>
      <c r="O382" s="42">
        <f t="shared" si="59"/>
        <v>0</v>
      </c>
      <c r="Q382" s="42">
        <v>0</v>
      </c>
      <c r="S382" s="42">
        <v>0</v>
      </c>
      <c r="U382" s="42">
        <v>0</v>
      </c>
      <c r="W382" s="42">
        <v>0</v>
      </c>
      <c r="Y382" s="42">
        <v>0</v>
      </c>
      <c r="AA382" s="42">
        <f t="shared" ref="AA382:AA449" si="64">AE382-AC382-Y382</f>
        <v>0</v>
      </c>
      <c r="AC382" s="42">
        <v>0</v>
      </c>
      <c r="AE382" s="42">
        <v>0</v>
      </c>
      <c r="AF382" s="42">
        <f t="shared" si="63"/>
        <v>0</v>
      </c>
      <c r="AH382" s="42">
        <f t="shared" si="61"/>
        <v>0</v>
      </c>
    </row>
    <row r="383" spans="1:34">
      <c r="A383" s="8" t="s">
        <v>430</v>
      </c>
      <c r="B383" s="8"/>
      <c r="C383" s="8" t="s">
        <v>50</v>
      </c>
      <c r="D383" s="8"/>
      <c r="E383" s="23">
        <v>48710</v>
      </c>
      <c r="G383" s="42">
        <f t="shared" si="60"/>
        <v>11410409</v>
      </c>
      <c r="I383" s="42">
        <f>35490+25167875</f>
        <v>25203365</v>
      </c>
      <c r="K383" s="42">
        <v>0</v>
      </c>
      <c r="M383" s="42">
        <v>36613774</v>
      </c>
      <c r="O383" s="42">
        <f t="shared" si="59"/>
        <v>4240989</v>
      </c>
      <c r="Q383" s="42">
        <v>250766</v>
      </c>
      <c r="S383" s="42">
        <v>3037025</v>
      </c>
      <c r="U383" s="42">
        <v>0</v>
      </c>
      <c r="W383" s="42">
        <v>7528780</v>
      </c>
      <c r="Y383" s="42">
        <v>22436668</v>
      </c>
      <c r="AA383" s="42">
        <f t="shared" si="64"/>
        <v>1553140</v>
      </c>
      <c r="AC383" s="42">
        <v>5095186</v>
      </c>
      <c r="AE383" s="42">
        <v>29084994</v>
      </c>
      <c r="AF383" s="42">
        <f t="shared" si="63"/>
        <v>0</v>
      </c>
      <c r="AH383" s="42">
        <f t="shared" si="61"/>
        <v>0</v>
      </c>
    </row>
    <row r="384" spans="1:34" hidden="1">
      <c r="A384" s="8" t="s">
        <v>803</v>
      </c>
      <c r="B384" s="9"/>
      <c r="C384" s="9" t="s">
        <v>448</v>
      </c>
      <c r="D384" s="9"/>
      <c r="E384" s="23">
        <v>44479</v>
      </c>
      <c r="G384" s="42">
        <f t="shared" si="60"/>
        <v>0</v>
      </c>
      <c r="I384" s="42">
        <v>0</v>
      </c>
      <c r="K384" s="42">
        <v>0</v>
      </c>
      <c r="M384" s="42">
        <v>0</v>
      </c>
      <c r="O384" s="42">
        <f t="shared" si="59"/>
        <v>0</v>
      </c>
      <c r="Q384" s="42">
        <v>0</v>
      </c>
      <c r="S384" s="42">
        <v>0</v>
      </c>
      <c r="U384" s="42">
        <v>0</v>
      </c>
      <c r="W384" s="42">
        <v>0</v>
      </c>
      <c r="Y384" s="42">
        <v>0</v>
      </c>
      <c r="AA384" s="42">
        <f t="shared" si="64"/>
        <v>0</v>
      </c>
      <c r="AC384" s="42">
        <v>0</v>
      </c>
      <c r="AE384" s="42">
        <v>0</v>
      </c>
      <c r="AF384" s="42">
        <f t="shared" si="63"/>
        <v>0</v>
      </c>
      <c r="AH384" s="42">
        <f t="shared" si="61"/>
        <v>0</v>
      </c>
    </row>
    <row r="385" spans="1:34">
      <c r="A385" s="9" t="s">
        <v>355</v>
      </c>
      <c r="B385" s="9"/>
      <c r="C385" s="9" t="s">
        <v>37</v>
      </c>
      <c r="D385" s="9"/>
      <c r="E385" s="23">
        <v>47720</v>
      </c>
      <c r="G385" s="42">
        <f t="shared" si="60"/>
        <v>5528766</v>
      </c>
      <c r="I385" s="42">
        <f>285043+11055766</f>
        <v>11340809</v>
      </c>
      <c r="K385" s="42">
        <v>36062</v>
      </c>
      <c r="M385" s="42">
        <f>16869575+36062</f>
        <v>16905637</v>
      </c>
      <c r="O385" s="42">
        <f t="shared" si="59"/>
        <v>1185025</v>
      </c>
      <c r="Q385" s="42">
        <v>218971</v>
      </c>
      <c r="S385" s="42">
        <v>2565804</v>
      </c>
      <c r="U385" s="42">
        <v>1903067</v>
      </c>
      <c r="W385" s="42">
        <f>3969800+1903067</f>
        <v>5872867</v>
      </c>
      <c r="Y385" s="42">
        <v>9428621</v>
      </c>
      <c r="AA385" s="42">
        <f t="shared" si="64"/>
        <v>1014932</v>
      </c>
      <c r="AC385" s="42">
        <v>589217</v>
      </c>
      <c r="AE385" s="42">
        <v>11032770</v>
      </c>
      <c r="AF385" s="42">
        <f t="shared" si="63"/>
        <v>0</v>
      </c>
      <c r="AH385" s="42">
        <f t="shared" si="61"/>
        <v>0</v>
      </c>
    </row>
    <row r="386" spans="1:34">
      <c r="A386" s="8" t="s">
        <v>225</v>
      </c>
      <c r="B386" s="8"/>
      <c r="C386" s="8" t="s">
        <v>220</v>
      </c>
      <c r="D386" s="8"/>
      <c r="E386" s="23">
        <v>46136</v>
      </c>
      <c r="G386" s="42">
        <f t="shared" si="60"/>
        <v>5877577</v>
      </c>
      <c r="I386" s="42">
        <f>428932+11101473</f>
        <v>11530405</v>
      </c>
      <c r="K386" s="42">
        <v>0</v>
      </c>
      <c r="M386" s="42">
        <v>17407982</v>
      </c>
      <c r="O386" s="42">
        <f t="shared" si="59"/>
        <v>2030241</v>
      </c>
      <c r="Q386" s="42">
        <v>150734</v>
      </c>
      <c r="S386" s="42">
        <v>1826790</v>
      </c>
      <c r="U386" s="42">
        <v>0</v>
      </c>
      <c r="W386" s="42">
        <v>4007765</v>
      </c>
      <c r="Y386" s="42">
        <v>10011472</v>
      </c>
      <c r="AA386" s="42">
        <f t="shared" si="64"/>
        <v>381810</v>
      </c>
      <c r="AC386" s="42">
        <v>3006935</v>
      </c>
      <c r="AE386" s="42">
        <v>13400217</v>
      </c>
      <c r="AF386" s="42">
        <f t="shared" si="63"/>
        <v>0</v>
      </c>
      <c r="AH386" s="42">
        <f t="shared" si="61"/>
        <v>0</v>
      </c>
    </row>
    <row r="387" spans="1:34">
      <c r="A387" s="8" t="s">
        <v>533</v>
      </c>
      <c r="B387" s="8"/>
      <c r="C387" s="8" t="s">
        <v>65</v>
      </c>
      <c r="D387" s="8"/>
      <c r="E387" s="23">
        <v>44487</v>
      </c>
      <c r="G387" s="42">
        <f t="shared" si="60"/>
        <v>20743208</v>
      </c>
      <c r="I387" s="42">
        <f>929671+11646123</f>
        <v>12575794</v>
      </c>
      <c r="K387" s="42">
        <v>0</v>
      </c>
      <c r="M387" s="42">
        <v>33319002</v>
      </c>
      <c r="O387" s="42">
        <f t="shared" si="59"/>
        <v>13867261</v>
      </c>
      <c r="Q387" s="42">
        <v>640312</v>
      </c>
      <c r="S387" s="42">
        <v>5159011</v>
      </c>
      <c r="U387" s="42">
        <v>0</v>
      </c>
      <c r="W387" s="42">
        <v>19666584</v>
      </c>
      <c r="Y387" s="42">
        <v>8723980</v>
      </c>
      <c r="AA387" s="42">
        <f t="shared" si="64"/>
        <v>1796063</v>
      </c>
      <c r="AC387" s="42">
        <v>3132375</v>
      </c>
      <c r="AE387" s="42">
        <v>13652418</v>
      </c>
      <c r="AF387" s="42">
        <f>+M387-W387-AE387</f>
        <v>0</v>
      </c>
      <c r="AH387" s="42">
        <f t="shared" si="61"/>
        <v>0</v>
      </c>
    </row>
    <row r="388" spans="1:34">
      <c r="A388" s="8" t="s">
        <v>766</v>
      </c>
      <c r="B388" s="8"/>
      <c r="C388" s="8" t="s">
        <v>112</v>
      </c>
      <c r="D388" s="8"/>
      <c r="E388" s="23">
        <v>45559</v>
      </c>
      <c r="G388" s="42">
        <f t="shared" si="60"/>
        <v>38480853</v>
      </c>
      <c r="I388" s="42">
        <f>637425+18882847</f>
        <v>19520272</v>
      </c>
      <c r="K388" s="42">
        <v>0</v>
      </c>
      <c r="M388" s="42">
        <v>58001125</v>
      </c>
      <c r="O388" s="42">
        <f t="shared" si="59"/>
        <v>14305265</v>
      </c>
      <c r="Q388" s="42">
        <v>281051</v>
      </c>
      <c r="S388" s="42">
        <v>2531473</v>
      </c>
      <c r="U388" s="42">
        <v>0</v>
      </c>
      <c r="W388" s="42">
        <v>17117789</v>
      </c>
      <c r="Y388" s="42">
        <v>19520272</v>
      </c>
      <c r="AA388" s="42">
        <f t="shared" si="64"/>
        <v>225132</v>
      </c>
      <c r="AC388" s="42">
        <v>21137932</v>
      </c>
      <c r="AE388" s="42">
        <v>40883336</v>
      </c>
      <c r="AF388" s="42">
        <f t="shared" si="63"/>
        <v>0</v>
      </c>
      <c r="AH388" s="42">
        <f t="shared" si="61"/>
        <v>0</v>
      </c>
    </row>
    <row r="389" spans="1:34" hidden="1">
      <c r="A389" s="8" t="s">
        <v>804</v>
      </c>
      <c r="B389" s="8"/>
      <c r="C389" s="8" t="s">
        <v>60</v>
      </c>
      <c r="D389" s="8"/>
      <c r="E389" s="23">
        <v>49718</v>
      </c>
      <c r="G389" s="42">
        <f t="shared" si="60"/>
        <v>0</v>
      </c>
      <c r="I389" s="42">
        <v>0</v>
      </c>
      <c r="K389" s="42">
        <v>0</v>
      </c>
      <c r="M389" s="42">
        <v>0</v>
      </c>
      <c r="O389" s="42">
        <f t="shared" si="59"/>
        <v>0</v>
      </c>
      <c r="Q389" s="42">
        <v>0</v>
      </c>
      <c r="S389" s="42">
        <v>0</v>
      </c>
      <c r="U389" s="42">
        <v>0</v>
      </c>
      <c r="W389" s="42">
        <v>0</v>
      </c>
      <c r="Y389" s="42">
        <v>0</v>
      </c>
      <c r="AA389" s="42">
        <f t="shared" si="64"/>
        <v>0</v>
      </c>
      <c r="AC389" s="42">
        <v>0</v>
      </c>
      <c r="AE389" s="42">
        <v>0</v>
      </c>
      <c r="AF389" s="42">
        <f t="shared" si="63"/>
        <v>0</v>
      </c>
      <c r="AH389" s="42">
        <f t="shared" si="61"/>
        <v>0</v>
      </c>
    </row>
    <row r="390" spans="1:34">
      <c r="A390" s="8" t="s">
        <v>374</v>
      </c>
      <c r="B390" s="8"/>
      <c r="C390" s="8" t="s">
        <v>42</v>
      </c>
      <c r="D390" s="8"/>
      <c r="E390" s="23">
        <v>44453</v>
      </c>
      <c r="G390" s="42">
        <f t="shared" si="60"/>
        <v>61325969</v>
      </c>
      <c r="I390" s="42">
        <v>146829818</v>
      </c>
      <c r="K390" s="42">
        <v>1294171</v>
      </c>
      <c r="M390" s="42">
        <f>208155787+1294171</f>
        <v>209449958</v>
      </c>
      <c r="O390" s="42">
        <f t="shared" si="59"/>
        <v>8269984</v>
      </c>
      <c r="Q390" s="42">
        <v>2745789</v>
      </c>
      <c r="S390" s="42">
        <v>64107584</v>
      </c>
      <c r="U390" s="42">
        <v>23314184</v>
      </c>
      <c r="W390" s="42">
        <f>75123357+23314184</f>
        <v>98437541</v>
      </c>
      <c r="Y390" s="42">
        <v>87567379</v>
      </c>
      <c r="AA390" s="42">
        <f t="shared" si="64"/>
        <v>13676780</v>
      </c>
      <c r="AC390" s="42">
        <v>9768258</v>
      </c>
      <c r="AE390" s="42">
        <v>111012417</v>
      </c>
      <c r="AF390" s="42">
        <f>+M390-W390-AE390</f>
        <v>0</v>
      </c>
      <c r="AH390" s="42">
        <f t="shared" si="61"/>
        <v>0</v>
      </c>
    </row>
    <row r="391" spans="1:34" hidden="1">
      <c r="A391" s="8" t="s">
        <v>867</v>
      </c>
      <c r="B391" s="8"/>
      <c r="C391" s="8" t="s">
        <v>30</v>
      </c>
      <c r="D391" s="8"/>
      <c r="E391" s="23">
        <v>47217</v>
      </c>
      <c r="G391" s="42">
        <f t="shared" si="60"/>
        <v>0</v>
      </c>
      <c r="I391" s="42">
        <v>0</v>
      </c>
      <c r="K391" s="42">
        <v>0</v>
      </c>
      <c r="M391" s="42">
        <v>0</v>
      </c>
      <c r="O391" s="42">
        <f t="shared" si="59"/>
        <v>0</v>
      </c>
      <c r="Q391" s="42">
        <v>0</v>
      </c>
      <c r="S391" s="42">
        <v>0</v>
      </c>
      <c r="U391" s="42">
        <v>0</v>
      </c>
      <c r="W391" s="42">
        <v>0</v>
      </c>
      <c r="Y391" s="42">
        <v>0</v>
      </c>
      <c r="AA391" s="42">
        <f t="shared" si="64"/>
        <v>0</v>
      </c>
      <c r="AC391" s="42">
        <v>0</v>
      </c>
      <c r="AE391" s="42">
        <v>0</v>
      </c>
      <c r="AF391" s="42">
        <f t="shared" si="63"/>
        <v>0</v>
      </c>
      <c r="AH391" s="42">
        <f t="shared" si="61"/>
        <v>0</v>
      </c>
    </row>
    <row r="392" spans="1:34">
      <c r="A392" s="8" t="s">
        <v>767</v>
      </c>
      <c r="B392" s="8"/>
      <c r="C392" s="8" t="s">
        <v>65</v>
      </c>
      <c r="D392" s="8"/>
      <c r="E392" s="23">
        <v>45542</v>
      </c>
      <c r="G392" s="42">
        <f t="shared" si="60"/>
        <v>4969803</v>
      </c>
      <c r="I392" s="42">
        <v>13814929</v>
      </c>
      <c r="K392" s="42">
        <v>41929</v>
      </c>
      <c r="M392" s="42">
        <f>18784732+41929</f>
        <v>18826661</v>
      </c>
      <c r="O392" s="42">
        <f t="shared" si="59"/>
        <v>1457178</v>
      </c>
      <c r="Q392" s="42">
        <v>371442</v>
      </c>
      <c r="S392" s="42">
        <v>2197016</v>
      </c>
      <c r="U392" s="42">
        <v>2430853</v>
      </c>
      <c r="W392" s="42">
        <f>4025636+2430853</f>
        <v>6456489</v>
      </c>
      <c r="Y392" s="42">
        <v>11659452</v>
      </c>
      <c r="AA392" s="42">
        <f t="shared" si="64"/>
        <v>789925</v>
      </c>
      <c r="AC392" s="42">
        <v>-79205</v>
      </c>
      <c r="AE392" s="42">
        <v>12370172</v>
      </c>
      <c r="AF392" s="42">
        <f t="shared" si="63"/>
        <v>0</v>
      </c>
      <c r="AH392" s="42">
        <f t="shared" si="61"/>
        <v>0</v>
      </c>
    </row>
    <row r="393" spans="1:34">
      <c r="A393" s="8" t="s">
        <v>768</v>
      </c>
      <c r="B393" s="8"/>
      <c r="C393" s="8" t="s">
        <v>64</v>
      </c>
      <c r="D393" s="8"/>
      <c r="E393" s="23">
        <v>45567</v>
      </c>
      <c r="G393" s="42">
        <f t="shared" si="60"/>
        <v>5561447</v>
      </c>
      <c r="I393" s="42">
        <f>58300+16530451</f>
        <v>16588751</v>
      </c>
      <c r="K393" s="42">
        <v>41848</v>
      </c>
      <c r="M393" s="42">
        <f>22150198+41848</f>
        <v>22192046</v>
      </c>
      <c r="O393" s="42">
        <f t="shared" si="59"/>
        <v>1461194</v>
      </c>
      <c r="Q393" s="42">
        <v>292173</v>
      </c>
      <c r="S393" s="42">
        <v>3001513</v>
      </c>
      <c r="U393" s="42">
        <v>2929623</v>
      </c>
      <c r="W393" s="42">
        <f>4754880+2929623</f>
        <v>7684503</v>
      </c>
      <c r="Y393" s="42">
        <v>13899258</v>
      </c>
      <c r="AA393" s="42">
        <f t="shared" si="64"/>
        <v>796892</v>
      </c>
      <c r="AC393" s="42">
        <v>-188607</v>
      </c>
      <c r="AE393" s="42">
        <v>14507543</v>
      </c>
      <c r="AF393" s="42">
        <f t="shared" si="63"/>
        <v>0</v>
      </c>
      <c r="AH393" s="42">
        <f t="shared" si="61"/>
        <v>0</v>
      </c>
    </row>
    <row r="394" spans="1:34" hidden="1">
      <c r="A394" s="8" t="s">
        <v>805</v>
      </c>
      <c r="B394" s="8"/>
      <c r="C394" s="8" t="s">
        <v>48</v>
      </c>
      <c r="D394" s="8"/>
      <c r="E394" s="23">
        <v>48637</v>
      </c>
      <c r="G394" s="42">
        <f t="shared" si="60"/>
        <v>0</v>
      </c>
      <c r="I394" s="42">
        <v>0</v>
      </c>
      <c r="K394" s="42">
        <v>0</v>
      </c>
      <c r="M394" s="42">
        <v>0</v>
      </c>
      <c r="O394" s="42">
        <f t="shared" si="59"/>
        <v>0</v>
      </c>
      <c r="Q394" s="42">
        <v>0</v>
      </c>
      <c r="S394" s="42">
        <v>0</v>
      </c>
      <c r="U394" s="42">
        <v>0</v>
      </c>
      <c r="W394" s="42">
        <v>0</v>
      </c>
      <c r="Y394" s="42">
        <v>0</v>
      </c>
      <c r="AA394" s="42">
        <f t="shared" si="64"/>
        <v>0</v>
      </c>
      <c r="AC394" s="42">
        <v>0</v>
      </c>
      <c r="AE394" s="42">
        <v>0</v>
      </c>
      <c r="AF394" s="42">
        <f t="shared" si="63"/>
        <v>0</v>
      </c>
      <c r="AH394" s="42">
        <f t="shared" si="61"/>
        <v>0</v>
      </c>
    </row>
    <row r="395" spans="1:34">
      <c r="A395" s="8" t="s">
        <v>601</v>
      </c>
      <c r="B395" s="8"/>
      <c r="C395" s="8" t="s">
        <v>64</v>
      </c>
      <c r="D395" s="8"/>
      <c r="E395" s="23">
        <v>44495</v>
      </c>
      <c r="G395" s="42">
        <f t="shared" si="60"/>
        <v>21027570</v>
      </c>
      <c r="I395" s="42">
        <f>26785323+35317846</f>
        <v>62103169</v>
      </c>
      <c r="K395" s="42">
        <v>83798</v>
      </c>
      <c r="M395" s="42">
        <f>83130739+83798</f>
        <v>83214537</v>
      </c>
      <c r="O395" s="42">
        <f t="shared" si="59"/>
        <v>4026329</v>
      </c>
      <c r="Q395" s="42">
        <v>760684</v>
      </c>
      <c r="S395" s="42">
        <v>22072569</v>
      </c>
      <c r="U395" s="42">
        <v>8657132</v>
      </c>
      <c r="W395" s="42">
        <f>26859582+8657132</f>
        <v>35516714</v>
      </c>
      <c r="Y395" s="42">
        <v>41053001</v>
      </c>
      <c r="AA395" s="42">
        <f t="shared" si="64"/>
        <v>8370391</v>
      </c>
      <c r="AC395" s="42">
        <v>-1725569</v>
      </c>
      <c r="AE395" s="42">
        <v>47697823</v>
      </c>
      <c r="AF395" s="42">
        <f t="shared" si="63"/>
        <v>0</v>
      </c>
      <c r="AH395" s="42">
        <f t="shared" si="61"/>
        <v>0</v>
      </c>
    </row>
    <row r="396" spans="1:34">
      <c r="A396" s="8" t="s">
        <v>446</v>
      </c>
      <c r="B396" s="8"/>
      <c r="C396" s="8" t="s">
        <v>52</v>
      </c>
      <c r="D396" s="8"/>
      <c r="E396" s="23">
        <v>48900</v>
      </c>
      <c r="G396" s="42">
        <f t="shared" si="60"/>
        <v>10725884</v>
      </c>
      <c r="I396" s="42">
        <f>20925+4842567</f>
        <v>4863492</v>
      </c>
      <c r="K396" s="42">
        <v>0</v>
      </c>
      <c r="M396" s="42">
        <v>15589376</v>
      </c>
      <c r="O396" s="42">
        <f t="shared" si="59"/>
        <v>1685661</v>
      </c>
      <c r="Q396" s="42">
        <v>110444</v>
      </c>
      <c r="S396" s="42">
        <v>1168897</v>
      </c>
      <c r="U396" s="42">
        <v>2219014</v>
      </c>
      <c r="W396" s="42">
        <f>2965002+2219014</f>
        <v>5184016</v>
      </c>
      <c r="Y396" s="42">
        <v>4120500</v>
      </c>
      <c r="AA396" s="42">
        <f t="shared" si="64"/>
        <v>357043</v>
      </c>
      <c r="AC396" s="42">
        <v>5927817</v>
      </c>
      <c r="AE396" s="42">
        <v>10405360</v>
      </c>
      <c r="AF396" s="42">
        <f t="shared" si="63"/>
        <v>0</v>
      </c>
      <c r="AH396" s="42">
        <f t="shared" si="61"/>
        <v>0</v>
      </c>
    </row>
    <row r="397" spans="1:34">
      <c r="A397" s="8" t="s">
        <v>507</v>
      </c>
      <c r="B397" s="8"/>
      <c r="C397" s="8" t="s">
        <v>63</v>
      </c>
      <c r="D397" s="8"/>
      <c r="E397" s="23">
        <v>50047</v>
      </c>
      <c r="G397" s="42">
        <f t="shared" si="60"/>
        <v>47816105</v>
      </c>
      <c r="I397" s="42">
        <f>1427727+36505055</f>
        <v>37932782</v>
      </c>
      <c r="K397" s="42">
        <v>0</v>
      </c>
      <c r="M397" s="42">
        <v>85748887</v>
      </c>
      <c r="O397" s="42">
        <f t="shared" si="59"/>
        <v>3298345</v>
      </c>
      <c r="Q397" s="42">
        <v>2802545</v>
      </c>
      <c r="S397" s="42">
        <v>33364710</v>
      </c>
      <c r="U397" s="42">
        <v>30786745</v>
      </c>
      <c r="W397" s="42">
        <f>39465600+30786745</f>
        <v>70252345</v>
      </c>
      <c r="Y397" s="42">
        <v>8509093</v>
      </c>
      <c r="AA397" s="42">
        <f t="shared" si="64"/>
        <v>2401060</v>
      </c>
      <c r="AC397" s="42">
        <v>4586389</v>
      </c>
      <c r="AE397" s="42">
        <v>15496542</v>
      </c>
      <c r="AF397" s="42">
        <f t="shared" si="63"/>
        <v>0</v>
      </c>
      <c r="AH397" s="42">
        <f t="shared" si="61"/>
        <v>0</v>
      </c>
    </row>
    <row r="398" spans="1:34">
      <c r="A398" s="8" t="s">
        <v>551</v>
      </c>
      <c r="B398" s="8"/>
      <c r="C398" s="8" t="s">
        <v>72</v>
      </c>
      <c r="D398" s="8"/>
      <c r="E398" s="23">
        <v>50708</v>
      </c>
      <c r="G398" s="42">
        <f t="shared" si="60"/>
        <v>10890811</v>
      </c>
      <c r="I398" s="42">
        <f>1070024+24034747</f>
        <v>25104771</v>
      </c>
      <c r="K398" s="42">
        <v>0</v>
      </c>
      <c r="M398" s="42">
        <v>35995582</v>
      </c>
      <c r="O398" s="42">
        <f t="shared" ref="O398:O461" si="65">+W398-Q398-S398-U398</f>
        <v>4196954</v>
      </c>
      <c r="Q398" s="42">
        <v>451733</v>
      </c>
      <c r="S398" s="42">
        <v>11386942</v>
      </c>
      <c r="U398" s="42">
        <v>0</v>
      </c>
      <c r="W398" s="42">
        <v>16035629</v>
      </c>
      <c r="Y398" s="42">
        <v>14430390</v>
      </c>
      <c r="AA398" s="42">
        <f t="shared" si="64"/>
        <v>2525218</v>
      </c>
      <c r="AC398" s="42">
        <v>3004345</v>
      </c>
      <c r="AE398" s="42">
        <v>19959953</v>
      </c>
      <c r="AF398" s="42">
        <f t="shared" si="63"/>
        <v>0</v>
      </c>
      <c r="AH398" s="42">
        <f t="shared" si="61"/>
        <v>0</v>
      </c>
    </row>
    <row r="399" spans="1:34" hidden="1">
      <c r="A399" s="8" t="s">
        <v>807</v>
      </c>
      <c r="B399" s="8"/>
      <c r="C399" s="8" t="s">
        <v>53</v>
      </c>
      <c r="D399" s="8"/>
      <c r="E399" s="23">
        <v>48967</v>
      </c>
      <c r="G399" s="42">
        <f t="shared" ref="G399:G462" si="66">+M399-I399-K399</f>
        <v>0</v>
      </c>
      <c r="I399" s="42">
        <v>0</v>
      </c>
      <c r="K399" s="42">
        <v>0</v>
      </c>
      <c r="M399" s="42">
        <v>0</v>
      </c>
      <c r="O399" s="42">
        <f t="shared" si="65"/>
        <v>0</v>
      </c>
      <c r="Q399" s="42">
        <v>0</v>
      </c>
      <c r="S399" s="42">
        <v>0</v>
      </c>
      <c r="U399" s="42">
        <v>0</v>
      </c>
      <c r="W399" s="42">
        <v>0</v>
      </c>
      <c r="Y399" s="42">
        <v>0</v>
      </c>
      <c r="AA399" s="42">
        <f t="shared" si="64"/>
        <v>0</v>
      </c>
      <c r="AC399" s="42">
        <v>0</v>
      </c>
      <c r="AE399" s="42">
        <v>0</v>
      </c>
      <c r="AF399" s="42">
        <f t="shared" si="63"/>
        <v>0</v>
      </c>
      <c r="AH399" s="42">
        <f t="shared" si="61"/>
        <v>0</v>
      </c>
    </row>
    <row r="400" spans="1:34">
      <c r="A400" s="8" t="s">
        <v>499</v>
      </c>
      <c r="B400" s="8"/>
      <c r="C400" s="8" t="s">
        <v>62</v>
      </c>
      <c r="D400" s="8"/>
      <c r="E400" s="23">
        <v>44503</v>
      </c>
      <c r="G400" s="42">
        <f t="shared" si="66"/>
        <v>34838733</v>
      </c>
      <c r="I400" s="42">
        <v>21455839</v>
      </c>
      <c r="K400" s="42">
        <v>275252</v>
      </c>
      <c r="M400" s="42">
        <f>56294572+275252</f>
        <v>56569824</v>
      </c>
      <c r="O400" s="42">
        <f t="shared" si="65"/>
        <v>6212384</v>
      </c>
      <c r="Q400" s="42">
        <v>1945633</v>
      </c>
      <c r="S400" s="42">
        <v>12990298</v>
      </c>
      <c r="U400" s="42">
        <v>24974653</v>
      </c>
      <c r="W400" s="42">
        <f>21148315+24974653</f>
        <v>46122968</v>
      </c>
      <c r="Y400" s="42">
        <v>9627068</v>
      </c>
      <c r="AA400" s="42">
        <f t="shared" si="64"/>
        <v>1807878</v>
      </c>
      <c r="AC400" s="42">
        <v>-988090</v>
      </c>
      <c r="AE400" s="42">
        <v>10446856</v>
      </c>
      <c r="AF400" s="42">
        <f t="shared" si="63"/>
        <v>0</v>
      </c>
      <c r="AH400" s="42">
        <f t="shared" ref="AH400:AH463" si="67">+G400+I400+K400-O400-Q400-Y400-AA400-AC400-S400-U400</f>
        <v>0</v>
      </c>
    </row>
    <row r="401" spans="1:34" hidden="1">
      <c r="A401" s="8" t="s">
        <v>808</v>
      </c>
      <c r="B401" s="8"/>
      <c r="C401" s="8" t="s">
        <v>548</v>
      </c>
      <c r="D401" s="8"/>
      <c r="E401" s="23">
        <v>50641</v>
      </c>
      <c r="G401" s="42">
        <f t="shared" si="66"/>
        <v>0</v>
      </c>
      <c r="I401" s="42">
        <v>0</v>
      </c>
      <c r="K401" s="42">
        <v>0</v>
      </c>
      <c r="M401" s="42">
        <v>0</v>
      </c>
      <c r="O401" s="42">
        <f t="shared" si="65"/>
        <v>0</v>
      </c>
      <c r="Q401" s="42">
        <v>0</v>
      </c>
      <c r="S401" s="42">
        <v>0</v>
      </c>
      <c r="U401" s="42">
        <v>0</v>
      </c>
      <c r="W401" s="42">
        <v>0</v>
      </c>
      <c r="Y401" s="42">
        <v>0</v>
      </c>
      <c r="AA401" s="42">
        <f t="shared" si="64"/>
        <v>0</v>
      </c>
      <c r="AC401" s="42">
        <v>0</v>
      </c>
      <c r="AE401" s="42">
        <v>0</v>
      </c>
      <c r="AF401" s="42">
        <f t="shared" si="63"/>
        <v>0</v>
      </c>
      <c r="AH401" s="42">
        <f t="shared" si="67"/>
        <v>0</v>
      </c>
    </row>
    <row r="402" spans="1:34">
      <c r="A402" s="8" t="s">
        <v>703</v>
      </c>
      <c r="B402" s="8"/>
      <c r="C402" s="8" t="s">
        <v>32</v>
      </c>
      <c r="D402" s="8"/>
      <c r="E402" s="23">
        <v>44511</v>
      </c>
      <c r="G402" s="42">
        <f t="shared" si="66"/>
        <v>8335248</v>
      </c>
      <c r="I402" s="42">
        <v>37433455</v>
      </c>
      <c r="K402" s="42">
        <v>0</v>
      </c>
      <c r="M402" s="42">
        <v>45768703</v>
      </c>
      <c r="O402" s="42">
        <f t="shared" si="65"/>
        <v>1635516</v>
      </c>
      <c r="Q402" s="42">
        <v>580046</v>
      </c>
      <c r="S402" s="42">
        <v>14679496</v>
      </c>
      <c r="U402" s="42">
        <v>2773715</v>
      </c>
      <c r="W402" s="42">
        <f>16895058+2773715</f>
        <v>19668773</v>
      </c>
      <c r="Y402" s="42">
        <v>23835455</v>
      </c>
      <c r="AA402" s="42">
        <f t="shared" si="64"/>
        <v>2576307</v>
      </c>
      <c r="AC402" s="42">
        <v>-311832</v>
      </c>
      <c r="AE402" s="42">
        <v>26099930</v>
      </c>
      <c r="AF402" s="42">
        <f t="shared" si="63"/>
        <v>0</v>
      </c>
      <c r="AH402" s="42">
        <f t="shared" si="67"/>
        <v>0</v>
      </c>
    </row>
    <row r="403" spans="1:34">
      <c r="A403" s="8" t="s">
        <v>375</v>
      </c>
      <c r="B403" s="8"/>
      <c r="C403" s="8" t="s">
        <v>42</v>
      </c>
      <c r="D403" s="8"/>
      <c r="E403" s="23">
        <v>48025</v>
      </c>
      <c r="G403" s="42">
        <f t="shared" si="66"/>
        <v>10534861</v>
      </c>
      <c r="I403" s="42">
        <v>32108122</v>
      </c>
      <c r="K403" s="42">
        <v>355581</v>
      </c>
      <c r="M403" s="42">
        <f>42642983+355581</f>
        <v>42998564</v>
      </c>
      <c r="O403" s="42">
        <f t="shared" si="65"/>
        <v>1861391</v>
      </c>
      <c r="Q403" s="42">
        <v>802358</v>
      </c>
      <c r="S403" s="42">
        <v>9712041</v>
      </c>
      <c r="U403" s="42">
        <v>4381647</v>
      </c>
      <c r="W403" s="42">
        <f>12375790+4381647</f>
        <v>16757437</v>
      </c>
      <c r="Y403" s="42">
        <v>23432033</v>
      </c>
      <c r="AA403" s="42">
        <f t="shared" si="64"/>
        <v>2260879</v>
      </c>
      <c r="AC403" s="42">
        <v>548215</v>
      </c>
      <c r="AE403" s="42">
        <v>26241127</v>
      </c>
      <c r="AF403" s="42">
        <f t="shared" si="63"/>
        <v>0</v>
      </c>
      <c r="AH403" s="42">
        <f t="shared" si="67"/>
        <v>0</v>
      </c>
    </row>
    <row r="404" spans="1:34">
      <c r="A404" s="8" t="s">
        <v>269</v>
      </c>
      <c r="B404" s="8"/>
      <c r="C404" s="8" t="s">
        <v>20</v>
      </c>
      <c r="D404" s="8"/>
      <c r="E404" s="23">
        <v>44529</v>
      </c>
      <c r="G404" s="42">
        <f t="shared" si="66"/>
        <v>69268811</v>
      </c>
      <c r="I404" s="42">
        <f>1233633+13588353</f>
        <v>14821986</v>
      </c>
      <c r="K404" s="42">
        <v>0</v>
      </c>
      <c r="M404" s="42">
        <v>84090797</v>
      </c>
      <c r="O404" s="42">
        <f t="shared" si="65"/>
        <v>8766532</v>
      </c>
      <c r="Q404" s="42">
        <v>1118795</v>
      </c>
      <c r="S404" s="42">
        <v>5884652</v>
      </c>
      <c r="U404" s="42">
        <v>34082830</v>
      </c>
      <c r="W404" s="42">
        <f>15769979+34082830</f>
        <v>49852809</v>
      </c>
      <c r="Y404" s="42">
        <v>11336986</v>
      </c>
      <c r="AA404" s="42">
        <f t="shared" si="64"/>
        <v>2296182</v>
      </c>
      <c r="AC404" s="42">
        <v>20604820</v>
      </c>
      <c r="AE404" s="42">
        <v>34237988</v>
      </c>
      <c r="AF404" s="42">
        <f t="shared" si="63"/>
        <v>0</v>
      </c>
      <c r="AH404" s="42">
        <f t="shared" si="67"/>
        <v>0</v>
      </c>
    </row>
    <row r="405" spans="1:34">
      <c r="A405" s="8" t="s">
        <v>385</v>
      </c>
      <c r="B405" s="8"/>
      <c r="C405" s="8" t="s">
        <v>44</v>
      </c>
      <c r="D405" s="8"/>
      <c r="E405" s="23">
        <v>44537</v>
      </c>
      <c r="G405" s="42">
        <f t="shared" si="66"/>
        <v>34201045</v>
      </c>
      <c r="I405" s="42">
        <f>1740513+11351201</f>
        <v>13091714</v>
      </c>
      <c r="K405" s="42">
        <v>0</v>
      </c>
      <c r="M405" s="42">
        <v>47292759</v>
      </c>
      <c r="O405" s="42">
        <f t="shared" si="65"/>
        <v>4968940</v>
      </c>
      <c r="Q405" s="42">
        <v>698938</v>
      </c>
      <c r="S405" s="42">
        <v>2130147</v>
      </c>
      <c r="U405" s="42">
        <v>21726150</v>
      </c>
      <c r="W405" s="42">
        <f>7798025+21726150</f>
        <v>29524175</v>
      </c>
      <c r="Y405" s="42">
        <v>11733610</v>
      </c>
      <c r="AA405" s="42">
        <f t="shared" si="64"/>
        <v>755787</v>
      </c>
      <c r="AC405" s="42">
        <v>5279187</v>
      </c>
      <c r="AE405" s="42">
        <v>17768584</v>
      </c>
      <c r="AF405" s="42">
        <f t="shared" si="63"/>
        <v>0</v>
      </c>
      <c r="AH405" s="42">
        <f t="shared" si="67"/>
        <v>0</v>
      </c>
    </row>
    <row r="406" spans="1:34">
      <c r="A406" s="8" t="s">
        <v>270</v>
      </c>
      <c r="B406" s="8"/>
      <c r="C406" s="8" t="s">
        <v>20</v>
      </c>
      <c r="D406" s="8"/>
      <c r="E406" s="23">
        <v>44545</v>
      </c>
      <c r="G406" s="42">
        <f t="shared" si="66"/>
        <v>55326812</v>
      </c>
      <c r="I406" s="42">
        <f>560140+23923888</f>
        <v>24484028</v>
      </c>
      <c r="K406" s="42">
        <v>761317</v>
      </c>
      <c r="M406" s="42">
        <f>79810840+761317</f>
        <v>80572157</v>
      </c>
      <c r="O406" s="42">
        <f t="shared" si="65"/>
        <v>5892082</v>
      </c>
      <c r="Q406" s="42">
        <v>1732286</v>
      </c>
      <c r="S406" s="42">
        <v>16932714</v>
      </c>
      <c r="U406" s="42">
        <v>32117602</v>
      </c>
      <c r="W406" s="42">
        <f>24557082+32117602</f>
        <v>56674684</v>
      </c>
      <c r="Y406" s="42">
        <v>10136598</v>
      </c>
      <c r="AA406" s="42">
        <f t="shared" si="64"/>
        <v>5336840</v>
      </c>
      <c r="AC406" s="42">
        <v>8424035</v>
      </c>
      <c r="AE406" s="42">
        <v>23897473</v>
      </c>
      <c r="AF406" s="42">
        <f t="shared" si="63"/>
        <v>0</v>
      </c>
      <c r="AH406" s="42">
        <f t="shared" si="67"/>
        <v>0</v>
      </c>
    </row>
    <row r="407" spans="1:34">
      <c r="A407" s="8" t="s">
        <v>536</v>
      </c>
      <c r="B407" s="8"/>
      <c r="C407" s="8" t="s">
        <v>66</v>
      </c>
      <c r="D407" s="8"/>
      <c r="E407" s="23">
        <v>50336</v>
      </c>
      <c r="G407" s="42">
        <f t="shared" si="66"/>
        <v>16919653</v>
      </c>
      <c r="I407" s="42">
        <f>315673+34481484</f>
        <v>34797157</v>
      </c>
      <c r="K407" s="42">
        <v>224582</v>
      </c>
      <c r="M407" s="42">
        <f>51716810+224582</f>
        <v>51941392</v>
      </c>
      <c r="O407" s="42">
        <f t="shared" si="65"/>
        <v>1910092</v>
      </c>
      <c r="Q407" s="42">
        <v>660754</v>
      </c>
      <c r="S407" s="42">
        <v>8769501</v>
      </c>
      <c r="U407" s="42">
        <v>3513311</v>
      </c>
      <c r="W407" s="42">
        <f>11340347+3513311</f>
        <v>14853658</v>
      </c>
      <c r="Y407" s="42">
        <v>26241001</v>
      </c>
      <c r="AA407" s="42">
        <f t="shared" si="64"/>
        <v>1768062</v>
      </c>
      <c r="AC407" s="42">
        <v>9078671</v>
      </c>
      <c r="AE407" s="42">
        <v>37087734</v>
      </c>
      <c r="AF407" s="42">
        <f t="shared" si="63"/>
        <v>0</v>
      </c>
      <c r="AH407" s="42">
        <f t="shared" si="67"/>
        <v>0</v>
      </c>
    </row>
    <row r="408" spans="1:34">
      <c r="A408" s="8" t="s">
        <v>231</v>
      </c>
      <c r="B408" s="8"/>
      <c r="C408" s="8" t="s">
        <v>17</v>
      </c>
      <c r="D408" s="8"/>
      <c r="E408" s="23">
        <v>46250</v>
      </c>
      <c r="G408" s="42">
        <f t="shared" si="66"/>
        <v>18342520</v>
      </c>
      <c r="I408" s="42">
        <v>17419881</v>
      </c>
      <c r="K408" s="42">
        <v>0</v>
      </c>
      <c r="M408" s="42">
        <v>35762401</v>
      </c>
      <c r="O408" s="42">
        <f t="shared" si="65"/>
        <v>3666968</v>
      </c>
      <c r="Q408" s="42">
        <v>715531</v>
      </c>
      <c r="S408" s="42">
        <v>3341972</v>
      </c>
      <c r="U408" s="42">
        <v>9551718</v>
      </c>
      <c r="W408" s="42">
        <f>7764471+9511718</f>
        <v>17276189</v>
      </c>
      <c r="Y408" s="42">
        <v>14912422</v>
      </c>
      <c r="AA408" s="42">
        <f t="shared" si="64"/>
        <v>1444812</v>
      </c>
      <c r="AC408" s="42">
        <v>2128978</v>
      </c>
      <c r="AE408" s="42">
        <v>18486212</v>
      </c>
      <c r="AF408" s="42">
        <f t="shared" si="63"/>
        <v>0</v>
      </c>
      <c r="AH408" s="42">
        <f t="shared" si="67"/>
        <v>0</v>
      </c>
    </row>
    <row r="409" spans="1:34" hidden="1">
      <c r="A409" s="8" t="s">
        <v>809</v>
      </c>
      <c r="B409" s="8"/>
      <c r="C409" s="8" t="s">
        <v>22</v>
      </c>
      <c r="D409" s="8"/>
      <c r="E409" s="23">
        <v>46722</v>
      </c>
      <c r="G409" s="42">
        <f t="shared" si="66"/>
        <v>0</v>
      </c>
      <c r="I409" s="42">
        <v>0</v>
      </c>
      <c r="K409" s="42">
        <v>0</v>
      </c>
      <c r="M409" s="42">
        <v>0</v>
      </c>
      <c r="O409" s="42">
        <f t="shared" si="65"/>
        <v>0</v>
      </c>
      <c r="Q409" s="42">
        <v>0</v>
      </c>
      <c r="S409" s="42">
        <v>0</v>
      </c>
      <c r="U409" s="42">
        <v>0</v>
      </c>
      <c r="W409" s="42">
        <v>0</v>
      </c>
      <c r="Y409" s="42">
        <v>0</v>
      </c>
      <c r="AA409" s="42">
        <f t="shared" si="64"/>
        <v>0</v>
      </c>
      <c r="AC409" s="42">
        <v>0</v>
      </c>
      <c r="AE409" s="42">
        <v>0</v>
      </c>
      <c r="AF409" s="42">
        <f t="shared" si="63"/>
        <v>0</v>
      </c>
      <c r="AH409" s="42">
        <f t="shared" si="67"/>
        <v>0</v>
      </c>
    </row>
    <row r="410" spans="1:34" hidden="1">
      <c r="A410" s="8" t="s">
        <v>810</v>
      </c>
      <c r="B410" s="8"/>
      <c r="C410" s="8" t="s">
        <v>448</v>
      </c>
      <c r="D410" s="8"/>
      <c r="E410" s="23">
        <v>49056</v>
      </c>
      <c r="G410" s="42">
        <f t="shared" si="66"/>
        <v>0</v>
      </c>
      <c r="I410" s="42">
        <v>0</v>
      </c>
      <c r="K410" s="42">
        <v>0</v>
      </c>
      <c r="M410" s="42">
        <v>0</v>
      </c>
      <c r="O410" s="42">
        <f t="shared" si="65"/>
        <v>0</v>
      </c>
      <c r="Q410" s="42">
        <v>0</v>
      </c>
      <c r="S410" s="42">
        <v>0</v>
      </c>
      <c r="U410" s="42">
        <v>0</v>
      </c>
      <c r="W410" s="42">
        <v>0</v>
      </c>
      <c r="Y410" s="42">
        <v>0</v>
      </c>
      <c r="AA410" s="42">
        <f t="shared" si="64"/>
        <v>0</v>
      </c>
      <c r="AC410" s="42">
        <v>0</v>
      </c>
      <c r="AE410" s="42">
        <v>0</v>
      </c>
      <c r="AF410" s="42">
        <f t="shared" ref="AF410" si="68">+M410-W410-AE410</f>
        <v>0</v>
      </c>
      <c r="AH410" s="42">
        <f t="shared" si="67"/>
        <v>0</v>
      </c>
    </row>
    <row r="411" spans="1:34">
      <c r="A411" s="8" t="s">
        <v>431</v>
      </c>
      <c r="B411" s="8"/>
      <c r="C411" s="8" t="s">
        <v>50</v>
      </c>
      <c r="D411" s="8"/>
      <c r="E411" s="23">
        <v>48728</v>
      </c>
      <c r="G411" s="42">
        <f t="shared" si="66"/>
        <v>123248073</v>
      </c>
      <c r="I411" s="42">
        <f>14879744+5680294</f>
        <v>20560038</v>
      </c>
      <c r="K411" s="42">
        <v>0</v>
      </c>
      <c r="M411" s="42">
        <v>143808111</v>
      </c>
      <c r="O411" s="42">
        <f t="shared" si="65"/>
        <v>36072884</v>
      </c>
      <c r="Q411" s="42">
        <v>872585</v>
      </c>
      <c r="S411" s="42">
        <v>56905596</v>
      </c>
      <c r="U411" s="42">
        <v>0</v>
      </c>
      <c r="W411" s="42">
        <v>93851065</v>
      </c>
      <c r="Y411" s="42">
        <v>11847223</v>
      </c>
      <c r="AA411" s="42">
        <f t="shared" si="64"/>
        <v>34486386</v>
      </c>
      <c r="AC411" s="42">
        <v>3623437</v>
      </c>
      <c r="AE411" s="42">
        <v>49957046</v>
      </c>
      <c r="AF411" s="42">
        <f t="shared" si="63"/>
        <v>0</v>
      </c>
      <c r="AH411" s="42">
        <f t="shared" si="67"/>
        <v>0</v>
      </c>
    </row>
    <row r="412" spans="1:34">
      <c r="A412" s="8" t="s">
        <v>439</v>
      </c>
      <c r="B412" s="8"/>
      <c r="C412" s="8" t="s">
        <v>78</v>
      </c>
      <c r="D412" s="8"/>
      <c r="E412" s="23">
        <v>48819</v>
      </c>
      <c r="G412" s="42">
        <f t="shared" si="66"/>
        <v>7290328</v>
      </c>
      <c r="I412" s="42">
        <v>31323448</v>
      </c>
      <c r="K412" s="42">
        <v>0</v>
      </c>
      <c r="M412" s="42">
        <v>38613776</v>
      </c>
      <c r="O412" s="42">
        <f t="shared" si="65"/>
        <v>1646139</v>
      </c>
      <c r="Q412" s="42">
        <v>489700</v>
      </c>
      <c r="S412" s="42">
        <v>14314729</v>
      </c>
      <c r="U412" s="42">
        <v>2898727</v>
      </c>
      <c r="W412" s="42">
        <f>16450568+2898727</f>
        <v>19349295</v>
      </c>
      <c r="Y412" s="42">
        <v>17355879</v>
      </c>
      <c r="AA412" s="42">
        <f t="shared" si="64"/>
        <v>1977017</v>
      </c>
      <c r="AC412" s="42">
        <v>-68415</v>
      </c>
      <c r="AE412" s="42">
        <v>19264481</v>
      </c>
      <c r="AF412" s="42">
        <f t="shared" si="63"/>
        <v>0</v>
      </c>
      <c r="AH412" s="42">
        <f t="shared" si="67"/>
        <v>0</v>
      </c>
    </row>
    <row r="413" spans="1:34">
      <c r="A413" s="8" t="s">
        <v>376</v>
      </c>
      <c r="B413" s="8"/>
      <c r="C413" s="9" t="s">
        <v>42</v>
      </c>
      <c r="D413" s="8"/>
      <c r="E413" s="23">
        <v>48033</v>
      </c>
      <c r="G413" s="42">
        <f t="shared" si="66"/>
        <v>16688697</v>
      </c>
      <c r="I413" s="42">
        <f>224090+11630697</f>
        <v>11854787</v>
      </c>
      <c r="K413" s="42">
        <v>96377</v>
      </c>
      <c r="M413" s="42">
        <f>28543484+96377</f>
        <v>28639861</v>
      </c>
      <c r="O413" s="42">
        <f t="shared" si="65"/>
        <v>1111075</v>
      </c>
      <c r="Q413" s="42">
        <v>808757</v>
      </c>
      <c r="S413" s="42">
        <v>4366533</v>
      </c>
      <c r="U413" s="42">
        <v>6337498</v>
      </c>
      <c r="W413" s="42">
        <f>6286365+6337498</f>
        <v>12623863</v>
      </c>
      <c r="Y413" s="42">
        <v>7487447</v>
      </c>
      <c r="AA413" s="42">
        <f t="shared" si="64"/>
        <v>962075</v>
      </c>
      <c r="AC413" s="42">
        <v>7566476</v>
      </c>
      <c r="AE413" s="42">
        <v>16015998</v>
      </c>
      <c r="AF413" s="42">
        <f t="shared" si="63"/>
        <v>0</v>
      </c>
      <c r="AH413" s="42">
        <f t="shared" si="67"/>
        <v>0</v>
      </c>
    </row>
    <row r="414" spans="1:34">
      <c r="A414" s="8" t="s">
        <v>376</v>
      </c>
      <c r="B414" s="8"/>
      <c r="C414" s="9" t="s">
        <v>50</v>
      </c>
      <c r="D414" s="8"/>
      <c r="E414" s="23">
        <v>48736</v>
      </c>
      <c r="G414" s="42">
        <f t="shared" si="66"/>
        <v>20623107</v>
      </c>
      <c r="I414" s="42">
        <f>1569249+9901019</f>
        <v>11470268</v>
      </c>
      <c r="K414" s="42">
        <v>376738</v>
      </c>
      <c r="M414" s="42">
        <f>32093375+376738</f>
        <v>32470113</v>
      </c>
      <c r="O414" s="42">
        <f t="shared" si="65"/>
        <v>1681799</v>
      </c>
      <c r="Q414" s="42">
        <v>518876</v>
      </c>
      <c r="S414" s="42">
        <v>11189665</v>
      </c>
      <c r="U414" s="42">
        <v>7117446</v>
      </c>
      <c r="W414" s="42">
        <f>13390340+7117446</f>
        <v>20507786</v>
      </c>
      <c r="Y414" s="42">
        <v>1629958</v>
      </c>
      <c r="AA414" s="42">
        <f t="shared" si="64"/>
        <v>3572841</v>
      </c>
      <c r="AC414" s="42">
        <v>6759528</v>
      </c>
      <c r="AE414" s="42">
        <v>11962327</v>
      </c>
      <c r="AF414" s="42">
        <f t="shared" si="63"/>
        <v>0</v>
      </c>
      <c r="AH414" s="42">
        <f t="shared" si="67"/>
        <v>0</v>
      </c>
    </row>
    <row r="415" spans="1:34">
      <c r="A415" s="8" t="s">
        <v>325</v>
      </c>
      <c r="B415" s="8"/>
      <c r="C415" s="8" t="s">
        <v>32</v>
      </c>
      <c r="D415" s="8"/>
      <c r="E415" s="23">
        <v>47365</v>
      </c>
      <c r="G415" s="42">
        <f t="shared" si="66"/>
        <v>90888576</v>
      </c>
      <c r="I415" s="42">
        <f>3668199+24964824</f>
        <v>28633023</v>
      </c>
      <c r="K415" s="42">
        <v>0</v>
      </c>
      <c r="M415" s="42">
        <v>119521599</v>
      </c>
      <c r="O415" s="42">
        <f t="shared" si="65"/>
        <v>9914554</v>
      </c>
      <c r="Q415" s="42">
        <v>2801645</v>
      </c>
      <c r="S415" s="42">
        <v>29087649</v>
      </c>
      <c r="U415" s="42">
        <v>31345478</v>
      </c>
      <c r="W415" s="42">
        <f>41803848+31345478</f>
        <v>73149326</v>
      </c>
      <c r="Y415" s="42">
        <v>4508984</v>
      </c>
      <c r="AA415" s="42">
        <f t="shared" si="64"/>
        <v>4183684</v>
      </c>
      <c r="AC415" s="42">
        <v>37679605</v>
      </c>
      <c r="AE415" s="42">
        <v>46372273</v>
      </c>
      <c r="AF415" s="42">
        <f t="shared" si="63"/>
        <v>0</v>
      </c>
      <c r="AH415" s="42">
        <f t="shared" si="67"/>
        <v>0</v>
      </c>
    </row>
    <row r="416" spans="1:34">
      <c r="A416" s="8" t="s">
        <v>592</v>
      </c>
      <c r="B416" s="8"/>
      <c r="C416" s="8" t="s">
        <v>59</v>
      </c>
      <c r="D416" s="8"/>
      <c r="E416" s="23">
        <v>49635</v>
      </c>
      <c r="G416" s="42">
        <f t="shared" si="66"/>
        <v>4007640</v>
      </c>
      <c r="I416" s="42">
        <f>246624+22897306</f>
        <v>23143930</v>
      </c>
      <c r="K416" s="42">
        <v>0</v>
      </c>
      <c r="M416" s="42">
        <v>27151570</v>
      </c>
      <c r="O416" s="42">
        <f t="shared" si="65"/>
        <v>2090475</v>
      </c>
      <c r="Q416" s="42">
        <v>594070</v>
      </c>
      <c r="S416" s="42">
        <v>2676692</v>
      </c>
      <c r="U416" s="42">
        <v>1799749</v>
      </c>
      <c r="W416" s="42">
        <f>5361237+1799749</f>
        <v>7160986</v>
      </c>
      <c r="Y416" s="42">
        <v>21582726</v>
      </c>
      <c r="AA416" s="42">
        <f t="shared" si="64"/>
        <v>929187</v>
      </c>
      <c r="AC416" s="42">
        <v>-2521329</v>
      </c>
      <c r="AE416" s="42">
        <v>19990584</v>
      </c>
      <c r="AF416" s="42">
        <f t="shared" si="63"/>
        <v>0</v>
      </c>
      <c r="AH416" s="42">
        <f t="shared" si="67"/>
        <v>0</v>
      </c>
    </row>
    <row r="417" spans="1:34">
      <c r="A417" s="8" t="s">
        <v>325</v>
      </c>
      <c r="B417" s="8"/>
      <c r="C417" s="8" t="s">
        <v>62</v>
      </c>
      <c r="D417" s="8"/>
      <c r="E417" s="23">
        <v>49908</v>
      </c>
      <c r="F417" s="24"/>
      <c r="G417" s="42">
        <f t="shared" si="66"/>
        <v>14876563</v>
      </c>
      <c r="I417" s="42">
        <v>52896135</v>
      </c>
      <c r="K417" s="42">
        <v>896210</v>
      </c>
      <c r="M417" s="42">
        <f>67772698+896210</f>
        <v>68668908</v>
      </c>
      <c r="O417" s="42">
        <f t="shared" si="65"/>
        <v>3875249</v>
      </c>
      <c r="Q417" s="42">
        <v>1100661</v>
      </c>
      <c r="S417" s="42">
        <v>23018790</v>
      </c>
      <c r="U417" s="42">
        <v>7300828</v>
      </c>
      <c r="W417" s="42">
        <f>27994700+7300828</f>
        <v>35295528</v>
      </c>
      <c r="Y417" s="42">
        <v>33230645</v>
      </c>
      <c r="AA417" s="42">
        <f t="shared" si="64"/>
        <v>1776663</v>
      </c>
      <c r="AC417" s="42">
        <v>-1633928</v>
      </c>
      <c r="AE417" s="42">
        <v>33373380</v>
      </c>
      <c r="AF417" s="42">
        <f t="shared" si="63"/>
        <v>0</v>
      </c>
      <c r="AH417" s="42">
        <f t="shared" si="67"/>
        <v>0</v>
      </c>
    </row>
    <row r="418" spans="1:34">
      <c r="A418" s="8" t="s">
        <v>232</v>
      </c>
      <c r="B418" s="8"/>
      <c r="C418" s="8" t="s">
        <v>17</v>
      </c>
      <c r="D418" s="8"/>
      <c r="E418" s="23">
        <v>46268</v>
      </c>
      <c r="G418" s="42">
        <f t="shared" si="66"/>
        <v>30651779</v>
      </c>
      <c r="I418" s="42">
        <f>44632125+4100478</f>
        <v>48732603</v>
      </c>
      <c r="K418" s="42">
        <v>0</v>
      </c>
      <c r="M418" s="42">
        <v>79384382</v>
      </c>
      <c r="O418" s="42">
        <f t="shared" si="65"/>
        <v>6645453</v>
      </c>
      <c r="Q418" s="42">
        <v>484536</v>
      </c>
      <c r="S418" s="42">
        <v>29677877</v>
      </c>
      <c r="U418" s="42">
        <v>5952950</v>
      </c>
      <c r="W418" s="42">
        <f>36807866+5952950</f>
        <v>42760816</v>
      </c>
      <c r="Y418" s="42">
        <v>18940720</v>
      </c>
      <c r="AA418" s="42">
        <f t="shared" si="64"/>
        <v>12648138</v>
      </c>
      <c r="AC418" s="42">
        <v>5034708</v>
      </c>
      <c r="AE418" s="42">
        <v>36623566</v>
      </c>
      <c r="AF418" s="42">
        <f t="shared" si="63"/>
        <v>0</v>
      </c>
      <c r="AH418" s="42">
        <f t="shared" si="67"/>
        <v>0</v>
      </c>
    </row>
    <row r="419" spans="1:34" hidden="1">
      <c r="A419" s="8" t="s">
        <v>733</v>
      </c>
      <c r="B419" s="8"/>
      <c r="C419" s="8" t="s">
        <v>71</v>
      </c>
      <c r="D419" s="8"/>
      <c r="E419" s="23">
        <v>50575</v>
      </c>
      <c r="G419" s="42">
        <f t="shared" si="66"/>
        <v>0</v>
      </c>
      <c r="I419" s="42">
        <v>0</v>
      </c>
      <c r="K419" s="42">
        <v>0</v>
      </c>
      <c r="M419" s="42">
        <v>0</v>
      </c>
      <c r="O419" s="42">
        <f t="shared" si="65"/>
        <v>0</v>
      </c>
      <c r="Q419" s="42">
        <v>0</v>
      </c>
      <c r="S419" s="42">
        <v>0</v>
      </c>
      <c r="U419" s="42">
        <v>0</v>
      </c>
      <c r="W419" s="42">
        <v>0</v>
      </c>
      <c r="Y419" s="42">
        <v>0</v>
      </c>
      <c r="AC419" s="42">
        <v>0</v>
      </c>
      <c r="AE419" s="42">
        <v>0</v>
      </c>
      <c r="AH419" s="42">
        <f t="shared" si="67"/>
        <v>0</v>
      </c>
    </row>
    <row r="420" spans="1:34" hidden="1">
      <c r="A420" s="8" t="s">
        <v>868</v>
      </c>
      <c r="B420" s="8"/>
      <c r="C420" s="8" t="s">
        <v>72</v>
      </c>
      <c r="D420" s="8"/>
      <c r="E420" s="23">
        <v>50716</v>
      </c>
      <c r="G420" s="42">
        <f t="shared" si="66"/>
        <v>0</v>
      </c>
      <c r="I420" s="42">
        <v>0</v>
      </c>
      <c r="K420" s="42">
        <v>0</v>
      </c>
      <c r="M420" s="42">
        <v>0</v>
      </c>
      <c r="O420" s="42">
        <f t="shared" si="65"/>
        <v>0</v>
      </c>
      <c r="Q420" s="42">
        <v>0</v>
      </c>
      <c r="S420" s="42">
        <v>0</v>
      </c>
      <c r="U420" s="42">
        <v>0</v>
      </c>
      <c r="W420" s="42">
        <v>0</v>
      </c>
      <c r="Y420" s="42">
        <v>0</v>
      </c>
      <c r="AA420" s="42">
        <f t="shared" si="64"/>
        <v>0</v>
      </c>
      <c r="AC420" s="42">
        <v>0</v>
      </c>
      <c r="AE420" s="42">
        <v>0</v>
      </c>
      <c r="AF420" s="42">
        <f t="shared" si="63"/>
        <v>0</v>
      </c>
      <c r="AH420" s="42">
        <f t="shared" si="67"/>
        <v>0</v>
      </c>
    </row>
    <row r="421" spans="1:34">
      <c r="A421" s="8" t="s">
        <v>508</v>
      </c>
      <c r="B421" s="8"/>
      <c r="C421" s="8" t="s">
        <v>63</v>
      </c>
      <c r="D421" s="8"/>
      <c r="E421" s="23">
        <v>44552</v>
      </c>
      <c r="G421" s="42">
        <f t="shared" si="66"/>
        <v>16098021</v>
      </c>
      <c r="I421" s="42">
        <v>4691363</v>
      </c>
      <c r="K421" s="42">
        <v>0</v>
      </c>
      <c r="M421" s="42">
        <v>20789384</v>
      </c>
      <c r="O421" s="42">
        <f t="shared" si="65"/>
        <v>2207130</v>
      </c>
      <c r="Q421" s="42">
        <v>129340</v>
      </c>
      <c r="S421" s="42">
        <v>838363</v>
      </c>
      <c r="U421" s="42">
        <v>8404055</v>
      </c>
      <c r="W421" s="42">
        <f>3174833+8404055</f>
        <v>11578888</v>
      </c>
      <c r="Y421" s="42">
        <v>4588455</v>
      </c>
      <c r="AA421" s="42">
        <f t="shared" si="64"/>
        <v>2588165</v>
      </c>
      <c r="AC421" s="42">
        <v>2033876</v>
      </c>
      <c r="AE421" s="42">
        <v>9210496</v>
      </c>
      <c r="AF421" s="42">
        <f t="shared" si="63"/>
        <v>0</v>
      </c>
      <c r="AH421" s="42">
        <f t="shared" si="67"/>
        <v>0</v>
      </c>
    </row>
    <row r="422" spans="1:34">
      <c r="A422" s="8" t="s">
        <v>356</v>
      </c>
      <c r="B422" s="8"/>
      <c r="C422" s="8" t="s">
        <v>37</v>
      </c>
      <c r="D422" s="8"/>
      <c r="E422" s="23">
        <v>44560</v>
      </c>
      <c r="G422" s="42">
        <f t="shared" si="66"/>
        <v>18216451</v>
      </c>
      <c r="I422" s="42">
        <f>2178532+20999085</f>
        <v>23177617</v>
      </c>
      <c r="K422" s="42">
        <v>0</v>
      </c>
      <c r="M422" s="42">
        <v>41394068</v>
      </c>
      <c r="O422" s="42">
        <f t="shared" si="65"/>
        <v>8939210</v>
      </c>
      <c r="Q422" s="42">
        <v>980082</v>
      </c>
      <c r="S422" s="42">
        <v>12255104</v>
      </c>
      <c r="U422" s="42">
        <v>0</v>
      </c>
      <c r="W422" s="42">
        <v>22174396</v>
      </c>
      <c r="Y422" s="42">
        <v>12932626</v>
      </c>
      <c r="AA422" s="42">
        <f t="shared" si="64"/>
        <v>4068425</v>
      </c>
      <c r="AC422" s="42">
        <v>2218621</v>
      </c>
      <c r="AE422" s="42">
        <v>19219672</v>
      </c>
      <c r="AF422" s="42">
        <f t="shared" si="63"/>
        <v>0</v>
      </c>
      <c r="AH422" s="42">
        <f t="shared" si="67"/>
        <v>0</v>
      </c>
    </row>
    <row r="423" spans="1:34" hidden="1">
      <c r="A423" s="8" t="s">
        <v>811</v>
      </c>
      <c r="B423" s="8"/>
      <c r="C423" s="8" t="s">
        <v>71</v>
      </c>
      <c r="D423" s="8"/>
      <c r="E423" s="23">
        <v>50567</v>
      </c>
      <c r="G423" s="42">
        <f t="shared" si="66"/>
        <v>0</v>
      </c>
      <c r="I423" s="42">
        <v>0</v>
      </c>
      <c r="K423" s="42">
        <v>0</v>
      </c>
      <c r="M423" s="42">
        <v>0</v>
      </c>
      <c r="O423" s="42">
        <f t="shared" si="65"/>
        <v>0</v>
      </c>
      <c r="Q423" s="42">
        <v>0</v>
      </c>
      <c r="S423" s="42">
        <v>0</v>
      </c>
      <c r="U423" s="42">
        <v>0</v>
      </c>
      <c r="W423" s="42">
        <v>0</v>
      </c>
      <c r="Y423" s="42">
        <v>0</v>
      </c>
      <c r="AA423" s="42">
        <f t="shared" ref="AA423" si="69">AE423-AC423-Y423</f>
        <v>0</v>
      </c>
      <c r="AC423" s="42">
        <v>0</v>
      </c>
      <c r="AE423" s="42">
        <v>0</v>
      </c>
      <c r="AF423" s="42">
        <f t="shared" ref="AF423" si="70">+M423-W423-AE423</f>
        <v>0</v>
      </c>
      <c r="AH423" s="42">
        <f t="shared" si="67"/>
        <v>0</v>
      </c>
    </row>
    <row r="424" spans="1:34">
      <c r="A424" s="8" t="s">
        <v>626</v>
      </c>
      <c r="B424" s="8"/>
      <c r="C424" s="8" t="s">
        <v>32</v>
      </c>
      <c r="D424" s="8"/>
      <c r="E424" s="23">
        <v>44578</v>
      </c>
      <c r="G424" s="42">
        <f t="shared" si="66"/>
        <v>24444541</v>
      </c>
      <c r="I424" s="42">
        <f>529409+5438183</f>
        <v>5967592</v>
      </c>
      <c r="K424" s="42">
        <v>0</v>
      </c>
      <c r="M424" s="42">
        <v>30412133</v>
      </c>
      <c r="O424" s="42">
        <f t="shared" si="65"/>
        <v>13199490</v>
      </c>
      <c r="Q424" s="42">
        <v>776930</v>
      </c>
      <c r="S424" s="42">
        <v>4389115</v>
      </c>
      <c r="U424" s="42">
        <v>0</v>
      </c>
      <c r="W424" s="42">
        <v>18365535</v>
      </c>
      <c r="Y424" s="42">
        <v>5747415</v>
      </c>
      <c r="AA424" s="42">
        <f t="shared" si="64"/>
        <v>477494</v>
      </c>
      <c r="AC424" s="42">
        <v>5821689</v>
      </c>
      <c r="AE424" s="42">
        <v>12046598</v>
      </c>
      <c r="AF424" s="42">
        <f t="shared" si="63"/>
        <v>0</v>
      </c>
      <c r="AH424" s="42">
        <f t="shared" si="67"/>
        <v>0</v>
      </c>
    </row>
    <row r="425" spans="1:34" hidden="1">
      <c r="A425" s="8" t="s">
        <v>732</v>
      </c>
      <c r="B425" s="8"/>
      <c r="C425" s="8" t="s">
        <v>38</v>
      </c>
      <c r="D425" s="8"/>
      <c r="E425" s="23">
        <v>47761</v>
      </c>
      <c r="G425" s="42">
        <f t="shared" si="66"/>
        <v>0</v>
      </c>
      <c r="I425" s="42">
        <v>0</v>
      </c>
      <c r="K425" s="42">
        <v>0</v>
      </c>
      <c r="M425" s="42">
        <v>0</v>
      </c>
      <c r="O425" s="42">
        <f t="shared" si="65"/>
        <v>0</v>
      </c>
      <c r="Q425" s="42">
        <v>0</v>
      </c>
      <c r="S425" s="42">
        <v>0</v>
      </c>
      <c r="U425" s="42">
        <v>0</v>
      </c>
      <c r="W425" s="42">
        <v>0</v>
      </c>
      <c r="Y425" s="42">
        <v>0</v>
      </c>
      <c r="AC425" s="42">
        <v>0</v>
      </c>
      <c r="AE425" s="42">
        <v>0</v>
      </c>
      <c r="AH425" s="42">
        <f t="shared" si="67"/>
        <v>0</v>
      </c>
    </row>
    <row r="426" spans="1:34">
      <c r="A426" s="8" t="s">
        <v>326</v>
      </c>
      <c r="B426" s="8"/>
      <c r="C426" s="8" t="s">
        <v>32</v>
      </c>
      <c r="D426" s="8"/>
      <c r="E426" s="23">
        <v>47373</v>
      </c>
      <c r="F426" s="7"/>
      <c r="G426" s="42">
        <f t="shared" si="66"/>
        <v>65029438</v>
      </c>
      <c r="I426" s="42">
        <f>2221943+44203313</f>
        <v>46425256</v>
      </c>
      <c r="K426" s="42">
        <v>0</v>
      </c>
      <c r="M426" s="42">
        <v>111454694</v>
      </c>
      <c r="O426" s="42">
        <f t="shared" si="65"/>
        <v>35131067</v>
      </c>
      <c r="Q426" s="42">
        <v>2365386</v>
      </c>
      <c r="S426" s="42">
        <v>39021833</v>
      </c>
      <c r="U426" s="42">
        <v>0</v>
      </c>
      <c r="W426" s="42">
        <v>76518286</v>
      </c>
      <c r="Y426" s="42">
        <v>9782816</v>
      </c>
      <c r="AA426" s="42">
        <f t="shared" si="64"/>
        <v>4048421</v>
      </c>
      <c r="AC426" s="42">
        <v>21105171</v>
      </c>
      <c r="AE426" s="42">
        <v>34936408</v>
      </c>
      <c r="AF426" s="42">
        <f t="shared" si="63"/>
        <v>0</v>
      </c>
      <c r="AH426" s="42">
        <f t="shared" si="67"/>
        <v>0</v>
      </c>
    </row>
    <row r="427" spans="1:34">
      <c r="A427" s="8" t="s">
        <v>432</v>
      </c>
      <c r="B427" s="8"/>
      <c r="C427" s="8" t="s">
        <v>50</v>
      </c>
      <c r="D427" s="8"/>
      <c r="E427" s="23">
        <v>44586</v>
      </c>
      <c r="G427" s="42">
        <f t="shared" si="66"/>
        <v>18909594</v>
      </c>
      <c r="I427" s="42">
        <f>488237+20893509</f>
        <v>21381746</v>
      </c>
      <c r="K427" s="42">
        <v>948371</v>
      </c>
      <c r="M427" s="42">
        <f>40291340+948371</f>
        <v>41239711</v>
      </c>
      <c r="O427" s="42">
        <f t="shared" si="65"/>
        <v>2854660</v>
      </c>
      <c r="Q427" s="42">
        <v>1003264</v>
      </c>
      <c r="S427" s="42">
        <v>17645241</v>
      </c>
      <c r="U427" s="42">
        <v>14786774</v>
      </c>
      <c r="W427" s="42">
        <f>21503165+14786774</f>
        <v>36289939</v>
      </c>
      <c r="Y427" s="42">
        <v>5215929</v>
      </c>
      <c r="AA427" s="42">
        <f t="shared" si="64"/>
        <v>2195477</v>
      </c>
      <c r="AC427" s="42">
        <v>-2461634</v>
      </c>
      <c r="AE427" s="42">
        <v>4949772</v>
      </c>
      <c r="AF427" s="42">
        <f t="shared" si="63"/>
        <v>0</v>
      </c>
      <c r="AH427" s="42">
        <f t="shared" si="67"/>
        <v>0</v>
      </c>
    </row>
    <row r="428" spans="1:34">
      <c r="A428" s="8" t="s">
        <v>386</v>
      </c>
      <c r="B428" s="8"/>
      <c r="C428" s="8" t="s">
        <v>44</v>
      </c>
      <c r="D428" s="8"/>
      <c r="E428" s="23">
        <v>44594</v>
      </c>
      <c r="G428" s="42">
        <f t="shared" si="66"/>
        <v>8482548</v>
      </c>
      <c r="I428" s="42">
        <f>2279070+3006004</f>
        <v>5285074</v>
      </c>
      <c r="K428" s="42">
        <v>0</v>
      </c>
      <c r="M428" s="42">
        <v>13767622</v>
      </c>
      <c r="O428" s="42">
        <f t="shared" si="65"/>
        <v>1779460</v>
      </c>
      <c r="Q428" s="42">
        <v>216504</v>
      </c>
      <c r="S428" s="42">
        <v>1149884</v>
      </c>
      <c r="U428" s="42">
        <v>4372241</v>
      </c>
      <c r="W428" s="42">
        <f>3145848+4372241</f>
        <v>7518089</v>
      </c>
      <c r="Y428" s="42">
        <v>4822847</v>
      </c>
      <c r="AA428" s="42">
        <f t="shared" si="64"/>
        <v>267795</v>
      </c>
      <c r="AC428" s="42">
        <v>1158891</v>
      </c>
      <c r="AE428" s="42">
        <v>6249533</v>
      </c>
      <c r="AF428" s="42">
        <f t="shared" si="63"/>
        <v>0</v>
      </c>
      <c r="AH428" s="42">
        <f t="shared" si="67"/>
        <v>0</v>
      </c>
    </row>
    <row r="429" spans="1:34" hidden="1">
      <c r="A429" s="8" t="s">
        <v>609</v>
      </c>
      <c r="B429" s="8"/>
      <c r="C429" s="8" t="s">
        <v>60</v>
      </c>
      <c r="D429" s="8"/>
      <c r="E429" s="23">
        <v>49726</v>
      </c>
      <c r="G429" s="42">
        <f t="shared" si="66"/>
        <v>0</v>
      </c>
      <c r="I429" s="42">
        <v>0</v>
      </c>
      <c r="K429" s="42">
        <v>0</v>
      </c>
      <c r="M429" s="42">
        <v>0</v>
      </c>
      <c r="O429" s="42">
        <f t="shared" si="65"/>
        <v>0</v>
      </c>
      <c r="Q429" s="42">
        <v>0</v>
      </c>
      <c r="S429" s="42">
        <v>0</v>
      </c>
      <c r="U429" s="42">
        <v>0</v>
      </c>
      <c r="W429" s="42">
        <v>0</v>
      </c>
      <c r="Y429" s="42">
        <v>0</v>
      </c>
      <c r="AA429" s="42">
        <f t="shared" si="64"/>
        <v>0</v>
      </c>
      <c r="AC429" s="42">
        <v>0</v>
      </c>
      <c r="AE429" s="42">
        <v>0</v>
      </c>
      <c r="AF429" s="42">
        <f t="shared" si="63"/>
        <v>0</v>
      </c>
      <c r="AH429" s="42">
        <f t="shared" si="67"/>
        <v>0</v>
      </c>
    </row>
    <row r="430" spans="1:34">
      <c r="A430" s="8" t="s">
        <v>282</v>
      </c>
      <c r="B430" s="8"/>
      <c r="C430" s="8" t="s">
        <v>23</v>
      </c>
      <c r="D430" s="8"/>
      <c r="E430" s="23">
        <v>46763</v>
      </c>
      <c r="G430" s="42">
        <f t="shared" si="66"/>
        <v>250805994</v>
      </c>
      <c r="I430" s="42">
        <f>29709256+297384213</f>
        <v>327093469</v>
      </c>
      <c r="K430" s="42">
        <v>16252030</v>
      </c>
      <c r="M430" s="42">
        <f>577899463+16252030</f>
        <v>594151493</v>
      </c>
      <c r="O430" s="42">
        <f t="shared" si="65"/>
        <v>24182603</v>
      </c>
      <c r="Q430" s="42">
        <v>15181166</v>
      </c>
      <c r="S430" s="42">
        <v>360756542</v>
      </c>
      <c r="U430" s="42">
        <v>123527828</v>
      </c>
      <c r="W430" s="42">
        <f>400120311+123527828</f>
        <v>523648139</v>
      </c>
      <c r="Y430" s="42">
        <v>12513255</v>
      </c>
      <c r="AA430" s="42">
        <f t="shared" si="64"/>
        <v>40344627</v>
      </c>
      <c r="AC430" s="42">
        <v>17645472</v>
      </c>
      <c r="AE430" s="42">
        <v>70503354</v>
      </c>
      <c r="AF430" s="42">
        <f t="shared" si="63"/>
        <v>0</v>
      </c>
      <c r="AH430" s="42">
        <f t="shared" si="67"/>
        <v>0</v>
      </c>
    </row>
    <row r="431" spans="1:34">
      <c r="A431" s="8" t="s">
        <v>271</v>
      </c>
      <c r="B431" s="8"/>
      <c r="C431" s="8" t="s">
        <v>20</v>
      </c>
      <c r="D431" s="8"/>
      <c r="E431" s="23">
        <v>46573</v>
      </c>
      <c r="G431" s="42">
        <f t="shared" si="66"/>
        <v>44428476</v>
      </c>
      <c r="I431" s="42">
        <f>1834718+36210224</f>
        <v>38044942</v>
      </c>
      <c r="K431" s="42">
        <v>140041</v>
      </c>
      <c r="M431" s="42">
        <f>82473418+140041</f>
        <v>82613459</v>
      </c>
      <c r="O431" s="42">
        <f t="shared" si="65"/>
        <v>6684306</v>
      </c>
      <c r="Q431" s="42">
        <v>920456</v>
      </c>
      <c r="S431" s="42">
        <v>21813813</v>
      </c>
      <c r="U431" s="42">
        <v>21844775</v>
      </c>
      <c r="W431" s="42">
        <f>29418575+21844775</f>
        <v>51263350</v>
      </c>
      <c r="Y431" s="42">
        <v>19529887</v>
      </c>
      <c r="AA431" s="42">
        <f t="shared" si="64"/>
        <v>4961988</v>
      </c>
      <c r="AC431" s="42">
        <v>6858234</v>
      </c>
      <c r="AE431" s="42">
        <v>31350109</v>
      </c>
      <c r="AF431" s="42">
        <f t="shared" si="63"/>
        <v>0</v>
      </c>
      <c r="AH431" s="42">
        <f t="shared" si="67"/>
        <v>0</v>
      </c>
    </row>
    <row r="432" spans="1:34">
      <c r="A432" s="8" t="s">
        <v>467</v>
      </c>
      <c r="B432" s="8"/>
      <c r="C432" s="8" t="s">
        <v>109</v>
      </c>
      <c r="D432" s="8"/>
      <c r="E432" s="23">
        <v>49478</v>
      </c>
      <c r="G432" s="42">
        <f t="shared" si="66"/>
        <v>18151749</v>
      </c>
      <c r="I432" s="42">
        <v>22596296</v>
      </c>
      <c r="K432" s="42">
        <v>333146</v>
      </c>
      <c r="M432" s="42">
        <f>40748045+333146</f>
        <v>41081191</v>
      </c>
      <c r="O432" s="42">
        <f t="shared" si="65"/>
        <v>2283091</v>
      </c>
      <c r="Q432" s="42">
        <v>1327067</v>
      </c>
      <c r="S432" s="42">
        <v>14417534</v>
      </c>
      <c r="U432" s="42">
        <v>7927362</v>
      </c>
      <c r="W432" s="42">
        <f>18027692+7927362</f>
        <v>25955054</v>
      </c>
      <c r="Y432" s="42">
        <v>8941617</v>
      </c>
      <c r="AA432" s="42">
        <f t="shared" si="64"/>
        <v>2371979</v>
      </c>
      <c r="AC432" s="42">
        <v>3812541</v>
      </c>
      <c r="AE432" s="42">
        <v>15126137</v>
      </c>
      <c r="AF432" s="42">
        <f t="shared" si="63"/>
        <v>0</v>
      </c>
      <c r="AH432" s="42">
        <f t="shared" si="67"/>
        <v>0</v>
      </c>
    </row>
    <row r="433" spans="1:34">
      <c r="A433" s="8" t="s">
        <v>272</v>
      </c>
      <c r="B433" s="8"/>
      <c r="C433" s="8" t="s">
        <v>20</v>
      </c>
      <c r="D433" s="8"/>
      <c r="E433" s="23">
        <v>46581</v>
      </c>
      <c r="G433" s="42">
        <f t="shared" si="66"/>
        <v>85658813</v>
      </c>
      <c r="I433" s="42">
        <v>42982818</v>
      </c>
      <c r="K433" s="42">
        <v>408097</v>
      </c>
      <c r="M433" s="42">
        <f>128641631+408097</f>
        <v>129049728</v>
      </c>
      <c r="O433" s="42">
        <f t="shared" si="65"/>
        <v>5836522</v>
      </c>
      <c r="Q433" s="42">
        <v>2378717</v>
      </c>
      <c r="S433" s="42">
        <v>28585257</v>
      </c>
      <c r="U433" s="42">
        <v>35313092</v>
      </c>
      <c r="W433" s="42">
        <f>36800496+35313092</f>
        <v>72113588</v>
      </c>
      <c r="Y433" s="42">
        <v>20334609</v>
      </c>
      <c r="AA433" s="42">
        <f t="shared" si="64"/>
        <v>7851186</v>
      </c>
      <c r="AC433" s="42">
        <v>28750345</v>
      </c>
      <c r="AE433" s="42">
        <v>56936140</v>
      </c>
      <c r="AF433" s="42">
        <f t="shared" si="63"/>
        <v>0</v>
      </c>
      <c r="AH433" s="42">
        <f t="shared" si="67"/>
        <v>0</v>
      </c>
    </row>
    <row r="434" spans="1:34">
      <c r="A434" s="8" t="s">
        <v>388</v>
      </c>
      <c r="B434" s="8"/>
      <c r="C434" s="8" t="s">
        <v>114</v>
      </c>
      <c r="D434" s="8"/>
      <c r="E434" s="23">
        <v>44602</v>
      </c>
      <c r="G434" s="42">
        <f t="shared" si="66"/>
        <v>38787659</v>
      </c>
      <c r="I434" s="42">
        <v>55623315</v>
      </c>
      <c r="K434" s="42">
        <v>3436163</v>
      </c>
      <c r="M434" s="42">
        <f>94410974+3436163</f>
        <v>97847137</v>
      </c>
      <c r="O434" s="42">
        <f t="shared" si="65"/>
        <v>4677769</v>
      </c>
      <c r="Q434" s="42">
        <v>2792300</v>
      </c>
      <c r="S434" s="42">
        <v>47050288</v>
      </c>
      <c r="U434" s="42">
        <v>20407538</v>
      </c>
      <c r="W434" s="42">
        <f>54520357+20407538</f>
        <v>74927895</v>
      </c>
      <c r="Y434" s="42">
        <v>16013673</v>
      </c>
      <c r="AA434" s="42">
        <f t="shared" si="64"/>
        <v>5372910</v>
      </c>
      <c r="AC434" s="42">
        <v>1532659</v>
      </c>
      <c r="AE434" s="42">
        <v>22919242</v>
      </c>
      <c r="AF434" s="42">
        <f t="shared" si="63"/>
        <v>0</v>
      </c>
      <c r="AH434" s="42">
        <f t="shared" si="67"/>
        <v>0</v>
      </c>
    </row>
    <row r="435" spans="1:34" hidden="1">
      <c r="A435" s="8" t="s">
        <v>812</v>
      </c>
      <c r="B435" s="8"/>
      <c r="C435" s="8" t="s">
        <v>71</v>
      </c>
      <c r="D435" s="8"/>
      <c r="E435" s="23">
        <v>44610</v>
      </c>
      <c r="G435" s="42">
        <f t="shared" si="66"/>
        <v>0</v>
      </c>
      <c r="I435" s="42">
        <v>0</v>
      </c>
      <c r="K435" s="42">
        <v>0</v>
      </c>
      <c r="M435" s="42">
        <v>0</v>
      </c>
      <c r="O435" s="42">
        <f t="shared" si="65"/>
        <v>0</v>
      </c>
      <c r="Q435" s="42">
        <v>0</v>
      </c>
      <c r="S435" s="42">
        <v>0</v>
      </c>
      <c r="U435" s="42">
        <v>0</v>
      </c>
      <c r="W435" s="42">
        <v>0</v>
      </c>
      <c r="Y435" s="42">
        <v>0</v>
      </c>
      <c r="AA435" s="42">
        <f t="shared" si="64"/>
        <v>0</v>
      </c>
      <c r="AC435" s="42">
        <v>0</v>
      </c>
      <c r="AE435" s="42">
        <v>0</v>
      </c>
      <c r="AF435" s="42">
        <f t="shared" si="63"/>
        <v>0</v>
      </c>
      <c r="AH435" s="42">
        <f t="shared" si="67"/>
        <v>0</v>
      </c>
    </row>
    <row r="436" spans="1:34" hidden="1">
      <c r="A436" s="8" t="s">
        <v>869</v>
      </c>
      <c r="B436" s="8"/>
      <c r="C436" s="8" t="s">
        <v>62</v>
      </c>
      <c r="D436" s="8"/>
      <c r="E436" s="23">
        <v>49916</v>
      </c>
      <c r="G436" s="42">
        <f t="shared" si="66"/>
        <v>0</v>
      </c>
      <c r="I436" s="42">
        <v>0</v>
      </c>
      <c r="K436" s="42">
        <v>0</v>
      </c>
      <c r="M436" s="42">
        <v>0</v>
      </c>
      <c r="O436" s="42">
        <f t="shared" si="65"/>
        <v>0</v>
      </c>
      <c r="Q436" s="42">
        <v>0</v>
      </c>
      <c r="S436" s="42">
        <v>0</v>
      </c>
      <c r="U436" s="42">
        <v>0</v>
      </c>
      <c r="W436" s="42">
        <v>0</v>
      </c>
      <c r="Y436" s="42">
        <v>0</v>
      </c>
      <c r="AA436" s="42">
        <f t="shared" si="64"/>
        <v>0</v>
      </c>
      <c r="AC436" s="42">
        <v>0</v>
      </c>
      <c r="AE436" s="42">
        <v>0</v>
      </c>
      <c r="AF436" s="42">
        <f t="shared" si="63"/>
        <v>0</v>
      </c>
      <c r="AH436" s="42">
        <f t="shared" si="67"/>
        <v>0</v>
      </c>
    </row>
    <row r="437" spans="1:34">
      <c r="A437" s="8" t="s">
        <v>552</v>
      </c>
      <c r="B437" s="8"/>
      <c r="C437" s="8" t="s">
        <v>72</v>
      </c>
      <c r="D437" s="8"/>
      <c r="E437" s="23">
        <v>50724</v>
      </c>
      <c r="G437" s="42">
        <f t="shared" si="66"/>
        <v>12533567</v>
      </c>
      <c r="I437" s="42">
        <f>22435609+19789955</f>
        <v>42225564</v>
      </c>
      <c r="K437" s="42">
        <v>1153958</v>
      </c>
      <c r="M437" s="42">
        <f>54759131+1153958</f>
        <v>55913089</v>
      </c>
      <c r="O437" s="42">
        <f t="shared" si="65"/>
        <v>1815917</v>
      </c>
      <c r="Q437" s="42">
        <v>918693</v>
      </c>
      <c r="S437" s="42">
        <v>20761271</v>
      </c>
      <c r="U437" s="42">
        <v>4016526</v>
      </c>
      <c r="W437" s="42">
        <f>23495881+4016526</f>
        <v>27512407</v>
      </c>
      <c r="Y437" s="42">
        <v>23233240</v>
      </c>
      <c r="AA437" s="42">
        <f t="shared" si="64"/>
        <v>2963964</v>
      </c>
      <c r="AC437" s="42">
        <v>2203478</v>
      </c>
      <c r="AE437" s="42">
        <v>28400682</v>
      </c>
      <c r="AF437" s="42">
        <f t="shared" si="63"/>
        <v>0</v>
      </c>
      <c r="AH437" s="42">
        <f t="shared" si="67"/>
        <v>0</v>
      </c>
    </row>
    <row r="438" spans="1:34">
      <c r="A438" s="8" t="s">
        <v>389</v>
      </c>
      <c r="B438" s="8"/>
      <c r="C438" s="8" t="s">
        <v>114</v>
      </c>
      <c r="D438" s="8"/>
      <c r="E438" s="23">
        <v>48215</v>
      </c>
      <c r="G438" s="42">
        <f t="shared" si="66"/>
        <v>16338086</v>
      </c>
      <c r="I438" s="42">
        <f>743629+5441664</f>
        <v>6185293</v>
      </c>
      <c r="K438" s="42">
        <v>0</v>
      </c>
      <c r="M438" s="42">
        <v>22523379</v>
      </c>
      <c r="O438" s="42">
        <f t="shared" si="65"/>
        <v>1139411</v>
      </c>
      <c r="Q438" s="42">
        <v>779014</v>
      </c>
      <c r="S438" s="42">
        <v>2513551</v>
      </c>
      <c r="U438" s="42">
        <v>9812794</v>
      </c>
      <c r="W438" s="42">
        <f>4431976+9812794</f>
        <v>14244770</v>
      </c>
      <c r="Y438" s="42">
        <v>4325016</v>
      </c>
      <c r="AA438" s="42">
        <f t="shared" si="64"/>
        <v>601254</v>
      </c>
      <c r="AC438" s="42">
        <v>3352339</v>
      </c>
      <c r="AE438" s="42">
        <v>8278609</v>
      </c>
      <c r="AF438" s="42">
        <f t="shared" si="63"/>
        <v>0</v>
      </c>
      <c r="AH438" s="42">
        <f t="shared" si="67"/>
        <v>0</v>
      </c>
    </row>
    <row r="439" spans="1:34" hidden="1">
      <c r="A439" s="9" t="s">
        <v>704</v>
      </c>
      <c r="B439" s="8"/>
      <c r="C439" s="8" t="s">
        <v>464</v>
      </c>
      <c r="D439" s="8"/>
      <c r="E439" s="23">
        <v>49379</v>
      </c>
      <c r="G439" s="42">
        <f t="shared" si="66"/>
        <v>0</v>
      </c>
      <c r="I439" s="42">
        <v>0</v>
      </c>
      <c r="K439" s="42">
        <v>0</v>
      </c>
      <c r="M439" s="42">
        <v>0</v>
      </c>
      <c r="O439" s="42">
        <f t="shared" si="65"/>
        <v>0</v>
      </c>
      <c r="Q439" s="42">
        <v>0</v>
      </c>
      <c r="S439" s="42">
        <v>0</v>
      </c>
      <c r="U439" s="42">
        <v>0</v>
      </c>
      <c r="W439" s="42">
        <v>0</v>
      </c>
      <c r="Y439" s="42">
        <v>0</v>
      </c>
      <c r="AA439" s="42">
        <f t="shared" si="64"/>
        <v>0</v>
      </c>
      <c r="AC439" s="42">
        <v>0</v>
      </c>
      <c r="AE439" s="42">
        <v>0</v>
      </c>
      <c r="AF439" s="42">
        <f t="shared" ref="AF439:AF455" si="71">+M439-W439-AE439</f>
        <v>0</v>
      </c>
      <c r="AH439" s="42">
        <f t="shared" si="67"/>
        <v>0</v>
      </c>
    </row>
    <row r="440" spans="1:34" hidden="1">
      <c r="A440" s="9" t="s">
        <v>813</v>
      </c>
      <c r="B440" s="8"/>
      <c r="C440" s="8" t="s">
        <v>464</v>
      </c>
      <c r="D440" s="8"/>
      <c r="E440" s="23">
        <v>49387</v>
      </c>
      <c r="G440" s="42">
        <f t="shared" si="66"/>
        <v>0</v>
      </c>
      <c r="I440" s="42">
        <v>0</v>
      </c>
      <c r="K440" s="42">
        <v>0</v>
      </c>
      <c r="M440" s="42">
        <v>0</v>
      </c>
      <c r="O440" s="42">
        <f t="shared" si="65"/>
        <v>0</v>
      </c>
      <c r="Q440" s="42">
        <v>0</v>
      </c>
      <c r="S440" s="42">
        <v>0</v>
      </c>
      <c r="U440" s="42">
        <v>0</v>
      </c>
      <c r="W440" s="42">
        <v>0</v>
      </c>
      <c r="Y440" s="42">
        <v>0</v>
      </c>
      <c r="AA440" s="42">
        <f t="shared" si="64"/>
        <v>0</v>
      </c>
      <c r="AC440" s="42">
        <v>0</v>
      </c>
      <c r="AE440" s="42">
        <v>0</v>
      </c>
      <c r="AF440" s="42">
        <f t="shared" si="71"/>
        <v>0</v>
      </c>
      <c r="AH440" s="42">
        <f t="shared" si="67"/>
        <v>0</v>
      </c>
    </row>
    <row r="441" spans="1:34" hidden="1">
      <c r="A441" s="8" t="s">
        <v>814</v>
      </c>
      <c r="B441" s="8"/>
      <c r="C441" s="8" t="s">
        <v>41</v>
      </c>
      <c r="D441" s="8"/>
      <c r="E441" s="23">
        <v>44628</v>
      </c>
      <c r="G441" s="42">
        <f t="shared" si="66"/>
        <v>0</v>
      </c>
      <c r="I441" s="42">
        <v>0</v>
      </c>
      <c r="K441" s="42">
        <v>0</v>
      </c>
      <c r="M441" s="42">
        <v>0</v>
      </c>
      <c r="O441" s="42">
        <f t="shared" si="65"/>
        <v>0</v>
      </c>
      <c r="Q441" s="42">
        <v>0</v>
      </c>
      <c r="S441" s="42">
        <v>0</v>
      </c>
      <c r="U441" s="42">
        <v>0</v>
      </c>
      <c r="W441" s="42">
        <v>0</v>
      </c>
      <c r="Y441" s="42">
        <v>0</v>
      </c>
      <c r="AA441" s="42">
        <f t="shared" si="64"/>
        <v>0</v>
      </c>
      <c r="AC441" s="42">
        <v>0</v>
      </c>
      <c r="AE441" s="42">
        <v>0</v>
      </c>
      <c r="AF441" s="42">
        <f t="shared" si="71"/>
        <v>0</v>
      </c>
      <c r="AH441" s="42">
        <f t="shared" si="67"/>
        <v>0</v>
      </c>
    </row>
    <row r="442" spans="1:34" hidden="1">
      <c r="A442" s="8" t="s">
        <v>778</v>
      </c>
      <c r="B442" s="8"/>
      <c r="C442" s="8" t="s">
        <v>41</v>
      </c>
      <c r="D442" s="8"/>
      <c r="E442" s="23">
        <v>47894</v>
      </c>
      <c r="G442" s="42">
        <f t="shared" si="66"/>
        <v>0</v>
      </c>
      <c r="I442" s="42">
        <v>0</v>
      </c>
      <c r="K442" s="42">
        <v>0</v>
      </c>
      <c r="M442" s="42">
        <v>0</v>
      </c>
      <c r="O442" s="42">
        <f t="shared" si="65"/>
        <v>0</v>
      </c>
      <c r="Q442" s="42">
        <v>0</v>
      </c>
      <c r="S442" s="42">
        <v>0</v>
      </c>
      <c r="U442" s="42">
        <v>0</v>
      </c>
      <c r="W442" s="42">
        <v>0</v>
      </c>
      <c r="Y442" s="42">
        <v>0</v>
      </c>
      <c r="AA442" s="42">
        <f t="shared" si="64"/>
        <v>0</v>
      </c>
      <c r="AC442" s="42">
        <v>0</v>
      </c>
      <c r="AE442" s="42">
        <v>0</v>
      </c>
      <c r="AF442" s="42">
        <f t="shared" si="71"/>
        <v>0</v>
      </c>
      <c r="AH442" s="42">
        <f t="shared" si="67"/>
        <v>0</v>
      </c>
    </row>
    <row r="443" spans="1:34">
      <c r="A443" s="8" t="s">
        <v>472</v>
      </c>
      <c r="B443" s="8"/>
      <c r="C443" s="8" t="s">
        <v>58</v>
      </c>
      <c r="D443" s="8"/>
      <c r="E443" s="23">
        <v>49510</v>
      </c>
      <c r="G443" s="42">
        <f t="shared" si="66"/>
        <v>5047982</v>
      </c>
      <c r="I443" s="42">
        <f>397696+15640247</f>
        <v>16037943</v>
      </c>
      <c r="K443" s="42">
        <v>0</v>
      </c>
      <c r="M443" s="42">
        <v>21085925</v>
      </c>
      <c r="O443" s="42">
        <f t="shared" si="65"/>
        <v>1130545</v>
      </c>
      <c r="Q443" s="42">
        <v>296663</v>
      </c>
      <c r="S443" s="42">
        <v>1011554</v>
      </c>
      <c r="U443" s="42">
        <v>1588591</v>
      </c>
      <c r="W443" s="42">
        <f>2438762+1588591</f>
        <v>4027353</v>
      </c>
      <c r="Y443" s="42">
        <v>14901367</v>
      </c>
      <c r="AA443" s="42">
        <f t="shared" si="64"/>
        <v>869171</v>
      </c>
      <c r="AC443" s="42">
        <v>1288034</v>
      </c>
      <c r="AE443" s="42">
        <v>17058572</v>
      </c>
      <c r="AF443" s="42">
        <f t="shared" si="71"/>
        <v>0</v>
      </c>
      <c r="AH443" s="42">
        <f t="shared" si="67"/>
        <v>0</v>
      </c>
    </row>
    <row r="444" spans="1:34" hidden="1">
      <c r="A444" s="8" t="s">
        <v>681</v>
      </c>
      <c r="B444" s="8"/>
      <c r="C444" s="8" t="s">
        <v>464</v>
      </c>
      <c r="D444" s="8"/>
      <c r="E444" s="23">
        <v>49395</v>
      </c>
      <c r="F444" s="7"/>
      <c r="G444" s="42">
        <f t="shared" si="66"/>
        <v>0</v>
      </c>
      <c r="I444" s="42">
        <v>0</v>
      </c>
      <c r="K444" s="42">
        <v>0</v>
      </c>
      <c r="M444" s="42">
        <v>0</v>
      </c>
      <c r="O444" s="42">
        <f t="shared" si="65"/>
        <v>0</v>
      </c>
      <c r="Q444" s="42">
        <v>0</v>
      </c>
      <c r="S444" s="42">
        <v>0</v>
      </c>
      <c r="U444" s="42">
        <v>0</v>
      </c>
      <c r="W444" s="42">
        <v>0</v>
      </c>
      <c r="Y444" s="42">
        <v>0</v>
      </c>
      <c r="AA444" s="42">
        <f t="shared" si="64"/>
        <v>0</v>
      </c>
      <c r="AC444" s="42">
        <v>0</v>
      </c>
      <c r="AE444" s="42">
        <v>0</v>
      </c>
      <c r="AF444" s="42">
        <f t="shared" si="71"/>
        <v>0</v>
      </c>
      <c r="AH444" s="42">
        <f t="shared" si="67"/>
        <v>0</v>
      </c>
    </row>
    <row r="445" spans="1:34" hidden="1">
      <c r="A445" s="8" t="s">
        <v>682</v>
      </c>
      <c r="B445" s="8"/>
      <c r="C445" s="8" t="s">
        <v>419</v>
      </c>
      <c r="D445" s="8"/>
      <c r="E445" s="23">
        <v>48579</v>
      </c>
      <c r="G445" s="42">
        <f t="shared" si="66"/>
        <v>0</v>
      </c>
      <c r="I445" s="42">
        <v>0</v>
      </c>
      <c r="K445" s="42">
        <v>0</v>
      </c>
      <c r="M445" s="42">
        <v>0</v>
      </c>
      <c r="O445" s="42">
        <f t="shared" si="65"/>
        <v>0</v>
      </c>
      <c r="Q445" s="42">
        <v>0</v>
      </c>
      <c r="S445" s="42">
        <v>0</v>
      </c>
      <c r="U445" s="42">
        <v>0</v>
      </c>
      <c r="W445" s="42">
        <v>0</v>
      </c>
      <c r="Y445" s="42">
        <v>0</v>
      </c>
      <c r="AA445" s="42">
        <f t="shared" si="64"/>
        <v>0</v>
      </c>
      <c r="AC445" s="42">
        <v>0</v>
      </c>
      <c r="AE445" s="42">
        <v>0</v>
      </c>
      <c r="AF445" s="42">
        <f t="shared" si="71"/>
        <v>0</v>
      </c>
      <c r="AH445" s="42">
        <f t="shared" si="67"/>
        <v>0</v>
      </c>
    </row>
    <row r="446" spans="1:34">
      <c r="A446" s="8" t="s">
        <v>273</v>
      </c>
      <c r="B446" s="8"/>
      <c r="C446" s="8" t="s">
        <v>20</v>
      </c>
      <c r="D446" s="8"/>
      <c r="E446" s="23">
        <v>44636</v>
      </c>
      <c r="G446" s="42">
        <f t="shared" si="66"/>
        <v>128751369</v>
      </c>
      <c r="I446" s="42">
        <f>5096730+48864793</f>
        <v>53961523</v>
      </c>
      <c r="K446" s="42">
        <v>0</v>
      </c>
      <c r="M446" s="42">
        <v>182712892</v>
      </c>
      <c r="O446" s="42">
        <f t="shared" si="65"/>
        <v>16873040</v>
      </c>
      <c r="Q446" s="42">
        <v>5424644</v>
      </c>
      <c r="S446" s="42">
        <v>29168523</v>
      </c>
      <c r="U446" s="42">
        <v>78292667</v>
      </c>
      <c r="W446" s="42">
        <f>51466207+78292667</f>
        <v>129758874</v>
      </c>
      <c r="Y446" s="42">
        <v>26965836</v>
      </c>
      <c r="AA446" s="42">
        <f t="shared" si="64"/>
        <v>3874435</v>
      </c>
      <c r="AC446" s="42">
        <v>22113747</v>
      </c>
      <c r="AE446" s="42">
        <v>52954018</v>
      </c>
      <c r="AF446" s="42">
        <f t="shared" si="71"/>
        <v>0</v>
      </c>
      <c r="AH446" s="42">
        <f t="shared" si="67"/>
        <v>0</v>
      </c>
    </row>
    <row r="447" spans="1:34" s="24" customFormat="1">
      <c r="A447" s="51" t="s">
        <v>345</v>
      </c>
      <c r="B447" s="51"/>
      <c r="C447" s="51" t="s">
        <v>34</v>
      </c>
      <c r="D447" s="51"/>
      <c r="E447" s="23">
        <v>47597</v>
      </c>
      <c r="G447" s="42">
        <f t="shared" si="66"/>
        <v>10450590</v>
      </c>
      <c r="H447" s="42"/>
      <c r="I447" s="42">
        <f>592870+13621723</f>
        <v>14214593</v>
      </c>
      <c r="J447" s="42"/>
      <c r="K447" s="42">
        <v>0</v>
      </c>
      <c r="L447" s="42"/>
      <c r="M447" s="42">
        <v>24665183</v>
      </c>
      <c r="N447" s="42"/>
      <c r="O447" s="42">
        <f t="shared" si="65"/>
        <v>6024279</v>
      </c>
      <c r="P447" s="42"/>
      <c r="Q447" s="42">
        <v>151332</v>
      </c>
      <c r="R447" s="42"/>
      <c r="S447" s="42">
        <v>5648630</v>
      </c>
      <c r="T447" s="42"/>
      <c r="U447" s="42">
        <v>0</v>
      </c>
      <c r="V447" s="42"/>
      <c r="W447" s="42">
        <v>11824241</v>
      </c>
      <c r="X447" s="42"/>
      <c r="Y447" s="42">
        <v>9185652</v>
      </c>
      <c r="Z447" s="42"/>
      <c r="AA447" s="42">
        <f t="shared" si="64"/>
        <v>1467083</v>
      </c>
      <c r="AB447" s="42"/>
      <c r="AC447" s="42">
        <v>2188207</v>
      </c>
      <c r="AD447" s="42"/>
      <c r="AE447" s="42">
        <v>12840942</v>
      </c>
      <c r="AF447" s="42">
        <f t="shared" si="71"/>
        <v>0</v>
      </c>
      <c r="AG447" s="42"/>
      <c r="AH447" s="42">
        <f t="shared" si="67"/>
        <v>0</v>
      </c>
    </row>
    <row r="448" spans="1:34" hidden="1">
      <c r="A448" s="8" t="s">
        <v>769</v>
      </c>
      <c r="B448" s="8"/>
      <c r="C448" s="8" t="s">
        <v>447</v>
      </c>
      <c r="D448" s="8"/>
      <c r="E448" s="23">
        <v>45575</v>
      </c>
      <c r="G448" s="42">
        <f t="shared" si="66"/>
        <v>0</v>
      </c>
      <c r="I448" s="42">
        <v>0</v>
      </c>
      <c r="K448" s="42">
        <v>0</v>
      </c>
      <c r="M448" s="42">
        <v>0</v>
      </c>
      <c r="O448" s="42">
        <f t="shared" si="65"/>
        <v>0</v>
      </c>
      <c r="Q448" s="42">
        <v>0</v>
      </c>
      <c r="S448" s="42">
        <v>0</v>
      </c>
      <c r="U448" s="42">
        <v>0</v>
      </c>
      <c r="W448" s="42">
        <v>0</v>
      </c>
      <c r="Y448" s="42">
        <v>0</v>
      </c>
      <c r="AA448" s="42">
        <f t="shared" si="64"/>
        <v>0</v>
      </c>
      <c r="AC448" s="42">
        <v>0</v>
      </c>
      <c r="AE448" s="42">
        <v>0</v>
      </c>
      <c r="AF448" s="42">
        <f t="shared" si="71"/>
        <v>0</v>
      </c>
      <c r="AH448" s="42">
        <f t="shared" si="67"/>
        <v>0</v>
      </c>
    </row>
    <row r="449" spans="1:34">
      <c r="A449" s="8" t="s">
        <v>287</v>
      </c>
      <c r="B449" s="8"/>
      <c r="C449" s="8" t="s">
        <v>24</v>
      </c>
      <c r="D449" s="8"/>
      <c r="E449" s="23">
        <v>46813</v>
      </c>
      <c r="G449" s="42">
        <f t="shared" si="66"/>
        <v>17971105</v>
      </c>
      <c r="I449" s="42">
        <v>14564435</v>
      </c>
      <c r="K449" s="42">
        <v>0</v>
      </c>
      <c r="M449" s="42">
        <v>32535540</v>
      </c>
      <c r="O449" s="42">
        <f t="shared" si="65"/>
        <v>3352079</v>
      </c>
      <c r="Q449" s="42">
        <v>1589943</v>
      </c>
      <c r="S449" s="42">
        <v>5305018</v>
      </c>
      <c r="U449" s="42">
        <v>10346183</v>
      </c>
      <c r="W449" s="42">
        <f>10247040+10346183</f>
        <v>20593223</v>
      </c>
      <c r="Y449" s="42">
        <v>11047564</v>
      </c>
      <c r="AA449" s="42">
        <f t="shared" si="64"/>
        <v>1494154</v>
      </c>
      <c r="AC449" s="42">
        <v>-599401</v>
      </c>
      <c r="AE449" s="42">
        <v>11942317</v>
      </c>
      <c r="AF449" s="42">
        <f t="shared" si="71"/>
        <v>0</v>
      </c>
      <c r="AH449" s="42">
        <f t="shared" si="67"/>
        <v>0</v>
      </c>
    </row>
    <row r="450" spans="1:34" hidden="1">
      <c r="A450" s="8" t="s">
        <v>683</v>
      </c>
      <c r="B450" s="8"/>
      <c r="C450" s="8" t="s">
        <v>10</v>
      </c>
      <c r="D450" s="8"/>
      <c r="E450" s="23">
        <v>45781</v>
      </c>
      <c r="G450" s="42">
        <f t="shared" si="66"/>
        <v>0</v>
      </c>
      <c r="I450" s="42">
        <v>0</v>
      </c>
      <c r="K450" s="42">
        <v>0</v>
      </c>
      <c r="M450" s="42">
        <v>0</v>
      </c>
      <c r="O450" s="42">
        <f t="shared" si="65"/>
        <v>0</v>
      </c>
      <c r="Q450" s="42">
        <v>0</v>
      </c>
      <c r="S450" s="42">
        <v>0</v>
      </c>
      <c r="U450" s="42">
        <v>0</v>
      </c>
      <c r="W450" s="42">
        <v>0</v>
      </c>
      <c r="Y450" s="42">
        <v>0</v>
      </c>
      <c r="AA450" s="42">
        <f t="shared" ref="AA450:AA513" si="72">AE450-AC450-Y450</f>
        <v>0</v>
      </c>
      <c r="AC450" s="42">
        <v>0</v>
      </c>
      <c r="AE450" s="42">
        <v>0</v>
      </c>
      <c r="AF450" s="42">
        <f t="shared" si="71"/>
        <v>0</v>
      </c>
      <c r="AH450" s="42">
        <f t="shared" si="67"/>
        <v>0</v>
      </c>
    </row>
    <row r="451" spans="1:34">
      <c r="A451" s="8" t="s">
        <v>201</v>
      </c>
      <c r="B451" s="8"/>
      <c r="C451" s="8" t="s">
        <v>41</v>
      </c>
      <c r="D451" s="8"/>
      <c r="E451" s="23">
        <v>47902</v>
      </c>
      <c r="G451" s="42">
        <f t="shared" si="66"/>
        <v>52790081</v>
      </c>
      <c r="I451" s="42">
        <f>1394796+41233005</f>
        <v>42627801</v>
      </c>
      <c r="K451" s="42">
        <v>0</v>
      </c>
      <c r="M451" s="42">
        <v>95417882</v>
      </c>
      <c r="O451" s="42">
        <f t="shared" si="65"/>
        <v>2616915</v>
      </c>
      <c r="Q451" s="42">
        <v>918440</v>
      </c>
      <c r="S451" s="42">
        <v>3841795</v>
      </c>
      <c r="U451" s="42">
        <v>13377871</v>
      </c>
      <c r="W451" s="42">
        <f>7377150+13377871</f>
        <v>20755021</v>
      </c>
      <c r="Y451" s="42">
        <v>41578953</v>
      </c>
      <c r="AA451" s="42">
        <f t="shared" si="72"/>
        <v>14275857</v>
      </c>
      <c r="AC451" s="42">
        <v>18808051</v>
      </c>
      <c r="AE451" s="42">
        <v>74662861</v>
      </c>
      <c r="AF451" s="42">
        <f t="shared" si="71"/>
        <v>0</v>
      </c>
      <c r="AH451" s="42">
        <f t="shared" si="67"/>
        <v>0</v>
      </c>
    </row>
    <row r="452" spans="1:34">
      <c r="A452" s="8" t="s">
        <v>201</v>
      </c>
      <c r="B452" s="8"/>
      <c r="C452" s="8" t="s">
        <v>62</v>
      </c>
      <c r="D452" s="8"/>
      <c r="E452" s="23">
        <v>49924</v>
      </c>
      <c r="G452" s="42">
        <f t="shared" si="66"/>
        <v>44104035</v>
      </c>
      <c r="I452" s="42">
        <v>30951548</v>
      </c>
      <c r="K452" s="42">
        <v>0</v>
      </c>
      <c r="M452" s="42">
        <v>75055583</v>
      </c>
      <c r="O452" s="42">
        <f t="shared" si="65"/>
        <v>5774852</v>
      </c>
      <c r="Q452" s="42">
        <v>485484</v>
      </c>
      <c r="S452" s="42">
        <v>8228371</v>
      </c>
      <c r="U452" s="42">
        <v>17640437</v>
      </c>
      <c r="W452" s="42">
        <f>14488707+17640437</f>
        <v>32129144</v>
      </c>
      <c r="Y452" s="42">
        <v>27457303</v>
      </c>
      <c r="AA452" s="42">
        <f t="shared" si="72"/>
        <v>1416212</v>
      </c>
      <c r="AC452" s="42">
        <v>14052924</v>
      </c>
      <c r="AE452" s="42">
        <v>42926439</v>
      </c>
      <c r="AF452" s="42">
        <f t="shared" si="71"/>
        <v>0</v>
      </c>
      <c r="AH452" s="42">
        <f t="shared" si="67"/>
        <v>0</v>
      </c>
    </row>
    <row r="453" spans="1:34">
      <c r="A453" s="8" t="s">
        <v>770</v>
      </c>
      <c r="B453" s="8"/>
      <c r="C453" s="8" t="s">
        <v>72</v>
      </c>
      <c r="D453" s="8"/>
      <c r="E453" s="23">
        <v>45583</v>
      </c>
      <c r="F453" s="7"/>
      <c r="G453" s="42">
        <f t="shared" si="66"/>
        <v>42004755</v>
      </c>
      <c r="I453" s="42">
        <v>45505863</v>
      </c>
      <c r="K453" s="42">
        <v>122163</v>
      </c>
      <c r="M453" s="42">
        <f>87510618+122163</f>
        <v>87632781</v>
      </c>
      <c r="O453" s="42">
        <f t="shared" si="65"/>
        <v>6482068</v>
      </c>
      <c r="Q453" s="42">
        <v>3053813</v>
      </c>
      <c r="S453" s="42">
        <v>26973753</v>
      </c>
      <c r="U453" s="42">
        <v>22670204</v>
      </c>
      <c r="W453" s="42">
        <f>36509634+22670204</f>
        <v>59179838</v>
      </c>
      <c r="Y453" s="42">
        <v>20044816</v>
      </c>
      <c r="AA453" s="42">
        <f t="shared" si="72"/>
        <v>3195933</v>
      </c>
      <c r="AC453" s="42">
        <v>5212194</v>
      </c>
      <c r="AE453" s="42">
        <v>28452943</v>
      </c>
      <c r="AF453" s="42">
        <f t="shared" si="71"/>
        <v>0</v>
      </c>
      <c r="AH453" s="42">
        <f t="shared" si="67"/>
        <v>0</v>
      </c>
    </row>
    <row r="454" spans="1:34" hidden="1">
      <c r="A454" s="9" t="s">
        <v>884</v>
      </c>
      <c r="B454" s="8"/>
      <c r="C454" s="8" t="s">
        <v>28</v>
      </c>
      <c r="D454" s="8"/>
      <c r="E454" s="23">
        <v>47076</v>
      </c>
      <c r="G454" s="42">
        <f t="shared" si="66"/>
        <v>0</v>
      </c>
      <c r="I454" s="42">
        <v>0</v>
      </c>
      <c r="K454" s="42">
        <v>0</v>
      </c>
      <c r="M454" s="42">
        <v>0</v>
      </c>
      <c r="O454" s="42">
        <f t="shared" si="65"/>
        <v>0</v>
      </c>
      <c r="Q454" s="42">
        <v>0</v>
      </c>
      <c r="S454" s="42">
        <v>0</v>
      </c>
      <c r="U454" s="42">
        <v>0</v>
      </c>
      <c r="W454" s="42">
        <v>0</v>
      </c>
      <c r="Y454" s="42">
        <v>0</v>
      </c>
      <c r="AA454" s="42">
        <f t="shared" si="72"/>
        <v>0</v>
      </c>
      <c r="AC454" s="42">
        <v>0</v>
      </c>
      <c r="AE454" s="42">
        <v>0</v>
      </c>
      <c r="AF454" s="42">
        <f t="shared" si="71"/>
        <v>0</v>
      </c>
      <c r="AH454" s="42">
        <f t="shared" si="67"/>
        <v>0</v>
      </c>
    </row>
    <row r="455" spans="1:34">
      <c r="A455" s="8" t="s">
        <v>294</v>
      </c>
      <c r="B455" s="8"/>
      <c r="C455" s="8" t="s">
        <v>25</v>
      </c>
      <c r="D455" s="8"/>
      <c r="E455" s="23">
        <v>46896</v>
      </c>
      <c r="G455" s="42">
        <f t="shared" si="66"/>
        <v>106841031</v>
      </c>
      <c r="I455" s="42">
        <v>174797391</v>
      </c>
      <c r="K455" s="42">
        <v>2106711</v>
      </c>
      <c r="M455" s="42">
        <f>281638422+2106711</f>
        <v>283745133</v>
      </c>
      <c r="O455" s="42">
        <f t="shared" si="65"/>
        <v>12657618</v>
      </c>
      <c r="Q455" s="42">
        <v>10202079</v>
      </c>
      <c r="S455" s="42">
        <v>141176974</v>
      </c>
      <c r="U455" s="42">
        <v>45238175</v>
      </c>
      <c r="W455" s="42">
        <f>164036671+45238175</f>
        <v>209274846</v>
      </c>
      <c r="Y455" s="42">
        <v>45160603</v>
      </c>
      <c r="AA455" s="42">
        <f t="shared" si="72"/>
        <v>14932206</v>
      </c>
      <c r="AC455" s="42">
        <v>14377478</v>
      </c>
      <c r="AE455" s="42">
        <v>74470287</v>
      </c>
      <c r="AF455" s="42">
        <f t="shared" si="71"/>
        <v>0</v>
      </c>
      <c r="AH455" s="42">
        <f t="shared" si="67"/>
        <v>0</v>
      </c>
    </row>
    <row r="456" spans="1:34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f t="shared" si="66"/>
        <v>0</v>
      </c>
      <c r="I456" s="42">
        <v>0</v>
      </c>
      <c r="K456" s="42">
        <v>0</v>
      </c>
      <c r="M456" s="42">
        <v>0</v>
      </c>
      <c r="O456" s="42">
        <f t="shared" si="65"/>
        <v>0</v>
      </c>
      <c r="Q456" s="42">
        <v>0</v>
      </c>
      <c r="S456" s="42">
        <v>0</v>
      </c>
      <c r="U456" s="42">
        <v>0</v>
      </c>
      <c r="W456" s="42">
        <v>0</v>
      </c>
      <c r="Y456" s="42">
        <v>0</v>
      </c>
      <c r="AA456" s="42">
        <f t="shared" si="72"/>
        <v>0</v>
      </c>
      <c r="AC456" s="42">
        <v>0</v>
      </c>
      <c r="AE456" s="42">
        <v>0</v>
      </c>
      <c r="AF456" s="42">
        <f t="shared" ref="AF456:AF526" si="73">+M456-W456-AE456</f>
        <v>0</v>
      </c>
      <c r="AH456" s="42">
        <f t="shared" si="67"/>
        <v>0</v>
      </c>
    </row>
    <row r="457" spans="1:34" ht="11.25" customHeight="1">
      <c r="A457" s="8" t="s">
        <v>422</v>
      </c>
      <c r="B457" s="8"/>
      <c r="C457" s="8" t="s">
        <v>48</v>
      </c>
      <c r="D457" s="8"/>
      <c r="E457" s="23">
        <v>44644</v>
      </c>
      <c r="G457" s="42">
        <f t="shared" si="66"/>
        <v>85495046</v>
      </c>
      <c r="I457" s="42">
        <f>7411927+24462144</f>
        <v>31874071</v>
      </c>
      <c r="K457" s="42">
        <v>254647</v>
      </c>
      <c r="M457" s="42">
        <f>117369117+254647</f>
        <v>117623764</v>
      </c>
      <c r="O457" s="42">
        <f t="shared" si="65"/>
        <v>4529865</v>
      </c>
      <c r="Q457" s="42">
        <v>1656785</v>
      </c>
      <c r="S457" s="42">
        <v>39843008</v>
      </c>
      <c r="U457" s="42">
        <v>11421847</v>
      </c>
      <c r="W457" s="42">
        <f>46029658+11421847</f>
        <v>57451505</v>
      </c>
      <c r="Y457" s="42">
        <v>21394368</v>
      </c>
      <c r="AA457" s="42">
        <f t="shared" si="72"/>
        <v>29628647</v>
      </c>
      <c r="AC457" s="42">
        <v>9149244</v>
      </c>
      <c r="AE457" s="42">
        <v>60172259</v>
      </c>
      <c r="AF457" s="42">
        <f t="shared" si="73"/>
        <v>0</v>
      </c>
      <c r="AH457" s="42">
        <f t="shared" si="67"/>
        <v>0</v>
      </c>
    </row>
    <row r="458" spans="1:34">
      <c r="A458" s="8" t="s">
        <v>304</v>
      </c>
      <c r="B458" s="8"/>
      <c r="C458" s="8" t="s">
        <v>62</v>
      </c>
      <c r="D458" s="8"/>
      <c r="E458" s="23">
        <v>49932</v>
      </c>
      <c r="G458" s="42">
        <f t="shared" si="66"/>
        <v>48337481</v>
      </c>
      <c r="I458" s="42">
        <v>61155773</v>
      </c>
      <c r="K458" s="42">
        <v>1486429</v>
      </c>
      <c r="M458" s="42">
        <f>109493254+1486429</f>
        <v>110979683</v>
      </c>
      <c r="O458" s="42">
        <f t="shared" si="65"/>
        <v>6254338</v>
      </c>
      <c r="Q458" s="42">
        <v>2615055</v>
      </c>
      <c r="S458" s="42">
        <v>51414476</v>
      </c>
      <c r="U458" s="42">
        <v>27972078</v>
      </c>
      <c r="W458" s="42">
        <f>60283869+27972078</f>
        <v>88255947</v>
      </c>
      <c r="Y458" s="42">
        <v>11831625</v>
      </c>
      <c r="AA458" s="42">
        <f t="shared" si="72"/>
        <v>4628389</v>
      </c>
      <c r="AC458" s="42">
        <v>6263722</v>
      </c>
      <c r="AE458" s="42">
        <v>22723736</v>
      </c>
      <c r="AF458" s="42">
        <f>+M458-W458-AE458</f>
        <v>0</v>
      </c>
      <c r="AH458" s="42">
        <f t="shared" si="67"/>
        <v>0</v>
      </c>
    </row>
    <row r="459" spans="1:34">
      <c r="A459" s="8" t="s">
        <v>408</v>
      </c>
      <c r="B459" s="8"/>
      <c r="C459" s="8" t="s">
        <v>46</v>
      </c>
      <c r="D459" s="8"/>
      <c r="E459" s="23">
        <v>48421</v>
      </c>
      <c r="G459" s="42">
        <f t="shared" si="66"/>
        <v>8327819</v>
      </c>
      <c r="I459" s="42">
        <f>416997+6179227</f>
        <v>6596224</v>
      </c>
      <c r="K459" s="42">
        <v>0</v>
      </c>
      <c r="M459" s="42">
        <v>14924043</v>
      </c>
      <c r="O459" s="42">
        <f t="shared" si="65"/>
        <v>1296540</v>
      </c>
      <c r="Q459" s="42">
        <v>331605</v>
      </c>
      <c r="S459" s="42">
        <v>1833452</v>
      </c>
      <c r="U459" s="42">
        <v>2360525</v>
      </c>
      <c r="W459" s="42">
        <f>3461597+2360525</f>
        <v>5822122</v>
      </c>
      <c r="Y459" s="42">
        <v>5124913</v>
      </c>
      <c r="AA459" s="42">
        <f t="shared" si="72"/>
        <v>861906</v>
      </c>
      <c r="AC459" s="42">
        <v>3115102</v>
      </c>
      <c r="AE459" s="42">
        <v>9101921</v>
      </c>
      <c r="AF459" s="42">
        <f t="shared" si="73"/>
        <v>0</v>
      </c>
      <c r="AH459" s="42">
        <f t="shared" si="67"/>
        <v>0</v>
      </c>
    </row>
    <row r="460" spans="1:34">
      <c r="A460" s="8" t="s">
        <v>468</v>
      </c>
      <c r="B460" s="8"/>
      <c r="C460" s="8" t="s">
        <v>109</v>
      </c>
      <c r="D460" s="8"/>
      <c r="E460" s="23">
        <v>49460</v>
      </c>
      <c r="G460" s="42">
        <f t="shared" si="66"/>
        <v>6468542</v>
      </c>
      <c r="I460" s="42">
        <v>18504040</v>
      </c>
      <c r="K460" s="42">
        <v>54985</v>
      </c>
      <c r="M460" s="42">
        <f>24972582+54985</f>
        <v>25027567</v>
      </c>
      <c r="O460" s="42">
        <f t="shared" si="65"/>
        <v>1029641</v>
      </c>
      <c r="Q460" s="42">
        <v>216425</v>
      </c>
      <c r="S460" s="42">
        <v>2197416</v>
      </c>
      <c r="U460" s="42">
        <v>1203891</v>
      </c>
      <c r="W460" s="42">
        <f>3443482+1203891</f>
        <v>4647373</v>
      </c>
      <c r="Y460" s="42">
        <v>16849534</v>
      </c>
      <c r="AA460" s="42">
        <f t="shared" si="72"/>
        <v>1170396</v>
      </c>
      <c r="AC460" s="42">
        <v>2360264</v>
      </c>
      <c r="AE460" s="42">
        <v>20380194</v>
      </c>
      <c r="AF460" s="42">
        <f t="shared" si="73"/>
        <v>0</v>
      </c>
      <c r="AH460" s="42">
        <f t="shared" si="67"/>
        <v>0</v>
      </c>
    </row>
    <row r="461" spans="1:34">
      <c r="A461" s="8" t="s">
        <v>718</v>
      </c>
      <c r="B461" s="8"/>
      <c r="C461" s="8" t="s">
        <v>45</v>
      </c>
      <c r="D461" s="8"/>
      <c r="E461" s="23">
        <v>48348</v>
      </c>
      <c r="G461" s="42">
        <f t="shared" si="66"/>
        <v>19672950</v>
      </c>
      <c r="I461" s="42">
        <f>304780+13062338</f>
        <v>13367118</v>
      </c>
      <c r="K461" s="42">
        <v>116625</v>
      </c>
      <c r="M461" s="42">
        <f>33040068+116625</f>
        <v>33156693</v>
      </c>
      <c r="O461" s="42">
        <f t="shared" si="65"/>
        <v>3557957</v>
      </c>
      <c r="Q461" s="42">
        <v>1286663</v>
      </c>
      <c r="S461" s="42">
        <v>11191941</v>
      </c>
      <c r="U461" s="42">
        <v>13976966</v>
      </c>
      <c r="W461" s="42">
        <f>16036561+13976966</f>
        <v>30013527</v>
      </c>
      <c r="Y461" s="42">
        <v>2774266</v>
      </c>
      <c r="AA461" s="42">
        <f t="shared" si="72"/>
        <v>1390977</v>
      </c>
      <c r="AC461" s="42">
        <v>-1022077</v>
      </c>
      <c r="AE461" s="42">
        <v>3143166</v>
      </c>
      <c r="AF461" s="42">
        <f t="shared" si="73"/>
        <v>0</v>
      </c>
      <c r="AH461" s="42">
        <f t="shared" si="67"/>
        <v>0</v>
      </c>
    </row>
    <row r="462" spans="1:34" hidden="1">
      <c r="A462" s="8" t="s">
        <v>816</v>
      </c>
      <c r="B462" s="8"/>
      <c r="C462" s="8" t="s">
        <v>53</v>
      </c>
      <c r="D462" s="8"/>
      <c r="E462" s="23">
        <v>44651</v>
      </c>
      <c r="G462" s="42">
        <f t="shared" si="66"/>
        <v>0</v>
      </c>
      <c r="I462" s="42">
        <v>0</v>
      </c>
      <c r="K462" s="42">
        <v>0</v>
      </c>
      <c r="M462" s="42">
        <v>0</v>
      </c>
      <c r="O462" s="42">
        <f t="shared" ref="O462:O525" si="74">+W462-Q462-S462-U462</f>
        <v>0</v>
      </c>
      <c r="Q462" s="42">
        <v>0</v>
      </c>
      <c r="S462" s="42">
        <v>0</v>
      </c>
      <c r="U462" s="42">
        <v>0</v>
      </c>
      <c r="W462" s="42">
        <v>0</v>
      </c>
      <c r="Y462" s="42">
        <v>0</v>
      </c>
      <c r="AA462" s="42">
        <f t="shared" si="72"/>
        <v>0</v>
      </c>
      <c r="AC462" s="42">
        <v>0</v>
      </c>
      <c r="AE462" s="42">
        <v>0</v>
      </c>
      <c r="AF462" s="42">
        <f t="shared" si="73"/>
        <v>0</v>
      </c>
      <c r="AH462" s="42">
        <f t="shared" si="67"/>
        <v>0</v>
      </c>
    </row>
    <row r="463" spans="1:34">
      <c r="A463" s="8" t="s">
        <v>481</v>
      </c>
      <c r="B463" s="8"/>
      <c r="C463" s="8" t="s">
        <v>59</v>
      </c>
      <c r="D463" s="8"/>
      <c r="E463" s="23">
        <v>44669</v>
      </c>
      <c r="G463" s="42">
        <f t="shared" ref="G463:G526" si="75">+M463-I463-K463</f>
        <v>12851050</v>
      </c>
      <c r="I463" s="42">
        <f>8592746+47294132</f>
        <v>55886878</v>
      </c>
      <c r="K463" s="42">
        <v>433112</v>
      </c>
      <c r="M463" s="42">
        <f>68737928+433112</f>
        <v>69171040</v>
      </c>
      <c r="O463" s="42">
        <f t="shared" si="74"/>
        <v>2708041</v>
      </c>
      <c r="Q463" s="42">
        <v>1018390</v>
      </c>
      <c r="S463" s="42">
        <v>13686033</v>
      </c>
      <c r="U463" s="42">
        <v>4992923</v>
      </c>
      <c r="W463" s="42">
        <f>17412464+4992923</f>
        <v>22405387</v>
      </c>
      <c r="Y463" s="42">
        <v>43376192</v>
      </c>
      <c r="AA463" s="42">
        <f t="shared" si="72"/>
        <v>4263779</v>
      </c>
      <c r="AC463" s="42">
        <v>-874318</v>
      </c>
      <c r="AE463" s="42">
        <v>46765653</v>
      </c>
      <c r="AF463" s="42">
        <f t="shared" si="73"/>
        <v>0</v>
      </c>
      <c r="AH463" s="42">
        <f t="shared" si="67"/>
        <v>0</v>
      </c>
    </row>
    <row r="464" spans="1:34" hidden="1">
      <c r="A464" s="8" t="s">
        <v>684</v>
      </c>
      <c r="B464" s="8"/>
      <c r="C464" s="8" t="s">
        <v>57</v>
      </c>
      <c r="D464" s="8"/>
      <c r="E464" s="23">
        <v>49288</v>
      </c>
      <c r="G464" s="42">
        <f t="shared" si="75"/>
        <v>0</v>
      </c>
      <c r="I464" s="42">
        <v>0</v>
      </c>
      <c r="K464" s="42">
        <v>0</v>
      </c>
      <c r="M464" s="42">
        <v>0</v>
      </c>
      <c r="O464" s="42">
        <f t="shared" si="74"/>
        <v>0</v>
      </c>
      <c r="Q464" s="42">
        <v>0</v>
      </c>
      <c r="S464" s="42">
        <v>0</v>
      </c>
      <c r="U464" s="42">
        <v>0</v>
      </c>
      <c r="W464" s="42">
        <v>0</v>
      </c>
      <c r="Y464" s="42">
        <v>0</v>
      </c>
      <c r="AA464" s="42">
        <f t="shared" si="72"/>
        <v>0</v>
      </c>
      <c r="AC464" s="42">
        <v>0</v>
      </c>
      <c r="AE464" s="42">
        <v>0</v>
      </c>
      <c r="AF464" s="42">
        <f t="shared" si="73"/>
        <v>0</v>
      </c>
      <c r="AH464" s="42">
        <f t="shared" ref="AH464:AH527" si="76">+G464+I464+K464-O464-Q464-Y464-AA464-AC464-S464-U464</f>
        <v>0</v>
      </c>
    </row>
    <row r="465" spans="1:34">
      <c r="A465" s="8" t="s">
        <v>327</v>
      </c>
      <c r="B465" s="8"/>
      <c r="C465" s="8" t="s">
        <v>32</v>
      </c>
      <c r="D465" s="8"/>
      <c r="E465" s="23">
        <v>44677</v>
      </c>
      <c r="G465" s="42">
        <f t="shared" si="75"/>
        <v>147415372</v>
      </c>
      <c r="I465" s="42">
        <f>95200799+81545896</f>
        <v>176746695</v>
      </c>
      <c r="K465" s="42">
        <v>0</v>
      </c>
      <c r="M465" s="42">
        <v>324162067</v>
      </c>
      <c r="O465" s="42">
        <f t="shared" si="74"/>
        <v>59872445</v>
      </c>
      <c r="Q465" s="42">
        <v>4961547</v>
      </c>
      <c r="S465" s="42">
        <v>224898878</v>
      </c>
      <c r="U465" s="42">
        <v>0</v>
      </c>
      <c r="W465" s="42">
        <v>289732870</v>
      </c>
      <c r="Y465" s="42">
        <v>1396326</v>
      </c>
      <c r="AA465" s="42">
        <f t="shared" si="72"/>
        <v>11883454</v>
      </c>
      <c r="AC465" s="42">
        <v>21149417</v>
      </c>
      <c r="AE465" s="42">
        <v>34429197</v>
      </c>
      <c r="AF465" s="42">
        <f t="shared" si="73"/>
        <v>0</v>
      </c>
      <c r="AH465" s="42">
        <f t="shared" si="76"/>
        <v>0</v>
      </c>
    </row>
    <row r="466" spans="1:34" hidden="1">
      <c r="A466" s="8" t="s">
        <v>817</v>
      </c>
      <c r="B466" s="9"/>
      <c r="C466" s="9" t="s">
        <v>53</v>
      </c>
      <c r="D466" s="9"/>
      <c r="E466" s="23">
        <v>48975</v>
      </c>
      <c r="G466" s="42">
        <f t="shared" si="75"/>
        <v>0</v>
      </c>
      <c r="I466" s="42">
        <v>0</v>
      </c>
      <c r="K466" s="42">
        <v>0</v>
      </c>
      <c r="M466" s="42">
        <v>0</v>
      </c>
      <c r="O466" s="42">
        <f t="shared" si="74"/>
        <v>0</v>
      </c>
      <c r="Q466" s="42">
        <v>0</v>
      </c>
      <c r="S466" s="42">
        <v>0</v>
      </c>
      <c r="U466" s="42">
        <v>0</v>
      </c>
      <c r="W466" s="42">
        <v>0</v>
      </c>
      <c r="Y466" s="42">
        <v>0</v>
      </c>
      <c r="AA466" s="42">
        <f t="shared" ref="AA466" si="77">AE466-AC466-Y466</f>
        <v>0</v>
      </c>
      <c r="AC466" s="42">
        <v>0</v>
      </c>
      <c r="AE466" s="42">
        <v>0</v>
      </c>
      <c r="AF466" s="42">
        <f t="shared" ref="AF466" si="78">+M466-W466-AE466</f>
        <v>0</v>
      </c>
      <c r="AH466" s="42">
        <f t="shared" si="76"/>
        <v>0</v>
      </c>
    </row>
    <row r="467" spans="1:34" hidden="1">
      <c r="A467" s="8" t="s">
        <v>818</v>
      </c>
      <c r="B467" s="8"/>
      <c r="C467" s="8" t="s">
        <v>12</v>
      </c>
      <c r="D467" s="8"/>
      <c r="E467" s="23">
        <v>45880</v>
      </c>
      <c r="G467" s="42">
        <f t="shared" si="75"/>
        <v>0</v>
      </c>
      <c r="I467" s="42">
        <v>0</v>
      </c>
      <c r="K467" s="42">
        <v>0</v>
      </c>
      <c r="M467" s="42">
        <v>0</v>
      </c>
      <c r="O467" s="42">
        <f t="shared" si="74"/>
        <v>0</v>
      </c>
      <c r="Q467" s="42">
        <v>0</v>
      </c>
      <c r="S467" s="42">
        <v>0</v>
      </c>
      <c r="U467" s="42">
        <v>0</v>
      </c>
      <c r="W467" s="42">
        <v>0</v>
      </c>
      <c r="Y467" s="42">
        <v>0</v>
      </c>
      <c r="AA467" s="42">
        <f t="shared" si="72"/>
        <v>0</v>
      </c>
      <c r="AC467" s="42">
        <v>0</v>
      </c>
      <c r="AE467" s="42">
        <v>0</v>
      </c>
      <c r="AF467" s="42">
        <f t="shared" si="73"/>
        <v>0</v>
      </c>
      <c r="AH467" s="42">
        <f t="shared" si="76"/>
        <v>0</v>
      </c>
    </row>
    <row r="468" spans="1:34">
      <c r="A468" s="8" t="s">
        <v>627</v>
      </c>
      <c r="B468" s="8"/>
      <c r="C468" s="8" t="s">
        <v>56</v>
      </c>
      <c r="D468" s="8"/>
      <c r="E468" s="23">
        <v>44685</v>
      </c>
      <c r="G468" s="42">
        <f t="shared" si="75"/>
        <v>15126056</v>
      </c>
      <c r="I468" s="42">
        <v>37259422</v>
      </c>
      <c r="K468" s="42">
        <v>1441633</v>
      </c>
      <c r="M468" s="42">
        <f>52385478+1441633</f>
        <v>53827111</v>
      </c>
      <c r="O468" s="42">
        <f t="shared" si="74"/>
        <v>3813992</v>
      </c>
      <c r="Q468" s="42">
        <v>1630012</v>
      </c>
      <c r="S468" s="42">
        <v>22024848</v>
      </c>
      <c r="U468" s="42">
        <v>10190740</v>
      </c>
      <c r="W468" s="42">
        <f>27468852+10190740</f>
        <v>37659592</v>
      </c>
      <c r="Y468" s="42">
        <v>17034766</v>
      </c>
      <c r="AA468" s="42">
        <f t="shared" si="72"/>
        <v>1103031</v>
      </c>
      <c r="AC468" s="42">
        <v>-1970278</v>
      </c>
      <c r="AE468" s="42">
        <v>16167519</v>
      </c>
      <c r="AF468" s="42">
        <f t="shared" si="73"/>
        <v>0</v>
      </c>
      <c r="AH468" s="42">
        <f t="shared" si="76"/>
        <v>0</v>
      </c>
    </row>
    <row r="469" spans="1:34">
      <c r="A469" s="8" t="s">
        <v>328</v>
      </c>
      <c r="B469" s="8"/>
      <c r="C469" s="8" t="s">
        <v>32</v>
      </c>
      <c r="D469" s="8"/>
      <c r="E469" s="23">
        <v>44693</v>
      </c>
      <c r="G469" s="42">
        <f t="shared" si="75"/>
        <v>13481692</v>
      </c>
      <c r="I469" s="42">
        <f>582731+2399671</f>
        <v>2982402</v>
      </c>
      <c r="K469" s="42">
        <v>0</v>
      </c>
      <c r="M469" s="42">
        <v>16464094</v>
      </c>
      <c r="O469" s="42">
        <f t="shared" si="74"/>
        <v>2008307</v>
      </c>
      <c r="Q469" s="42">
        <v>305086</v>
      </c>
      <c r="S469" s="42">
        <v>3192148</v>
      </c>
      <c r="U469" s="42">
        <v>4250314</v>
      </c>
      <c r="W469" s="42">
        <f>5505541+4250314</f>
        <v>9755855</v>
      </c>
      <c r="Y469" s="42">
        <v>2035054</v>
      </c>
      <c r="AA469" s="42">
        <f t="shared" si="72"/>
        <v>507409</v>
      </c>
      <c r="AC469" s="42">
        <v>4165776</v>
      </c>
      <c r="AE469" s="42">
        <v>6708239</v>
      </c>
      <c r="AF469" s="42">
        <f t="shared" si="73"/>
        <v>0</v>
      </c>
      <c r="AH469" s="42">
        <f t="shared" si="76"/>
        <v>0</v>
      </c>
    </row>
    <row r="470" spans="1:34">
      <c r="A470" s="8" t="s">
        <v>509</v>
      </c>
      <c r="B470" s="8"/>
      <c r="C470" s="8" t="s">
        <v>63</v>
      </c>
      <c r="D470" s="8"/>
      <c r="E470" s="23">
        <v>50054</v>
      </c>
      <c r="G470" s="42">
        <f t="shared" si="75"/>
        <v>52850148</v>
      </c>
      <c r="I470" s="42">
        <f>1001740+14052476</f>
        <v>15054216</v>
      </c>
      <c r="K470" s="42">
        <v>0</v>
      </c>
      <c r="M470" s="42">
        <v>67904364</v>
      </c>
      <c r="O470" s="42">
        <f t="shared" si="74"/>
        <v>32180741</v>
      </c>
      <c r="Q470" s="42">
        <v>1356018</v>
      </c>
      <c r="S470" s="42">
        <v>9316319</v>
      </c>
      <c r="U470" s="42">
        <v>0</v>
      </c>
      <c r="W470" s="42">
        <v>42853078</v>
      </c>
      <c r="Y470" s="42">
        <v>10542284</v>
      </c>
      <c r="AA470" s="42">
        <f t="shared" si="72"/>
        <v>4317443</v>
      </c>
      <c r="AC470" s="42">
        <v>10191559</v>
      </c>
      <c r="AE470" s="42">
        <v>25051286</v>
      </c>
      <c r="AF470" s="42">
        <f t="shared" si="73"/>
        <v>0</v>
      </c>
      <c r="AH470" s="42">
        <f t="shared" si="76"/>
        <v>0</v>
      </c>
    </row>
    <row r="471" spans="1:34" hidden="1">
      <c r="A471" s="8" t="s">
        <v>819</v>
      </c>
      <c r="B471" s="8"/>
      <c r="C471" s="8" t="s">
        <v>27</v>
      </c>
      <c r="D471" s="8"/>
      <c r="E471" s="23">
        <v>47001</v>
      </c>
      <c r="F471" s="7"/>
      <c r="G471" s="42">
        <f t="shared" si="75"/>
        <v>0</v>
      </c>
      <c r="I471" s="42">
        <v>0</v>
      </c>
      <c r="K471" s="42">
        <v>0</v>
      </c>
      <c r="M471" s="42">
        <v>0</v>
      </c>
      <c r="O471" s="42">
        <f t="shared" si="74"/>
        <v>0</v>
      </c>
      <c r="Q471" s="42">
        <v>0</v>
      </c>
      <c r="S471" s="42">
        <v>0</v>
      </c>
      <c r="U471" s="42">
        <v>0</v>
      </c>
      <c r="W471" s="42">
        <v>0</v>
      </c>
      <c r="Y471" s="42">
        <v>0</v>
      </c>
      <c r="AA471" s="42">
        <f t="shared" si="72"/>
        <v>0</v>
      </c>
      <c r="AC471" s="42">
        <v>0</v>
      </c>
      <c r="AE471" s="42">
        <v>0</v>
      </c>
      <c r="AF471" s="42">
        <f t="shared" si="73"/>
        <v>0</v>
      </c>
      <c r="AH471" s="42">
        <f t="shared" si="76"/>
        <v>0</v>
      </c>
    </row>
    <row r="472" spans="1:34">
      <c r="A472" s="8" t="s">
        <v>274</v>
      </c>
      <c r="B472" s="8"/>
      <c r="C472" s="8" t="s">
        <v>20</v>
      </c>
      <c r="D472" s="8"/>
      <c r="E472" s="23">
        <v>46599</v>
      </c>
      <c r="G472" s="42">
        <f t="shared" si="75"/>
        <v>11087494</v>
      </c>
      <c r="I472" s="42">
        <f>311214+561437</f>
        <v>872651</v>
      </c>
      <c r="K472" s="42">
        <v>0</v>
      </c>
      <c r="M472" s="42">
        <v>11960145</v>
      </c>
      <c r="O472" s="42">
        <f t="shared" si="74"/>
        <v>2325554</v>
      </c>
      <c r="Q472" s="42">
        <v>80562</v>
      </c>
      <c r="S472" s="42">
        <v>1093542</v>
      </c>
      <c r="U472" s="42">
        <v>7399618</v>
      </c>
      <c r="W472" s="42">
        <f>3499658+7399618</f>
        <v>10899276</v>
      </c>
      <c r="Y472" s="42">
        <v>49832</v>
      </c>
      <c r="AA472" s="42">
        <f t="shared" si="72"/>
        <v>82062</v>
      </c>
      <c r="AC472" s="42">
        <v>928975</v>
      </c>
      <c r="AE472" s="42">
        <v>1060869</v>
      </c>
      <c r="AF472" s="42">
        <f t="shared" si="73"/>
        <v>0</v>
      </c>
      <c r="AH472" s="42">
        <f t="shared" si="76"/>
        <v>0</v>
      </c>
    </row>
    <row r="473" spans="1:34" s="24" customFormat="1">
      <c r="A473" s="51" t="s">
        <v>409</v>
      </c>
      <c r="B473" s="51"/>
      <c r="C473" s="51" t="s">
        <v>46</v>
      </c>
      <c r="D473" s="51"/>
      <c r="E473" s="51">
        <v>48439</v>
      </c>
      <c r="G473" s="24">
        <f t="shared" si="75"/>
        <v>6367499</v>
      </c>
      <c r="I473" s="24">
        <f>50442+1820162</f>
        <v>1870604</v>
      </c>
      <c r="K473" s="24">
        <v>0</v>
      </c>
      <c r="M473" s="24">
        <v>8238103</v>
      </c>
      <c r="O473" s="24">
        <f t="shared" si="74"/>
        <v>2649059</v>
      </c>
      <c r="Q473" s="24">
        <v>118600</v>
      </c>
      <c r="S473" s="24">
        <v>346695</v>
      </c>
      <c r="U473" s="24">
        <v>0</v>
      </c>
      <c r="W473" s="24">
        <v>3114354</v>
      </c>
      <c r="Y473" s="24">
        <v>1693943</v>
      </c>
      <c r="AA473" s="24">
        <f t="shared" si="72"/>
        <v>171862</v>
      </c>
      <c r="AC473" s="24">
        <v>3257944</v>
      </c>
      <c r="AE473" s="24">
        <v>5123749</v>
      </c>
      <c r="AF473" s="24">
        <f t="shared" si="73"/>
        <v>0</v>
      </c>
      <c r="AH473" s="24">
        <f t="shared" si="76"/>
        <v>0</v>
      </c>
    </row>
    <row r="474" spans="1:34" hidden="1">
      <c r="A474" s="9" t="s">
        <v>885</v>
      </c>
      <c r="B474" s="8"/>
      <c r="C474" s="8" t="s">
        <v>337</v>
      </c>
      <c r="D474" s="8"/>
      <c r="E474" s="23">
        <v>47506</v>
      </c>
      <c r="G474" s="42">
        <f t="shared" si="75"/>
        <v>0</v>
      </c>
      <c r="I474" s="42">
        <v>0</v>
      </c>
      <c r="K474" s="42">
        <v>0</v>
      </c>
      <c r="M474" s="42">
        <v>0</v>
      </c>
      <c r="O474" s="42">
        <f t="shared" si="74"/>
        <v>0</v>
      </c>
      <c r="Q474" s="42">
        <v>0</v>
      </c>
      <c r="S474" s="42">
        <v>0</v>
      </c>
      <c r="U474" s="42">
        <v>0</v>
      </c>
      <c r="W474" s="42">
        <v>0</v>
      </c>
      <c r="Y474" s="42">
        <v>0</v>
      </c>
      <c r="AA474" s="42">
        <f t="shared" si="72"/>
        <v>0</v>
      </c>
      <c r="AC474" s="42">
        <v>0</v>
      </c>
      <c r="AE474" s="42">
        <v>0</v>
      </c>
      <c r="AF474" s="42">
        <f t="shared" si="73"/>
        <v>0</v>
      </c>
      <c r="AH474" s="42">
        <f t="shared" si="76"/>
        <v>0</v>
      </c>
    </row>
    <row r="475" spans="1:34">
      <c r="A475" s="8" t="s">
        <v>252</v>
      </c>
      <c r="B475" s="8"/>
      <c r="C475" s="8" t="s">
        <v>19</v>
      </c>
      <c r="D475" s="8"/>
      <c r="E475" s="23">
        <v>46474</v>
      </c>
      <c r="G475" s="42">
        <f t="shared" si="75"/>
        <v>9133290</v>
      </c>
      <c r="I475" s="42">
        <v>14624787</v>
      </c>
      <c r="K475" s="42">
        <v>130480</v>
      </c>
      <c r="M475" s="42">
        <f>23758077+130480</f>
        <v>23888557</v>
      </c>
      <c r="O475" s="42">
        <f t="shared" si="74"/>
        <v>1491149</v>
      </c>
      <c r="Q475" s="42">
        <v>282315</v>
      </c>
      <c r="S475" s="42">
        <v>3285323</v>
      </c>
      <c r="U475" s="42">
        <v>2386724</v>
      </c>
      <c r="W475" s="42">
        <f>5058787+2386724</f>
        <v>7445511</v>
      </c>
      <c r="Y475" s="42">
        <v>12135462</v>
      </c>
      <c r="AA475" s="42">
        <f t="shared" si="72"/>
        <v>1176957</v>
      </c>
      <c r="AC475" s="42">
        <v>3130627</v>
      </c>
      <c r="AE475" s="42">
        <v>16443046</v>
      </c>
      <c r="AF475" s="42">
        <f t="shared" si="73"/>
        <v>0</v>
      </c>
      <c r="AH475" s="42">
        <f t="shared" si="76"/>
        <v>0</v>
      </c>
    </row>
    <row r="476" spans="1:34" hidden="1">
      <c r="A476" s="8" t="s">
        <v>820</v>
      </c>
      <c r="B476" s="8"/>
      <c r="C476" s="8" t="s">
        <v>77</v>
      </c>
      <c r="D476" s="8"/>
      <c r="E476" s="23">
        <v>46078</v>
      </c>
      <c r="G476" s="42">
        <f t="shared" si="75"/>
        <v>0</v>
      </c>
      <c r="I476" s="42">
        <v>0</v>
      </c>
      <c r="K476" s="42">
        <v>0</v>
      </c>
      <c r="M476" s="42">
        <v>0</v>
      </c>
      <c r="O476" s="42">
        <f t="shared" si="74"/>
        <v>0</v>
      </c>
      <c r="Q476" s="42">
        <v>0</v>
      </c>
      <c r="S476" s="42">
        <v>0</v>
      </c>
      <c r="U476" s="42">
        <v>0</v>
      </c>
      <c r="W476" s="42">
        <v>0</v>
      </c>
      <c r="Y476" s="42">
        <v>0</v>
      </c>
      <c r="AA476" s="42">
        <f t="shared" si="72"/>
        <v>0</v>
      </c>
      <c r="AC476" s="42">
        <v>0</v>
      </c>
      <c r="AE476" s="42">
        <v>0</v>
      </c>
      <c r="AF476" s="42">
        <f t="shared" si="73"/>
        <v>0</v>
      </c>
      <c r="AH476" s="42">
        <f t="shared" si="76"/>
        <v>0</v>
      </c>
    </row>
    <row r="477" spans="1:34" hidden="1">
      <c r="A477" s="8" t="s">
        <v>821</v>
      </c>
      <c r="B477" s="8"/>
      <c r="C477" s="8" t="s">
        <v>71</v>
      </c>
      <c r="D477" s="8"/>
      <c r="E477" s="23">
        <v>45591</v>
      </c>
      <c r="G477" s="42">
        <f t="shared" si="75"/>
        <v>0</v>
      </c>
      <c r="I477" s="42">
        <v>0</v>
      </c>
      <c r="K477" s="42">
        <v>0</v>
      </c>
      <c r="M477" s="42">
        <v>0</v>
      </c>
      <c r="O477" s="42">
        <f t="shared" si="74"/>
        <v>0</v>
      </c>
      <c r="Q477" s="42">
        <v>0</v>
      </c>
      <c r="S477" s="42">
        <v>0</v>
      </c>
      <c r="U477" s="42">
        <v>0</v>
      </c>
      <c r="W477" s="42">
        <v>0</v>
      </c>
      <c r="Y477" s="42">
        <v>0</v>
      </c>
      <c r="AA477" s="42">
        <f t="shared" si="72"/>
        <v>0</v>
      </c>
      <c r="AC477" s="42">
        <v>0</v>
      </c>
      <c r="AE477" s="42">
        <v>0</v>
      </c>
      <c r="AF477" s="42">
        <f t="shared" si="73"/>
        <v>0</v>
      </c>
      <c r="AH477" s="42">
        <f t="shared" si="76"/>
        <v>0</v>
      </c>
    </row>
    <row r="478" spans="1:34">
      <c r="A478" s="8" t="s">
        <v>410</v>
      </c>
      <c r="B478" s="8"/>
      <c r="C478" s="8" t="s">
        <v>46</v>
      </c>
      <c r="D478" s="8"/>
      <c r="E478" s="23">
        <v>48447</v>
      </c>
      <c r="G478" s="42">
        <f t="shared" si="75"/>
        <v>11593723</v>
      </c>
      <c r="I478" s="42">
        <f>986790+31853737</f>
        <v>32840527</v>
      </c>
      <c r="K478" s="42">
        <v>377471</v>
      </c>
      <c r="M478" s="42">
        <f>44434250+377471</f>
        <v>44811721</v>
      </c>
      <c r="O478" s="42">
        <f t="shared" si="74"/>
        <v>1967345</v>
      </c>
      <c r="Q478" s="42">
        <v>1189168</v>
      </c>
      <c r="S478" s="42">
        <v>12705502</v>
      </c>
      <c r="U478" s="42">
        <v>3920881</v>
      </c>
      <c r="W478" s="42">
        <f>15862015+3920881</f>
        <v>19782896</v>
      </c>
      <c r="Y478" s="42">
        <v>21638309</v>
      </c>
      <c r="AA478" s="42">
        <f t="shared" si="72"/>
        <v>2049247</v>
      </c>
      <c r="AC478" s="42">
        <v>1341269</v>
      </c>
      <c r="AE478" s="42">
        <v>25028825</v>
      </c>
      <c r="AF478" s="42">
        <f t="shared" si="73"/>
        <v>0</v>
      </c>
      <c r="AH478" s="42">
        <f t="shared" si="76"/>
        <v>0</v>
      </c>
    </row>
    <row r="479" spans="1:34">
      <c r="A479" s="8" t="s">
        <v>253</v>
      </c>
      <c r="B479" s="8"/>
      <c r="C479" s="8" t="s">
        <v>19</v>
      </c>
      <c r="D479" s="8"/>
      <c r="E479" s="23">
        <v>46482</v>
      </c>
      <c r="G479" s="42">
        <f t="shared" si="75"/>
        <v>19397609</v>
      </c>
      <c r="I479" s="42">
        <f>628359+6325998</f>
        <v>6954357</v>
      </c>
      <c r="K479" s="42">
        <v>0</v>
      </c>
      <c r="M479" s="42">
        <v>26351966</v>
      </c>
      <c r="O479" s="42">
        <f t="shared" si="74"/>
        <v>11412419</v>
      </c>
      <c r="Q479" s="42">
        <v>341374</v>
      </c>
      <c r="S479" s="42">
        <v>1439599</v>
      </c>
      <c r="U479" s="42">
        <v>0</v>
      </c>
      <c r="W479" s="42">
        <v>13193392</v>
      </c>
      <c r="Y479" s="42">
        <v>5789521</v>
      </c>
      <c r="AA479" s="42">
        <f t="shared" si="72"/>
        <v>2181277</v>
      </c>
      <c r="AC479" s="42">
        <v>5187776</v>
      </c>
      <c r="AE479" s="42">
        <v>13158574</v>
      </c>
      <c r="AF479" s="42">
        <f t="shared" si="73"/>
        <v>0</v>
      </c>
      <c r="AH479" s="42">
        <f t="shared" si="76"/>
        <v>0</v>
      </c>
    </row>
    <row r="480" spans="1:34" hidden="1">
      <c r="A480" s="8" t="s">
        <v>822</v>
      </c>
      <c r="B480" s="8"/>
      <c r="C480" s="8" t="s">
        <v>337</v>
      </c>
      <c r="D480" s="8"/>
      <c r="E480" s="23">
        <v>47514</v>
      </c>
      <c r="G480" s="42">
        <f t="shared" si="75"/>
        <v>0</v>
      </c>
      <c r="I480" s="42">
        <v>0</v>
      </c>
      <c r="K480" s="42">
        <v>0</v>
      </c>
      <c r="M480" s="42">
        <v>0</v>
      </c>
      <c r="O480" s="42">
        <f t="shared" si="74"/>
        <v>0</v>
      </c>
      <c r="Q480" s="42">
        <v>0</v>
      </c>
      <c r="S480" s="42">
        <v>0</v>
      </c>
      <c r="U480" s="42">
        <v>0</v>
      </c>
      <c r="W480" s="42">
        <v>0</v>
      </c>
      <c r="Y480" s="42">
        <v>0</v>
      </c>
      <c r="AA480" s="42">
        <f t="shared" si="72"/>
        <v>0</v>
      </c>
      <c r="AC480" s="42">
        <v>0</v>
      </c>
      <c r="AE480" s="42">
        <v>0</v>
      </c>
      <c r="AF480" s="42">
        <f t="shared" si="73"/>
        <v>0</v>
      </c>
      <c r="AH480" s="42">
        <f t="shared" si="76"/>
        <v>0</v>
      </c>
    </row>
    <row r="481" spans="1:34">
      <c r="A481" s="8" t="s">
        <v>377</v>
      </c>
      <c r="B481" s="8"/>
      <c r="C481" s="8" t="s">
        <v>41</v>
      </c>
      <c r="D481" s="8"/>
      <c r="E481" s="23">
        <v>47894</v>
      </c>
      <c r="G481" s="42">
        <f t="shared" si="75"/>
        <v>35968326</v>
      </c>
      <c r="I481" s="42">
        <f>5164965+14292751</f>
        <v>19457716</v>
      </c>
      <c r="K481" s="42">
        <v>0</v>
      </c>
      <c r="M481" s="42">
        <v>55426042</v>
      </c>
      <c r="O481" s="42">
        <f t="shared" si="74"/>
        <v>5079537</v>
      </c>
      <c r="Q481" s="42">
        <v>1450356</v>
      </c>
      <c r="S481" s="42">
        <v>4041553</v>
      </c>
      <c r="U481" s="42">
        <v>27172727</v>
      </c>
      <c r="W481" s="42">
        <f>10571446+27172727</f>
        <v>37744173</v>
      </c>
      <c r="Y481" s="42">
        <v>14837822</v>
      </c>
      <c r="AA481" s="42">
        <f t="shared" si="72"/>
        <v>1846992</v>
      </c>
      <c r="AC481" s="42">
        <v>997055</v>
      </c>
      <c r="AE481" s="42">
        <v>17681869</v>
      </c>
      <c r="AF481" s="42">
        <f t="shared" si="73"/>
        <v>0</v>
      </c>
      <c r="AH481" s="42">
        <f t="shared" si="76"/>
        <v>0</v>
      </c>
    </row>
    <row r="482" spans="1:34">
      <c r="A482" s="8" t="s">
        <v>377</v>
      </c>
      <c r="B482" s="8"/>
      <c r="C482" s="8" t="s">
        <v>43</v>
      </c>
      <c r="D482" s="8"/>
      <c r="E482" s="23">
        <v>48090</v>
      </c>
      <c r="G482" s="42">
        <f t="shared" si="75"/>
        <v>3920758</v>
      </c>
      <c r="I482" s="42">
        <v>10638357</v>
      </c>
      <c r="K482" s="42">
        <v>105057</v>
      </c>
      <c r="M482" s="42">
        <f>14559115+105057</f>
        <v>14664172</v>
      </c>
      <c r="O482" s="42">
        <f t="shared" si="74"/>
        <v>559928</v>
      </c>
      <c r="Q482" s="42">
        <v>198488</v>
      </c>
      <c r="S482" s="42">
        <v>2187520</v>
      </c>
      <c r="U482" s="42">
        <v>1202194</v>
      </c>
      <c r="W482" s="42">
        <f>2945936+1202194</f>
        <v>4148130</v>
      </c>
      <c r="Y482" s="42">
        <v>9028315</v>
      </c>
      <c r="AA482" s="42">
        <f t="shared" si="72"/>
        <v>521539</v>
      </c>
      <c r="AC482" s="42">
        <v>966188</v>
      </c>
      <c r="AE482" s="42">
        <v>10516042</v>
      </c>
      <c r="AF482" s="42">
        <f t="shared" si="73"/>
        <v>0</v>
      </c>
      <c r="AH482" s="42">
        <f t="shared" si="76"/>
        <v>0</v>
      </c>
    </row>
    <row r="483" spans="1:34">
      <c r="A483" s="8" t="s">
        <v>368</v>
      </c>
      <c r="B483" s="8"/>
      <c r="C483" s="8" t="s">
        <v>364</v>
      </c>
      <c r="D483" s="8"/>
      <c r="E483" s="23">
        <v>47944</v>
      </c>
      <c r="G483" s="42">
        <f t="shared" si="75"/>
        <v>12038828</v>
      </c>
      <c r="I483" s="42">
        <f>4284583+30571542</f>
        <v>34856125</v>
      </c>
      <c r="K483" s="42">
        <v>0</v>
      </c>
      <c r="M483" s="42">
        <v>46894953</v>
      </c>
      <c r="O483" s="42">
        <f t="shared" si="74"/>
        <v>2601029</v>
      </c>
      <c r="Q483" s="42">
        <v>386668</v>
      </c>
      <c r="S483" s="42">
        <v>3300102</v>
      </c>
      <c r="U483" s="42">
        <v>2317060</v>
      </c>
      <c r="W483" s="42">
        <f>6287799+2317060</f>
        <v>8604859</v>
      </c>
      <c r="Y483" s="42">
        <v>32115465</v>
      </c>
      <c r="AA483" s="42">
        <f t="shared" si="72"/>
        <v>5102804</v>
      </c>
      <c r="AC483" s="42">
        <v>1071825</v>
      </c>
      <c r="AE483" s="42">
        <v>38290094</v>
      </c>
      <c r="AF483" s="42">
        <f t="shared" si="73"/>
        <v>0</v>
      </c>
      <c r="AH483" s="42">
        <f t="shared" si="76"/>
        <v>0</v>
      </c>
    </row>
    <row r="484" spans="1:34">
      <c r="A484" s="9" t="s">
        <v>707</v>
      </c>
      <c r="B484" s="8"/>
      <c r="C484" s="8" t="s">
        <v>20</v>
      </c>
      <c r="D484" s="8"/>
      <c r="E484" s="23">
        <v>44701</v>
      </c>
      <c r="G484" s="42">
        <f t="shared" si="75"/>
        <v>47038769</v>
      </c>
      <c r="I484" s="42">
        <v>55774543</v>
      </c>
      <c r="K484" s="42">
        <v>0</v>
      </c>
      <c r="M484" s="42">
        <v>102813312</v>
      </c>
      <c r="O484" s="42">
        <f t="shared" si="74"/>
        <v>5735382</v>
      </c>
      <c r="Q484" s="42">
        <v>2814026</v>
      </c>
      <c r="S484" s="42">
        <v>53990175</v>
      </c>
      <c r="U484" s="42">
        <v>27163284</v>
      </c>
      <c r="W484" s="42">
        <f>62539583+27163284</f>
        <v>89702867</v>
      </c>
      <c r="Y484" s="42">
        <v>9927555</v>
      </c>
      <c r="AA484" s="42">
        <f t="shared" si="72"/>
        <v>2786843</v>
      </c>
      <c r="AC484" s="42">
        <v>396047</v>
      </c>
      <c r="AE484" s="42">
        <v>13110445</v>
      </c>
      <c r="AF484" s="42">
        <f t="shared" si="73"/>
        <v>0</v>
      </c>
      <c r="AH484" s="42">
        <f t="shared" si="76"/>
        <v>0</v>
      </c>
    </row>
    <row r="485" spans="1:34">
      <c r="A485" s="8" t="s">
        <v>319</v>
      </c>
      <c r="B485" s="8"/>
      <c r="C485" s="8" t="s">
        <v>31</v>
      </c>
      <c r="D485" s="8"/>
      <c r="E485" s="23">
        <v>47308</v>
      </c>
      <c r="G485" s="42">
        <f t="shared" si="75"/>
        <v>12793369</v>
      </c>
      <c r="I485" s="42">
        <f>214502+12405327</f>
        <v>12619829</v>
      </c>
      <c r="K485" s="42">
        <v>0</v>
      </c>
      <c r="M485" s="42">
        <v>25413198</v>
      </c>
      <c r="O485" s="42">
        <f t="shared" si="74"/>
        <v>2579746</v>
      </c>
      <c r="Q485" s="42">
        <v>115972</v>
      </c>
      <c r="S485" s="42">
        <v>1337528</v>
      </c>
      <c r="U485" s="42">
        <v>3551255</v>
      </c>
      <c r="W485" s="42">
        <f>4033246+3551255</f>
        <v>7584501</v>
      </c>
      <c r="Y485" s="42">
        <v>12047005</v>
      </c>
      <c r="AA485" s="42">
        <f t="shared" si="72"/>
        <v>772981</v>
      </c>
      <c r="AC485" s="42">
        <v>5008711</v>
      </c>
      <c r="AE485" s="42">
        <v>17828697</v>
      </c>
      <c r="AF485" s="42">
        <f t="shared" si="73"/>
        <v>0</v>
      </c>
      <c r="AH485" s="42">
        <f t="shared" si="76"/>
        <v>0</v>
      </c>
    </row>
    <row r="486" spans="1:34">
      <c r="A486" s="8" t="s">
        <v>459</v>
      </c>
      <c r="B486" s="8"/>
      <c r="C486" s="8" t="s">
        <v>56</v>
      </c>
      <c r="D486" s="8"/>
      <c r="E486" s="23">
        <v>49213</v>
      </c>
      <c r="G486" s="42">
        <f t="shared" si="75"/>
        <v>8897548</v>
      </c>
      <c r="I486" s="42">
        <f>779700+2037281</f>
        <v>2816981</v>
      </c>
      <c r="K486" s="42">
        <v>0</v>
      </c>
      <c r="M486" s="42">
        <v>11714529</v>
      </c>
      <c r="O486" s="42">
        <f t="shared" si="74"/>
        <v>6649302</v>
      </c>
      <c r="Q486" s="42">
        <v>87591</v>
      </c>
      <c r="S486" s="42">
        <v>516828</v>
      </c>
      <c r="U486" s="42">
        <v>0</v>
      </c>
      <c r="W486" s="42">
        <v>7253721</v>
      </c>
      <c r="Y486" s="42">
        <v>2616981</v>
      </c>
      <c r="AA486" s="42">
        <f t="shared" si="72"/>
        <v>1176387</v>
      </c>
      <c r="AC486" s="42">
        <v>667440</v>
      </c>
      <c r="AE486" s="42">
        <v>4460808</v>
      </c>
      <c r="AF486" s="42">
        <f t="shared" si="73"/>
        <v>0</v>
      </c>
      <c r="AH486" s="42">
        <f t="shared" si="76"/>
        <v>0</v>
      </c>
    </row>
    <row r="487" spans="1:34">
      <c r="A487" s="8" t="s">
        <v>708</v>
      </c>
      <c r="B487" s="8"/>
      <c r="C487" s="8" t="s">
        <v>220</v>
      </c>
      <c r="D487" s="8"/>
      <c r="E487" s="23">
        <v>46144</v>
      </c>
      <c r="G487" s="42">
        <f t="shared" si="75"/>
        <v>28340157</v>
      </c>
      <c r="I487" s="42">
        <f>1262525+45170893</f>
        <v>46433418</v>
      </c>
      <c r="K487" s="42">
        <v>0</v>
      </c>
      <c r="M487" s="42">
        <v>74773575</v>
      </c>
      <c r="O487" s="42">
        <f t="shared" si="74"/>
        <v>12375838</v>
      </c>
      <c r="Q487" s="42">
        <v>1300119</v>
      </c>
      <c r="S487" s="42">
        <v>17739396</v>
      </c>
      <c r="U487" s="42">
        <v>0</v>
      </c>
      <c r="W487" s="42">
        <v>31415353</v>
      </c>
      <c r="Y487" s="42">
        <v>28895657</v>
      </c>
      <c r="AA487" s="42">
        <f t="shared" si="72"/>
        <v>8808357</v>
      </c>
      <c r="AC487" s="42">
        <v>5654208</v>
      </c>
      <c r="AE487" s="42">
        <v>43358222</v>
      </c>
      <c r="AF487" s="42">
        <f t="shared" si="73"/>
        <v>0</v>
      </c>
      <c r="AH487" s="42">
        <f t="shared" si="76"/>
        <v>0</v>
      </c>
    </row>
    <row r="488" spans="1:34">
      <c r="A488" s="8" t="s">
        <v>771</v>
      </c>
      <c r="B488" s="8"/>
      <c r="C488" s="8" t="s">
        <v>72</v>
      </c>
      <c r="D488" s="8"/>
      <c r="E488" s="23">
        <v>45609</v>
      </c>
      <c r="G488" s="42">
        <f t="shared" si="75"/>
        <v>21990086</v>
      </c>
      <c r="I488" s="42">
        <f>1202221+8725994</f>
        <v>9928215</v>
      </c>
      <c r="K488" s="42">
        <v>0</v>
      </c>
      <c r="M488" s="42">
        <v>31918301</v>
      </c>
      <c r="O488" s="42">
        <f t="shared" si="74"/>
        <v>3624577</v>
      </c>
      <c r="Q488" s="42">
        <v>100561</v>
      </c>
      <c r="S488" s="42">
        <v>1652669</v>
      </c>
      <c r="U488" s="42">
        <v>9437867</v>
      </c>
      <c r="W488" s="42">
        <f>5377807+9437867</f>
        <v>14815674</v>
      </c>
      <c r="Y488" s="42">
        <v>9928215</v>
      </c>
      <c r="AA488" s="42">
        <f t="shared" si="72"/>
        <v>2357502</v>
      </c>
      <c r="AC488" s="42">
        <v>4816910</v>
      </c>
      <c r="AE488" s="42">
        <v>17102627</v>
      </c>
      <c r="AF488" s="42">
        <f>+M488-W488-AE488</f>
        <v>0</v>
      </c>
      <c r="AH488" s="42">
        <f t="shared" si="76"/>
        <v>0</v>
      </c>
    </row>
    <row r="489" spans="1:34">
      <c r="A489" s="8" t="s">
        <v>488</v>
      </c>
      <c r="B489" s="8"/>
      <c r="C489" s="8" t="s">
        <v>61</v>
      </c>
      <c r="D489" s="8"/>
      <c r="E489" s="23">
        <v>49817</v>
      </c>
      <c r="G489" s="42">
        <f t="shared" si="75"/>
        <v>4539750</v>
      </c>
      <c r="I489" s="42">
        <v>11597276</v>
      </c>
      <c r="K489" s="42">
        <v>99269</v>
      </c>
      <c r="M489" s="42">
        <f>16137026+99269</f>
        <v>16236295</v>
      </c>
      <c r="O489" s="42">
        <f t="shared" si="74"/>
        <v>654811</v>
      </c>
      <c r="Q489" s="42">
        <v>234800</v>
      </c>
      <c r="S489" s="42">
        <v>5054936</v>
      </c>
      <c r="U489" s="42">
        <v>1267794</v>
      </c>
      <c r="W489" s="42">
        <f>5944547+1267794</f>
        <v>7212341</v>
      </c>
      <c r="Y489" s="42">
        <v>6475324</v>
      </c>
      <c r="AA489" s="42">
        <f t="shared" si="72"/>
        <v>1264470</v>
      </c>
      <c r="AC489" s="42">
        <v>1284160</v>
      </c>
      <c r="AE489" s="42">
        <v>9023954</v>
      </c>
      <c r="AF489" s="42">
        <f t="shared" si="73"/>
        <v>0</v>
      </c>
      <c r="AH489" s="42">
        <f t="shared" si="76"/>
        <v>0</v>
      </c>
    </row>
    <row r="490" spans="1:34">
      <c r="A490" s="8" t="s">
        <v>602</v>
      </c>
      <c r="B490" s="8"/>
      <c r="C490" s="8" t="s">
        <v>111</v>
      </c>
      <c r="D490" s="8"/>
      <c r="E490" s="23">
        <v>44735</v>
      </c>
      <c r="G490" s="42">
        <f t="shared" si="75"/>
        <v>13618774</v>
      </c>
      <c r="I490" s="42">
        <v>7683653</v>
      </c>
      <c r="K490" s="42">
        <v>0</v>
      </c>
      <c r="M490" s="42">
        <v>21302427</v>
      </c>
      <c r="O490" s="42">
        <f t="shared" si="74"/>
        <v>2048634</v>
      </c>
      <c r="Q490" s="42">
        <v>391602</v>
      </c>
      <c r="S490" s="42">
        <v>3240256</v>
      </c>
      <c r="U490" s="42">
        <v>8686239</v>
      </c>
      <c r="W490" s="42">
        <f>5680492+8686239</f>
        <v>14366731</v>
      </c>
      <c r="Y490" s="42">
        <v>5724590</v>
      </c>
      <c r="AA490" s="42">
        <f t="shared" si="72"/>
        <v>1034172</v>
      </c>
      <c r="AC490" s="42">
        <v>176934</v>
      </c>
      <c r="AE490" s="42">
        <v>6935696</v>
      </c>
      <c r="AF490" s="42">
        <f>+M490-W490-AE490</f>
        <v>0</v>
      </c>
      <c r="AH490" s="42">
        <f t="shared" si="76"/>
        <v>0</v>
      </c>
    </row>
    <row r="491" spans="1:34">
      <c r="A491" s="8" t="s">
        <v>288</v>
      </c>
      <c r="B491" s="8"/>
      <c r="C491" s="8" t="s">
        <v>24</v>
      </c>
      <c r="D491" s="8"/>
      <c r="E491" s="23">
        <v>44743</v>
      </c>
      <c r="F491" s="7"/>
      <c r="G491" s="42">
        <f t="shared" si="75"/>
        <v>27143172</v>
      </c>
      <c r="I491" s="42">
        <f>2485551+7794474</f>
        <v>10280025</v>
      </c>
      <c r="K491" s="42">
        <v>0</v>
      </c>
      <c r="M491" s="42">
        <v>37423197</v>
      </c>
      <c r="O491" s="42">
        <f t="shared" si="74"/>
        <v>22425609</v>
      </c>
      <c r="Q491" s="42">
        <v>1186634</v>
      </c>
      <c r="S491" s="42">
        <v>3066737</v>
      </c>
      <c r="U491" s="42">
        <v>0</v>
      </c>
      <c r="W491" s="42">
        <v>26678980</v>
      </c>
      <c r="Y491" s="42">
        <v>9650349</v>
      </c>
      <c r="AA491" s="42">
        <f t="shared" si="72"/>
        <v>1306846</v>
      </c>
      <c r="AC491" s="42">
        <v>-212978</v>
      </c>
      <c r="AE491" s="42">
        <v>10744217</v>
      </c>
      <c r="AF491" s="42">
        <f t="shared" si="73"/>
        <v>0</v>
      </c>
      <c r="AH491" s="42">
        <f t="shared" si="76"/>
        <v>0</v>
      </c>
    </row>
    <row r="492" spans="1:34">
      <c r="A492" s="8" t="s">
        <v>500</v>
      </c>
      <c r="B492" s="8"/>
      <c r="C492" s="8" t="s">
        <v>62</v>
      </c>
      <c r="D492" s="8"/>
      <c r="E492" s="23">
        <v>49940</v>
      </c>
      <c r="G492" s="42">
        <f t="shared" si="75"/>
        <v>9241793</v>
      </c>
      <c r="I492" s="42">
        <v>38490464</v>
      </c>
      <c r="K492" s="42">
        <v>1187728</v>
      </c>
      <c r="M492" s="42">
        <f>47732257+1187728</f>
        <v>48919985</v>
      </c>
      <c r="O492" s="42">
        <f t="shared" si="74"/>
        <v>1883016</v>
      </c>
      <c r="Q492" s="42">
        <v>728642</v>
      </c>
      <c r="S492" s="42">
        <v>12583876</v>
      </c>
      <c r="U492" s="42">
        <v>3663801</v>
      </c>
      <c r="W492" s="42">
        <f>15195534+3663801</f>
        <v>18859335</v>
      </c>
      <c r="Y492" s="42">
        <v>27297569</v>
      </c>
      <c r="AA492" s="42">
        <f t="shared" si="72"/>
        <v>940434</v>
      </c>
      <c r="AC492" s="42">
        <v>1822647</v>
      </c>
      <c r="AE492" s="42">
        <v>30060650</v>
      </c>
      <c r="AF492" s="42">
        <f t="shared" si="73"/>
        <v>0</v>
      </c>
      <c r="AH492" s="42">
        <f t="shared" si="76"/>
        <v>0</v>
      </c>
    </row>
    <row r="493" spans="1:34">
      <c r="A493" s="8" t="s">
        <v>453</v>
      </c>
      <c r="B493" s="8"/>
      <c r="C493" s="8" t="s">
        <v>55</v>
      </c>
      <c r="D493" s="8"/>
      <c r="E493" s="23">
        <v>49130</v>
      </c>
      <c r="F493" s="7"/>
      <c r="G493" s="42">
        <f t="shared" si="75"/>
        <v>11605383</v>
      </c>
      <c r="I493" s="42">
        <f>830500+20005470</f>
        <v>20835970</v>
      </c>
      <c r="K493" s="42">
        <v>0</v>
      </c>
      <c r="M493" s="42">
        <v>32441353</v>
      </c>
      <c r="O493" s="42">
        <f t="shared" si="74"/>
        <v>1651444</v>
      </c>
      <c r="Q493" s="42">
        <v>230897</v>
      </c>
      <c r="S493" s="42">
        <v>1892065</v>
      </c>
      <c r="U493" s="42">
        <v>2035474</v>
      </c>
      <c r="W493" s="42">
        <f>3774406+2035474</f>
        <v>5809880</v>
      </c>
      <c r="Y493" s="42">
        <v>19371788</v>
      </c>
      <c r="AA493" s="42">
        <f t="shared" si="72"/>
        <v>1944492</v>
      </c>
      <c r="AC493" s="42">
        <v>5315193</v>
      </c>
      <c r="AE493" s="42">
        <v>26631473</v>
      </c>
      <c r="AF493" s="42">
        <f>+M493-W493-AE493</f>
        <v>0</v>
      </c>
      <c r="AH493" s="42">
        <f t="shared" si="76"/>
        <v>0</v>
      </c>
    </row>
    <row r="494" spans="1:34">
      <c r="A494" s="8" t="s">
        <v>402</v>
      </c>
      <c r="B494" s="8"/>
      <c r="C494" s="8" t="s">
        <v>45</v>
      </c>
      <c r="D494" s="8"/>
      <c r="E494" s="23">
        <v>48355</v>
      </c>
      <c r="G494" s="42">
        <f t="shared" si="75"/>
        <v>3050536</v>
      </c>
      <c r="I494" s="42">
        <f>219600+9262869</f>
        <v>9482469</v>
      </c>
      <c r="K494" s="42">
        <v>57824</v>
      </c>
      <c r="M494" s="42">
        <f>12533005+57824</f>
        <v>12590829</v>
      </c>
      <c r="O494" s="42">
        <f t="shared" si="74"/>
        <v>812920</v>
      </c>
      <c r="Q494" s="42">
        <v>107337</v>
      </c>
      <c r="S494" s="42">
        <v>1133748</v>
      </c>
      <c r="U494" s="42">
        <v>1293955</v>
      </c>
      <c r="W494" s="42">
        <f>2054005+1293955</f>
        <v>3347960</v>
      </c>
      <c r="Y494" s="42">
        <v>8682775</v>
      </c>
      <c r="AA494" s="42">
        <f t="shared" si="72"/>
        <v>684000</v>
      </c>
      <c r="AC494" s="42">
        <v>-123906</v>
      </c>
      <c r="AE494" s="42">
        <v>9242869</v>
      </c>
      <c r="AF494" s="42">
        <f t="shared" si="73"/>
        <v>0</v>
      </c>
      <c r="AH494" s="42">
        <f t="shared" si="76"/>
        <v>0</v>
      </c>
    </row>
    <row r="495" spans="1:34">
      <c r="A495" s="8" t="s">
        <v>484</v>
      </c>
      <c r="B495" s="8"/>
      <c r="C495" s="8" t="s">
        <v>60</v>
      </c>
      <c r="D495" s="8"/>
      <c r="E495" s="23">
        <v>49684</v>
      </c>
      <c r="G495" s="42">
        <f t="shared" si="75"/>
        <v>6261515</v>
      </c>
      <c r="I495" s="42">
        <v>29352754</v>
      </c>
      <c r="K495" s="42">
        <v>873004</v>
      </c>
      <c r="M495" s="42">
        <f>35614269+873004</f>
        <v>36487273</v>
      </c>
      <c r="O495" s="42">
        <f t="shared" si="74"/>
        <v>989065</v>
      </c>
      <c r="Q495" s="42">
        <v>482099</v>
      </c>
      <c r="S495" s="42">
        <v>11379562</v>
      </c>
      <c r="U495" s="42">
        <v>2737607</v>
      </c>
      <c r="W495" s="42">
        <f>12850726+2737607</f>
        <v>15588333</v>
      </c>
      <c r="Y495" s="42">
        <v>19283679</v>
      </c>
      <c r="AA495" s="42">
        <f t="shared" si="72"/>
        <v>793792</v>
      </c>
      <c r="AC495" s="42">
        <v>821469</v>
      </c>
      <c r="AE495" s="42">
        <v>20898940</v>
      </c>
      <c r="AF495" s="42">
        <f t="shared" si="73"/>
        <v>0</v>
      </c>
      <c r="AH495" s="42">
        <f t="shared" si="76"/>
        <v>0</v>
      </c>
    </row>
    <row r="496" spans="1:34">
      <c r="A496" s="8" t="s">
        <v>216</v>
      </c>
      <c r="B496" s="8"/>
      <c r="C496" s="8" t="s">
        <v>15</v>
      </c>
      <c r="D496" s="8"/>
      <c r="E496" s="23">
        <v>46003</v>
      </c>
      <c r="G496" s="42">
        <f t="shared" si="75"/>
        <v>7386531</v>
      </c>
      <c r="I496" s="42">
        <f>42289+1372244</f>
        <v>1414533</v>
      </c>
      <c r="K496" s="42">
        <v>0</v>
      </c>
      <c r="M496" s="42">
        <v>8801064</v>
      </c>
      <c r="O496" s="42">
        <f t="shared" si="74"/>
        <v>774112</v>
      </c>
      <c r="Q496" s="42">
        <v>81918</v>
      </c>
      <c r="S496" s="42">
        <v>515875</v>
      </c>
      <c r="U496" s="42">
        <v>1877536</v>
      </c>
      <c r="W496" s="42">
        <f>1371905+1877536</f>
        <v>3249441</v>
      </c>
      <c r="Y496" s="42">
        <v>1356713</v>
      </c>
      <c r="AA496" s="42">
        <f t="shared" si="72"/>
        <v>1569754</v>
      </c>
      <c r="AC496" s="42">
        <v>2625156</v>
      </c>
      <c r="AE496" s="42">
        <v>5551623</v>
      </c>
      <c r="AF496" s="42">
        <f t="shared" si="73"/>
        <v>0</v>
      </c>
      <c r="AH496" s="42">
        <f t="shared" si="76"/>
        <v>0</v>
      </c>
    </row>
    <row r="497" spans="1:34">
      <c r="A497" s="8" t="s">
        <v>709</v>
      </c>
      <c r="B497" s="8"/>
      <c r="C497" s="8" t="s">
        <v>20</v>
      </c>
      <c r="D497" s="8"/>
      <c r="E497" s="23">
        <v>44750</v>
      </c>
      <c r="G497" s="42">
        <f t="shared" si="75"/>
        <v>112696009</v>
      </c>
      <c r="I497" s="42">
        <f>3001434+34166095</f>
        <v>37167529</v>
      </c>
      <c r="K497" s="42">
        <v>0</v>
      </c>
      <c r="M497" s="42">
        <v>149863538</v>
      </c>
      <c r="O497" s="42">
        <f t="shared" si="74"/>
        <v>64949678</v>
      </c>
      <c r="Q497" s="42">
        <v>3266173</v>
      </c>
      <c r="S497" s="42">
        <v>29444625</v>
      </c>
      <c r="U497" s="42">
        <v>0</v>
      </c>
      <c r="W497" s="42">
        <v>97660476</v>
      </c>
      <c r="Y497" s="42">
        <v>13553310</v>
      </c>
      <c r="AA497" s="42">
        <f t="shared" si="72"/>
        <v>5332698</v>
      </c>
      <c r="AC497" s="42">
        <v>33317054</v>
      </c>
      <c r="AE497" s="42">
        <v>52203062</v>
      </c>
      <c r="AF497" s="42">
        <f t="shared" si="73"/>
        <v>0</v>
      </c>
      <c r="AH497" s="42">
        <f t="shared" si="76"/>
        <v>0</v>
      </c>
    </row>
    <row r="498" spans="1:34" hidden="1">
      <c r="A498" s="8" t="s">
        <v>694</v>
      </c>
      <c r="B498" s="8"/>
      <c r="C498" s="8" t="s">
        <v>10</v>
      </c>
      <c r="D498" s="8"/>
      <c r="E498" s="23">
        <v>45779</v>
      </c>
      <c r="G498" s="42">
        <f t="shared" si="75"/>
        <v>0</v>
      </c>
      <c r="I498" s="42">
        <v>0</v>
      </c>
      <c r="K498" s="42">
        <v>0</v>
      </c>
      <c r="M498" s="42">
        <v>0</v>
      </c>
      <c r="O498" s="42">
        <f t="shared" si="74"/>
        <v>0</v>
      </c>
      <c r="Q498" s="42">
        <v>0</v>
      </c>
      <c r="S498" s="42">
        <v>0</v>
      </c>
      <c r="U498" s="42">
        <v>0</v>
      </c>
      <c r="W498" s="42">
        <v>0</v>
      </c>
      <c r="Y498" s="42">
        <v>0</v>
      </c>
      <c r="AA498" s="42">
        <f t="shared" si="72"/>
        <v>0</v>
      </c>
      <c r="AC498" s="42">
        <v>0</v>
      </c>
      <c r="AE498" s="42">
        <v>0</v>
      </c>
      <c r="AF498" s="42">
        <f t="shared" si="73"/>
        <v>0</v>
      </c>
      <c r="AH498" s="42">
        <f t="shared" si="76"/>
        <v>0</v>
      </c>
    </row>
    <row r="499" spans="1:34">
      <c r="A499" s="8" t="s">
        <v>783</v>
      </c>
      <c r="B499" s="8"/>
      <c r="C499" s="8" t="s">
        <v>44</v>
      </c>
      <c r="D499" s="8"/>
      <c r="E499" s="23">
        <v>44768</v>
      </c>
      <c r="G499" s="42">
        <f t="shared" si="75"/>
        <v>51347800</v>
      </c>
      <c r="I499" s="42">
        <f>3078713+3360380</f>
        <v>6439093</v>
      </c>
      <c r="K499" s="42">
        <v>0</v>
      </c>
      <c r="M499" s="42">
        <v>57786893</v>
      </c>
      <c r="O499" s="42">
        <f t="shared" si="74"/>
        <v>3078523</v>
      </c>
      <c r="Q499" s="42">
        <v>662050</v>
      </c>
      <c r="S499" s="42">
        <v>31341231</v>
      </c>
      <c r="U499" s="42">
        <v>10634321</v>
      </c>
      <c r="W499" s="42">
        <f>35081804+10634321</f>
        <v>45716125</v>
      </c>
      <c r="Y499" s="42">
        <v>3415032</v>
      </c>
      <c r="AA499" s="42">
        <f t="shared" si="72"/>
        <v>1809712</v>
      </c>
      <c r="AC499" s="42">
        <v>6846024</v>
      </c>
      <c r="AE499" s="42">
        <v>12070768</v>
      </c>
      <c r="AF499" s="42">
        <f t="shared" si="73"/>
        <v>0</v>
      </c>
      <c r="AH499" s="42">
        <f t="shared" si="76"/>
        <v>0</v>
      </c>
    </row>
    <row r="500" spans="1:34">
      <c r="A500" s="8" t="s">
        <v>469</v>
      </c>
      <c r="B500" s="8"/>
      <c r="C500" s="8" t="s">
        <v>109</v>
      </c>
      <c r="D500" s="8"/>
      <c r="E500" s="23">
        <v>44776</v>
      </c>
      <c r="G500" s="42">
        <f t="shared" si="75"/>
        <v>21948052</v>
      </c>
      <c r="I500" s="42">
        <v>25689945</v>
      </c>
      <c r="K500" s="42">
        <v>0</v>
      </c>
      <c r="M500" s="42">
        <v>47637997</v>
      </c>
      <c r="O500" s="42">
        <f t="shared" si="74"/>
        <v>3836312</v>
      </c>
      <c r="Q500" s="42">
        <v>609372</v>
      </c>
      <c r="S500" s="42">
        <v>18482854</v>
      </c>
      <c r="U500" s="42">
        <v>5028142</v>
      </c>
      <c r="W500" s="42">
        <f>22928538+5028142</f>
        <v>27956680</v>
      </c>
      <c r="Y500" s="42">
        <v>12939475</v>
      </c>
      <c r="AA500" s="42">
        <f t="shared" si="72"/>
        <v>2895452</v>
      </c>
      <c r="AC500" s="42">
        <v>3846390</v>
      </c>
      <c r="AE500" s="42">
        <v>19681317</v>
      </c>
      <c r="AF500" s="42">
        <f t="shared" si="73"/>
        <v>0</v>
      </c>
      <c r="AH500" s="42">
        <f t="shared" si="76"/>
        <v>0</v>
      </c>
    </row>
    <row r="501" spans="1:34" hidden="1">
      <c r="A501" s="8" t="s">
        <v>827</v>
      </c>
      <c r="B501" s="8"/>
      <c r="C501" s="8" t="s">
        <v>61</v>
      </c>
      <c r="D501" s="8"/>
      <c r="E501" s="23">
        <v>44784</v>
      </c>
      <c r="G501" s="42">
        <f t="shared" si="75"/>
        <v>0</v>
      </c>
      <c r="I501" s="42">
        <v>0</v>
      </c>
      <c r="K501" s="42">
        <v>0</v>
      </c>
      <c r="M501" s="42">
        <v>0</v>
      </c>
      <c r="O501" s="42">
        <f t="shared" si="74"/>
        <v>0</v>
      </c>
      <c r="Q501" s="42">
        <v>0</v>
      </c>
      <c r="S501" s="42">
        <v>0</v>
      </c>
      <c r="U501" s="42">
        <v>0</v>
      </c>
      <c r="W501" s="42">
        <v>0</v>
      </c>
      <c r="Y501" s="42">
        <v>0</v>
      </c>
      <c r="AA501" s="42">
        <f t="shared" si="72"/>
        <v>0</v>
      </c>
      <c r="AC501" s="42">
        <v>0</v>
      </c>
      <c r="AE501" s="42">
        <v>0</v>
      </c>
      <c r="AF501" s="42">
        <f t="shared" si="73"/>
        <v>0</v>
      </c>
      <c r="AH501" s="42">
        <f t="shared" si="76"/>
        <v>0</v>
      </c>
    </row>
    <row r="502" spans="1:34">
      <c r="A502" s="8" t="s">
        <v>275</v>
      </c>
      <c r="B502" s="8"/>
      <c r="C502" s="8" t="s">
        <v>20</v>
      </c>
      <c r="D502" s="8"/>
      <c r="E502" s="23">
        <v>46607</v>
      </c>
      <c r="G502" s="42">
        <f t="shared" si="75"/>
        <v>96201592</v>
      </c>
      <c r="I502" s="42">
        <v>34208383</v>
      </c>
      <c r="K502" s="42">
        <v>469259</v>
      </c>
      <c r="M502" s="42">
        <f>130409975+469259</f>
        <v>130879234</v>
      </c>
      <c r="O502" s="42">
        <f t="shared" si="74"/>
        <v>8873292</v>
      </c>
      <c r="Q502" s="42">
        <v>4947546</v>
      </c>
      <c r="S502" s="42">
        <v>20955460</v>
      </c>
      <c r="U502" s="42">
        <v>44951179</v>
      </c>
      <c r="W502" s="42">
        <f>34776298+44951179</f>
        <v>79727477</v>
      </c>
      <c r="Y502" s="42">
        <v>20613168</v>
      </c>
      <c r="AA502" s="42">
        <f t="shared" si="72"/>
        <v>11551893</v>
      </c>
      <c r="AC502" s="42">
        <v>18986696</v>
      </c>
      <c r="AE502" s="42">
        <v>51151757</v>
      </c>
      <c r="AF502" s="42">
        <f t="shared" si="73"/>
        <v>0</v>
      </c>
      <c r="AH502" s="42">
        <f t="shared" si="76"/>
        <v>0</v>
      </c>
    </row>
    <row r="503" spans="1:34">
      <c r="A503" s="8" t="s">
        <v>628</v>
      </c>
      <c r="B503" s="8"/>
      <c r="C503" s="9" t="s">
        <v>37</v>
      </c>
      <c r="D503" s="8"/>
      <c r="E503" s="23">
        <v>47738</v>
      </c>
      <c r="G503" s="42">
        <f t="shared" si="75"/>
        <v>4811673</v>
      </c>
      <c r="I503" s="42">
        <v>5718510</v>
      </c>
      <c r="K503" s="42">
        <v>7975</v>
      </c>
      <c r="M503" s="42">
        <f>10530183+7975</f>
        <v>10538158</v>
      </c>
      <c r="O503" s="42">
        <f t="shared" si="74"/>
        <v>997482</v>
      </c>
      <c r="Q503" s="42">
        <v>197163</v>
      </c>
      <c r="S503" s="42">
        <v>1290710</v>
      </c>
      <c r="U503" s="42">
        <v>1338278</v>
      </c>
      <c r="W503" s="42">
        <f>2485355+1338278</f>
        <v>3823633</v>
      </c>
      <c r="Y503" s="42">
        <v>4819949</v>
      </c>
      <c r="AA503" s="42">
        <f t="shared" si="72"/>
        <v>449455</v>
      </c>
      <c r="AC503" s="42">
        <v>1445121</v>
      </c>
      <c r="AE503" s="42">
        <v>6714525</v>
      </c>
      <c r="AF503" s="42">
        <f>+M503-W503-AE503</f>
        <v>0</v>
      </c>
      <c r="AH503" s="42">
        <f t="shared" si="76"/>
        <v>0</v>
      </c>
    </row>
    <row r="504" spans="1:34">
      <c r="A504" s="8" t="s">
        <v>276</v>
      </c>
      <c r="B504" s="8"/>
      <c r="C504" s="8" t="s">
        <v>20</v>
      </c>
      <c r="D504" s="8"/>
      <c r="E504" s="23">
        <v>44792</v>
      </c>
      <c r="G504" s="42">
        <f t="shared" si="75"/>
        <v>78283794</v>
      </c>
      <c r="I504" s="42">
        <f>660393+18895717</f>
        <v>19556110</v>
      </c>
      <c r="K504" s="42">
        <v>99660</v>
      </c>
      <c r="M504" s="42">
        <f>97839904+99660</f>
        <v>97939564</v>
      </c>
      <c r="O504" s="42">
        <f t="shared" si="74"/>
        <v>12095550</v>
      </c>
      <c r="Q504" s="42">
        <v>1514748</v>
      </c>
      <c r="S504" s="42">
        <v>7766869</v>
      </c>
      <c r="U504" s="42">
        <v>36196621</v>
      </c>
      <c r="W504" s="42">
        <f>21377167+36196621</f>
        <v>57573788</v>
      </c>
      <c r="Y504" s="42">
        <v>8247998</v>
      </c>
      <c r="AA504" s="42">
        <f t="shared" si="72"/>
        <v>4549281</v>
      </c>
      <c r="AC504" s="42">
        <v>27568497</v>
      </c>
      <c r="AE504" s="42">
        <v>40365776</v>
      </c>
      <c r="AF504" s="42">
        <f t="shared" si="73"/>
        <v>0</v>
      </c>
      <c r="AH504" s="42">
        <f t="shared" si="76"/>
        <v>0</v>
      </c>
    </row>
    <row r="505" spans="1:34">
      <c r="A505" s="8" t="s">
        <v>369</v>
      </c>
      <c r="B505" s="8"/>
      <c r="C505" s="8" t="s">
        <v>364</v>
      </c>
      <c r="D505" s="8"/>
      <c r="E505" s="23">
        <v>47951</v>
      </c>
      <c r="G505" s="42">
        <f t="shared" si="75"/>
        <v>15732561</v>
      </c>
      <c r="I505" s="42">
        <f>1978553+46830027</f>
        <v>48808580</v>
      </c>
      <c r="K505" s="42">
        <v>930050</v>
      </c>
      <c r="M505" s="42">
        <f>64541141+930050</f>
        <v>65471191</v>
      </c>
      <c r="O505" s="42">
        <f t="shared" si="74"/>
        <v>2095862</v>
      </c>
      <c r="Q505" s="42">
        <v>1152479</v>
      </c>
      <c r="S505" s="42">
        <v>11038846</v>
      </c>
      <c r="U505" s="42">
        <v>3263624</v>
      </c>
      <c r="W505" s="42">
        <f>14287187+3263624</f>
        <v>17550811</v>
      </c>
      <c r="Y505" s="42">
        <v>40004498</v>
      </c>
      <c r="AA505" s="42">
        <f t="shared" si="72"/>
        <v>2903221</v>
      </c>
      <c r="AC505" s="42">
        <v>5012661</v>
      </c>
      <c r="AE505" s="42">
        <v>47920380</v>
      </c>
      <c r="AF505" s="42">
        <f>+M505-W505-AE505</f>
        <v>0</v>
      </c>
      <c r="AH505" s="42">
        <f t="shared" si="76"/>
        <v>0</v>
      </c>
    </row>
    <row r="506" spans="1:34">
      <c r="A506" s="8" t="s">
        <v>403</v>
      </c>
      <c r="B506" s="8"/>
      <c r="C506" s="8" t="s">
        <v>45</v>
      </c>
      <c r="D506" s="8"/>
      <c r="E506" s="23">
        <v>48363</v>
      </c>
      <c r="G506" s="42">
        <f t="shared" si="75"/>
        <v>8972811</v>
      </c>
      <c r="I506" s="42">
        <v>36408894</v>
      </c>
      <c r="K506" s="42">
        <v>0</v>
      </c>
      <c r="M506" s="42">
        <v>45381705</v>
      </c>
      <c r="O506" s="42">
        <f t="shared" si="74"/>
        <v>1357581</v>
      </c>
      <c r="Q506" s="42">
        <v>665402</v>
      </c>
      <c r="S506" s="42">
        <v>18828147</v>
      </c>
      <c r="U506" s="42">
        <v>6157640</v>
      </c>
      <c r="W506" s="42">
        <f>20851130+6157640</f>
        <v>27008770</v>
      </c>
      <c r="Y506" s="42">
        <v>18063782</v>
      </c>
      <c r="AA506" s="42">
        <f t="shared" si="72"/>
        <v>539443</v>
      </c>
      <c r="AC506" s="42">
        <v>-230290</v>
      </c>
      <c r="AE506" s="42">
        <v>18372935</v>
      </c>
      <c r="AF506" s="42">
        <f t="shared" si="73"/>
        <v>0</v>
      </c>
      <c r="AH506" s="42">
        <f t="shared" si="76"/>
        <v>0</v>
      </c>
    </row>
    <row r="507" spans="1:34">
      <c r="A507" s="8" t="s">
        <v>460</v>
      </c>
      <c r="B507" s="8"/>
      <c r="C507" s="8" t="s">
        <v>56</v>
      </c>
      <c r="D507" s="8"/>
      <c r="E507" s="23">
        <v>49221</v>
      </c>
      <c r="G507" s="42">
        <f t="shared" si="75"/>
        <v>22565323</v>
      </c>
      <c r="I507" s="42">
        <f>400918+25597930</f>
        <v>25998848</v>
      </c>
      <c r="K507" s="42">
        <v>0</v>
      </c>
      <c r="M507" s="42">
        <v>48564171</v>
      </c>
      <c r="O507" s="42">
        <f t="shared" si="74"/>
        <v>7929686</v>
      </c>
      <c r="Q507" s="42">
        <v>444195</v>
      </c>
      <c r="S507" s="42">
        <v>5329538</v>
      </c>
      <c r="U507" s="42">
        <v>0</v>
      </c>
      <c r="W507" s="42">
        <v>13703419</v>
      </c>
      <c r="Y507" s="42">
        <v>21497116</v>
      </c>
      <c r="AA507" s="42">
        <f t="shared" si="72"/>
        <v>2245966</v>
      </c>
      <c r="AC507" s="42">
        <v>11117670</v>
      </c>
      <c r="AE507" s="42">
        <v>34860752</v>
      </c>
      <c r="AF507" s="42">
        <f t="shared" si="73"/>
        <v>0</v>
      </c>
      <c r="AH507" s="42">
        <f t="shared" si="76"/>
        <v>0</v>
      </c>
    </row>
    <row r="508" spans="1:34">
      <c r="A508" s="8" t="s">
        <v>460</v>
      </c>
      <c r="B508" s="8"/>
      <c r="C508" s="8" t="s">
        <v>71</v>
      </c>
      <c r="D508" s="8"/>
      <c r="E508" s="23">
        <v>50583</v>
      </c>
      <c r="G508" s="42">
        <f t="shared" si="75"/>
        <v>11924589</v>
      </c>
      <c r="I508" s="42">
        <f>588680+2804762</f>
        <v>3393442</v>
      </c>
      <c r="K508" s="42">
        <v>0</v>
      </c>
      <c r="M508" s="42">
        <v>15318031</v>
      </c>
      <c r="O508" s="42">
        <f t="shared" si="74"/>
        <v>1901841</v>
      </c>
      <c r="Q508" s="42">
        <v>172531</v>
      </c>
      <c r="S508" s="42">
        <v>502527</v>
      </c>
      <c r="U508" s="42">
        <v>7139152</v>
      </c>
      <c r="W508" s="42">
        <f>2576899+7139152</f>
        <v>9716051</v>
      </c>
      <c r="Y508" s="42">
        <v>3393442</v>
      </c>
      <c r="AA508" s="42">
        <f t="shared" si="72"/>
        <v>771812</v>
      </c>
      <c r="AC508" s="42">
        <v>1436726</v>
      </c>
      <c r="AE508" s="42">
        <v>5601980</v>
      </c>
      <c r="AF508" s="42">
        <f t="shared" si="73"/>
        <v>0</v>
      </c>
      <c r="AH508" s="42">
        <f t="shared" si="76"/>
        <v>0</v>
      </c>
    </row>
    <row r="509" spans="1:34">
      <c r="A509" s="8" t="s">
        <v>233</v>
      </c>
      <c r="B509" s="8"/>
      <c r="C509" s="8" t="s">
        <v>17</v>
      </c>
      <c r="D509" s="8"/>
      <c r="E509" s="23">
        <v>46276</v>
      </c>
      <c r="G509" s="42">
        <f t="shared" si="75"/>
        <v>9616846</v>
      </c>
      <c r="I509" s="42">
        <f>11000+4104571</f>
        <v>4115571</v>
      </c>
      <c r="K509" s="42">
        <v>0</v>
      </c>
      <c r="M509" s="42">
        <v>13732417</v>
      </c>
      <c r="O509" s="42">
        <f t="shared" si="74"/>
        <v>3164172</v>
      </c>
      <c r="Q509" s="42">
        <v>204222</v>
      </c>
      <c r="S509" s="42">
        <v>1402488</v>
      </c>
      <c r="U509" s="42">
        <v>0</v>
      </c>
      <c r="W509" s="42">
        <v>4770882</v>
      </c>
      <c r="Y509" s="42">
        <v>2917860</v>
      </c>
      <c r="AA509" s="42">
        <f t="shared" si="72"/>
        <v>1023283</v>
      </c>
      <c r="AC509" s="42">
        <v>5020392</v>
      </c>
      <c r="AE509" s="42">
        <v>8961535</v>
      </c>
      <c r="AF509" s="42">
        <f>+M509-W509-AE509</f>
        <v>0</v>
      </c>
      <c r="AH509" s="42">
        <f t="shared" si="76"/>
        <v>0</v>
      </c>
    </row>
    <row r="510" spans="1:34">
      <c r="A510" s="8" t="s">
        <v>233</v>
      </c>
      <c r="B510" s="8"/>
      <c r="C510" s="8" t="s">
        <v>58</v>
      </c>
      <c r="D510" s="8"/>
      <c r="E510" s="23">
        <v>49528</v>
      </c>
      <c r="G510" s="42">
        <f t="shared" si="75"/>
        <v>11283926</v>
      </c>
      <c r="I510" s="42">
        <f>705000+19269328</f>
        <v>19974328</v>
      </c>
      <c r="K510" s="42">
        <v>0</v>
      </c>
      <c r="M510" s="42">
        <v>31258254</v>
      </c>
      <c r="O510" s="42">
        <f t="shared" si="74"/>
        <v>1355281</v>
      </c>
      <c r="Q510" s="42">
        <v>290909</v>
      </c>
      <c r="S510" s="42">
        <v>4220214</v>
      </c>
      <c r="U510" s="42">
        <v>1725698</v>
      </c>
      <c r="W510" s="42">
        <f>5866404+1725698</f>
        <v>7592102</v>
      </c>
      <c r="Y510" s="42">
        <v>16112452</v>
      </c>
      <c r="AA510" s="42">
        <f t="shared" si="72"/>
        <v>1254062</v>
      </c>
      <c r="AC510" s="42">
        <v>6299638</v>
      </c>
      <c r="AE510" s="42">
        <v>23666152</v>
      </c>
      <c r="AF510" s="42">
        <f t="shared" si="73"/>
        <v>0</v>
      </c>
      <c r="AH510" s="42">
        <f t="shared" si="76"/>
        <v>0</v>
      </c>
    </row>
    <row r="511" spans="1:34">
      <c r="A511" s="8" t="s">
        <v>640</v>
      </c>
      <c r="B511" s="8"/>
      <c r="C511" s="8" t="s">
        <v>111</v>
      </c>
      <c r="D511" s="8"/>
      <c r="E511" s="23">
        <v>46441</v>
      </c>
      <c r="F511" s="24"/>
      <c r="G511" s="42">
        <f t="shared" si="75"/>
        <v>5005894</v>
      </c>
      <c r="I511" s="42">
        <v>11094472</v>
      </c>
      <c r="K511" s="42">
        <v>76771</v>
      </c>
      <c r="M511" s="42">
        <f>16100366+76771</f>
        <v>16177137</v>
      </c>
      <c r="O511" s="42">
        <f t="shared" si="74"/>
        <v>1208001</v>
      </c>
      <c r="Q511" s="42">
        <v>275110</v>
      </c>
      <c r="S511" s="42">
        <v>3418904</v>
      </c>
      <c r="U511" s="42">
        <v>1801430</v>
      </c>
      <c r="W511" s="42">
        <f>4902015+1801430</f>
        <v>6703445</v>
      </c>
      <c r="Y511" s="42">
        <v>7899541</v>
      </c>
      <c r="AA511" s="42">
        <f t="shared" si="72"/>
        <v>1871973</v>
      </c>
      <c r="AC511" s="42">
        <v>-297822</v>
      </c>
      <c r="AE511" s="42">
        <v>9473692</v>
      </c>
      <c r="AF511" s="42">
        <f t="shared" si="73"/>
        <v>0</v>
      </c>
      <c r="AH511" s="42">
        <f t="shared" si="76"/>
        <v>0</v>
      </c>
    </row>
    <row r="512" spans="1:34">
      <c r="A512" s="8" t="s">
        <v>248</v>
      </c>
      <c r="B512" s="8"/>
      <c r="C512" s="8" t="s">
        <v>417</v>
      </c>
      <c r="D512" s="8"/>
      <c r="E512" s="23">
        <v>48538</v>
      </c>
      <c r="F512" s="24"/>
      <c r="G512" s="42">
        <f t="shared" si="75"/>
        <v>12686054</v>
      </c>
      <c r="I512" s="42">
        <f>740974+15088691</f>
        <v>15829665</v>
      </c>
      <c r="K512" s="42">
        <v>0</v>
      </c>
      <c r="M512" s="42">
        <v>28515719</v>
      </c>
      <c r="O512" s="42">
        <f t="shared" si="74"/>
        <v>3329758</v>
      </c>
      <c r="Q512" s="42">
        <v>328994</v>
      </c>
      <c r="S512" s="42">
        <v>6405452</v>
      </c>
      <c r="U512" s="42">
        <v>1254769</v>
      </c>
      <c r="W512" s="42">
        <v>11318973</v>
      </c>
      <c r="Y512" s="42">
        <v>13676232</v>
      </c>
      <c r="AA512" s="42">
        <f t="shared" si="72"/>
        <v>1190729</v>
      </c>
      <c r="AC512" s="42">
        <v>2329785</v>
      </c>
      <c r="AE512" s="42">
        <v>17196746</v>
      </c>
      <c r="AF512" s="42">
        <f>+M512-W512-AE512</f>
        <v>0</v>
      </c>
      <c r="AH512" s="42">
        <f t="shared" si="76"/>
        <v>0</v>
      </c>
    </row>
    <row r="513" spans="1:34" hidden="1">
      <c r="A513" s="9" t="s">
        <v>695</v>
      </c>
      <c r="B513" s="9"/>
      <c r="C513" s="9" t="s">
        <v>448</v>
      </c>
      <c r="D513" s="8"/>
      <c r="E513" s="23">
        <v>49064</v>
      </c>
      <c r="F513" s="24"/>
      <c r="G513" s="42">
        <f t="shared" si="75"/>
        <v>0</v>
      </c>
      <c r="I513" s="42">
        <v>0</v>
      </c>
      <c r="K513" s="42">
        <v>0</v>
      </c>
      <c r="M513" s="42">
        <v>0</v>
      </c>
      <c r="O513" s="42">
        <f t="shared" si="74"/>
        <v>0</v>
      </c>
      <c r="Q513" s="42">
        <v>0</v>
      </c>
      <c r="S513" s="42">
        <v>0</v>
      </c>
      <c r="U513" s="42">
        <v>0</v>
      </c>
      <c r="W513" s="42">
        <v>0</v>
      </c>
      <c r="Y513" s="42">
        <v>0</v>
      </c>
      <c r="AA513" s="42">
        <f t="shared" si="72"/>
        <v>0</v>
      </c>
      <c r="AC513" s="42">
        <v>0</v>
      </c>
      <c r="AE513" s="42">
        <v>0</v>
      </c>
      <c r="AF513" s="42">
        <f>+M513-W513-AE513</f>
        <v>0</v>
      </c>
      <c r="AH513" s="42">
        <f t="shared" si="76"/>
        <v>0</v>
      </c>
    </row>
    <row r="514" spans="1:34">
      <c r="A514" s="8" t="s">
        <v>526</v>
      </c>
      <c r="B514" s="8"/>
      <c r="C514" s="8" t="s">
        <v>64</v>
      </c>
      <c r="D514" s="8"/>
      <c r="E514" s="23">
        <v>50237</v>
      </c>
      <c r="G514" s="42">
        <f t="shared" si="75"/>
        <v>6332105</v>
      </c>
      <c r="I514" s="42">
        <f>224230+20661316</f>
        <v>20885546</v>
      </c>
      <c r="K514" s="42">
        <v>0</v>
      </c>
      <c r="M514" s="42">
        <v>27217651</v>
      </c>
      <c r="O514" s="42">
        <f t="shared" si="74"/>
        <v>634079</v>
      </c>
      <c r="Q514" s="42">
        <v>280429</v>
      </c>
      <c r="S514" s="42">
        <v>7426203</v>
      </c>
      <c r="U514" s="42">
        <v>1887745</v>
      </c>
      <c r="W514" s="42">
        <f>8340711+1887745</f>
        <v>10228456</v>
      </c>
      <c r="Y514" s="42">
        <v>13659781</v>
      </c>
      <c r="AA514" s="42">
        <f t="shared" ref="AA514:AA576" si="79">AE514-AC514-Y514</f>
        <v>2239937</v>
      </c>
      <c r="AC514" s="42">
        <v>1089477</v>
      </c>
      <c r="AE514" s="42">
        <v>16989195</v>
      </c>
      <c r="AF514" s="42">
        <f t="shared" si="73"/>
        <v>0</v>
      </c>
      <c r="AH514" s="42">
        <f t="shared" si="76"/>
        <v>0</v>
      </c>
    </row>
    <row r="515" spans="1:34" hidden="1">
      <c r="A515" s="8" t="s">
        <v>823</v>
      </c>
      <c r="B515" s="8"/>
      <c r="C515" s="8" t="s">
        <v>42</v>
      </c>
      <c r="D515" s="8"/>
      <c r="E515" s="23">
        <v>48041</v>
      </c>
      <c r="F515" s="7"/>
      <c r="G515" s="42">
        <f t="shared" si="75"/>
        <v>0</v>
      </c>
      <c r="I515" s="42">
        <v>0</v>
      </c>
      <c r="K515" s="42">
        <v>0</v>
      </c>
      <c r="M515" s="42">
        <v>0</v>
      </c>
      <c r="O515" s="42">
        <f t="shared" si="74"/>
        <v>0</v>
      </c>
      <c r="Q515" s="42">
        <v>0</v>
      </c>
      <c r="S515" s="42">
        <v>0</v>
      </c>
      <c r="U515" s="42">
        <v>0</v>
      </c>
      <c r="W515" s="42">
        <v>0</v>
      </c>
      <c r="Y515" s="42">
        <v>0</v>
      </c>
      <c r="AA515" s="42">
        <f t="shared" si="79"/>
        <v>0</v>
      </c>
      <c r="AC515" s="42">
        <v>0</v>
      </c>
      <c r="AE515" s="42">
        <v>0</v>
      </c>
      <c r="AF515" s="42">
        <f t="shared" si="73"/>
        <v>0</v>
      </c>
      <c r="AH515" s="42">
        <f t="shared" si="76"/>
        <v>0</v>
      </c>
    </row>
    <row r="516" spans="1:34">
      <c r="A516" s="8" t="s">
        <v>329</v>
      </c>
      <c r="B516" s="8"/>
      <c r="C516" s="8" t="s">
        <v>32</v>
      </c>
      <c r="D516" s="8"/>
      <c r="E516" s="23">
        <v>47381</v>
      </c>
      <c r="G516" s="42">
        <f t="shared" si="75"/>
        <v>21361694</v>
      </c>
      <c r="I516" s="42">
        <f>2990625+19887207</f>
        <v>22877832</v>
      </c>
      <c r="K516" s="42">
        <v>0</v>
      </c>
      <c r="M516" s="42">
        <v>44239526</v>
      </c>
      <c r="O516" s="42">
        <f t="shared" si="74"/>
        <v>11277472</v>
      </c>
      <c r="Q516" s="42">
        <v>1033042</v>
      </c>
      <c r="S516" s="42">
        <v>20606236</v>
      </c>
      <c r="U516" s="42">
        <v>0</v>
      </c>
      <c r="W516" s="42">
        <v>32916750</v>
      </c>
      <c r="Y516" s="42">
        <v>6195765</v>
      </c>
      <c r="AA516" s="42">
        <f t="shared" si="79"/>
        <v>3561125</v>
      </c>
      <c r="AC516" s="42">
        <v>1565886</v>
      </c>
      <c r="AE516" s="42">
        <v>11322776</v>
      </c>
      <c r="AF516" s="42">
        <f t="shared" si="73"/>
        <v>0</v>
      </c>
      <c r="AH516" s="42">
        <f t="shared" si="76"/>
        <v>0</v>
      </c>
    </row>
    <row r="517" spans="1:34">
      <c r="A517" s="8" t="s">
        <v>305</v>
      </c>
      <c r="B517" s="8"/>
      <c r="C517" s="8" t="s">
        <v>27</v>
      </c>
      <c r="D517" s="8"/>
      <c r="E517" s="23">
        <v>44800</v>
      </c>
      <c r="G517" s="42">
        <f t="shared" si="75"/>
        <v>512358948</v>
      </c>
      <c r="I517" s="42">
        <v>138791000</v>
      </c>
      <c r="K517" s="42">
        <v>0</v>
      </c>
      <c r="M517" s="42">
        <v>651149948</v>
      </c>
      <c r="O517" s="42">
        <f t="shared" si="74"/>
        <v>31037584</v>
      </c>
      <c r="Q517" s="42">
        <v>10227663</v>
      </c>
      <c r="S517" s="42">
        <v>216471094</v>
      </c>
      <c r="U517" s="42">
        <v>71275772</v>
      </c>
      <c r="W517" s="42">
        <f>257736341+71275772</f>
        <v>329012113</v>
      </c>
      <c r="Y517" s="42">
        <v>70402183</v>
      </c>
      <c r="AA517" s="42">
        <f t="shared" si="79"/>
        <v>288281477</v>
      </c>
      <c r="AC517" s="42">
        <v>-36545825</v>
      </c>
      <c r="AE517" s="42">
        <v>322137835</v>
      </c>
      <c r="AF517" s="42">
        <f t="shared" si="73"/>
        <v>0</v>
      </c>
      <c r="AH517" s="42">
        <f t="shared" si="76"/>
        <v>0</v>
      </c>
    </row>
    <row r="518" spans="1:34" hidden="1">
      <c r="A518" s="8" t="s">
        <v>696</v>
      </c>
      <c r="B518" s="8"/>
      <c r="C518" s="8" t="s">
        <v>10</v>
      </c>
      <c r="D518" s="8"/>
      <c r="E518" s="23">
        <v>45807</v>
      </c>
      <c r="G518" s="42">
        <f t="shared" si="75"/>
        <v>0</v>
      </c>
      <c r="I518" s="42">
        <v>0</v>
      </c>
      <c r="K518" s="42">
        <v>0</v>
      </c>
      <c r="M518" s="42">
        <v>0</v>
      </c>
      <c r="O518" s="42">
        <f t="shared" si="74"/>
        <v>0</v>
      </c>
      <c r="Q518" s="42">
        <v>0</v>
      </c>
      <c r="S518" s="42">
        <v>0</v>
      </c>
      <c r="U518" s="42">
        <v>0</v>
      </c>
      <c r="W518" s="42">
        <v>0</v>
      </c>
      <c r="Y518" s="42">
        <v>0</v>
      </c>
      <c r="AA518" s="42">
        <f t="shared" si="79"/>
        <v>0</v>
      </c>
      <c r="AC518" s="42">
        <v>0</v>
      </c>
      <c r="AE518" s="42">
        <v>0</v>
      </c>
      <c r="AF518" s="42">
        <f t="shared" si="73"/>
        <v>0</v>
      </c>
      <c r="AH518" s="42">
        <f t="shared" si="76"/>
        <v>0</v>
      </c>
    </row>
    <row r="519" spans="1:34">
      <c r="A519" s="8" t="s">
        <v>838</v>
      </c>
      <c r="B519" s="8"/>
      <c r="C519" s="8" t="s">
        <v>69</v>
      </c>
      <c r="D519" s="8"/>
      <c r="E519" s="23">
        <v>50427</v>
      </c>
      <c r="G519" s="42">
        <f t="shared" si="75"/>
        <v>49694209</v>
      </c>
      <c r="I519" s="42">
        <f>1421691+78631646</f>
        <v>80053337</v>
      </c>
      <c r="K519" s="42">
        <v>213715</v>
      </c>
      <c r="M519" s="42">
        <f>129747546+213715</f>
        <v>129961261</v>
      </c>
      <c r="O519" s="42">
        <f t="shared" si="74"/>
        <v>5764849</v>
      </c>
      <c r="Q519" s="42">
        <v>5882259</v>
      </c>
      <c r="S519" s="42">
        <f>90048330-5882259</f>
        <v>84166071</v>
      </c>
      <c r="U519" s="42">
        <v>29593515</v>
      </c>
      <c r="W519" s="42">
        <f>95813179+29593515</f>
        <v>125406694</v>
      </c>
      <c r="Y519" s="42">
        <v>-5781715</v>
      </c>
      <c r="AA519" s="42">
        <f t="shared" si="79"/>
        <v>5020245</v>
      </c>
      <c r="AC519" s="42">
        <v>5316037</v>
      </c>
      <c r="AE519" s="42">
        <v>4554567</v>
      </c>
      <c r="AF519" s="42">
        <f t="shared" si="73"/>
        <v>0</v>
      </c>
      <c r="AH519" s="42">
        <f t="shared" si="76"/>
        <v>0</v>
      </c>
    </row>
    <row r="520" spans="1:34">
      <c r="A520" s="8" t="s">
        <v>624</v>
      </c>
      <c r="B520" s="8"/>
      <c r="C520" s="8" t="s">
        <v>17</v>
      </c>
      <c r="D520" s="8"/>
      <c r="E520" s="23">
        <v>44818</v>
      </c>
      <c r="G520" s="42">
        <f t="shared" si="75"/>
        <v>77741172</v>
      </c>
      <c r="I520" s="42">
        <f>15421889+265270+158835914</f>
        <v>174523073</v>
      </c>
      <c r="K520" s="42">
        <v>801729</v>
      </c>
      <c r="M520" s="42">
        <f>252264245+801729</f>
        <v>253065974</v>
      </c>
      <c r="O520" s="42">
        <f t="shared" si="74"/>
        <v>13781563</v>
      </c>
      <c r="Q520" s="42">
        <v>3264225</v>
      </c>
      <c r="S520" s="42">
        <f>32046688-3264225</f>
        <v>28782463</v>
      </c>
      <c r="U520" s="42">
        <v>17237322</v>
      </c>
      <c r="W520" s="42">
        <f>45828251+17237322</f>
        <v>63065573</v>
      </c>
      <c r="Y520" s="42">
        <v>147160678</v>
      </c>
      <c r="AA520" s="42">
        <f t="shared" si="79"/>
        <v>14155592</v>
      </c>
      <c r="AC520" s="42">
        <v>28684131</v>
      </c>
      <c r="AE520" s="42">
        <v>190000401</v>
      </c>
      <c r="AF520" s="42">
        <f>+M520-W520-AE520</f>
        <v>0</v>
      </c>
      <c r="AH520" s="42">
        <f t="shared" si="76"/>
        <v>0</v>
      </c>
    </row>
    <row r="521" spans="1:34">
      <c r="A521" s="8" t="s">
        <v>710</v>
      </c>
      <c r="B521" s="8"/>
      <c r="C521" s="8" t="s">
        <v>114</v>
      </c>
      <c r="D521" s="8"/>
      <c r="E521" s="23">
        <v>48223</v>
      </c>
      <c r="G521" s="42">
        <f t="shared" si="75"/>
        <v>34362548</v>
      </c>
      <c r="I521" s="42">
        <v>20384602</v>
      </c>
      <c r="K521" s="42">
        <v>10448</v>
      </c>
      <c r="M521" s="42">
        <f>54747150+10448</f>
        <v>54757598</v>
      </c>
      <c r="O521" s="42">
        <f t="shared" si="74"/>
        <v>5497167</v>
      </c>
      <c r="Q521" s="42">
        <v>2286316</v>
      </c>
      <c r="S521" s="42">
        <f>13202566-2286316</f>
        <v>10916250</v>
      </c>
      <c r="U521" s="42">
        <v>23755659</v>
      </c>
      <c r="W521" s="42">
        <f>18699733+23755659</f>
        <v>42455392</v>
      </c>
      <c r="Y521" s="42">
        <v>9500050</v>
      </c>
      <c r="AA521" s="42">
        <f t="shared" si="79"/>
        <v>3143716</v>
      </c>
      <c r="AC521" s="42">
        <v>-341560</v>
      </c>
      <c r="AE521" s="42">
        <v>12302206</v>
      </c>
      <c r="AF521" s="42">
        <f t="shared" si="73"/>
        <v>0</v>
      </c>
      <c r="AH521" s="42">
        <f t="shared" si="76"/>
        <v>0</v>
      </c>
    </row>
    <row r="522" spans="1:34">
      <c r="A522" s="8" t="s">
        <v>390</v>
      </c>
      <c r="B522" s="8"/>
      <c r="C522" s="8" t="s">
        <v>45</v>
      </c>
      <c r="D522" s="8"/>
      <c r="E522" s="23">
        <v>48371</v>
      </c>
      <c r="G522" s="42">
        <f t="shared" si="75"/>
        <v>7008843</v>
      </c>
      <c r="I522" s="42">
        <v>7372091</v>
      </c>
      <c r="K522" s="42">
        <v>0</v>
      </c>
      <c r="M522" s="42">
        <v>14380934</v>
      </c>
      <c r="O522" s="42">
        <f t="shared" si="74"/>
        <v>1164875</v>
      </c>
      <c r="Q522" s="42">
        <v>501083</v>
      </c>
      <c r="S522" s="42">
        <f>4259590-501083</f>
        <v>3758507</v>
      </c>
      <c r="U522" s="42">
        <v>3387095</v>
      </c>
      <c r="W522" s="42">
        <f>5424465+3387095</f>
        <v>8811560</v>
      </c>
      <c r="Y522" s="42">
        <v>3888574</v>
      </c>
      <c r="AA522" s="42">
        <f t="shared" si="79"/>
        <v>125919</v>
      </c>
      <c r="AC522" s="42">
        <v>1554881</v>
      </c>
      <c r="AE522" s="42">
        <v>5569374</v>
      </c>
      <c r="AF522" s="42">
        <f t="shared" si="73"/>
        <v>0</v>
      </c>
      <c r="AH522" s="42">
        <f t="shared" si="76"/>
        <v>0</v>
      </c>
    </row>
    <row r="523" spans="1:34">
      <c r="A523" s="8" t="s">
        <v>390</v>
      </c>
      <c r="B523" s="8"/>
      <c r="C523" s="8" t="s">
        <v>63</v>
      </c>
      <c r="D523" s="8"/>
      <c r="E523" s="23">
        <v>50062</v>
      </c>
      <c r="G523" s="42">
        <f t="shared" si="75"/>
        <v>36499967</v>
      </c>
      <c r="I523" s="42">
        <f>32511580+1481370</f>
        <v>33992950</v>
      </c>
      <c r="K523" s="42">
        <v>0</v>
      </c>
      <c r="M523" s="42">
        <v>70492917</v>
      </c>
      <c r="O523" s="42">
        <f t="shared" si="74"/>
        <v>5689137</v>
      </c>
      <c r="Q523" s="42">
        <v>974259</v>
      </c>
      <c r="S523" s="42">
        <f>35397907-974259</f>
        <v>34423648</v>
      </c>
      <c r="U523" s="42">
        <v>12453500</v>
      </c>
      <c r="W523" s="42">
        <v>53540544</v>
      </c>
      <c r="Y523" s="42">
        <v>2140744</v>
      </c>
      <c r="AA523" s="42">
        <f t="shared" si="79"/>
        <v>8918368</v>
      </c>
      <c r="AC523" s="42">
        <v>5893261</v>
      </c>
      <c r="AE523" s="42">
        <v>16952373</v>
      </c>
      <c r="AF523" s="42">
        <f t="shared" si="73"/>
        <v>0</v>
      </c>
      <c r="AH523" s="42">
        <f t="shared" si="76"/>
        <v>0</v>
      </c>
    </row>
    <row r="524" spans="1:34">
      <c r="A524" s="8" t="s">
        <v>780</v>
      </c>
      <c r="B524" s="8"/>
      <c r="C524" s="8" t="s">
        <v>32</v>
      </c>
      <c r="D524" s="8"/>
      <c r="E524" s="23">
        <v>44719</v>
      </c>
      <c r="G524" s="42">
        <f t="shared" si="75"/>
        <v>12678291</v>
      </c>
      <c r="I524" s="42">
        <f>306322+2906840</f>
        <v>3213162</v>
      </c>
      <c r="K524" s="42">
        <v>0</v>
      </c>
      <c r="M524" s="42">
        <v>15891453</v>
      </c>
      <c r="O524" s="42">
        <f>+W524-Q524-S524-U524</f>
        <v>1041755</v>
      </c>
      <c r="Q524" s="42">
        <v>347948</v>
      </c>
      <c r="S524" s="42">
        <f>2290487-347948</f>
        <v>1942539</v>
      </c>
      <c r="U524" s="42">
        <v>2445621</v>
      </c>
      <c r="W524" s="42">
        <v>5777863</v>
      </c>
      <c r="Y524" s="42">
        <v>2342162</v>
      </c>
      <c r="AA524" s="42">
        <f t="shared" si="79"/>
        <v>932395</v>
      </c>
      <c r="AC524" s="42">
        <v>6839033</v>
      </c>
      <c r="AE524" s="42">
        <v>10113590</v>
      </c>
      <c r="AF524" s="42">
        <f t="shared" si="73"/>
        <v>0</v>
      </c>
      <c r="AH524" s="42">
        <f t="shared" si="76"/>
        <v>0</v>
      </c>
    </row>
    <row r="525" spans="1:34">
      <c r="A525" s="8" t="s">
        <v>781</v>
      </c>
      <c r="B525" s="8"/>
      <c r="C525" s="8" t="s">
        <v>15</v>
      </c>
      <c r="D525" s="8"/>
      <c r="E525" s="23">
        <v>45997</v>
      </c>
      <c r="G525" s="42">
        <f t="shared" si="75"/>
        <v>10712350</v>
      </c>
      <c r="I525" s="42">
        <f>991675+7897761</f>
        <v>8889436</v>
      </c>
      <c r="K525" s="42">
        <v>0</v>
      </c>
      <c r="M525" s="42">
        <v>19601786</v>
      </c>
      <c r="O525" s="42">
        <f t="shared" si="74"/>
        <v>1963987</v>
      </c>
      <c r="Q525" s="42">
        <v>1098463</v>
      </c>
      <c r="S525" s="42">
        <f>1863667-1098463</f>
        <v>765204</v>
      </c>
      <c r="U525" s="42">
        <v>7746546</v>
      </c>
      <c r="W525" s="42">
        <f>3827654+7746546</f>
        <v>11574200</v>
      </c>
      <c r="Y525" s="42">
        <v>8238365</v>
      </c>
      <c r="AA525" s="42">
        <f t="shared" si="79"/>
        <v>1054361</v>
      </c>
      <c r="AC525" s="42">
        <v>-1265140</v>
      </c>
      <c r="AE525" s="42">
        <v>8027586</v>
      </c>
      <c r="AF525" s="42">
        <f t="shared" si="73"/>
        <v>0</v>
      </c>
      <c r="AH525" s="42">
        <f t="shared" si="76"/>
        <v>0</v>
      </c>
    </row>
    <row r="526" spans="1:34" hidden="1">
      <c r="A526" s="8" t="s">
        <v>697</v>
      </c>
      <c r="B526" s="8"/>
      <c r="C526" s="8" t="s">
        <v>419</v>
      </c>
      <c r="D526" s="8"/>
      <c r="E526" s="23">
        <v>48587</v>
      </c>
      <c r="G526" s="42">
        <f t="shared" si="75"/>
        <v>0</v>
      </c>
      <c r="I526" s="42">
        <v>0</v>
      </c>
      <c r="K526" s="42">
        <v>0</v>
      </c>
      <c r="M526" s="42">
        <v>0</v>
      </c>
      <c r="O526" s="42">
        <f t="shared" ref="O526:O589" si="80">+W526-Q526-S526-U526</f>
        <v>0</v>
      </c>
      <c r="Q526" s="42">
        <v>0</v>
      </c>
      <c r="S526" s="42">
        <v>0</v>
      </c>
      <c r="U526" s="42">
        <v>0</v>
      </c>
      <c r="W526" s="42">
        <v>0</v>
      </c>
      <c r="Y526" s="42">
        <v>0</v>
      </c>
      <c r="AA526" s="42">
        <f t="shared" si="79"/>
        <v>0</v>
      </c>
      <c r="AC526" s="42">
        <v>0</v>
      </c>
      <c r="AE526" s="42">
        <v>0</v>
      </c>
      <c r="AF526" s="42">
        <f t="shared" si="73"/>
        <v>0</v>
      </c>
      <c r="AH526" s="42">
        <f t="shared" si="76"/>
        <v>0</v>
      </c>
    </row>
    <row r="527" spans="1:34" hidden="1">
      <c r="A527" s="8" t="s">
        <v>698</v>
      </c>
      <c r="B527" s="8"/>
      <c r="C527" s="8" t="s">
        <v>14</v>
      </c>
      <c r="D527" s="8"/>
      <c r="E527" s="23">
        <v>44727</v>
      </c>
      <c r="G527" s="42">
        <f t="shared" ref="G527:G590" si="81">+M527-I527-K527</f>
        <v>0</v>
      </c>
      <c r="I527" s="42">
        <v>0</v>
      </c>
      <c r="K527" s="42">
        <v>0</v>
      </c>
      <c r="M527" s="42">
        <v>0</v>
      </c>
      <c r="O527" s="42">
        <f t="shared" si="80"/>
        <v>0</v>
      </c>
      <c r="Q527" s="42">
        <v>0</v>
      </c>
      <c r="S527" s="42">
        <v>0</v>
      </c>
      <c r="U527" s="42">
        <v>0</v>
      </c>
      <c r="W527" s="42">
        <v>0</v>
      </c>
      <c r="Y527" s="42">
        <v>0</v>
      </c>
      <c r="AA527" s="42">
        <f t="shared" si="79"/>
        <v>0</v>
      </c>
      <c r="AC527" s="42">
        <v>0</v>
      </c>
      <c r="AE527" s="42">
        <v>0</v>
      </c>
      <c r="AF527" s="42">
        <f>+M527-W527-AE527</f>
        <v>0</v>
      </c>
      <c r="AH527" s="42">
        <f t="shared" si="76"/>
        <v>0</v>
      </c>
    </row>
    <row r="528" spans="1:34">
      <c r="A528" s="8" t="s">
        <v>362</v>
      </c>
      <c r="B528" s="8"/>
      <c r="C528" s="8" t="s">
        <v>39</v>
      </c>
      <c r="D528" s="8"/>
      <c r="E528" s="23">
        <v>44826</v>
      </c>
      <c r="G528" s="42">
        <f t="shared" si="81"/>
        <v>23743343</v>
      </c>
      <c r="I528" s="42">
        <f>5751487+41259045</f>
        <v>47010532</v>
      </c>
      <c r="K528" s="42">
        <v>0</v>
      </c>
      <c r="M528" s="42">
        <v>70753875</v>
      </c>
      <c r="O528" s="42">
        <f t="shared" si="80"/>
        <v>2912191</v>
      </c>
      <c r="Q528" s="42">
        <v>1025907</v>
      </c>
      <c r="S528" s="42">
        <f>10603133-1025907</f>
        <v>9577226</v>
      </c>
      <c r="U528" s="42">
        <v>3513655</v>
      </c>
      <c r="W528" s="42">
        <f>13515324+3513655</f>
        <v>17028979</v>
      </c>
      <c r="Y528" s="42">
        <v>39188902</v>
      </c>
      <c r="AA528" s="42">
        <f t="shared" si="79"/>
        <v>8546656</v>
      </c>
      <c r="AC528" s="42">
        <v>5989338</v>
      </c>
      <c r="AE528" s="42">
        <v>53724896</v>
      </c>
      <c r="AF528" s="42">
        <f>+M528-W528-AE528</f>
        <v>0</v>
      </c>
      <c r="AH528" s="42">
        <f t="shared" ref="AH528:AH591" si="82">+G528+I528+K528-O528-Q528-Y528-AA528-AC528-S528-U528</f>
        <v>0</v>
      </c>
    </row>
    <row r="529" spans="1:34">
      <c r="A529" s="8" t="s">
        <v>510</v>
      </c>
      <c r="B529" s="8"/>
      <c r="C529" s="8" t="s">
        <v>63</v>
      </c>
      <c r="D529" s="8"/>
      <c r="E529" s="23">
        <v>44834</v>
      </c>
      <c r="G529" s="42">
        <f t="shared" si="81"/>
        <v>58164020</v>
      </c>
      <c r="I529" s="42">
        <v>15611957</v>
      </c>
      <c r="K529" s="42">
        <v>0</v>
      </c>
      <c r="M529" s="42">
        <v>73775977</v>
      </c>
      <c r="O529" s="42">
        <f t="shared" si="80"/>
        <v>6422777</v>
      </c>
      <c r="Q529" s="42">
        <v>819182</v>
      </c>
      <c r="S529" s="42">
        <f>6274974-819182</f>
        <v>5455792</v>
      </c>
      <c r="U529" s="42">
        <v>32581311</v>
      </c>
      <c r="W529" s="42">
        <f>12697751+32581311</f>
        <v>45279062</v>
      </c>
      <c r="Y529" s="42">
        <v>13010519</v>
      </c>
      <c r="AA529" s="42">
        <f t="shared" si="79"/>
        <v>116936</v>
      </c>
      <c r="AC529" s="42">
        <v>15369460</v>
      </c>
      <c r="AE529" s="42">
        <v>28496915</v>
      </c>
      <c r="AF529" s="42">
        <f>+M529-W529-AE529</f>
        <v>0</v>
      </c>
      <c r="AH529" s="42">
        <f t="shared" si="82"/>
        <v>0</v>
      </c>
    </row>
    <row r="530" spans="1:34" hidden="1">
      <c r="A530" s="9" t="s">
        <v>699</v>
      </c>
      <c r="B530" s="8"/>
      <c r="C530" s="8" t="s">
        <v>65</v>
      </c>
      <c r="D530" s="8"/>
      <c r="E530" s="23">
        <v>50294</v>
      </c>
      <c r="G530" s="42">
        <f t="shared" si="81"/>
        <v>0</v>
      </c>
      <c r="I530" s="42">
        <v>0</v>
      </c>
      <c r="K530" s="42">
        <v>0</v>
      </c>
      <c r="M530" s="42">
        <v>0</v>
      </c>
      <c r="O530" s="42">
        <f t="shared" si="80"/>
        <v>0</v>
      </c>
      <c r="Q530" s="42">
        <v>0</v>
      </c>
      <c r="S530" s="42">
        <v>0</v>
      </c>
      <c r="U530" s="42">
        <v>0</v>
      </c>
      <c r="W530" s="42">
        <v>0</v>
      </c>
      <c r="Y530" s="42">
        <v>0</v>
      </c>
      <c r="AA530" s="42">
        <f t="shared" si="79"/>
        <v>0</v>
      </c>
      <c r="AC530" s="42">
        <v>0</v>
      </c>
      <c r="AE530" s="42">
        <v>0</v>
      </c>
      <c r="AF530" s="42">
        <f>+M530-W530-AE530</f>
        <v>0</v>
      </c>
      <c r="AH530" s="42">
        <f t="shared" si="82"/>
        <v>0</v>
      </c>
    </row>
    <row r="531" spans="1:34">
      <c r="A531" s="8" t="s">
        <v>461</v>
      </c>
      <c r="B531" s="8"/>
      <c r="C531" s="8" t="s">
        <v>56</v>
      </c>
      <c r="D531" s="8"/>
      <c r="E531" s="23">
        <v>49239</v>
      </c>
      <c r="F531" s="7"/>
      <c r="G531" s="42">
        <f t="shared" si="81"/>
        <v>21131509</v>
      </c>
      <c r="I531" s="42">
        <f>1643635+17350708</f>
        <v>18994343</v>
      </c>
      <c r="K531" s="42">
        <v>0</v>
      </c>
      <c r="M531" s="42">
        <v>40125852</v>
      </c>
      <c r="O531" s="42">
        <f t="shared" si="80"/>
        <v>2410329</v>
      </c>
      <c r="Q531" s="42">
        <v>889207</v>
      </c>
      <c r="S531" s="42">
        <f>12295473-889207</f>
        <v>11406266</v>
      </c>
      <c r="U531" s="42">
        <v>13614919</v>
      </c>
      <c r="W531" s="42">
        <v>28320721</v>
      </c>
      <c r="Y531" s="42">
        <v>8959352</v>
      </c>
      <c r="AA531" s="42">
        <f t="shared" si="79"/>
        <v>1729658</v>
      </c>
      <c r="AC531" s="42">
        <v>1116121</v>
      </c>
      <c r="AE531" s="42">
        <v>11805131</v>
      </c>
      <c r="AF531" s="42">
        <f t="shared" ref="AF531:AF577" si="83">+M531-W531-AE531</f>
        <v>0</v>
      </c>
      <c r="AH531" s="42">
        <f t="shared" si="82"/>
        <v>0</v>
      </c>
    </row>
    <row r="532" spans="1:34">
      <c r="A532" s="8" t="s">
        <v>277</v>
      </c>
      <c r="B532" s="8"/>
      <c r="C532" s="8" t="s">
        <v>20</v>
      </c>
      <c r="D532" s="8"/>
      <c r="E532" s="23">
        <v>44842</v>
      </c>
      <c r="G532" s="42">
        <f t="shared" si="81"/>
        <v>149991912</v>
      </c>
      <c r="I532" s="42">
        <f>3203241+38559835</f>
        <v>41763076</v>
      </c>
      <c r="K532" s="42">
        <v>0</v>
      </c>
      <c r="M532" s="42">
        <v>191754988</v>
      </c>
      <c r="O532" s="42">
        <f t="shared" si="80"/>
        <v>6423967</v>
      </c>
      <c r="Q532" s="42">
        <v>4835410</v>
      </c>
      <c r="S532" s="42">
        <f>101269251-4835410</f>
        <v>96433841</v>
      </c>
      <c r="U532" s="42">
        <v>43634084</v>
      </c>
      <c r="W532" s="42">
        <f>107693218+43634084</f>
        <v>151327302</v>
      </c>
      <c r="Y532" s="42">
        <v>28435630</v>
      </c>
      <c r="AA532" s="42">
        <f t="shared" si="79"/>
        <v>8949334</v>
      </c>
      <c r="AC532" s="42">
        <v>3042722</v>
      </c>
      <c r="AE532" s="42">
        <v>40427686</v>
      </c>
      <c r="AF532" s="42">
        <f t="shared" si="83"/>
        <v>0</v>
      </c>
      <c r="AH532" s="42">
        <f t="shared" si="82"/>
        <v>0</v>
      </c>
    </row>
    <row r="533" spans="1:34">
      <c r="A533" s="8" t="s">
        <v>404</v>
      </c>
      <c r="B533" s="8"/>
      <c r="C533" s="8" t="s">
        <v>45</v>
      </c>
      <c r="D533" s="8"/>
      <c r="E533" s="23">
        <v>44859</v>
      </c>
      <c r="G533" s="42">
        <f t="shared" si="81"/>
        <v>15447351</v>
      </c>
      <c r="I533" s="42">
        <f>422600+19991597</f>
        <v>20414197</v>
      </c>
      <c r="K533" s="42">
        <v>60871</v>
      </c>
      <c r="M533" s="42">
        <f>35861548+60871</f>
        <v>35922419</v>
      </c>
      <c r="O533" s="42">
        <f t="shared" si="80"/>
        <v>99585</v>
      </c>
      <c r="Q533" s="42">
        <v>736890</v>
      </c>
      <c r="S533" s="42">
        <f>4633077-736890</f>
        <v>3896187</v>
      </c>
      <c r="U533" s="42">
        <v>6957951</v>
      </c>
      <c r="W533" s="42">
        <f>6957951+4732662</f>
        <v>11690613</v>
      </c>
      <c r="Y533" s="42">
        <v>17645386</v>
      </c>
      <c r="AA533" s="42">
        <f t="shared" si="79"/>
        <v>2366146</v>
      </c>
      <c r="AC533" s="42">
        <v>4220274</v>
      </c>
      <c r="AE533" s="42">
        <v>24231806</v>
      </c>
      <c r="AF533" s="42">
        <f t="shared" si="83"/>
        <v>0</v>
      </c>
      <c r="AH533" s="42">
        <f t="shared" si="82"/>
        <v>0</v>
      </c>
    </row>
    <row r="534" spans="1:34" hidden="1">
      <c r="A534" s="9" t="s">
        <v>906</v>
      </c>
      <c r="B534" s="8"/>
      <c r="C534" s="8" t="s">
        <v>548</v>
      </c>
      <c r="D534" s="8"/>
      <c r="E534" s="23">
        <v>50658</v>
      </c>
      <c r="G534" s="42">
        <f t="shared" si="81"/>
        <v>0</v>
      </c>
      <c r="I534" s="42">
        <v>0</v>
      </c>
      <c r="K534" s="42">
        <v>0</v>
      </c>
      <c r="M534" s="42">
        <v>0</v>
      </c>
      <c r="O534" s="42">
        <f t="shared" si="80"/>
        <v>0</v>
      </c>
      <c r="Q534" s="42">
        <v>0</v>
      </c>
      <c r="S534" s="42">
        <v>0</v>
      </c>
      <c r="U534" s="42">
        <v>0</v>
      </c>
      <c r="W534" s="42">
        <v>0</v>
      </c>
      <c r="Y534" s="42">
        <v>0</v>
      </c>
      <c r="AA534" s="42">
        <f t="shared" si="79"/>
        <v>0</v>
      </c>
      <c r="AC534" s="42">
        <v>0</v>
      </c>
      <c r="AE534" s="42">
        <v>0</v>
      </c>
      <c r="AF534" s="42">
        <f t="shared" si="83"/>
        <v>0</v>
      </c>
      <c r="AH534" s="42">
        <f t="shared" si="82"/>
        <v>0</v>
      </c>
    </row>
    <row r="535" spans="1:34">
      <c r="A535" s="8" t="s">
        <v>310</v>
      </c>
      <c r="B535" s="8"/>
      <c r="C535" s="8" t="s">
        <v>28</v>
      </c>
      <c r="D535" s="8"/>
      <c r="E535" s="23">
        <v>47092</v>
      </c>
      <c r="G535" s="42">
        <f t="shared" si="81"/>
        <v>16943491</v>
      </c>
      <c r="I535" s="42">
        <f>563666+15742879</f>
        <v>16306545</v>
      </c>
      <c r="K535" s="42">
        <v>504590</v>
      </c>
      <c r="M535" s="42">
        <f>33250036+504590</f>
        <v>33754626</v>
      </c>
      <c r="O535" s="42">
        <f t="shared" si="80"/>
        <v>1528396</v>
      </c>
      <c r="Q535" s="42">
        <v>333669</v>
      </c>
      <c r="S535" s="42">
        <f>10967717-333669</f>
        <v>10634048</v>
      </c>
      <c r="U535" s="42">
        <v>5536614</v>
      </c>
      <c r="W535" s="42">
        <f>12496113+5536614</f>
        <v>18032727</v>
      </c>
      <c r="Y535" s="42">
        <v>7420871</v>
      </c>
      <c r="AA535" s="42">
        <f t="shared" si="79"/>
        <v>2225208</v>
      </c>
      <c r="AC535" s="42">
        <v>6075820</v>
      </c>
      <c r="AE535" s="42">
        <v>15721899</v>
      </c>
      <c r="AF535" s="42">
        <f t="shared" si="83"/>
        <v>0</v>
      </c>
      <c r="AH535" s="42">
        <f t="shared" si="82"/>
        <v>0</v>
      </c>
    </row>
    <row r="536" spans="1:34">
      <c r="A536" s="8" t="s">
        <v>623</v>
      </c>
      <c r="B536" s="8"/>
      <c r="C536" s="8" t="s">
        <v>49</v>
      </c>
      <c r="D536" s="8"/>
      <c r="E536" s="23">
        <v>48652</v>
      </c>
      <c r="G536" s="42">
        <f t="shared" si="81"/>
        <v>33172666</v>
      </c>
      <c r="I536" s="42">
        <f>20286809+62254421</f>
        <v>82541230</v>
      </c>
      <c r="K536" s="42">
        <v>0</v>
      </c>
      <c r="M536" s="42">
        <v>115713896</v>
      </c>
      <c r="O536" s="42">
        <f t="shared" si="80"/>
        <v>6149571</v>
      </c>
      <c r="Q536" s="42">
        <v>961932</v>
      </c>
      <c r="S536" s="42">
        <f>36019762-961932</f>
        <v>35057830</v>
      </c>
      <c r="U536" s="42">
        <v>10413038</v>
      </c>
      <c r="W536" s="42">
        <f>42169333+10413038</f>
        <v>52582371</v>
      </c>
      <c r="Y536" s="42">
        <v>52196082</v>
      </c>
      <c r="AA536" s="42">
        <f t="shared" si="79"/>
        <v>12615382</v>
      </c>
      <c r="AC536" s="42">
        <v>-1679939</v>
      </c>
      <c r="AE536" s="42">
        <v>63131525</v>
      </c>
      <c r="AF536" s="42">
        <f t="shared" si="83"/>
        <v>0</v>
      </c>
      <c r="AH536" s="42">
        <f t="shared" si="82"/>
        <v>0</v>
      </c>
    </row>
    <row r="537" spans="1:34">
      <c r="A537" s="8" t="s">
        <v>828</v>
      </c>
      <c r="B537" s="8"/>
      <c r="C537" s="8" t="s">
        <v>32</v>
      </c>
      <c r="D537" s="8"/>
      <c r="E537" s="23">
        <v>44867</v>
      </c>
      <c r="G537" s="42">
        <f t="shared" si="81"/>
        <v>114646564</v>
      </c>
      <c r="I537" s="42">
        <f>17654187+56302267</f>
        <v>73956454</v>
      </c>
      <c r="K537" s="42">
        <v>0</v>
      </c>
      <c r="M537" s="42">
        <v>188603018</v>
      </c>
      <c r="O537" s="42">
        <f t="shared" si="80"/>
        <v>10152230</v>
      </c>
      <c r="Q537" s="42">
        <v>4539318</v>
      </c>
      <c r="S537" s="42">
        <f>70628281-4539318</f>
        <v>66088963</v>
      </c>
      <c r="U537" s="42">
        <v>35289177</v>
      </c>
      <c r="W537" s="42">
        <v>116069688</v>
      </c>
      <c r="Y537" s="42">
        <v>17374965</v>
      </c>
      <c r="AA537" s="42">
        <f t="shared" si="79"/>
        <v>11143290</v>
      </c>
      <c r="AC537" s="42">
        <v>44015075</v>
      </c>
      <c r="AE537" s="42">
        <v>72533330</v>
      </c>
      <c r="AF537" s="42">
        <f t="shared" si="83"/>
        <v>0</v>
      </c>
      <c r="AH537" s="42">
        <f t="shared" si="82"/>
        <v>0</v>
      </c>
    </row>
    <row r="538" spans="1:34">
      <c r="A538" s="8" t="s">
        <v>391</v>
      </c>
      <c r="B538" s="8"/>
      <c r="C538" s="8" t="s">
        <v>114</v>
      </c>
      <c r="D538" s="8"/>
      <c r="E538" s="23">
        <v>44875</v>
      </c>
      <c r="G538" s="42">
        <f t="shared" si="81"/>
        <v>73035209</v>
      </c>
      <c r="I538" s="42">
        <v>108297087</v>
      </c>
      <c r="K538" s="42">
        <v>600408</v>
      </c>
      <c r="M538" s="42">
        <f>181332296+600408</f>
        <v>181932704</v>
      </c>
      <c r="O538" s="42">
        <f t="shared" si="80"/>
        <v>10363478</v>
      </c>
      <c r="Q538" s="42">
        <v>5360962</v>
      </c>
      <c r="S538" s="42">
        <f>106374849-5360962</f>
        <v>101013887</v>
      </c>
      <c r="U538" s="42">
        <v>57489837</v>
      </c>
      <c r="W538" s="42">
        <f>116738327+57489837</f>
        <v>174228164</v>
      </c>
      <c r="Y538" s="42">
        <v>14760435</v>
      </c>
      <c r="AA538" s="42">
        <f t="shared" si="79"/>
        <v>1289863</v>
      </c>
      <c r="AC538" s="42">
        <v>-8345758</v>
      </c>
      <c r="AE538" s="42">
        <v>7704540</v>
      </c>
      <c r="AF538" s="42">
        <f t="shared" si="83"/>
        <v>0</v>
      </c>
      <c r="AH538" s="42">
        <f t="shared" si="82"/>
        <v>0</v>
      </c>
    </row>
    <row r="539" spans="1:34">
      <c r="A539" s="8" t="s">
        <v>370</v>
      </c>
      <c r="B539" s="8"/>
      <c r="C539" s="8" t="s">
        <v>364</v>
      </c>
      <c r="D539" s="8"/>
      <c r="E539" s="23">
        <v>47969</v>
      </c>
      <c r="G539" s="42">
        <f t="shared" si="81"/>
        <v>5572666</v>
      </c>
      <c r="I539" s="42">
        <f>111779+7448644</f>
        <v>7560423</v>
      </c>
      <c r="K539" s="42">
        <v>0</v>
      </c>
      <c r="M539" s="42">
        <v>13133089</v>
      </c>
      <c r="O539" s="42">
        <f t="shared" si="80"/>
        <v>1024209</v>
      </c>
      <c r="Q539" s="42">
        <v>227578</v>
      </c>
      <c r="S539" s="42">
        <f>600089-227578</f>
        <v>372511</v>
      </c>
      <c r="U539" s="42">
        <v>848537</v>
      </c>
      <c r="W539" s="42">
        <f>1624298+848537</f>
        <v>2472835</v>
      </c>
      <c r="Y539" s="42">
        <v>7511523</v>
      </c>
      <c r="AA539" s="42">
        <f t="shared" si="79"/>
        <v>1080210</v>
      </c>
      <c r="AC539" s="42">
        <v>2068521</v>
      </c>
      <c r="AE539" s="42">
        <v>10660254</v>
      </c>
      <c r="AF539" s="42">
        <f t="shared" si="83"/>
        <v>0</v>
      </c>
      <c r="AH539" s="42">
        <f t="shared" si="82"/>
        <v>0</v>
      </c>
    </row>
    <row r="540" spans="1:34">
      <c r="A540" s="8" t="s">
        <v>711</v>
      </c>
      <c r="B540" s="8"/>
      <c r="C540" s="8" t="s">
        <v>220</v>
      </c>
      <c r="D540" s="8"/>
      <c r="E540" s="23">
        <v>46151</v>
      </c>
      <c r="G540" s="42">
        <f t="shared" si="81"/>
        <v>53540265</v>
      </c>
      <c r="I540" s="42">
        <f>5108361+53545649</f>
        <v>58654010</v>
      </c>
      <c r="K540" s="42">
        <v>0</v>
      </c>
      <c r="M540" s="42">
        <v>112194275</v>
      </c>
      <c r="O540" s="42">
        <f t="shared" si="80"/>
        <v>4174007</v>
      </c>
      <c r="Q540" s="42">
        <v>2370977</v>
      </c>
      <c r="S540" s="42">
        <f>52052583-2370977</f>
        <v>49681606</v>
      </c>
      <c r="U540" s="42">
        <v>18566674</v>
      </c>
      <c r="W540" s="42">
        <v>74793264</v>
      </c>
      <c r="Y540" s="42">
        <v>9197356</v>
      </c>
      <c r="AA540" s="42">
        <f t="shared" si="79"/>
        <v>8237378</v>
      </c>
      <c r="AC540" s="42">
        <v>19966277</v>
      </c>
      <c r="AE540" s="42">
        <v>37401011</v>
      </c>
      <c r="AF540" s="42">
        <f t="shared" si="83"/>
        <v>0</v>
      </c>
      <c r="AH540" s="42">
        <f t="shared" si="82"/>
        <v>0</v>
      </c>
    </row>
    <row r="541" spans="1:34">
      <c r="A541" s="8" t="s">
        <v>511</v>
      </c>
      <c r="B541" s="8"/>
      <c r="C541" s="8" t="s">
        <v>63</v>
      </c>
      <c r="D541" s="8"/>
      <c r="E541" s="23">
        <v>44883</v>
      </c>
      <c r="G541" s="42">
        <f t="shared" si="81"/>
        <v>24733823</v>
      </c>
      <c r="I541" s="42">
        <f>3658557+33653714</f>
        <v>37312271</v>
      </c>
      <c r="K541" s="42">
        <v>0</v>
      </c>
      <c r="M541" s="42">
        <v>62046094</v>
      </c>
      <c r="O541" s="42">
        <f t="shared" si="80"/>
        <v>2926445</v>
      </c>
      <c r="Q541" s="42">
        <v>958291</v>
      </c>
      <c r="S541" s="42">
        <f>28224019-958291</f>
        <v>27265728</v>
      </c>
      <c r="U541" s="42">
        <v>15916613</v>
      </c>
      <c r="W541" s="42">
        <f>31150464+15916613</f>
        <v>47067077</v>
      </c>
      <c r="Y541" s="42">
        <v>11967583</v>
      </c>
      <c r="AA541" s="42">
        <f t="shared" si="79"/>
        <v>3377026</v>
      </c>
      <c r="AC541" s="42">
        <v>-365592</v>
      </c>
      <c r="AE541" s="42">
        <v>14979017</v>
      </c>
      <c r="AF541" s="42">
        <f t="shared" si="83"/>
        <v>0</v>
      </c>
      <c r="AH541" s="42">
        <f t="shared" si="82"/>
        <v>0</v>
      </c>
    </row>
    <row r="542" spans="1:34">
      <c r="A542" s="8" t="s">
        <v>451</v>
      </c>
      <c r="B542" s="8"/>
      <c r="C542" s="8" t="s">
        <v>54</v>
      </c>
      <c r="D542" s="8"/>
      <c r="E542" s="23">
        <v>49098</v>
      </c>
      <c r="G542" s="42">
        <f t="shared" si="81"/>
        <v>25169535</v>
      </c>
      <c r="I542" s="42">
        <v>96341334</v>
      </c>
      <c r="K542" s="42">
        <v>932465</v>
      </c>
      <c r="M542" s="42">
        <f>121510869+932465</f>
        <v>122443334</v>
      </c>
      <c r="O542" s="42">
        <f t="shared" si="80"/>
        <v>3985201</v>
      </c>
      <c r="Q542" s="42">
        <v>1994030</v>
      </c>
      <c r="S542" s="42">
        <f>39838956-1994030</f>
        <v>37844926</v>
      </c>
      <c r="U542" s="42">
        <v>11185787</v>
      </c>
      <c r="W542" s="42">
        <f>43824157+11185787</f>
        <v>55009944</v>
      </c>
      <c r="Y542" s="42">
        <v>60956823</v>
      </c>
      <c r="AA542" s="42">
        <f t="shared" si="79"/>
        <v>2430631</v>
      </c>
      <c r="AC542" s="42">
        <v>4045936</v>
      </c>
      <c r="AE542" s="42">
        <v>67433390</v>
      </c>
      <c r="AF542" s="42">
        <f t="shared" si="83"/>
        <v>0</v>
      </c>
      <c r="AH542" s="42">
        <f t="shared" si="82"/>
        <v>0</v>
      </c>
    </row>
    <row r="543" spans="1:34">
      <c r="A543" s="8" t="s">
        <v>234</v>
      </c>
      <c r="B543" s="8"/>
      <c r="C543" s="8" t="s">
        <v>17</v>
      </c>
      <c r="D543" s="8"/>
      <c r="E543" s="23">
        <v>46243</v>
      </c>
      <c r="G543" s="42">
        <f t="shared" si="81"/>
        <v>16994791</v>
      </c>
      <c r="I543" s="42">
        <f>70334127+520022</f>
        <v>70854149</v>
      </c>
      <c r="K543" s="42">
        <v>1327392</v>
      </c>
      <c r="M543" s="42">
        <f>87848940+1327392</f>
        <v>89176332</v>
      </c>
      <c r="O543" s="42">
        <f t="shared" si="80"/>
        <v>3463912</v>
      </c>
      <c r="Q543" s="42">
        <v>850498</v>
      </c>
      <c r="S543" s="42">
        <f>2419019+8819991+6044997+1638947+2078844-850498</f>
        <v>20151300</v>
      </c>
      <c r="U543" s="42">
        <v>7167754</v>
      </c>
      <c r="W543" s="42">
        <f>24465710+7167754</f>
        <v>31633464</v>
      </c>
      <c r="Y543" s="42">
        <v>51931195</v>
      </c>
      <c r="AA543" s="42">
        <f t="shared" si="79"/>
        <v>5037773</v>
      </c>
      <c r="AC543" s="42">
        <v>573900</v>
      </c>
      <c r="AE543" s="42">
        <v>57542868</v>
      </c>
      <c r="AF543" s="42">
        <f t="shared" si="83"/>
        <v>0</v>
      </c>
      <c r="AH543" s="42">
        <f t="shared" si="82"/>
        <v>0</v>
      </c>
    </row>
    <row r="544" spans="1:34">
      <c r="A544" s="9" t="s">
        <v>719</v>
      </c>
      <c r="B544" s="8"/>
      <c r="C544" s="8" t="s">
        <v>32</v>
      </c>
      <c r="D544" s="8"/>
      <c r="E544" s="23">
        <v>47399</v>
      </c>
      <c r="G544" s="42">
        <f t="shared" si="81"/>
        <v>43377249</v>
      </c>
      <c r="I544" s="42">
        <f>56175325+2149498</f>
        <v>58324823</v>
      </c>
      <c r="K544" s="42">
        <v>0</v>
      </c>
      <c r="M544" s="42">
        <v>101702072</v>
      </c>
      <c r="O544" s="42">
        <f t="shared" si="80"/>
        <v>4980994</v>
      </c>
      <c r="Q544" s="42">
        <v>1314891</v>
      </c>
      <c r="S544" s="42">
        <f>41130306-1314891</f>
        <v>39815415</v>
      </c>
      <c r="U544" s="42">
        <v>9777756</v>
      </c>
      <c r="W544" s="42">
        <v>55889056</v>
      </c>
      <c r="Y544" s="42">
        <v>25655634</v>
      </c>
      <c r="AA544" s="42">
        <f t="shared" si="79"/>
        <v>8012808</v>
      </c>
      <c r="AC544" s="42">
        <v>12144574</v>
      </c>
      <c r="AE544" s="42">
        <v>45813016</v>
      </c>
      <c r="AF544" s="42">
        <f t="shared" si="83"/>
        <v>0</v>
      </c>
      <c r="AH544" s="42">
        <f t="shared" si="82"/>
        <v>0</v>
      </c>
    </row>
    <row r="545" spans="1:34">
      <c r="A545" s="8" t="s">
        <v>485</v>
      </c>
      <c r="B545" s="8"/>
      <c r="C545" s="8" t="s">
        <v>60</v>
      </c>
      <c r="D545" s="8"/>
      <c r="E545" s="23">
        <v>44891</v>
      </c>
      <c r="G545" s="42">
        <f t="shared" si="81"/>
        <v>21752232</v>
      </c>
      <c r="I545" s="42">
        <v>16973985</v>
      </c>
      <c r="K545" s="42">
        <v>295987</v>
      </c>
      <c r="M545" s="42">
        <f>38726217+295987</f>
        <v>39022204</v>
      </c>
      <c r="O545" s="42">
        <f t="shared" si="80"/>
        <v>2245556</v>
      </c>
      <c r="Q545" s="42">
        <v>946593</v>
      </c>
      <c r="S545" s="42">
        <f>8269875-946593</f>
        <v>7323282</v>
      </c>
      <c r="U545" s="42">
        <v>9928962</v>
      </c>
      <c r="W545" s="42">
        <f>10515431+9928962</f>
        <v>20444393</v>
      </c>
      <c r="Y545" s="42">
        <v>10670099</v>
      </c>
      <c r="AA545" s="42">
        <f t="shared" si="79"/>
        <v>2675417</v>
      </c>
      <c r="AC545" s="42">
        <v>5232295</v>
      </c>
      <c r="AE545" s="42">
        <v>18577811</v>
      </c>
      <c r="AF545" s="42">
        <f t="shared" si="83"/>
        <v>0</v>
      </c>
      <c r="AH545" s="42">
        <f t="shared" si="82"/>
        <v>0</v>
      </c>
    </row>
    <row r="546" spans="1:34">
      <c r="A546" s="8" t="s">
        <v>772</v>
      </c>
      <c r="B546" s="8"/>
      <c r="C546" s="8" t="s">
        <v>48</v>
      </c>
      <c r="D546" s="8"/>
      <c r="E546" s="23">
        <v>45617</v>
      </c>
      <c r="G546" s="42">
        <f t="shared" si="81"/>
        <v>16935177</v>
      </c>
      <c r="I546" s="42">
        <f>1928313+20234342</f>
        <v>22162655</v>
      </c>
      <c r="K546" s="42">
        <v>440253</v>
      </c>
      <c r="M546" s="42">
        <f>39097832+440253</f>
        <v>39538085</v>
      </c>
      <c r="O546" s="42">
        <f t="shared" si="80"/>
        <v>2374651</v>
      </c>
      <c r="Q546" s="42">
        <v>1769153</v>
      </c>
      <c r="S546" s="42">
        <f>19189180-1769153</f>
        <v>17420027</v>
      </c>
      <c r="U546" s="42">
        <v>11179971</v>
      </c>
      <c r="W546" s="42">
        <f>21563831+11179971</f>
        <v>32743802</v>
      </c>
      <c r="Y546" s="42">
        <v>7508515</v>
      </c>
      <c r="AA546" s="42">
        <f>AE546-AC546-Y546</f>
        <v>1884002</v>
      </c>
      <c r="AC546" s="42">
        <v>-2598234</v>
      </c>
      <c r="AE546" s="42">
        <v>6794283</v>
      </c>
      <c r="AF546" s="42">
        <f t="shared" si="83"/>
        <v>0</v>
      </c>
      <c r="AH546" s="42">
        <f t="shared" si="82"/>
        <v>0</v>
      </c>
    </row>
    <row r="547" spans="1:34">
      <c r="A547" s="8" t="s">
        <v>392</v>
      </c>
      <c r="B547" s="8"/>
      <c r="C547" s="8" t="s">
        <v>114</v>
      </c>
      <c r="D547" s="8"/>
      <c r="E547" s="23">
        <v>44909</v>
      </c>
      <c r="G547" s="42">
        <f t="shared" si="81"/>
        <v>235790607</v>
      </c>
      <c r="I547" s="42">
        <f>24722524+537920406</f>
        <v>562642930</v>
      </c>
      <c r="K547" s="42">
        <v>5993299</v>
      </c>
      <c r="M547" s="42">
        <f>798433537+5993299</f>
        <v>804426836</v>
      </c>
      <c r="O547" s="42">
        <f t="shared" si="80"/>
        <v>59710923</v>
      </c>
      <c r="Q547" s="42">
        <v>6301652</v>
      </c>
      <c r="S547" s="42">
        <f>186872615-6301652</f>
        <v>180570963</v>
      </c>
      <c r="U547" s="42">
        <v>84640591</v>
      </c>
      <c r="W547" s="42">
        <f>249583538+81640591</f>
        <v>331224129</v>
      </c>
      <c r="Y547" s="42">
        <v>403716045</v>
      </c>
      <c r="AA547" s="42">
        <f t="shared" si="79"/>
        <v>58268199</v>
      </c>
      <c r="AC547" s="42">
        <v>11218463</v>
      </c>
      <c r="AE547" s="42">
        <v>473202707</v>
      </c>
      <c r="AF547" s="42">
        <f t="shared" si="83"/>
        <v>0</v>
      </c>
      <c r="AH547" s="42">
        <f t="shared" si="82"/>
        <v>0</v>
      </c>
    </row>
    <row r="548" spans="1:34" hidden="1">
      <c r="A548" s="9" t="s">
        <v>882</v>
      </c>
      <c r="B548" s="9"/>
      <c r="C548" s="9" t="s">
        <v>114</v>
      </c>
      <c r="D548" s="8"/>
      <c r="E548" s="23"/>
      <c r="G548" s="42">
        <f t="shared" si="81"/>
        <v>0</v>
      </c>
      <c r="I548" s="42">
        <v>0</v>
      </c>
      <c r="K548" s="42">
        <v>0</v>
      </c>
      <c r="M548" s="42">
        <v>0</v>
      </c>
      <c r="O548" s="42">
        <f t="shared" si="80"/>
        <v>0</v>
      </c>
      <c r="Q548" s="42">
        <v>0</v>
      </c>
      <c r="S548" s="42">
        <v>0</v>
      </c>
      <c r="U548" s="42">
        <v>0</v>
      </c>
      <c r="W548" s="42">
        <v>0</v>
      </c>
      <c r="Y548" s="42">
        <v>0</v>
      </c>
      <c r="AA548" s="42">
        <f t="shared" si="79"/>
        <v>0</v>
      </c>
      <c r="AC548" s="42">
        <v>0</v>
      </c>
      <c r="AE548" s="42">
        <v>0</v>
      </c>
      <c r="AF548" s="42">
        <f t="shared" si="83"/>
        <v>0</v>
      </c>
      <c r="AH548" s="42">
        <f t="shared" si="82"/>
        <v>0</v>
      </c>
    </row>
    <row r="549" spans="1:34">
      <c r="A549" s="9" t="s">
        <v>720</v>
      </c>
      <c r="B549" s="8"/>
      <c r="C549" s="8" t="s">
        <v>39</v>
      </c>
      <c r="D549" s="8"/>
      <c r="E549" s="23">
        <v>44917</v>
      </c>
      <c r="G549" s="42">
        <f t="shared" si="81"/>
        <v>12375492</v>
      </c>
      <c r="I549" s="42">
        <f>12408586+1802040</f>
        <v>14210626</v>
      </c>
      <c r="K549" s="42">
        <v>0</v>
      </c>
      <c r="M549" s="42">
        <v>26586118</v>
      </c>
      <c r="O549" s="42">
        <f t="shared" si="80"/>
        <v>2295210</v>
      </c>
      <c r="Q549" s="42">
        <v>116051</v>
      </c>
      <c r="S549" s="42">
        <f>9092137-116051</f>
        <v>8976086</v>
      </c>
      <c r="U549" s="42">
        <v>1822260</v>
      </c>
      <c r="W549" s="42">
        <f>11387347+1822260</f>
        <v>13209607</v>
      </c>
      <c r="Y549" s="42">
        <v>5467902</v>
      </c>
      <c r="AA549" s="42">
        <f>AE549-AC549-Y549</f>
        <v>5203303</v>
      </c>
      <c r="AC549" s="42">
        <v>2705306</v>
      </c>
      <c r="AE549" s="42">
        <v>13376511</v>
      </c>
      <c r="AF549" s="42">
        <f t="shared" si="83"/>
        <v>0</v>
      </c>
      <c r="AH549" s="42">
        <f t="shared" si="82"/>
        <v>0</v>
      </c>
    </row>
    <row r="550" spans="1:34">
      <c r="A550" s="8" t="s">
        <v>228</v>
      </c>
      <c r="B550" s="8"/>
      <c r="C550" s="8" t="s">
        <v>227</v>
      </c>
      <c r="D550" s="8"/>
      <c r="E550" s="23">
        <v>46201</v>
      </c>
      <c r="G550" s="42">
        <f t="shared" si="81"/>
        <v>4401568</v>
      </c>
      <c r="I550" s="42">
        <v>16033622</v>
      </c>
      <c r="K550" s="42">
        <v>86930</v>
      </c>
      <c r="M550" s="42">
        <f>20435190+86930</f>
        <v>20522120</v>
      </c>
      <c r="O550" s="42">
        <f t="shared" si="80"/>
        <v>1153326</v>
      </c>
      <c r="Q550" s="42">
        <v>361687</v>
      </c>
      <c r="S550" s="42">
        <f>5287064-361687</f>
        <v>4925377</v>
      </c>
      <c r="U550" s="42">
        <v>1591605</v>
      </c>
      <c r="W550" s="42">
        <f>6440390+1591605</f>
        <v>8031995</v>
      </c>
      <c r="Y550" s="42">
        <v>12023060</v>
      </c>
      <c r="AA550" s="42">
        <f>AE550-AC550-Y550</f>
        <v>518718</v>
      </c>
      <c r="AC550" s="42">
        <v>-51653</v>
      </c>
      <c r="AE550" s="42">
        <v>12490125</v>
      </c>
      <c r="AF550" s="42">
        <f t="shared" si="83"/>
        <v>0</v>
      </c>
      <c r="AH550" s="42">
        <f t="shared" si="82"/>
        <v>0</v>
      </c>
    </row>
    <row r="551" spans="1:34">
      <c r="A551" s="8" t="s">
        <v>463</v>
      </c>
      <c r="B551" s="8"/>
      <c r="C551" s="8" t="s">
        <v>57</v>
      </c>
      <c r="D551" s="8"/>
      <c r="E551" s="23">
        <v>91397</v>
      </c>
      <c r="G551" s="42">
        <f t="shared" si="81"/>
        <v>6067906</v>
      </c>
      <c r="I551" s="42">
        <f>508042+8854179</f>
        <v>9362221</v>
      </c>
      <c r="K551" s="42">
        <v>0</v>
      </c>
      <c r="M551" s="42">
        <v>15430127</v>
      </c>
      <c r="O551" s="42">
        <f t="shared" si="80"/>
        <v>1231450</v>
      </c>
      <c r="Q551" s="42">
        <v>8125</v>
      </c>
      <c r="S551" s="42">
        <f>355168-8125</f>
        <v>347043</v>
      </c>
      <c r="U551" s="42">
        <v>3754578</v>
      </c>
      <c r="W551" s="42">
        <f>1586618+3754578</f>
        <v>5341196</v>
      </c>
      <c r="Y551" s="42">
        <v>9362221</v>
      </c>
      <c r="AA551" s="42">
        <f t="shared" si="79"/>
        <v>574404</v>
      </c>
      <c r="AC551" s="42">
        <v>152306</v>
      </c>
      <c r="AE551" s="42">
        <v>10088931</v>
      </c>
      <c r="AF551" s="42">
        <f t="shared" si="83"/>
        <v>0</v>
      </c>
      <c r="AH551" s="42">
        <f t="shared" si="82"/>
        <v>0</v>
      </c>
    </row>
    <row r="552" spans="1:34">
      <c r="A552" s="8" t="s">
        <v>211</v>
      </c>
      <c r="B552" s="8"/>
      <c r="C552" s="8" t="s">
        <v>13</v>
      </c>
      <c r="D552" s="8"/>
      <c r="E552" s="23">
        <v>45922</v>
      </c>
      <c r="G552" s="42">
        <f t="shared" si="81"/>
        <v>4412144</v>
      </c>
      <c r="I552" s="42">
        <f>55370+13731798</f>
        <v>13787168</v>
      </c>
      <c r="K552" s="42">
        <v>0</v>
      </c>
      <c r="M552" s="42">
        <v>18199312</v>
      </c>
      <c r="O552" s="42">
        <f t="shared" si="80"/>
        <v>1083787</v>
      </c>
      <c r="Q552" s="42">
        <v>67572</v>
      </c>
      <c r="S552" s="42">
        <f>1174931-67572</f>
        <v>1107359</v>
      </c>
      <c r="U552" s="42">
        <v>620033</v>
      </c>
      <c r="W552" s="42">
        <f>2878751</f>
        <v>2878751</v>
      </c>
      <c r="Y552" s="42">
        <v>13245541</v>
      </c>
      <c r="AA552" s="42">
        <f t="shared" si="79"/>
        <v>369817</v>
      </c>
      <c r="AC552" s="42">
        <v>1705203</v>
      </c>
      <c r="AE552" s="42">
        <v>15320561</v>
      </c>
      <c r="AF552" s="42">
        <f t="shared" si="83"/>
        <v>0</v>
      </c>
      <c r="AH552" s="42">
        <f t="shared" si="82"/>
        <v>0</v>
      </c>
    </row>
    <row r="553" spans="1:34">
      <c r="A553" s="8" t="s">
        <v>443</v>
      </c>
      <c r="B553" s="8"/>
      <c r="C553" s="8" t="s">
        <v>51</v>
      </c>
      <c r="D553" s="8"/>
      <c r="E553" s="23">
        <v>48876</v>
      </c>
      <c r="G553" s="42">
        <f t="shared" si="81"/>
        <v>18224143</v>
      </c>
      <c r="I553" s="42">
        <f>4020160+55889908</f>
        <v>59910068</v>
      </c>
      <c r="K553" s="42">
        <v>0</v>
      </c>
      <c r="M553" s="42">
        <v>78134211</v>
      </c>
      <c r="O553" s="42">
        <f t="shared" si="80"/>
        <v>3905617</v>
      </c>
      <c r="Q553" s="42">
        <v>669303</v>
      </c>
      <c r="S553" s="42">
        <f>16925890-669303</f>
        <v>16256587</v>
      </c>
      <c r="U553" s="42">
        <v>6085807</v>
      </c>
      <c r="W553" s="42">
        <v>26917314</v>
      </c>
      <c r="Y553" s="42">
        <v>45101193</v>
      </c>
      <c r="AA553" s="42">
        <f t="shared" si="79"/>
        <v>5567939</v>
      </c>
      <c r="AC553" s="42">
        <v>547765</v>
      </c>
      <c r="AE553" s="42">
        <v>51216897</v>
      </c>
      <c r="AF553" s="42">
        <f t="shared" si="83"/>
        <v>0</v>
      </c>
      <c r="AH553" s="42">
        <f t="shared" si="82"/>
        <v>0</v>
      </c>
    </row>
    <row r="554" spans="1:34" hidden="1">
      <c r="A554" s="8" t="s">
        <v>685</v>
      </c>
      <c r="B554" s="8"/>
      <c r="C554" s="8" t="s">
        <v>21</v>
      </c>
      <c r="D554" s="8"/>
      <c r="E554" s="23">
        <v>46680</v>
      </c>
      <c r="G554" s="42">
        <f t="shared" si="81"/>
        <v>0</v>
      </c>
      <c r="I554" s="42">
        <v>0</v>
      </c>
      <c r="K554" s="42">
        <v>0</v>
      </c>
      <c r="M554" s="42">
        <v>0</v>
      </c>
      <c r="O554" s="42">
        <f t="shared" si="80"/>
        <v>0</v>
      </c>
      <c r="Q554" s="42">
        <v>0</v>
      </c>
      <c r="S554" s="42">
        <v>0</v>
      </c>
      <c r="U554" s="42">
        <v>0</v>
      </c>
      <c r="W554" s="42">
        <v>0</v>
      </c>
      <c r="Y554" s="42">
        <v>0</v>
      </c>
      <c r="AA554" s="42">
        <f t="shared" si="79"/>
        <v>0</v>
      </c>
      <c r="AC554" s="42">
        <v>0</v>
      </c>
      <c r="AE554" s="42">
        <v>0</v>
      </c>
      <c r="AF554" s="42">
        <f>+M554-W554-AE554</f>
        <v>0</v>
      </c>
      <c r="AH554" s="42">
        <f t="shared" si="82"/>
        <v>0</v>
      </c>
    </row>
    <row r="555" spans="1:34" hidden="1">
      <c r="A555" s="8" t="s">
        <v>829</v>
      </c>
      <c r="B555" s="8"/>
      <c r="C555" s="8" t="s">
        <v>71</v>
      </c>
      <c r="D555" s="8"/>
      <c r="E555" s="23">
        <v>50591</v>
      </c>
      <c r="G555" s="42">
        <f t="shared" si="81"/>
        <v>0</v>
      </c>
      <c r="I555" s="42">
        <v>0</v>
      </c>
      <c r="K555" s="42">
        <v>0</v>
      </c>
      <c r="M555" s="42">
        <v>0</v>
      </c>
      <c r="O555" s="42">
        <f t="shared" si="80"/>
        <v>0</v>
      </c>
      <c r="Q555" s="42">
        <v>0</v>
      </c>
      <c r="S555" s="42">
        <v>0</v>
      </c>
      <c r="U555" s="42">
        <v>0</v>
      </c>
      <c r="W555" s="42">
        <v>0</v>
      </c>
      <c r="Y555" s="42">
        <v>0</v>
      </c>
      <c r="AA555" s="42">
        <f t="shared" si="79"/>
        <v>0</v>
      </c>
      <c r="AC555" s="42">
        <v>0</v>
      </c>
      <c r="AE555" s="42">
        <v>0</v>
      </c>
      <c r="AF555" s="42">
        <f t="shared" si="83"/>
        <v>0</v>
      </c>
      <c r="AH555" s="42">
        <f t="shared" si="82"/>
        <v>0</v>
      </c>
    </row>
    <row r="556" spans="1:34">
      <c r="A556" s="8" t="s">
        <v>433</v>
      </c>
      <c r="B556" s="8"/>
      <c r="C556" s="8" t="s">
        <v>50</v>
      </c>
      <c r="D556" s="8"/>
      <c r="E556" s="23">
        <v>48694</v>
      </c>
      <c r="G556" s="42">
        <f t="shared" si="81"/>
        <v>38911678</v>
      </c>
      <c r="I556" s="42">
        <f>1348540+82202550</f>
        <v>83551090</v>
      </c>
      <c r="K556" s="42">
        <v>0</v>
      </c>
      <c r="M556" s="42">
        <v>122462768</v>
      </c>
      <c r="O556" s="42">
        <f t="shared" si="80"/>
        <v>2328179</v>
      </c>
      <c r="Q556" s="42">
        <v>1584144</v>
      </c>
      <c r="S556" s="42">
        <f>42833519-1584144</f>
        <v>41249375</v>
      </c>
      <c r="U556" s="42">
        <v>9209975</v>
      </c>
      <c r="W556" s="42">
        <v>54371673</v>
      </c>
      <c r="Y556" s="42">
        <v>43879384</v>
      </c>
      <c r="AA556" s="42">
        <f t="shared" si="79"/>
        <v>4436186</v>
      </c>
      <c r="AC556" s="42">
        <v>19775525</v>
      </c>
      <c r="AE556" s="42">
        <v>68091095</v>
      </c>
      <c r="AF556" s="42">
        <f t="shared" si="83"/>
        <v>0</v>
      </c>
      <c r="AH556" s="42">
        <f t="shared" si="82"/>
        <v>0</v>
      </c>
    </row>
    <row r="557" spans="1:34" s="24" customFormat="1">
      <c r="A557" s="51" t="s">
        <v>423</v>
      </c>
      <c r="B557" s="51"/>
      <c r="C557" s="51" t="s">
        <v>48</v>
      </c>
      <c r="D557" s="51"/>
      <c r="E557" s="51">
        <v>44925</v>
      </c>
      <c r="G557" s="24">
        <f t="shared" si="81"/>
        <v>34239700</v>
      </c>
      <c r="I557" s="24">
        <f>530131+25850976</f>
        <v>26381107</v>
      </c>
      <c r="K557" s="24">
        <v>1501128</v>
      </c>
      <c r="M557" s="24">
        <f>60620807+1501128</f>
        <v>62121935</v>
      </c>
      <c r="O557" s="24">
        <f t="shared" si="80"/>
        <v>4973869</v>
      </c>
      <c r="Q557" s="24">
        <v>2163538</v>
      </c>
      <c r="S557" s="24">
        <f>24896699-2163538</f>
        <v>22733161</v>
      </c>
      <c r="U557" s="24">
        <v>16040650</v>
      </c>
      <c r="W557" s="24">
        <f>29870568+16040650</f>
        <v>45911218</v>
      </c>
      <c r="Y557" s="24">
        <v>7913853</v>
      </c>
      <c r="AA557" s="24">
        <f t="shared" si="79"/>
        <v>2426760</v>
      </c>
      <c r="AC557" s="24">
        <v>5870104</v>
      </c>
      <c r="AE557" s="24">
        <v>16210717</v>
      </c>
      <c r="AF557" s="24">
        <f t="shared" si="83"/>
        <v>0</v>
      </c>
      <c r="AH557" s="24">
        <f t="shared" si="82"/>
        <v>0</v>
      </c>
    </row>
    <row r="558" spans="1:34">
      <c r="A558" s="8" t="s">
        <v>534</v>
      </c>
      <c r="B558" s="8"/>
      <c r="C558" s="8" t="s">
        <v>65</v>
      </c>
      <c r="D558" s="8"/>
      <c r="E558" s="23">
        <v>50302</v>
      </c>
      <c r="G558" s="42">
        <f t="shared" si="81"/>
        <v>10652990</v>
      </c>
      <c r="I558" s="42">
        <v>6992850</v>
      </c>
      <c r="K558" s="42">
        <v>0</v>
      </c>
      <c r="M558" s="42">
        <v>17645840</v>
      </c>
      <c r="O558" s="42">
        <f t="shared" si="80"/>
        <v>1526906</v>
      </c>
      <c r="Q558" s="42">
        <v>793754</v>
      </c>
      <c r="S558" s="42">
        <f>5023290-793754</f>
        <v>4229536</v>
      </c>
      <c r="U558" s="42">
        <v>4591790</v>
      </c>
      <c r="W558" s="42">
        <f>6550196+4591790</f>
        <v>11141986</v>
      </c>
      <c r="Y558" s="42">
        <v>5140469</v>
      </c>
      <c r="AA558" s="42">
        <f t="shared" si="79"/>
        <v>229786</v>
      </c>
      <c r="AC558" s="42">
        <v>1133599</v>
      </c>
      <c r="AE558" s="42">
        <v>6503854</v>
      </c>
      <c r="AF558" s="42">
        <f t="shared" si="83"/>
        <v>0</v>
      </c>
      <c r="AH558" s="42">
        <f t="shared" si="82"/>
        <v>0</v>
      </c>
    </row>
    <row r="559" spans="1:34">
      <c r="A559" s="8" t="s">
        <v>501</v>
      </c>
      <c r="B559" s="8"/>
      <c r="C559" s="8" t="s">
        <v>62</v>
      </c>
      <c r="D559" s="8"/>
      <c r="E559" s="23">
        <v>49957</v>
      </c>
      <c r="F559" s="7"/>
      <c r="G559" s="42">
        <f t="shared" si="81"/>
        <v>11086198</v>
      </c>
      <c r="I559" s="42">
        <f>725598+25788863</f>
        <v>26514461</v>
      </c>
      <c r="K559" s="42">
        <v>468061</v>
      </c>
      <c r="M559" s="42">
        <f>37600659+468061</f>
        <v>38068720</v>
      </c>
      <c r="O559" s="42">
        <f t="shared" si="80"/>
        <v>1556350</v>
      </c>
      <c r="Q559" s="42">
        <v>715396</v>
      </c>
      <c r="S559" s="42">
        <f>14089076-715396</f>
        <v>13373680</v>
      </c>
      <c r="U559" s="42">
        <v>5287795</v>
      </c>
      <c r="W559" s="42">
        <f>15645426+5287795</f>
        <v>20933221</v>
      </c>
      <c r="Y559" s="42">
        <v>13757088</v>
      </c>
      <c r="AA559" s="42">
        <f t="shared" si="79"/>
        <v>2005714</v>
      </c>
      <c r="AC559" s="42">
        <v>1372697</v>
      </c>
      <c r="AE559" s="42">
        <v>17135499</v>
      </c>
      <c r="AF559" s="42">
        <f t="shared" si="83"/>
        <v>0</v>
      </c>
      <c r="AH559" s="42">
        <f t="shared" si="82"/>
        <v>0</v>
      </c>
    </row>
    <row r="560" spans="1:34" hidden="1">
      <c r="A560" s="8" t="s">
        <v>689</v>
      </c>
      <c r="B560" s="8"/>
      <c r="C560" s="8" t="s">
        <v>57</v>
      </c>
      <c r="D560" s="8"/>
      <c r="E560" s="23">
        <v>49296</v>
      </c>
      <c r="G560" s="42">
        <f t="shared" si="81"/>
        <v>0</v>
      </c>
      <c r="I560" s="42">
        <v>0</v>
      </c>
      <c r="K560" s="42">
        <v>0</v>
      </c>
      <c r="M560" s="42">
        <v>0</v>
      </c>
      <c r="O560" s="42">
        <f t="shared" si="80"/>
        <v>0</v>
      </c>
      <c r="Q560" s="42">
        <v>0</v>
      </c>
      <c r="S560" s="42">
        <v>0</v>
      </c>
      <c r="U560" s="42">
        <v>0</v>
      </c>
      <c r="W560" s="42">
        <v>0</v>
      </c>
      <c r="Y560" s="42">
        <v>0</v>
      </c>
      <c r="AA560" s="42">
        <f t="shared" si="79"/>
        <v>0</v>
      </c>
      <c r="AC560" s="42">
        <v>0</v>
      </c>
      <c r="AE560" s="42">
        <v>0</v>
      </c>
      <c r="AF560" s="42">
        <f t="shared" si="83"/>
        <v>0</v>
      </c>
      <c r="AH560" s="42">
        <f t="shared" si="82"/>
        <v>0</v>
      </c>
    </row>
    <row r="561" spans="1:34">
      <c r="A561" s="8" t="s">
        <v>512</v>
      </c>
      <c r="B561" s="8"/>
      <c r="C561" s="8" t="s">
        <v>63</v>
      </c>
      <c r="D561" s="8"/>
      <c r="E561" s="23">
        <v>50070</v>
      </c>
      <c r="G561" s="42">
        <f t="shared" si="81"/>
        <v>65126129</v>
      </c>
      <c r="I561" s="42">
        <v>36069248</v>
      </c>
      <c r="K561" s="42">
        <v>0</v>
      </c>
      <c r="M561" s="42">
        <v>101195377</v>
      </c>
      <c r="O561" s="42">
        <f t="shared" si="80"/>
        <v>5144246</v>
      </c>
      <c r="Q561" s="42">
        <v>2495595</v>
      </c>
      <c r="S561" s="42">
        <f>23878474-2495595</f>
        <v>21382879</v>
      </c>
      <c r="U561" s="42">
        <v>27121246</v>
      </c>
      <c r="W561" s="42">
        <f>29022720+27121246</f>
        <v>56143966</v>
      </c>
      <c r="Y561" s="42">
        <v>14716989</v>
      </c>
      <c r="AA561" s="42">
        <f t="shared" si="79"/>
        <v>7578859</v>
      </c>
      <c r="AC561" s="42">
        <v>22755563</v>
      </c>
      <c r="AE561" s="42">
        <v>45051411</v>
      </c>
      <c r="AF561" s="42">
        <f t="shared" si="83"/>
        <v>0</v>
      </c>
      <c r="AH561" s="42">
        <f t="shared" si="82"/>
        <v>0</v>
      </c>
    </row>
    <row r="562" spans="1:34">
      <c r="A562" s="8" t="s">
        <v>907</v>
      </c>
      <c r="B562" s="8"/>
      <c r="C562" s="8" t="s">
        <v>15</v>
      </c>
      <c r="D562" s="8"/>
      <c r="E562" s="23">
        <v>46011</v>
      </c>
      <c r="G562" s="42">
        <f t="shared" si="81"/>
        <v>6153820</v>
      </c>
      <c r="I562" s="42">
        <f>1852517+11083431</f>
        <v>12935948</v>
      </c>
      <c r="K562" s="42">
        <v>0</v>
      </c>
      <c r="M562" s="42">
        <v>19089768</v>
      </c>
      <c r="O562" s="42">
        <f t="shared" si="80"/>
        <v>1801735</v>
      </c>
      <c r="Q562" s="42">
        <v>423329</v>
      </c>
      <c r="S562" s="42">
        <f>2626344-423329</f>
        <v>2203015</v>
      </c>
      <c r="U562" s="42">
        <v>3133845</v>
      </c>
      <c r="W562" s="42">
        <f>4428079+3133845</f>
        <v>7561924</v>
      </c>
      <c r="Y562" s="42">
        <v>11018384</v>
      </c>
      <c r="AA562" s="42">
        <f t="shared" si="79"/>
        <v>1300180</v>
      </c>
      <c r="AC562" s="42">
        <v>-790720</v>
      </c>
      <c r="AE562" s="42">
        <v>11527844</v>
      </c>
      <c r="AF562" s="42">
        <f t="shared" si="83"/>
        <v>0</v>
      </c>
      <c r="AH562" s="42">
        <f t="shared" si="82"/>
        <v>0</v>
      </c>
    </row>
    <row r="563" spans="1:34">
      <c r="A563" s="8" t="s">
        <v>473</v>
      </c>
      <c r="B563" s="8"/>
      <c r="C563" s="8" t="s">
        <v>58</v>
      </c>
      <c r="D563" s="8"/>
      <c r="E563" s="23">
        <v>49536</v>
      </c>
      <c r="G563" s="42">
        <f t="shared" si="81"/>
        <v>21897437</v>
      </c>
      <c r="I563" s="42">
        <f>444360+1555848+20879685</f>
        <v>22879893</v>
      </c>
      <c r="K563" s="42">
        <v>94439</v>
      </c>
      <c r="M563" s="42">
        <f>44777330+94439</f>
        <v>44871769</v>
      </c>
      <c r="O563" s="42">
        <f t="shared" si="80"/>
        <v>2962502</v>
      </c>
      <c r="Q563" s="42">
        <v>885991</v>
      </c>
      <c r="S563" s="42">
        <f>8315355-885991</f>
        <v>7429364</v>
      </c>
      <c r="U563" s="42">
        <v>2739989</v>
      </c>
      <c r="W563" s="42">
        <f>11277857+2739989</f>
        <v>14017846</v>
      </c>
      <c r="Y563" s="42">
        <v>18769001</v>
      </c>
      <c r="AA563" s="42">
        <f t="shared" si="79"/>
        <v>1603772</v>
      </c>
      <c r="AC563" s="42">
        <v>10481150</v>
      </c>
      <c r="AE563" s="42">
        <v>30853923</v>
      </c>
      <c r="AF563" s="42">
        <f t="shared" si="83"/>
        <v>0</v>
      </c>
      <c r="AH563" s="42">
        <f t="shared" si="82"/>
        <v>0</v>
      </c>
    </row>
    <row r="564" spans="1:34">
      <c r="A564" s="8" t="s">
        <v>249</v>
      </c>
      <c r="B564" s="8"/>
      <c r="C564" s="8" t="s">
        <v>111</v>
      </c>
      <c r="D564" s="8"/>
      <c r="E564" s="23">
        <v>46458</v>
      </c>
      <c r="G564" s="42">
        <f t="shared" si="81"/>
        <v>10100332</v>
      </c>
      <c r="I564" s="42">
        <v>6013251</v>
      </c>
      <c r="K564" s="42">
        <v>0</v>
      </c>
      <c r="M564" s="42">
        <v>16113583</v>
      </c>
      <c r="O564" s="42">
        <f t="shared" si="80"/>
        <v>1646591</v>
      </c>
      <c r="Q564" s="42">
        <v>202136</v>
      </c>
      <c r="S564" s="42">
        <f>1329159-202136</f>
        <v>1127023</v>
      </c>
      <c r="U564" s="42">
        <v>2528481</v>
      </c>
      <c r="W564" s="42">
        <f>2975750+2528481</f>
        <v>5504231</v>
      </c>
      <c r="Y564" s="42">
        <v>5933063</v>
      </c>
      <c r="AA564" s="42">
        <f t="shared" si="79"/>
        <v>1128273</v>
      </c>
      <c r="AC564" s="42">
        <v>3548016</v>
      </c>
      <c r="AE564" s="42">
        <v>10609352</v>
      </c>
      <c r="AF564" s="42">
        <f t="shared" si="83"/>
        <v>0</v>
      </c>
      <c r="AH564" s="42">
        <f t="shared" si="82"/>
        <v>0</v>
      </c>
    </row>
    <row r="565" spans="1:34">
      <c r="A565" s="8" t="s">
        <v>306</v>
      </c>
      <c r="B565" s="8"/>
      <c r="C565" s="8" t="s">
        <v>27</v>
      </c>
      <c r="D565" s="8"/>
      <c r="E565" s="23">
        <v>44933</v>
      </c>
      <c r="G565" s="42">
        <f t="shared" si="81"/>
        <v>109426118</v>
      </c>
      <c r="I565" s="42">
        <f>2661006+50478856</f>
        <v>53139862</v>
      </c>
      <c r="K565" s="42">
        <v>2188963</v>
      </c>
      <c r="M565" s="42">
        <f>162565980+2188963</f>
        <v>164754943</v>
      </c>
      <c r="O565" s="42">
        <f t="shared" si="80"/>
        <v>10984703</v>
      </c>
      <c r="Q565" s="42">
        <v>3288701</v>
      </c>
      <c r="S565" s="42">
        <f>36004521-3288701</f>
        <v>32715820</v>
      </c>
      <c r="U565" s="42">
        <v>37289124</v>
      </c>
      <c r="W565" s="42">
        <f>46989224+37289124</f>
        <v>84278348</v>
      </c>
      <c r="Y565" s="42">
        <v>27077230</v>
      </c>
      <c r="AA565" s="42">
        <f t="shared" si="79"/>
        <v>10818508</v>
      </c>
      <c r="AC565" s="42">
        <v>42580857</v>
      </c>
      <c r="AE565" s="42">
        <v>80476595</v>
      </c>
      <c r="AF565" s="42">
        <f t="shared" si="83"/>
        <v>0</v>
      </c>
      <c r="AH565" s="42">
        <f t="shared" si="82"/>
        <v>0</v>
      </c>
    </row>
    <row r="566" spans="1:34" hidden="1">
      <c r="A566" s="8" t="s">
        <v>773</v>
      </c>
      <c r="B566" s="8"/>
      <c r="C566" s="8" t="s">
        <v>553</v>
      </c>
      <c r="D566" s="8"/>
      <c r="E566" s="23">
        <v>45625</v>
      </c>
      <c r="F566" s="7"/>
      <c r="G566" s="42">
        <f t="shared" si="81"/>
        <v>0</v>
      </c>
      <c r="I566" s="42">
        <v>0</v>
      </c>
      <c r="K566" s="42">
        <v>0</v>
      </c>
      <c r="M566" s="42">
        <v>0</v>
      </c>
      <c r="O566" s="42">
        <f t="shared" si="80"/>
        <v>0</v>
      </c>
      <c r="Q566" s="42">
        <v>0</v>
      </c>
      <c r="S566" s="42">
        <v>0</v>
      </c>
      <c r="U566" s="42">
        <v>0</v>
      </c>
      <c r="W566" s="42">
        <v>0</v>
      </c>
      <c r="Y566" s="42">
        <v>0</v>
      </c>
      <c r="AA566" s="42">
        <f t="shared" si="79"/>
        <v>0</v>
      </c>
      <c r="AC566" s="42">
        <v>0</v>
      </c>
      <c r="AE566" s="42">
        <v>0</v>
      </c>
      <c r="AF566" s="42">
        <f t="shared" si="83"/>
        <v>0</v>
      </c>
      <c r="AH566" s="42">
        <f t="shared" si="82"/>
        <v>0</v>
      </c>
    </row>
    <row r="567" spans="1:34" hidden="1">
      <c r="A567" s="8" t="s">
        <v>690</v>
      </c>
      <c r="B567" s="8"/>
      <c r="C567" s="8" t="s">
        <v>337</v>
      </c>
      <c r="D567" s="8"/>
      <c r="E567" s="23">
        <v>47522</v>
      </c>
      <c r="G567" s="42">
        <f t="shared" si="81"/>
        <v>0</v>
      </c>
      <c r="I567" s="42">
        <v>0</v>
      </c>
      <c r="K567" s="42">
        <v>0</v>
      </c>
      <c r="M567" s="42">
        <v>0</v>
      </c>
      <c r="O567" s="42">
        <f t="shared" si="80"/>
        <v>0</v>
      </c>
      <c r="Q567" s="42">
        <v>0</v>
      </c>
      <c r="S567" s="42">
        <v>0</v>
      </c>
      <c r="U567" s="42">
        <v>0</v>
      </c>
      <c r="W567" s="42">
        <v>0</v>
      </c>
      <c r="Y567" s="42">
        <v>0</v>
      </c>
      <c r="AA567" s="42">
        <f t="shared" si="79"/>
        <v>0</v>
      </c>
      <c r="AC567" s="42">
        <v>0</v>
      </c>
      <c r="AE567" s="42">
        <v>0</v>
      </c>
      <c r="AF567" s="42">
        <f t="shared" si="83"/>
        <v>0</v>
      </c>
      <c r="AH567" s="42">
        <f t="shared" si="82"/>
        <v>0</v>
      </c>
    </row>
    <row r="568" spans="1:34" hidden="1">
      <c r="A568" s="9" t="s">
        <v>883</v>
      </c>
      <c r="B568" s="8"/>
      <c r="C568" s="8" t="s">
        <v>227</v>
      </c>
      <c r="D568" s="8"/>
      <c r="E568" s="23">
        <v>44941</v>
      </c>
      <c r="G568" s="42">
        <f t="shared" si="81"/>
        <v>0</v>
      </c>
      <c r="I568" s="42">
        <v>0</v>
      </c>
      <c r="K568" s="42">
        <v>0</v>
      </c>
      <c r="M568" s="42">
        <v>0</v>
      </c>
      <c r="O568" s="42">
        <f t="shared" si="80"/>
        <v>0</v>
      </c>
      <c r="Q568" s="42">
        <v>0</v>
      </c>
      <c r="S568" s="42">
        <v>0</v>
      </c>
      <c r="U568" s="42">
        <v>0</v>
      </c>
      <c r="W568" s="42">
        <v>0</v>
      </c>
      <c r="Y568" s="42">
        <v>0</v>
      </c>
      <c r="AA568" s="42">
        <f t="shared" si="79"/>
        <v>0</v>
      </c>
      <c r="AC568" s="42">
        <v>0</v>
      </c>
      <c r="AE568" s="42">
        <v>0</v>
      </c>
      <c r="AF568" s="42">
        <f t="shared" si="83"/>
        <v>0</v>
      </c>
      <c r="AH568" s="42">
        <f t="shared" si="82"/>
        <v>0</v>
      </c>
    </row>
    <row r="569" spans="1:34" hidden="1">
      <c r="A569" s="8" t="s">
        <v>691</v>
      </c>
      <c r="B569" s="8"/>
      <c r="C569" s="8" t="s">
        <v>59</v>
      </c>
      <c r="D569" s="8"/>
      <c r="E569" s="23">
        <v>49643</v>
      </c>
      <c r="F569" s="7"/>
      <c r="G569" s="42">
        <f t="shared" si="81"/>
        <v>0</v>
      </c>
      <c r="I569" s="42">
        <v>0</v>
      </c>
      <c r="K569" s="42">
        <v>0</v>
      </c>
      <c r="M569" s="42">
        <v>0</v>
      </c>
      <c r="O569" s="42">
        <f t="shared" si="80"/>
        <v>0</v>
      </c>
      <c r="Q569" s="42">
        <v>0</v>
      </c>
      <c r="S569" s="42">
        <v>0</v>
      </c>
      <c r="U569" s="42">
        <v>0</v>
      </c>
      <c r="W569" s="42">
        <v>0</v>
      </c>
      <c r="Y569" s="42">
        <v>0</v>
      </c>
      <c r="AA569" s="42">
        <f t="shared" si="79"/>
        <v>0</v>
      </c>
      <c r="AC569" s="42">
        <v>0</v>
      </c>
      <c r="AE569" s="42">
        <v>0</v>
      </c>
      <c r="AF569" s="42">
        <f t="shared" si="83"/>
        <v>0</v>
      </c>
      <c r="AH569" s="42">
        <f t="shared" si="82"/>
        <v>0</v>
      </c>
    </row>
    <row r="570" spans="1:34">
      <c r="A570" s="8" t="s">
        <v>434</v>
      </c>
      <c r="B570" s="8"/>
      <c r="C570" s="8" t="s">
        <v>50</v>
      </c>
      <c r="D570" s="8"/>
      <c r="E570" s="23">
        <v>48744</v>
      </c>
      <c r="G570" s="42">
        <f t="shared" si="81"/>
        <v>8263314</v>
      </c>
      <c r="I570" s="42">
        <v>5405211</v>
      </c>
      <c r="K570" s="42">
        <v>0</v>
      </c>
      <c r="M570" s="42">
        <v>13668525</v>
      </c>
      <c r="O570" s="42">
        <f t="shared" si="80"/>
        <v>3591547</v>
      </c>
      <c r="Q570" s="42">
        <v>323499</v>
      </c>
      <c r="S570" s="42">
        <f>1423702-323499</f>
        <v>1100203</v>
      </c>
      <c r="U570" s="42">
        <v>4006238</v>
      </c>
      <c r="W570" s="42">
        <f>4006238+5015249</f>
        <v>9021487</v>
      </c>
      <c r="Y570" s="42">
        <v>5018699</v>
      </c>
      <c r="AA570" s="42">
        <f t="shared" si="79"/>
        <v>113793</v>
      </c>
      <c r="AC570" s="42">
        <v>-485454</v>
      </c>
      <c r="AE570" s="42">
        <v>4647038</v>
      </c>
      <c r="AF570" s="42">
        <f t="shared" si="83"/>
        <v>0</v>
      </c>
      <c r="AH570" s="42">
        <f t="shared" si="82"/>
        <v>0</v>
      </c>
    </row>
    <row r="571" spans="1:34">
      <c r="A571" s="8" t="s">
        <v>336</v>
      </c>
      <c r="B571" s="8"/>
      <c r="C571" s="8" t="s">
        <v>33</v>
      </c>
      <c r="D571" s="8"/>
      <c r="E571" s="23">
        <v>47464</v>
      </c>
      <c r="G571" s="42">
        <f t="shared" si="81"/>
        <v>17150822</v>
      </c>
      <c r="I571" s="42">
        <f>168329+13695026</f>
        <v>13863355</v>
      </c>
      <c r="K571" s="42">
        <v>512424</v>
      </c>
      <c r="M571" s="42">
        <f>31014177+512424</f>
        <v>31526601</v>
      </c>
      <c r="O571" s="42">
        <f t="shared" si="80"/>
        <v>1102475</v>
      </c>
      <c r="Q571" s="42">
        <v>955972</v>
      </c>
      <c r="S571" s="42">
        <f>6927506-955972</f>
        <v>5971534</v>
      </c>
      <c r="U571" s="42">
        <v>6740752</v>
      </c>
      <c r="W571" s="42">
        <f>8029981+6740752</f>
        <v>14770733</v>
      </c>
      <c r="Y571" s="42">
        <v>8202275</v>
      </c>
      <c r="AA571" s="42">
        <f>AE571-AC571-Y571</f>
        <v>1766595</v>
      </c>
      <c r="AC571" s="42">
        <v>6786998</v>
      </c>
      <c r="AE571" s="42">
        <v>16755868</v>
      </c>
      <c r="AF571" s="42">
        <f t="shared" si="83"/>
        <v>0</v>
      </c>
      <c r="AH571" s="42">
        <f t="shared" si="82"/>
        <v>0</v>
      </c>
    </row>
    <row r="572" spans="1:34" hidden="1">
      <c r="A572" s="8" t="s">
        <v>824</v>
      </c>
      <c r="B572" s="8"/>
      <c r="C572" s="8" t="s">
        <v>67</v>
      </c>
      <c r="D572" s="8"/>
      <c r="E572" s="23">
        <v>44966</v>
      </c>
      <c r="G572" s="42">
        <f t="shared" si="81"/>
        <v>0</v>
      </c>
      <c r="I572" s="42">
        <v>0</v>
      </c>
      <c r="K572" s="42">
        <v>0</v>
      </c>
      <c r="M572" s="42">
        <v>0</v>
      </c>
      <c r="O572" s="42">
        <f t="shared" si="80"/>
        <v>0</v>
      </c>
      <c r="Q572" s="42">
        <v>0</v>
      </c>
      <c r="S572" s="42">
        <v>0</v>
      </c>
      <c r="U572" s="42">
        <v>0</v>
      </c>
      <c r="W572" s="42">
        <v>0</v>
      </c>
      <c r="Y572" s="42">
        <v>0</v>
      </c>
      <c r="AA572" s="42">
        <f t="shared" si="79"/>
        <v>0</v>
      </c>
      <c r="AC572" s="42">
        <v>0</v>
      </c>
      <c r="AE572" s="42">
        <v>0</v>
      </c>
      <c r="AF572" s="42">
        <f t="shared" si="83"/>
        <v>0</v>
      </c>
      <c r="AH572" s="42">
        <f t="shared" si="82"/>
        <v>0</v>
      </c>
    </row>
    <row r="573" spans="1:34">
      <c r="A573" s="8" t="s">
        <v>435</v>
      </c>
      <c r="B573" s="8"/>
      <c r="C573" s="8" t="s">
        <v>50</v>
      </c>
      <c r="D573" s="8"/>
      <c r="E573" s="23">
        <v>44958</v>
      </c>
      <c r="G573" s="42">
        <f t="shared" si="81"/>
        <v>31674156</v>
      </c>
      <c r="I573" s="42">
        <v>54478033</v>
      </c>
      <c r="K573" s="42">
        <v>0</v>
      </c>
      <c r="M573" s="42">
        <v>86152189</v>
      </c>
      <c r="O573" s="42">
        <f t="shared" si="80"/>
        <v>7910101</v>
      </c>
      <c r="Q573" s="42">
        <v>2280160</v>
      </c>
      <c r="S573" s="42">
        <f>57814088-2280160</f>
        <v>55533928</v>
      </c>
      <c r="U573" s="42">
        <v>18860654</v>
      </c>
      <c r="W573" s="42">
        <f>65724189+18860654</f>
        <v>84584843</v>
      </c>
      <c r="Y573" s="42">
        <v>170125</v>
      </c>
      <c r="AA573" s="42">
        <f t="shared" si="79"/>
        <v>4076891</v>
      </c>
      <c r="AC573" s="42">
        <v>-2679670</v>
      </c>
      <c r="AE573" s="42">
        <v>1567346</v>
      </c>
      <c r="AF573" s="42">
        <f t="shared" si="83"/>
        <v>0</v>
      </c>
      <c r="AH573" s="42">
        <f t="shared" si="82"/>
        <v>0</v>
      </c>
    </row>
    <row r="574" spans="1:34" hidden="1">
      <c r="A574" s="8" t="s">
        <v>692</v>
      </c>
      <c r="B574" s="8"/>
      <c r="C574" s="8" t="s">
        <v>33</v>
      </c>
      <c r="D574" s="8"/>
      <c r="E574" s="23">
        <v>47472</v>
      </c>
      <c r="G574" s="42">
        <f t="shared" si="81"/>
        <v>0</v>
      </c>
      <c r="I574" s="42">
        <v>0</v>
      </c>
      <c r="K574" s="42">
        <v>0</v>
      </c>
      <c r="M574" s="42">
        <v>0</v>
      </c>
      <c r="O574" s="42">
        <f t="shared" si="80"/>
        <v>0</v>
      </c>
      <c r="Q574" s="42">
        <v>0</v>
      </c>
      <c r="S574" s="42">
        <v>0</v>
      </c>
      <c r="U574" s="42">
        <v>0</v>
      </c>
      <c r="W574" s="42">
        <v>0</v>
      </c>
      <c r="Y574" s="42">
        <v>0</v>
      </c>
      <c r="AA574" s="42">
        <f t="shared" si="79"/>
        <v>0</v>
      </c>
      <c r="AC574" s="42">
        <v>0</v>
      </c>
      <c r="AE574" s="42">
        <v>0</v>
      </c>
      <c r="AF574" s="42">
        <f t="shared" si="83"/>
        <v>0</v>
      </c>
      <c r="AH574" s="42">
        <f t="shared" si="82"/>
        <v>0</v>
      </c>
    </row>
    <row r="575" spans="1:34">
      <c r="A575" s="8" t="s">
        <v>289</v>
      </c>
      <c r="B575" s="8"/>
      <c r="C575" s="8" t="s">
        <v>24</v>
      </c>
      <c r="D575" s="8"/>
      <c r="E575" s="23">
        <v>46821</v>
      </c>
      <c r="G575" s="42">
        <f t="shared" si="81"/>
        <v>52982595</v>
      </c>
      <c r="I575" s="42">
        <f>1927564+6020575</f>
        <v>7948139</v>
      </c>
      <c r="K575" s="42">
        <v>82260</v>
      </c>
      <c r="M575" s="42">
        <f>60930734+82260</f>
        <v>61012994</v>
      </c>
      <c r="O575" s="42">
        <f t="shared" si="80"/>
        <v>2618670</v>
      </c>
      <c r="Q575" s="42">
        <v>843633</v>
      </c>
      <c r="S575" s="42">
        <f>27660390-843633</f>
        <v>26816757</v>
      </c>
      <c r="U575" s="42">
        <v>12696678</v>
      </c>
      <c r="W575" s="42">
        <f>30279060+12696678</f>
        <v>42975738</v>
      </c>
      <c r="Y575" s="42">
        <v>5358301</v>
      </c>
      <c r="AA575" s="42">
        <f t="shared" si="79"/>
        <v>1294038</v>
      </c>
      <c r="AC575" s="42">
        <v>11384917</v>
      </c>
      <c r="AE575" s="42">
        <v>18037256</v>
      </c>
      <c r="AF575" s="42">
        <f t="shared" si="83"/>
        <v>0</v>
      </c>
      <c r="AH575" s="42">
        <f t="shared" si="82"/>
        <v>0</v>
      </c>
    </row>
    <row r="576" spans="1:34" hidden="1">
      <c r="A576" s="8" t="s">
        <v>693</v>
      </c>
      <c r="B576" s="8"/>
      <c r="C576" s="8" t="s">
        <v>21</v>
      </c>
      <c r="D576" s="8"/>
      <c r="E576" s="23">
        <v>45633</v>
      </c>
      <c r="G576" s="42">
        <f t="shared" si="81"/>
        <v>0</v>
      </c>
      <c r="I576" s="42">
        <v>0</v>
      </c>
      <c r="K576" s="42">
        <v>0</v>
      </c>
      <c r="M576" s="42">
        <v>0</v>
      </c>
      <c r="O576" s="42">
        <f t="shared" si="80"/>
        <v>0</v>
      </c>
      <c r="Q576" s="42">
        <v>0</v>
      </c>
      <c r="S576" s="42">
        <v>0</v>
      </c>
      <c r="U576" s="42">
        <v>0</v>
      </c>
      <c r="W576" s="42">
        <v>0</v>
      </c>
      <c r="Y576" s="42">
        <v>0</v>
      </c>
      <c r="AA576" s="42">
        <f t="shared" si="79"/>
        <v>0</v>
      </c>
      <c r="AC576" s="42">
        <v>0</v>
      </c>
      <c r="AE576" s="42">
        <v>0</v>
      </c>
      <c r="AF576" s="42">
        <f t="shared" si="83"/>
        <v>0</v>
      </c>
      <c r="AH576" s="42">
        <f t="shared" si="82"/>
        <v>0</v>
      </c>
    </row>
    <row r="577" spans="1:34">
      <c r="A577" s="8" t="s">
        <v>538</v>
      </c>
      <c r="B577" s="8"/>
      <c r="C577" s="8" t="s">
        <v>68</v>
      </c>
      <c r="D577" s="8"/>
      <c r="E577" s="23">
        <v>50393</v>
      </c>
      <c r="G577" s="42">
        <f t="shared" si="81"/>
        <v>26065098</v>
      </c>
      <c r="I577" s="42">
        <f>1376059+53915493</f>
        <v>55291552</v>
      </c>
      <c r="K577" s="42">
        <v>0</v>
      </c>
      <c r="M577" s="42">
        <v>81356650</v>
      </c>
      <c r="O577" s="42">
        <f t="shared" si="80"/>
        <v>3683831</v>
      </c>
      <c r="Q577" s="42">
        <v>732330</v>
      </c>
      <c r="S577" s="42">
        <f>7285419-732330</f>
        <v>6553089</v>
      </c>
      <c r="U577" s="42">
        <v>3523057</v>
      </c>
      <c r="W577" s="42">
        <f>10969250+3523057</f>
        <v>14492307</v>
      </c>
      <c r="Y577" s="42">
        <v>48837517</v>
      </c>
      <c r="AA577" s="42">
        <f t="shared" ref="AA577:AA632" si="84">AE577-AC577-Y577</f>
        <v>4294088</v>
      </c>
      <c r="AC577" s="42">
        <v>13732738</v>
      </c>
      <c r="AE577" s="42">
        <v>66864343</v>
      </c>
      <c r="AF577" s="42">
        <f t="shared" si="83"/>
        <v>0</v>
      </c>
      <c r="AH577" s="42">
        <f t="shared" si="82"/>
        <v>0</v>
      </c>
    </row>
    <row r="578" spans="1:34">
      <c r="A578" s="8" t="s">
        <v>416</v>
      </c>
      <c r="B578" s="8"/>
      <c r="C578" s="8" t="s">
        <v>47</v>
      </c>
      <c r="D578" s="8"/>
      <c r="E578" s="23">
        <v>44974</v>
      </c>
      <c r="G578" s="42">
        <f t="shared" si="81"/>
        <v>48019321</v>
      </c>
      <c r="I578" s="42">
        <v>154133336</v>
      </c>
      <c r="K578" s="42">
        <v>422186</v>
      </c>
      <c r="M578" s="42">
        <f>202152657+422186</f>
        <v>202574843</v>
      </c>
      <c r="O578" s="42">
        <f t="shared" si="80"/>
        <v>7342702</v>
      </c>
      <c r="Q578" s="42">
        <v>4398359</v>
      </c>
      <c r="S578" s="42">
        <f>105926001-4398359</f>
        <v>101527642</v>
      </c>
      <c r="U578" s="42">
        <v>18682348</v>
      </c>
      <c r="W578" s="42">
        <f>113268703+18682348</f>
        <v>131951051</v>
      </c>
      <c r="Y578" s="42">
        <v>58785158</v>
      </c>
      <c r="AA578" s="42">
        <f t="shared" si="84"/>
        <v>16463852</v>
      </c>
      <c r="AC578" s="42">
        <v>-4625218</v>
      </c>
      <c r="AE578" s="42">
        <v>70623792</v>
      </c>
      <c r="AF578" s="42">
        <f t="shared" ref="AF578:AF604" si="85">+M578-W578-AE578</f>
        <v>0</v>
      </c>
      <c r="AH578" s="42">
        <f t="shared" si="82"/>
        <v>0</v>
      </c>
    </row>
    <row r="579" spans="1:34" hidden="1">
      <c r="A579" s="9" t="s">
        <v>862</v>
      </c>
      <c r="B579" s="9"/>
      <c r="C579" s="9" t="s">
        <v>25</v>
      </c>
      <c r="D579" s="8"/>
      <c r="E579" s="23">
        <v>46904</v>
      </c>
      <c r="G579" s="42">
        <f t="shared" si="81"/>
        <v>0</v>
      </c>
      <c r="I579" s="42">
        <v>0</v>
      </c>
      <c r="K579" s="42">
        <v>0</v>
      </c>
      <c r="M579" s="42">
        <v>0</v>
      </c>
      <c r="O579" s="42">
        <f t="shared" si="80"/>
        <v>0</v>
      </c>
      <c r="Q579" s="42">
        <v>0</v>
      </c>
      <c r="S579" s="42">
        <v>0</v>
      </c>
      <c r="U579" s="42">
        <v>0</v>
      </c>
      <c r="W579" s="42">
        <v>0</v>
      </c>
      <c r="Y579" s="42">
        <v>0</v>
      </c>
      <c r="AA579" s="42">
        <f t="shared" ref="AA579:AA581" si="86">AE579-AC579-Y579</f>
        <v>0</v>
      </c>
      <c r="AC579" s="42">
        <v>0</v>
      </c>
      <c r="AE579" s="42">
        <v>0</v>
      </c>
      <c r="AF579" s="42">
        <f t="shared" ref="AF579:AF581" si="87">+M579-W579-AE579</f>
        <v>0</v>
      </c>
      <c r="AH579" s="42">
        <f t="shared" si="82"/>
        <v>0</v>
      </c>
    </row>
    <row r="580" spans="1:34" hidden="1">
      <c r="A580" s="9" t="s">
        <v>863</v>
      </c>
      <c r="B580" s="9"/>
      <c r="C580" s="9" t="s">
        <v>14</v>
      </c>
      <c r="D580" s="8"/>
      <c r="E580" s="23">
        <v>44982</v>
      </c>
      <c r="G580" s="42">
        <f t="shared" si="81"/>
        <v>0</v>
      </c>
      <c r="I580" s="42">
        <v>0</v>
      </c>
      <c r="K580" s="42">
        <v>0</v>
      </c>
      <c r="M580" s="42">
        <v>0</v>
      </c>
      <c r="O580" s="42">
        <f t="shared" si="80"/>
        <v>0</v>
      </c>
      <c r="Q580" s="42">
        <v>0</v>
      </c>
      <c r="S580" s="42">
        <v>0</v>
      </c>
      <c r="U580" s="42">
        <v>0</v>
      </c>
      <c r="W580" s="42">
        <v>0</v>
      </c>
      <c r="Y580" s="42">
        <v>0</v>
      </c>
      <c r="AA580" s="42">
        <f t="shared" si="86"/>
        <v>0</v>
      </c>
      <c r="AC580" s="42">
        <v>0</v>
      </c>
      <c r="AE580" s="42">
        <v>0</v>
      </c>
      <c r="AF580" s="42">
        <f t="shared" si="87"/>
        <v>0</v>
      </c>
      <c r="AH580" s="42">
        <f t="shared" si="82"/>
        <v>0</v>
      </c>
    </row>
    <row r="581" spans="1:34" hidden="1">
      <c r="A581" s="8" t="s">
        <v>864</v>
      </c>
      <c r="B581" s="8"/>
      <c r="C581" s="8" t="s">
        <v>63</v>
      </c>
      <c r="D581" s="8"/>
      <c r="E581" s="23"/>
      <c r="G581" s="42">
        <f t="shared" si="81"/>
        <v>0</v>
      </c>
      <c r="I581" s="42">
        <v>0</v>
      </c>
      <c r="K581" s="42">
        <v>0</v>
      </c>
      <c r="M581" s="42">
        <v>0</v>
      </c>
      <c r="O581" s="42">
        <f t="shared" si="80"/>
        <v>0</v>
      </c>
      <c r="Q581" s="42">
        <v>0</v>
      </c>
      <c r="S581" s="42">
        <v>0</v>
      </c>
      <c r="U581" s="42">
        <v>0</v>
      </c>
      <c r="W581" s="42">
        <v>0</v>
      </c>
      <c r="Y581" s="42">
        <v>0</v>
      </c>
      <c r="AA581" s="42">
        <f t="shared" si="86"/>
        <v>0</v>
      </c>
      <c r="AC581" s="42">
        <v>0</v>
      </c>
      <c r="AE581" s="42">
        <v>0</v>
      </c>
      <c r="AF581" s="42">
        <f t="shared" si="87"/>
        <v>0</v>
      </c>
      <c r="AH581" s="42">
        <f t="shared" si="82"/>
        <v>0</v>
      </c>
    </row>
    <row r="582" spans="1:34">
      <c r="A582" s="8" t="s">
        <v>527</v>
      </c>
      <c r="B582" s="8"/>
      <c r="C582" s="8" t="s">
        <v>64</v>
      </c>
      <c r="D582" s="8"/>
      <c r="E582" s="23">
        <v>44990</v>
      </c>
      <c r="G582" s="42">
        <f t="shared" si="81"/>
        <v>51912060</v>
      </c>
      <c r="I582" s="42">
        <v>132837797</v>
      </c>
      <c r="K582" s="42">
        <v>2447726</v>
      </c>
      <c r="M582" s="42">
        <f>184749857+2447726</f>
        <v>187197583</v>
      </c>
      <c r="O582" s="42">
        <f t="shared" si="80"/>
        <v>9141773</v>
      </c>
      <c r="Q582" s="42">
        <v>2113404</v>
      </c>
      <c r="S582" s="42">
        <f>38152984-2113404</f>
        <v>36039580</v>
      </c>
      <c r="U582" s="42">
        <v>13147059</v>
      </c>
      <c r="W582" s="42">
        <f>47294757+13147059</f>
        <v>60441816</v>
      </c>
      <c r="Y582" s="42">
        <v>99817879</v>
      </c>
      <c r="AA582" s="42">
        <f t="shared" si="84"/>
        <v>13997944</v>
      </c>
      <c r="AC582" s="42">
        <v>12939944</v>
      </c>
      <c r="AE582" s="42">
        <v>126755767</v>
      </c>
      <c r="AF582" s="42">
        <f t="shared" si="85"/>
        <v>0</v>
      </c>
      <c r="AH582" s="42">
        <f t="shared" si="82"/>
        <v>0</v>
      </c>
    </row>
    <row r="583" spans="1:34">
      <c r="A583" s="8" t="s">
        <v>545</v>
      </c>
      <c r="B583" s="8"/>
      <c r="C583" s="8" t="s">
        <v>70</v>
      </c>
      <c r="D583" s="8"/>
      <c r="E583" s="23">
        <v>50500</v>
      </c>
      <c r="F583" s="7"/>
      <c r="G583" s="42">
        <f t="shared" si="81"/>
        <v>14473554</v>
      </c>
      <c r="I583" s="42">
        <f>582608+5900256</f>
        <v>6482864</v>
      </c>
      <c r="K583" s="42">
        <v>0</v>
      </c>
      <c r="M583" s="42">
        <v>20956418</v>
      </c>
      <c r="O583" s="42">
        <f t="shared" si="80"/>
        <v>2419563</v>
      </c>
      <c r="Q583" s="42">
        <v>64832</v>
      </c>
      <c r="S583" s="42">
        <f>1866158-64832</f>
        <v>1801326</v>
      </c>
      <c r="U583" s="42">
        <v>5882115</v>
      </c>
      <c r="W583" s="42">
        <f>4285721+5882115</f>
        <v>10167836</v>
      </c>
      <c r="Y583" s="42">
        <v>6482864</v>
      </c>
      <c r="AA583" s="42">
        <f t="shared" si="84"/>
        <v>599189</v>
      </c>
      <c r="AC583" s="42">
        <v>3706529</v>
      </c>
      <c r="AE583" s="42">
        <v>10788582</v>
      </c>
      <c r="AF583" s="42">
        <f t="shared" si="85"/>
        <v>0</v>
      </c>
      <c r="AH583" s="42">
        <f t="shared" si="82"/>
        <v>0</v>
      </c>
    </row>
    <row r="584" spans="1:34">
      <c r="A584" s="8" t="s">
        <v>278</v>
      </c>
      <c r="B584" s="8"/>
      <c r="C584" s="8" t="s">
        <v>20</v>
      </c>
      <c r="D584" s="8"/>
      <c r="E584" s="23">
        <v>45005</v>
      </c>
      <c r="G584" s="42">
        <f t="shared" si="81"/>
        <v>39818609</v>
      </c>
      <c r="I584" s="42">
        <f>414153+16627988</f>
        <v>17042141</v>
      </c>
      <c r="K584" s="42">
        <v>760471</v>
      </c>
      <c r="M584" s="42">
        <f>56860750+760471</f>
        <v>57621221</v>
      </c>
      <c r="O584" s="42">
        <f t="shared" si="80"/>
        <v>2937471</v>
      </c>
      <c r="Q584" s="42">
        <v>1514919</v>
      </c>
      <c r="S584" s="42">
        <f>20043568-1514919</f>
        <v>18528649</v>
      </c>
      <c r="U584" s="42">
        <v>14107260</v>
      </c>
      <c r="W584" s="42">
        <f>22981039+14107260</f>
        <v>37088299</v>
      </c>
      <c r="Y584" s="42">
        <v>107383</v>
      </c>
      <c r="AA584" s="42">
        <f t="shared" si="84"/>
        <v>5683370</v>
      </c>
      <c r="AC584" s="42">
        <v>14742169</v>
      </c>
      <c r="AE584" s="42">
        <v>20532922</v>
      </c>
      <c r="AF584" s="42">
        <f t="shared" si="85"/>
        <v>0</v>
      </c>
      <c r="AH584" s="42">
        <f t="shared" si="82"/>
        <v>0</v>
      </c>
    </row>
    <row r="585" spans="1:34">
      <c r="A585" s="8" t="s">
        <v>296</v>
      </c>
      <c r="B585" s="8"/>
      <c r="C585" s="8" t="s">
        <v>26</v>
      </c>
      <c r="D585" s="8"/>
      <c r="E585" s="23">
        <v>45013</v>
      </c>
      <c r="G585" s="42">
        <f t="shared" si="81"/>
        <v>12459441</v>
      </c>
      <c r="I585" s="42">
        <f>477521+65620363</f>
        <v>66097884</v>
      </c>
      <c r="K585" s="42">
        <v>0</v>
      </c>
      <c r="M585" s="42">
        <v>78557325</v>
      </c>
      <c r="O585" s="42">
        <f t="shared" si="80"/>
        <v>2277227</v>
      </c>
      <c r="Q585" s="42">
        <v>676558</v>
      </c>
      <c r="S585" s="42">
        <f>21675722-676558</f>
        <v>20999164</v>
      </c>
      <c r="U585" s="42">
        <v>3003856</v>
      </c>
      <c r="W585" s="42">
        <f>23952949+3003856</f>
        <v>26956805</v>
      </c>
      <c r="Y585" s="42">
        <v>47560179</v>
      </c>
      <c r="AA585" s="42">
        <f t="shared" si="84"/>
        <v>4370211</v>
      </c>
      <c r="AC585" s="42">
        <v>-329870</v>
      </c>
      <c r="AE585" s="42">
        <v>51600520</v>
      </c>
      <c r="AF585" s="42">
        <f t="shared" si="85"/>
        <v>0</v>
      </c>
      <c r="AH585" s="42">
        <f t="shared" si="82"/>
        <v>0</v>
      </c>
    </row>
    <row r="586" spans="1:34">
      <c r="A586" s="8" t="s">
        <v>393</v>
      </c>
      <c r="B586" s="8"/>
      <c r="C586" s="8" t="s">
        <v>114</v>
      </c>
      <c r="D586" s="8"/>
      <c r="E586" s="23">
        <v>48231</v>
      </c>
      <c r="G586" s="42">
        <f t="shared" si="81"/>
        <v>92830297</v>
      </c>
      <c r="I586" s="42">
        <v>27196237</v>
      </c>
      <c r="K586" s="42">
        <v>0</v>
      </c>
      <c r="M586" s="42">
        <v>120026534</v>
      </c>
      <c r="O586" s="42">
        <f t="shared" si="80"/>
        <v>14067039</v>
      </c>
      <c r="Q586" s="42">
        <v>726088</v>
      </c>
      <c r="S586" s="42">
        <f>14353215-726088</f>
        <v>13627127</v>
      </c>
      <c r="U586" s="42">
        <v>36474736</v>
      </c>
      <c r="W586" s="42">
        <f>28420254+36474736</f>
        <v>64894990</v>
      </c>
      <c r="Y586" s="42">
        <v>23723628</v>
      </c>
      <c r="AA586" s="42">
        <f t="shared" si="84"/>
        <v>5756475</v>
      </c>
      <c r="AC586" s="42">
        <v>25651441</v>
      </c>
      <c r="AE586" s="42">
        <v>55131544</v>
      </c>
      <c r="AF586" s="42">
        <f t="shared" si="85"/>
        <v>0</v>
      </c>
      <c r="AH586" s="42">
        <f t="shared" si="82"/>
        <v>0</v>
      </c>
    </row>
    <row r="587" spans="1:34">
      <c r="A587" s="8" t="s">
        <v>482</v>
      </c>
      <c r="B587" s="8"/>
      <c r="C587" s="8" t="s">
        <v>59</v>
      </c>
      <c r="D587" s="8"/>
      <c r="E587" s="23">
        <v>49650</v>
      </c>
      <c r="G587" s="42">
        <f t="shared" si="81"/>
        <v>7678495</v>
      </c>
      <c r="I587" s="42">
        <f>2493449+31051049</f>
        <v>33544498</v>
      </c>
      <c r="K587" s="42">
        <v>0</v>
      </c>
      <c r="M587" s="42">
        <v>41222993</v>
      </c>
      <c r="O587" s="42">
        <f t="shared" si="80"/>
        <v>1766130</v>
      </c>
      <c r="Q587" s="42">
        <v>335241</v>
      </c>
      <c r="S587" s="42">
        <f>1476719-335241</f>
        <v>1141478</v>
      </c>
      <c r="U587" s="42">
        <v>1460887</v>
      </c>
      <c r="W587" s="42">
        <f>3242849+1460887</f>
        <v>4703736</v>
      </c>
      <c r="Y587" s="42">
        <v>32403358</v>
      </c>
      <c r="AA587" s="42">
        <f t="shared" si="84"/>
        <v>1673987</v>
      </c>
      <c r="AC587" s="42">
        <v>2441912</v>
      </c>
      <c r="AE587" s="42">
        <v>36519257</v>
      </c>
      <c r="AF587" s="42">
        <f t="shared" si="85"/>
        <v>0</v>
      </c>
      <c r="AH587" s="42">
        <f t="shared" si="82"/>
        <v>0</v>
      </c>
    </row>
    <row r="588" spans="1:34">
      <c r="A588" s="8" t="s">
        <v>462</v>
      </c>
      <c r="B588" s="8"/>
      <c r="C588" s="8" t="s">
        <v>56</v>
      </c>
      <c r="D588" s="8"/>
      <c r="E588" s="23">
        <v>49247</v>
      </c>
      <c r="G588" s="42">
        <f t="shared" si="81"/>
        <v>8212391</v>
      </c>
      <c r="I588" s="42">
        <v>15026375</v>
      </c>
      <c r="K588" s="42">
        <v>386830</v>
      </c>
      <c r="M588" s="42">
        <f>23238766+386830</f>
        <v>23625596</v>
      </c>
      <c r="O588" s="42">
        <f t="shared" si="80"/>
        <v>1085615</v>
      </c>
      <c r="Q588" s="42">
        <v>658805</v>
      </c>
      <c r="S588" s="42">
        <f>9519520-658805</f>
        <v>8860715</v>
      </c>
      <c r="U588" s="42">
        <v>3948733</v>
      </c>
      <c r="W588" s="42">
        <f>10605135+3948733</f>
        <v>14553868</v>
      </c>
      <c r="Y588" s="42">
        <v>7958141</v>
      </c>
      <c r="AA588" s="42">
        <f t="shared" si="84"/>
        <v>709132</v>
      </c>
      <c r="AC588" s="42">
        <v>404455</v>
      </c>
      <c r="AE588" s="42">
        <v>9071728</v>
      </c>
      <c r="AF588" s="42">
        <f t="shared" si="85"/>
        <v>0</v>
      </c>
      <c r="AH588" s="42">
        <f t="shared" si="82"/>
        <v>0</v>
      </c>
    </row>
    <row r="589" spans="1:34">
      <c r="A589" s="8" t="s">
        <v>774</v>
      </c>
      <c r="B589" s="8"/>
      <c r="C589" s="8" t="s">
        <v>28</v>
      </c>
      <c r="D589" s="8"/>
      <c r="E589" s="23">
        <v>45641</v>
      </c>
      <c r="G589" s="42">
        <f t="shared" si="81"/>
        <v>14917974</v>
      </c>
      <c r="I589" s="42">
        <v>48822482</v>
      </c>
      <c r="K589" s="42">
        <v>253942</v>
      </c>
      <c r="M589" s="42">
        <f>63740456+253942</f>
        <v>63994398</v>
      </c>
      <c r="O589" s="42">
        <f t="shared" si="80"/>
        <v>1811974</v>
      </c>
      <c r="Q589" s="42">
        <v>1160292</v>
      </c>
      <c r="S589" s="42">
        <f>24995380-1160292</f>
        <v>23835088</v>
      </c>
      <c r="U589" s="42">
        <v>6496488</v>
      </c>
      <c r="W589" s="42">
        <f>26807354+6496488</f>
        <v>33303842</v>
      </c>
      <c r="Y589" s="42">
        <v>25710982</v>
      </c>
      <c r="AA589" s="42">
        <f t="shared" si="84"/>
        <v>5280101</v>
      </c>
      <c r="AC589" s="42">
        <v>-300527</v>
      </c>
      <c r="AE589" s="42">
        <v>30690556</v>
      </c>
      <c r="AF589" s="42">
        <f t="shared" si="85"/>
        <v>0</v>
      </c>
      <c r="AH589" s="42">
        <f t="shared" si="82"/>
        <v>0</v>
      </c>
    </row>
    <row r="590" spans="1:34">
      <c r="A590" s="8" t="s">
        <v>454</v>
      </c>
      <c r="B590" s="8"/>
      <c r="C590" s="8" t="s">
        <v>55</v>
      </c>
      <c r="D590" s="8"/>
      <c r="E590" s="23">
        <v>49148</v>
      </c>
      <c r="G590" s="42">
        <f t="shared" si="81"/>
        <v>16561540</v>
      </c>
      <c r="I590" s="42">
        <f>679800+552915+35551451</f>
        <v>36784166</v>
      </c>
      <c r="K590" s="42">
        <v>175282</v>
      </c>
      <c r="M590" s="42">
        <f>53345706+175282</f>
        <v>53520988</v>
      </c>
      <c r="O590" s="42">
        <f t="shared" ref="O590:O632" si="88">+W590-Q590-S590-U590</f>
        <v>1570582</v>
      </c>
      <c r="Q590" s="42">
        <v>972393</v>
      </c>
      <c r="S590" s="42">
        <f>9157849-972393</f>
        <v>8185456</v>
      </c>
      <c r="U590" s="42">
        <v>3562803</v>
      </c>
      <c r="W590" s="42">
        <f>10728431+3562803</f>
        <v>14291234</v>
      </c>
      <c r="Y590" s="42">
        <v>30118658</v>
      </c>
      <c r="AA590" s="42">
        <f t="shared" si="84"/>
        <v>7484744</v>
      </c>
      <c r="AC590" s="42">
        <v>1626352</v>
      </c>
      <c r="AE590" s="42">
        <v>39229754</v>
      </c>
      <c r="AF590" s="42">
        <f t="shared" si="85"/>
        <v>0</v>
      </c>
      <c r="AH590" s="42">
        <f t="shared" si="82"/>
        <v>0</v>
      </c>
    </row>
    <row r="591" spans="1:34" hidden="1">
      <c r="A591" s="8" t="s">
        <v>702</v>
      </c>
      <c r="B591" s="8"/>
      <c r="C591" s="8" t="s">
        <v>69</v>
      </c>
      <c r="D591" s="8"/>
      <c r="E591" s="23">
        <v>50468</v>
      </c>
      <c r="G591" s="42">
        <f t="shared" ref="G591:G632" si="89">+M591-I591-K591</f>
        <v>0</v>
      </c>
      <c r="I591" s="42">
        <v>0</v>
      </c>
      <c r="K591" s="42">
        <v>0</v>
      </c>
      <c r="M591" s="42">
        <v>0</v>
      </c>
      <c r="O591" s="42">
        <f t="shared" si="88"/>
        <v>0</v>
      </c>
      <c r="Q591" s="42">
        <v>0</v>
      </c>
      <c r="S591" s="42">
        <v>0</v>
      </c>
      <c r="U591" s="42">
        <v>0</v>
      </c>
      <c r="W591" s="42">
        <v>0</v>
      </c>
      <c r="Y591" s="42">
        <v>0</v>
      </c>
      <c r="AA591" s="42">
        <f t="shared" si="84"/>
        <v>0</v>
      </c>
      <c r="AC591" s="42">
        <v>0</v>
      </c>
      <c r="AE591" s="42">
        <v>0</v>
      </c>
      <c r="AF591" s="42">
        <f t="shared" si="85"/>
        <v>0</v>
      </c>
      <c r="AH591" s="42">
        <f t="shared" si="82"/>
        <v>0</v>
      </c>
    </row>
    <row r="592" spans="1:34" hidden="1">
      <c r="A592" s="8" t="s">
        <v>797</v>
      </c>
      <c r="B592" s="8"/>
      <c r="C592" s="8" t="s">
        <v>447</v>
      </c>
      <c r="D592" s="8"/>
      <c r="E592" s="23">
        <v>49031</v>
      </c>
      <c r="G592" s="42">
        <f t="shared" si="89"/>
        <v>0</v>
      </c>
      <c r="I592" s="42">
        <v>0</v>
      </c>
      <c r="K592" s="42">
        <v>0</v>
      </c>
      <c r="M592" s="42">
        <v>0</v>
      </c>
      <c r="O592" s="42">
        <f t="shared" si="88"/>
        <v>0</v>
      </c>
      <c r="Q592" s="42">
        <v>0</v>
      </c>
      <c r="S592" s="42">
        <v>0</v>
      </c>
      <c r="U592" s="42">
        <v>0</v>
      </c>
      <c r="W592" s="42">
        <v>0</v>
      </c>
      <c r="Y592" s="42">
        <v>0</v>
      </c>
      <c r="AA592" s="42">
        <f t="shared" si="84"/>
        <v>0</v>
      </c>
      <c r="AC592" s="42">
        <v>0</v>
      </c>
      <c r="AE592" s="42">
        <v>0</v>
      </c>
      <c r="AF592" s="42">
        <f t="shared" si="85"/>
        <v>0</v>
      </c>
      <c r="AH592" s="42">
        <f t="shared" ref="AH592:AH632" si="90">+G592+I592+K592-O592-Q592-Y592-AA592-AC592-S592-U592</f>
        <v>0</v>
      </c>
    </row>
    <row r="593" spans="1:34" hidden="1">
      <c r="A593" s="8" t="s">
        <v>641</v>
      </c>
      <c r="B593" s="8"/>
      <c r="C593" s="8" t="s">
        <v>14</v>
      </c>
      <c r="D593" s="8"/>
      <c r="E593" s="23">
        <v>45971</v>
      </c>
      <c r="G593" s="42">
        <f t="shared" si="89"/>
        <v>0</v>
      </c>
      <c r="I593" s="42">
        <v>0</v>
      </c>
      <c r="K593" s="42">
        <v>0</v>
      </c>
      <c r="M593" s="42">
        <v>0</v>
      </c>
      <c r="O593" s="42">
        <f t="shared" si="88"/>
        <v>0</v>
      </c>
      <c r="Q593" s="42">
        <v>0</v>
      </c>
      <c r="S593" s="42">
        <v>0</v>
      </c>
      <c r="U593" s="42">
        <v>0</v>
      </c>
      <c r="W593" s="42">
        <v>0</v>
      </c>
      <c r="Y593" s="42">
        <v>0</v>
      </c>
      <c r="AA593" s="42">
        <f t="shared" si="84"/>
        <v>0</v>
      </c>
      <c r="AC593" s="42">
        <v>0</v>
      </c>
      <c r="AE593" s="42">
        <v>0</v>
      </c>
      <c r="AF593" s="42">
        <f t="shared" si="85"/>
        <v>0</v>
      </c>
      <c r="AH593" s="42">
        <f t="shared" si="90"/>
        <v>0</v>
      </c>
    </row>
    <row r="594" spans="1:34">
      <c r="A594" s="8" t="s">
        <v>528</v>
      </c>
      <c r="B594" s="8"/>
      <c r="C594" s="8" t="s">
        <v>64</v>
      </c>
      <c r="D594" s="8"/>
      <c r="E594" s="23">
        <v>50252</v>
      </c>
      <c r="G594" s="42">
        <f t="shared" si="89"/>
        <v>31564509</v>
      </c>
      <c r="I594" s="42">
        <v>4871795</v>
      </c>
      <c r="K594" s="42">
        <v>91791</v>
      </c>
      <c r="M594" s="42">
        <f>36436304+91791</f>
        <v>36528095</v>
      </c>
      <c r="O594" s="42">
        <f t="shared" si="88"/>
        <v>912721</v>
      </c>
      <c r="Q594" s="42">
        <v>413595</v>
      </c>
      <c r="S594" s="42">
        <f>11228090-413595</f>
        <v>10814495</v>
      </c>
      <c r="U594" s="42">
        <v>3046017</v>
      </c>
      <c r="W594" s="42">
        <f>12140811+3046017</f>
        <v>15186828</v>
      </c>
      <c r="Y594" s="42">
        <v>1176968</v>
      </c>
      <c r="AA594" s="42">
        <f t="shared" si="84"/>
        <v>15890253</v>
      </c>
      <c r="AC594" s="42">
        <v>4274046</v>
      </c>
      <c r="AE594" s="42">
        <v>21341267</v>
      </c>
      <c r="AF594" s="42">
        <f t="shared" si="85"/>
        <v>0</v>
      </c>
      <c r="AH594" s="42">
        <f t="shared" si="90"/>
        <v>0</v>
      </c>
    </row>
    <row r="595" spans="1:34">
      <c r="A595" s="8" t="s">
        <v>775</v>
      </c>
      <c r="B595" s="8"/>
      <c r="C595" s="8" t="s">
        <v>44</v>
      </c>
      <c r="D595" s="8"/>
      <c r="E595" s="23">
        <v>45658</v>
      </c>
      <c r="G595" s="42">
        <f t="shared" si="89"/>
        <v>22855453</v>
      </c>
      <c r="I595" s="42">
        <v>5405596</v>
      </c>
      <c r="K595" s="42">
        <v>0</v>
      </c>
      <c r="M595" s="42">
        <v>28261049</v>
      </c>
      <c r="O595" s="42">
        <f t="shared" si="88"/>
        <v>1563468</v>
      </c>
      <c r="Q595" s="42">
        <v>625705</v>
      </c>
      <c r="S595" s="42">
        <f>13639183-625705</f>
        <v>13013478</v>
      </c>
      <c r="U595" s="42">
        <v>4410471</v>
      </c>
      <c r="W595" s="42">
        <f>15202651+4410471</f>
        <v>19613122</v>
      </c>
      <c r="Y595" s="42">
        <v>4233885</v>
      </c>
      <c r="AA595" s="42">
        <f t="shared" si="84"/>
        <v>1596630</v>
      </c>
      <c r="AC595" s="42">
        <v>2817412</v>
      </c>
      <c r="AE595" s="42">
        <v>8647927</v>
      </c>
      <c r="AF595" s="42">
        <f t="shared" si="85"/>
        <v>0</v>
      </c>
      <c r="AH595" s="42">
        <f t="shared" si="90"/>
        <v>0</v>
      </c>
    </row>
    <row r="596" spans="1:34">
      <c r="A596" s="8" t="s">
        <v>359</v>
      </c>
      <c r="B596" s="8"/>
      <c r="C596" s="8" t="s">
        <v>38</v>
      </c>
      <c r="D596" s="8"/>
      <c r="E596" s="23">
        <v>45021</v>
      </c>
      <c r="G596" s="42">
        <f t="shared" si="89"/>
        <v>15277445</v>
      </c>
      <c r="I596" s="42">
        <f>189885+38595728</f>
        <v>38785613</v>
      </c>
      <c r="K596" s="42">
        <v>28575</v>
      </c>
      <c r="M596" s="42">
        <f>54063058+28575</f>
        <v>54091633</v>
      </c>
      <c r="O596" s="42">
        <f t="shared" si="88"/>
        <v>1968456</v>
      </c>
      <c r="Q596" s="42">
        <v>416338</v>
      </c>
      <c r="S596" s="42">
        <f>4618461-416338</f>
        <v>4202123</v>
      </c>
      <c r="U596" s="42">
        <v>2039353</v>
      </c>
      <c r="W596" s="42">
        <f>6586917+2039353</f>
        <v>8626270</v>
      </c>
      <c r="Y596" s="42">
        <v>34825490</v>
      </c>
      <c r="AA596" s="42">
        <f t="shared" si="84"/>
        <v>4766212</v>
      </c>
      <c r="AC596" s="42">
        <v>5873661</v>
      </c>
      <c r="AE596" s="42">
        <v>45465363</v>
      </c>
      <c r="AF596" s="42">
        <f t="shared" si="85"/>
        <v>0</v>
      </c>
      <c r="AH596" s="42">
        <f t="shared" si="90"/>
        <v>0</v>
      </c>
    </row>
    <row r="597" spans="1:34">
      <c r="A597" s="8" t="s">
        <v>250</v>
      </c>
      <c r="B597" s="8"/>
      <c r="C597" s="8" t="s">
        <v>111</v>
      </c>
      <c r="D597" s="8"/>
      <c r="E597" s="23">
        <v>45039</v>
      </c>
      <c r="G597" s="42">
        <f t="shared" si="89"/>
        <v>4317882</v>
      </c>
      <c r="I597" s="42">
        <v>6146811</v>
      </c>
      <c r="K597" s="42">
        <v>36240</v>
      </c>
      <c r="M597" s="42">
        <f>10464693+36240</f>
        <v>10500933</v>
      </c>
      <c r="O597" s="42">
        <f t="shared" si="88"/>
        <v>898313</v>
      </c>
      <c r="Q597" s="42">
        <v>172545</v>
      </c>
      <c r="S597" s="42">
        <f>1477466-172545</f>
        <v>1304921</v>
      </c>
      <c r="U597" s="42">
        <v>1110241</v>
      </c>
      <c r="W597" s="42">
        <f>2375779+1110241</f>
        <v>3486020</v>
      </c>
      <c r="Y597" s="42">
        <v>5186941</v>
      </c>
      <c r="AA597" s="42">
        <f t="shared" si="84"/>
        <v>821436</v>
      </c>
      <c r="AC597" s="42">
        <v>1006536</v>
      </c>
      <c r="AE597" s="42">
        <v>7014913</v>
      </c>
      <c r="AF597" s="42">
        <f t="shared" si="85"/>
        <v>0</v>
      </c>
      <c r="AH597" s="42">
        <f t="shared" si="90"/>
        <v>0</v>
      </c>
    </row>
    <row r="598" spans="1:34">
      <c r="A598" s="8" t="s">
        <v>405</v>
      </c>
      <c r="B598" s="8"/>
      <c r="C598" s="8" t="s">
        <v>45</v>
      </c>
      <c r="D598" s="8"/>
      <c r="E598" s="23">
        <v>48389</v>
      </c>
      <c r="G598" s="42">
        <f t="shared" si="89"/>
        <v>11569030</v>
      </c>
      <c r="I598" s="42">
        <v>38837872</v>
      </c>
      <c r="K598" s="42">
        <v>237127</v>
      </c>
      <c r="M598" s="42">
        <f>50406902+237127</f>
        <v>50644029</v>
      </c>
      <c r="O598" s="42">
        <f t="shared" si="88"/>
        <v>3033106</v>
      </c>
      <c r="Q598" s="42">
        <v>712811</v>
      </c>
      <c r="S598" s="42">
        <f>7872825-712811</f>
        <v>7160014</v>
      </c>
      <c r="U598" s="42">
        <v>4803510</v>
      </c>
      <c r="W598" s="42">
        <f>10905931+4803510</f>
        <v>15709441</v>
      </c>
      <c r="Y598" s="42">
        <v>32317667</v>
      </c>
      <c r="AA598" s="42">
        <f t="shared" si="84"/>
        <v>1582652</v>
      </c>
      <c r="AC598" s="42">
        <v>1034269</v>
      </c>
      <c r="AE598" s="42">
        <v>34934588</v>
      </c>
      <c r="AF598" s="42">
        <f t="shared" si="85"/>
        <v>0</v>
      </c>
      <c r="AH598" s="42">
        <f t="shared" si="90"/>
        <v>0</v>
      </c>
    </row>
    <row r="599" spans="1:34">
      <c r="A599" s="8" t="s">
        <v>701</v>
      </c>
      <c r="B599" s="8"/>
      <c r="C599" s="8" t="s">
        <v>50</v>
      </c>
      <c r="D599" s="8"/>
      <c r="E599" s="23">
        <v>45054</v>
      </c>
      <c r="G599" s="42">
        <f t="shared" si="89"/>
        <v>33695166</v>
      </c>
      <c r="I599" s="42">
        <v>15369946</v>
      </c>
      <c r="K599" s="42">
        <v>0</v>
      </c>
      <c r="M599" s="42">
        <v>49065112</v>
      </c>
      <c r="O599" s="42">
        <f t="shared" si="88"/>
        <v>5631208</v>
      </c>
      <c r="Q599" s="42">
        <v>627650</v>
      </c>
      <c r="S599" s="42">
        <f>3296191-627650</f>
        <v>2668541</v>
      </c>
      <c r="U599" s="42">
        <v>15869922</v>
      </c>
      <c r="W599" s="42">
        <f>8927399+15869922</f>
        <v>24797321</v>
      </c>
      <c r="Y599" s="42">
        <v>13375172</v>
      </c>
      <c r="AA599" s="42">
        <f t="shared" si="84"/>
        <v>1213705</v>
      </c>
      <c r="AC599" s="42">
        <v>9678914</v>
      </c>
      <c r="AE599" s="42">
        <v>24267791</v>
      </c>
      <c r="AF599" s="42">
        <f t="shared" si="85"/>
        <v>0</v>
      </c>
      <c r="AH599" s="42">
        <f t="shared" si="90"/>
        <v>0</v>
      </c>
    </row>
    <row r="600" spans="1:34">
      <c r="A600" s="8" t="s">
        <v>239</v>
      </c>
      <c r="B600" s="8"/>
      <c r="C600" s="8" t="s">
        <v>112</v>
      </c>
      <c r="D600" s="8"/>
      <c r="E600" s="23">
        <v>46359</v>
      </c>
      <c r="G600" s="42">
        <f t="shared" si="89"/>
        <v>62196072</v>
      </c>
      <c r="I600" s="42">
        <f>4716755+44391075</f>
        <v>49107830</v>
      </c>
      <c r="K600" s="42">
        <v>0</v>
      </c>
      <c r="M600" s="42">
        <v>111303902</v>
      </c>
      <c r="O600" s="42">
        <f t="shared" si="88"/>
        <v>8521702</v>
      </c>
      <c r="Q600" s="42">
        <v>2772699</v>
      </c>
      <c r="S600" s="42">
        <f>38556559-2772699</f>
        <v>35783860</v>
      </c>
      <c r="U600" s="42">
        <v>39105768</v>
      </c>
      <c r="W600" s="42">
        <f>47078261+39105768</f>
        <v>86184029</v>
      </c>
      <c r="Y600" s="42">
        <v>12986534</v>
      </c>
      <c r="AA600" s="42">
        <f t="shared" si="84"/>
        <v>14375814</v>
      </c>
      <c r="AC600" s="42">
        <v>-2242475</v>
      </c>
      <c r="AE600" s="42">
        <v>25119873</v>
      </c>
      <c r="AF600" s="42">
        <f t="shared" si="85"/>
        <v>0</v>
      </c>
      <c r="AH600" s="42">
        <f t="shared" si="90"/>
        <v>0</v>
      </c>
    </row>
    <row r="601" spans="1:34">
      <c r="A601" s="8" t="s">
        <v>314</v>
      </c>
      <c r="B601" s="8"/>
      <c r="C601" s="8" t="s">
        <v>30</v>
      </c>
      <c r="D601" s="8"/>
      <c r="E601" s="23">
        <v>47225</v>
      </c>
      <c r="G601" s="42">
        <f t="shared" si="89"/>
        <v>30009324</v>
      </c>
      <c r="I601" s="42">
        <f>366380+15568287</f>
        <v>15934667</v>
      </c>
      <c r="K601" s="42">
        <v>0</v>
      </c>
      <c r="M601" s="42">
        <v>45943991</v>
      </c>
      <c r="O601" s="42">
        <f t="shared" si="88"/>
        <v>2975413</v>
      </c>
      <c r="Q601" s="42">
        <v>352767</v>
      </c>
      <c r="S601" s="42">
        <f>2906307-352767</f>
        <v>2553540</v>
      </c>
      <c r="U601" s="42">
        <v>16720052</v>
      </c>
      <c r="W601" s="42">
        <v>22601772</v>
      </c>
      <c r="Y601" s="42">
        <v>14864667</v>
      </c>
      <c r="AA601" s="42">
        <f t="shared" si="84"/>
        <v>1227166</v>
      </c>
      <c r="AC601" s="42">
        <v>7250386</v>
      </c>
      <c r="AE601" s="42">
        <v>23342219</v>
      </c>
      <c r="AF601" s="42">
        <f t="shared" si="85"/>
        <v>0</v>
      </c>
      <c r="AH601" s="42">
        <f t="shared" si="90"/>
        <v>0</v>
      </c>
    </row>
    <row r="602" spans="1:34">
      <c r="A602" s="8" t="s">
        <v>352</v>
      </c>
      <c r="B602" s="8"/>
      <c r="C602" s="8" t="s">
        <v>36</v>
      </c>
      <c r="D602" s="8"/>
      <c r="E602" s="23">
        <v>47696</v>
      </c>
      <c r="G602" s="42">
        <f t="shared" si="89"/>
        <v>22790715</v>
      </c>
      <c r="I602" s="42">
        <f>643088+20854400</f>
        <v>21497488</v>
      </c>
      <c r="K602" s="42">
        <v>0</v>
      </c>
      <c r="M602" s="42">
        <v>44288203</v>
      </c>
      <c r="O602" s="42">
        <f t="shared" si="88"/>
        <v>3276791</v>
      </c>
      <c r="Q602" s="42">
        <v>765000</v>
      </c>
      <c r="S602" s="42">
        <f>11589275-765000</f>
        <v>10824275</v>
      </c>
      <c r="U602" s="42">
        <v>8707592</v>
      </c>
      <c r="W602" s="42">
        <v>23573658</v>
      </c>
      <c r="Y602" s="42">
        <v>11597476</v>
      </c>
      <c r="AA602" s="42">
        <f t="shared" si="84"/>
        <v>1928618</v>
      </c>
      <c r="AC602" s="42">
        <v>7188451</v>
      </c>
      <c r="AE602" s="42">
        <v>20714545</v>
      </c>
      <c r="AF602" s="42">
        <f t="shared" si="85"/>
        <v>0</v>
      </c>
      <c r="AH602" s="42">
        <f t="shared" si="90"/>
        <v>0</v>
      </c>
    </row>
    <row r="603" spans="1:34" hidden="1">
      <c r="A603" s="8" t="s">
        <v>908</v>
      </c>
      <c r="B603" s="8"/>
      <c r="C603" s="8" t="s">
        <v>227</v>
      </c>
      <c r="D603" s="8"/>
      <c r="E603" s="23">
        <v>46219</v>
      </c>
      <c r="G603" s="42">
        <f t="shared" si="89"/>
        <v>0</v>
      </c>
      <c r="I603" s="42">
        <v>0</v>
      </c>
      <c r="K603" s="42">
        <v>0</v>
      </c>
      <c r="M603" s="42">
        <v>0</v>
      </c>
      <c r="O603" s="42">
        <f t="shared" si="88"/>
        <v>0</v>
      </c>
      <c r="Q603" s="42">
        <v>0</v>
      </c>
      <c r="S603" s="42">
        <v>0</v>
      </c>
      <c r="U603" s="42">
        <v>0</v>
      </c>
      <c r="W603" s="42">
        <v>0</v>
      </c>
      <c r="Y603" s="42">
        <v>0</v>
      </c>
      <c r="AA603" s="42">
        <f t="shared" si="84"/>
        <v>0</v>
      </c>
      <c r="AC603" s="42">
        <v>0</v>
      </c>
      <c r="AE603" s="42">
        <v>0</v>
      </c>
      <c r="AF603" s="42">
        <f t="shared" si="85"/>
        <v>0</v>
      </c>
      <c r="AH603" s="42">
        <f t="shared" si="90"/>
        <v>0</v>
      </c>
    </row>
    <row r="604" spans="1:34">
      <c r="A604" s="8" t="s">
        <v>444</v>
      </c>
      <c r="B604" s="8"/>
      <c r="C604" s="8" t="s">
        <v>51</v>
      </c>
      <c r="D604" s="8"/>
      <c r="E604" s="23">
        <v>48884</v>
      </c>
      <c r="G604" s="42">
        <f t="shared" si="89"/>
        <v>17215007</v>
      </c>
      <c r="I604" s="42">
        <f>666708+20204261</f>
        <v>20870969</v>
      </c>
      <c r="K604" s="42">
        <v>830594</v>
      </c>
      <c r="M604" s="42">
        <f>38085976+830594</f>
        <v>38916570</v>
      </c>
      <c r="O604" s="42">
        <f t="shared" si="88"/>
        <v>1851681</v>
      </c>
      <c r="Q604" s="42">
        <v>942890</v>
      </c>
      <c r="S604" s="42">
        <f>22981719-942890</f>
        <v>22038829</v>
      </c>
      <c r="U604" s="42">
        <v>5324040</v>
      </c>
      <c r="W604" s="42">
        <f>24833400+5324040</f>
        <v>30157440</v>
      </c>
      <c r="Y604" s="42">
        <v>-591447</v>
      </c>
      <c r="AA604" s="42">
        <f t="shared" si="84"/>
        <v>3793650</v>
      </c>
      <c r="AC604" s="42">
        <v>5556927</v>
      </c>
      <c r="AE604" s="42">
        <v>8759130</v>
      </c>
      <c r="AF604" s="42">
        <f t="shared" si="85"/>
        <v>0</v>
      </c>
      <c r="AH604" s="42">
        <f t="shared" si="90"/>
        <v>0</v>
      </c>
    </row>
    <row r="605" spans="1:34">
      <c r="A605" s="9" t="s">
        <v>219</v>
      </c>
      <c r="B605" s="9"/>
      <c r="C605" s="9" t="s">
        <v>77</v>
      </c>
      <c r="D605" s="9"/>
      <c r="E605" s="23">
        <v>46060</v>
      </c>
      <c r="G605" s="42">
        <f t="shared" si="89"/>
        <v>11709731</v>
      </c>
      <c r="I605" s="42">
        <f>2524314+41067428</f>
        <v>43591742</v>
      </c>
      <c r="K605" s="42">
        <v>50848</v>
      </c>
      <c r="M605" s="42">
        <f>55301473+50848</f>
        <v>55352321</v>
      </c>
      <c r="O605" s="42">
        <f t="shared" si="88"/>
        <v>2641450</v>
      </c>
      <c r="Q605" s="42">
        <v>737570</v>
      </c>
      <c r="S605" s="42">
        <f>6213223-737570</f>
        <v>5475653</v>
      </c>
      <c r="U605" s="42">
        <v>3645249</v>
      </c>
      <c r="W605" s="42">
        <f>8854673+3645249</f>
        <v>12499922</v>
      </c>
      <c r="Y605" s="42">
        <v>39181798</v>
      </c>
      <c r="AA605" s="42">
        <f t="shared" si="84"/>
        <v>3833523</v>
      </c>
      <c r="AC605" s="42">
        <v>-162922</v>
      </c>
      <c r="AE605" s="42">
        <v>42852399</v>
      </c>
      <c r="AF605" s="42">
        <f t="shared" ref="AF605:AF632" si="91">+M605-W605-AE605</f>
        <v>0</v>
      </c>
      <c r="AH605" s="42">
        <f t="shared" si="90"/>
        <v>0</v>
      </c>
    </row>
    <row r="606" spans="1:34">
      <c r="A606" s="8" t="s">
        <v>455</v>
      </c>
      <c r="B606" s="8"/>
      <c r="C606" s="8" t="s">
        <v>55</v>
      </c>
      <c r="D606" s="8"/>
      <c r="E606" s="23">
        <v>49155</v>
      </c>
      <c r="G606" s="42">
        <f t="shared" si="89"/>
        <v>5277821</v>
      </c>
      <c r="I606" s="42">
        <f>364219+14795207</f>
        <v>15159426</v>
      </c>
      <c r="K606" s="42">
        <v>0</v>
      </c>
      <c r="M606" s="42">
        <v>20437247</v>
      </c>
      <c r="O606" s="42">
        <f t="shared" si="88"/>
        <v>807650</v>
      </c>
      <c r="Q606" s="42">
        <v>112416</v>
      </c>
      <c r="S606" s="42">
        <f>1080658-112416</f>
        <v>968242</v>
      </c>
      <c r="U606" s="42">
        <v>783573</v>
      </c>
      <c r="W606" s="42">
        <f>1888308+783573</f>
        <v>2671881</v>
      </c>
      <c r="Y606" s="42">
        <v>14249426</v>
      </c>
      <c r="AA606" s="42">
        <f t="shared" si="84"/>
        <v>1186663</v>
      </c>
      <c r="AC606" s="42">
        <v>2329277</v>
      </c>
      <c r="AE606" s="42">
        <v>17765366</v>
      </c>
      <c r="AF606" s="42">
        <f t="shared" si="91"/>
        <v>0</v>
      </c>
      <c r="AH606" s="42">
        <f t="shared" si="90"/>
        <v>0</v>
      </c>
    </row>
    <row r="607" spans="1:34">
      <c r="A607" s="8" t="s">
        <v>357</v>
      </c>
      <c r="B607" s="8"/>
      <c r="C607" s="8" t="s">
        <v>37</v>
      </c>
      <c r="D607" s="8"/>
      <c r="E607" s="23">
        <v>47746</v>
      </c>
      <c r="G607" s="42">
        <f t="shared" si="89"/>
        <v>5651549</v>
      </c>
      <c r="I607" s="42">
        <v>15872196</v>
      </c>
      <c r="K607" s="42">
        <v>98380</v>
      </c>
      <c r="M607" s="42">
        <f>21523745+98380</f>
        <v>21622125</v>
      </c>
      <c r="O607" s="42">
        <f t="shared" si="88"/>
        <v>1469690</v>
      </c>
      <c r="Q607" s="42">
        <v>290675</v>
      </c>
      <c r="S607" s="42">
        <f>2970238-290675</f>
        <v>2679563</v>
      </c>
      <c r="U607" s="42">
        <v>2357514</v>
      </c>
      <c r="W607" s="42">
        <f>4439928+2357514</f>
        <v>6797442</v>
      </c>
      <c r="Y607" s="42">
        <v>13528915</v>
      </c>
      <c r="AA607" s="42">
        <f t="shared" si="84"/>
        <v>793648</v>
      </c>
      <c r="AC607" s="42">
        <v>502120</v>
      </c>
      <c r="AE607" s="42">
        <v>14824683</v>
      </c>
      <c r="AF607" s="42">
        <f t="shared" si="91"/>
        <v>0</v>
      </c>
      <c r="AH607" s="42">
        <f t="shared" si="90"/>
        <v>0</v>
      </c>
    </row>
    <row r="608" spans="1:34">
      <c r="A608" s="8" t="s">
        <v>357</v>
      </c>
      <c r="B608" s="8"/>
      <c r="C608" s="8" t="s">
        <v>45</v>
      </c>
      <c r="D608" s="8"/>
      <c r="E608" s="23">
        <v>48397</v>
      </c>
      <c r="G608" s="42">
        <f t="shared" si="89"/>
        <v>7269307</v>
      </c>
      <c r="I608" s="42">
        <f>28935+26266649</f>
        <v>26295584</v>
      </c>
      <c r="K608" s="42">
        <v>0</v>
      </c>
      <c r="M608" s="42">
        <v>33564891</v>
      </c>
      <c r="O608" s="42">
        <f t="shared" si="88"/>
        <v>1123453</v>
      </c>
      <c r="Q608" s="42">
        <v>426369</v>
      </c>
      <c r="S608" s="42">
        <f>11240193-426369</f>
        <v>10813824</v>
      </c>
      <c r="U608" s="42">
        <v>3442982</v>
      </c>
      <c r="W608" s="42">
        <f>12363646+3442982</f>
        <v>15806628</v>
      </c>
      <c r="Y608" s="42">
        <v>15739371</v>
      </c>
      <c r="AA608" s="42">
        <f t="shared" si="84"/>
        <v>1548081</v>
      </c>
      <c r="AC608" s="42">
        <v>470811</v>
      </c>
      <c r="AE608" s="42">
        <v>17758263</v>
      </c>
      <c r="AF608" s="42">
        <f t="shared" si="91"/>
        <v>0</v>
      </c>
      <c r="AH608" s="42">
        <f t="shared" si="90"/>
        <v>0</v>
      </c>
    </row>
    <row r="609" spans="1:34">
      <c r="A609" s="8" t="s">
        <v>307</v>
      </c>
      <c r="B609" s="8"/>
      <c r="C609" s="8" t="s">
        <v>27</v>
      </c>
      <c r="D609" s="8"/>
      <c r="E609" s="23">
        <v>45047</v>
      </c>
      <c r="G609" s="42">
        <f t="shared" si="89"/>
        <v>177459606</v>
      </c>
      <c r="I609" s="42">
        <v>155499192</v>
      </c>
      <c r="K609" s="42">
        <v>5120272</v>
      </c>
      <c r="M609" s="42">
        <f>332958798+5120272</f>
        <v>338079070</v>
      </c>
      <c r="O609" s="42">
        <f t="shared" si="88"/>
        <v>15030405</v>
      </c>
      <c r="Q609" s="42">
        <v>8497116</v>
      </c>
      <c r="S609" s="42">
        <f>119969341-8497116</f>
        <v>111472225</v>
      </c>
      <c r="U609" s="42">
        <v>92949412</v>
      </c>
      <c r="W609" s="42">
        <f>134999746+92949412</f>
        <v>227949158</v>
      </c>
      <c r="Y609" s="42">
        <v>52021416</v>
      </c>
      <c r="AA609" s="42">
        <f t="shared" si="84"/>
        <v>18279391</v>
      </c>
      <c r="AC609" s="42">
        <v>39829105</v>
      </c>
      <c r="AE609" s="42">
        <v>110129912</v>
      </c>
      <c r="AF609" s="42">
        <f t="shared" si="91"/>
        <v>0</v>
      </c>
      <c r="AH609" s="42">
        <f t="shared" si="90"/>
        <v>0</v>
      </c>
    </row>
    <row r="610" spans="1:34">
      <c r="A610" s="8" t="s">
        <v>452</v>
      </c>
      <c r="B610" s="8"/>
      <c r="C610" s="8" t="s">
        <v>54</v>
      </c>
      <c r="D610" s="8"/>
      <c r="E610" s="23">
        <v>49106</v>
      </c>
      <c r="G610" s="42">
        <f t="shared" si="89"/>
        <v>17820524</v>
      </c>
      <c r="I610" s="42">
        <f>105604+10656300</f>
        <v>10761904</v>
      </c>
      <c r="K610" s="42">
        <v>0</v>
      </c>
      <c r="M610" s="42">
        <v>28582428</v>
      </c>
      <c r="O610" s="42">
        <f t="shared" si="88"/>
        <v>1656708</v>
      </c>
      <c r="Q610" s="42">
        <v>452753</v>
      </c>
      <c r="S610" s="42">
        <f>5582514-452753</f>
        <v>5129761</v>
      </c>
      <c r="U610" s="42">
        <v>6294200</v>
      </c>
      <c r="W610" s="42">
        <f>7239222+6294200</f>
        <v>13533422</v>
      </c>
      <c r="Y610" s="42">
        <v>5840326</v>
      </c>
      <c r="AA610" s="42">
        <f t="shared" si="84"/>
        <v>2871763</v>
      </c>
      <c r="AC610" s="42">
        <v>6336917</v>
      </c>
      <c r="AE610" s="42">
        <v>15049006</v>
      </c>
      <c r="AF610" s="42">
        <f t="shared" si="91"/>
        <v>0</v>
      </c>
      <c r="AH610" s="42">
        <f t="shared" si="90"/>
        <v>0</v>
      </c>
    </row>
    <row r="611" spans="1:34">
      <c r="A611" s="8" t="s">
        <v>279</v>
      </c>
      <c r="B611" s="8"/>
      <c r="C611" s="8" t="s">
        <v>20</v>
      </c>
      <c r="D611" s="8"/>
      <c r="E611" s="23">
        <v>45062</v>
      </c>
      <c r="G611" s="42">
        <f t="shared" si="89"/>
        <v>102827871</v>
      </c>
      <c r="I611" s="42">
        <v>106690920</v>
      </c>
      <c r="K611" s="42">
        <v>1023586</v>
      </c>
      <c r="M611" s="42">
        <f>209518791+1023586</f>
        <v>210542377</v>
      </c>
      <c r="O611" s="42">
        <f t="shared" si="88"/>
        <v>16664756</v>
      </c>
      <c r="Q611" s="42">
        <v>5491500</v>
      </c>
      <c r="S611" s="42">
        <f>102544832-5491500</f>
        <v>97053332</v>
      </c>
      <c r="U611" s="42">
        <v>38255741</v>
      </c>
      <c r="W611" s="42">
        <f>119209588+38255741</f>
        <v>157465329</v>
      </c>
      <c r="Y611" s="42">
        <v>31803272</v>
      </c>
      <c r="AA611" s="42">
        <f t="shared" si="84"/>
        <v>5852768</v>
      </c>
      <c r="AC611" s="42">
        <v>15421008</v>
      </c>
      <c r="AE611" s="42">
        <v>53077048</v>
      </c>
      <c r="AF611" s="42">
        <f t="shared" si="91"/>
        <v>0</v>
      </c>
      <c r="AH611" s="42">
        <f t="shared" si="90"/>
        <v>0</v>
      </c>
    </row>
    <row r="612" spans="1:34" s="24" customFormat="1">
      <c r="A612" s="51" t="s">
        <v>483</v>
      </c>
      <c r="B612" s="51"/>
      <c r="C612" s="51" t="s">
        <v>59</v>
      </c>
      <c r="D612" s="51"/>
      <c r="E612" s="23">
        <v>49668</v>
      </c>
      <c r="G612" s="42">
        <f t="shared" si="89"/>
        <v>8157157</v>
      </c>
      <c r="H612" s="42"/>
      <c r="I612" s="42">
        <f>931568+35341936</f>
        <v>36273504</v>
      </c>
      <c r="J612" s="42"/>
      <c r="K612" s="42">
        <v>749187</v>
      </c>
      <c r="L612" s="42"/>
      <c r="M612" s="42">
        <f>44430661+749187</f>
        <v>45179848</v>
      </c>
      <c r="N612" s="42"/>
      <c r="O612" s="42">
        <f t="shared" si="88"/>
        <v>1578668</v>
      </c>
      <c r="P612" s="42"/>
      <c r="Q612" s="42">
        <v>661448</v>
      </c>
      <c r="R612" s="42"/>
      <c r="S612" s="42">
        <f>12563596-661448</f>
        <v>11902148</v>
      </c>
      <c r="T612" s="42"/>
      <c r="U612" s="42">
        <v>3226432</v>
      </c>
      <c r="V612" s="42"/>
      <c r="W612" s="42">
        <f>14142264+3226432</f>
        <v>17368696</v>
      </c>
      <c r="X612" s="42"/>
      <c r="Y612" s="42">
        <v>25190766</v>
      </c>
      <c r="Z612" s="42"/>
      <c r="AA612" s="42">
        <f t="shared" si="84"/>
        <v>2414991</v>
      </c>
      <c r="AB612" s="42"/>
      <c r="AC612" s="42">
        <v>205395</v>
      </c>
      <c r="AD612" s="42"/>
      <c r="AE612" s="42">
        <v>27811152</v>
      </c>
      <c r="AF612" s="42">
        <f>+M612-W612-AE612</f>
        <v>0</v>
      </c>
      <c r="AG612" s="42"/>
      <c r="AH612" s="42">
        <f t="shared" si="90"/>
        <v>0</v>
      </c>
    </row>
    <row r="613" spans="1:34">
      <c r="A613" s="8" t="s">
        <v>308</v>
      </c>
      <c r="B613" s="8"/>
      <c r="C613" s="8" t="s">
        <v>27</v>
      </c>
      <c r="D613" s="8"/>
      <c r="E613" s="23">
        <v>45070</v>
      </c>
      <c r="G613" s="42">
        <f t="shared" si="89"/>
        <v>49182904</v>
      </c>
      <c r="I613" s="42">
        <f>17339835+49683054</f>
        <v>67022889</v>
      </c>
      <c r="K613" s="42">
        <v>0</v>
      </c>
      <c r="M613" s="42">
        <v>116205793</v>
      </c>
      <c r="O613" s="42">
        <f t="shared" si="88"/>
        <v>5937873</v>
      </c>
      <c r="Q613" s="42">
        <v>1453675</v>
      </c>
      <c r="S613" s="42">
        <f>30491057-1453675</f>
        <v>29037382</v>
      </c>
      <c r="U613" s="42">
        <v>8821139</v>
      </c>
      <c r="W613" s="42">
        <f>36428930+8821139</f>
        <v>45250069</v>
      </c>
      <c r="Y613" s="42">
        <v>47100680</v>
      </c>
      <c r="AA613" s="42">
        <f t="shared" si="84"/>
        <v>7667087</v>
      </c>
      <c r="AC613" s="42">
        <v>16187957</v>
      </c>
      <c r="AE613" s="42">
        <v>70955724</v>
      </c>
      <c r="AF613" s="42">
        <f>+M613-W613-AE613</f>
        <v>0</v>
      </c>
      <c r="AH613" s="42">
        <f t="shared" si="90"/>
        <v>0</v>
      </c>
    </row>
    <row r="614" spans="1:34" hidden="1">
      <c r="A614" s="8" t="s">
        <v>617</v>
      </c>
      <c r="B614" s="8"/>
      <c r="C614" s="8" t="s">
        <v>41</v>
      </c>
      <c r="D614" s="8"/>
      <c r="E614" s="23">
        <v>45088</v>
      </c>
      <c r="G614" s="42">
        <f t="shared" si="89"/>
        <v>0</v>
      </c>
      <c r="I614" s="42">
        <v>0</v>
      </c>
      <c r="K614" s="42">
        <v>0</v>
      </c>
      <c r="M614" s="42">
        <v>0</v>
      </c>
      <c r="O614" s="42">
        <f t="shared" si="88"/>
        <v>0</v>
      </c>
      <c r="Q614" s="42">
        <v>0</v>
      </c>
      <c r="S614" s="42">
        <v>0</v>
      </c>
      <c r="U614" s="42">
        <v>0</v>
      </c>
      <c r="W614" s="42">
        <v>0</v>
      </c>
      <c r="Y614" s="42">
        <v>0</v>
      </c>
      <c r="AA614" s="42">
        <f t="shared" si="84"/>
        <v>0</v>
      </c>
      <c r="AC614" s="42">
        <v>0</v>
      </c>
      <c r="AE614" s="42">
        <v>0</v>
      </c>
      <c r="AF614" s="42">
        <f t="shared" si="91"/>
        <v>0</v>
      </c>
      <c r="AH614" s="42">
        <f t="shared" si="90"/>
        <v>0</v>
      </c>
    </row>
    <row r="615" spans="1:34">
      <c r="A615" s="8" t="s">
        <v>358</v>
      </c>
      <c r="B615" s="8"/>
      <c r="C615" s="8" t="s">
        <v>37</v>
      </c>
      <c r="D615" s="8"/>
      <c r="E615" s="23">
        <v>45096</v>
      </c>
      <c r="G615" s="42">
        <f t="shared" si="89"/>
        <v>58695493</v>
      </c>
      <c r="I615" s="42">
        <v>10481103</v>
      </c>
      <c r="K615" s="42">
        <v>79823</v>
      </c>
      <c r="M615" s="42">
        <f>69176596+79823</f>
        <v>69256419</v>
      </c>
      <c r="O615" s="42">
        <f t="shared" si="88"/>
        <v>3086027</v>
      </c>
      <c r="Q615" s="42">
        <v>884772</v>
      </c>
      <c r="S615" s="42">
        <f>25533252-884772</f>
        <v>24648480</v>
      </c>
      <c r="U615" s="42">
        <v>4915877</v>
      </c>
      <c r="W615" s="42">
        <f>28619279+4915877</f>
        <v>33535156</v>
      </c>
      <c r="Y615" s="42">
        <v>5244176</v>
      </c>
      <c r="AA615" s="42">
        <f t="shared" si="84"/>
        <v>31581725</v>
      </c>
      <c r="AC615" s="42">
        <v>-1104638</v>
      </c>
      <c r="AE615" s="42">
        <v>35721263</v>
      </c>
      <c r="AF615" s="42">
        <f t="shared" si="91"/>
        <v>0</v>
      </c>
      <c r="AH615" s="42">
        <f t="shared" si="90"/>
        <v>0</v>
      </c>
    </row>
    <row r="616" spans="1:34" hidden="1">
      <c r="A616" s="9" t="s">
        <v>881</v>
      </c>
      <c r="B616" s="8"/>
      <c r="C616" s="8" t="s">
        <v>112</v>
      </c>
      <c r="D616" s="8"/>
      <c r="E616" s="23">
        <v>46367</v>
      </c>
      <c r="G616" s="42">
        <f t="shared" si="89"/>
        <v>0</v>
      </c>
      <c r="I616" s="42">
        <v>0</v>
      </c>
      <c r="K616" s="42">
        <v>0</v>
      </c>
      <c r="M616" s="42">
        <v>0</v>
      </c>
      <c r="O616" s="42">
        <f t="shared" si="88"/>
        <v>0</v>
      </c>
      <c r="Q616" s="42">
        <v>0</v>
      </c>
      <c r="S616" s="42">
        <v>0</v>
      </c>
      <c r="U616" s="42">
        <v>0</v>
      </c>
      <c r="W616" s="42">
        <v>0</v>
      </c>
      <c r="Y616" s="42">
        <v>0</v>
      </c>
      <c r="AA616" s="42">
        <f t="shared" si="84"/>
        <v>0</v>
      </c>
      <c r="AC616" s="42">
        <v>0</v>
      </c>
      <c r="AE616" s="42">
        <v>0</v>
      </c>
      <c r="AF616" s="42">
        <f t="shared" si="91"/>
        <v>0</v>
      </c>
      <c r="AH616" s="42">
        <f t="shared" si="90"/>
        <v>0</v>
      </c>
    </row>
    <row r="617" spans="1:34">
      <c r="A617" s="8" t="s">
        <v>363</v>
      </c>
      <c r="B617" s="8"/>
      <c r="C617" s="8" t="s">
        <v>41</v>
      </c>
      <c r="D617" s="8"/>
      <c r="E617" s="23">
        <v>45104</v>
      </c>
      <c r="G617" s="42">
        <f t="shared" si="89"/>
        <v>87651976</v>
      </c>
      <c r="I617" s="42">
        <f>5451740+24110986</f>
        <v>29562726</v>
      </c>
      <c r="K617" s="42">
        <v>678427</v>
      </c>
      <c r="M617" s="42">
        <v>117893129</v>
      </c>
      <c r="O617" s="42">
        <f t="shared" si="88"/>
        <v>13487856</v>
      </c>
      <c r="Q617" s="42">
        <v>2969512</v>
      </c>
      <c r="S617" s="42">
        <f>46963037-2969512</f>
        <v>43993525</v>
      </c>
      <c r="U617" s="42">
        <v>54660358</v>
      </c>
      <c r="W617" s="42">
        <v>115111251</v>
      </c>
      <c r="Y617" s="42">
        <v>15460267</v>
      </c>
      <c r="AA617" s="42">
        <f t="shared" si="84"/>
        <v>4579956</v>
      </c>
      <c r="AC617" s="42">
        <v>-17258345</v>
      </c>
      <c r="AE617" s="42">
        <v>2781878</v>
      </c>
      <c r="AF617" s="42">
        <f t="shared" si="91"/>
        <v>0</v>
      </c>
      <c r="AH617" s="42">
        <f t="shared" si="90"/>
        <v>0</v>
      </c>
    </row>
    <row r="618" spans="1:34">
      <c r="A618" s="8" t="s">
        <v>243</v>
      </c>
      <c r="B618" s="8"/>
      <c r="C618" s="8" t="s">
        <v>18</v>
      </c>
      <c r="D618" s="8"/>
      <c r="E618" s="23">
        <v>45112</v>
      </c>
      <c r="G618" s="42">
        <f t="shared" si="89"/>
        <v>22747857</v>
      </c>
      <c r="I618" s="42">
        <f>624927+15151631</f>
        <v>15776558</v>
      </c>
      <c r="K618" s="42">
        <v>0</v>
      </c>
      <c r="M618" s="42">
        <v>38524415</v>
      </c>
      <c r="O618" s="42">
        <f t="shared" si="88"/>
        <v>3073381</v>
      </c>
      <c r="Q618" s="42">
        <v>1024531</v>
      </c>
      <c r="S618" s="42">
        <f>6762939-1024531</f>
        <v>5738408</v>
      </c>
      <c r="U618" s="42">
        <v>12498874</v>
      </c>
      <c r="W618" s="42">
        <v>22335194</v>
      </c>
      <c r="Y618" s="42">
        <v>9820622</v>
      </c>
      <c r="AA618" s="42">
        <f t="shared" si="84"/>
        <v>3160414</v>
      </c>
      <c r="AC618" s="42">
        <v>3208185</v>
      </c>
      <c r="AE618" s="42">
        <v>16189221</v>
      </c>
      <c r="AF618" s="42">
        <f t="shared" si="91"/>
        <v>0</v>
      </c>
      <c r="AH618" s="42">
        <f t="shared" si="90"/>
        <v>0</v>
      </c>
    </row>
    <row r="619" spans="1:34">
      <c r="A619" s="8" t="s">
        <v>776</v>
      </c>
      <c r="B619" s="8"/>
      <c r="C619" s="8" t="s">
        <v>56</v>
      </c>
      <c r="D619" s="8"/>
      <c r="E619" s="23">
        <v>45666</v>
      </c>
      <c r="G619" s="42">
        <f t="shared" si="89"/>
        <v>5413820</v>
      </c>
      <c r="I619" s="42">
        <v>15678401</v>
      </c>
      <c r="K619" s="42">
        <v>0</v>
      </c>
      <c r="M619" s="42">
        <v>21092221</v>
      </c>
      <c r="O619" s="42">
        <f t="shared" si="88"/>
        <v>885330</v>
      </c>
      <c r="Q619" s="42">
        <v>179984</v>
      </c>
      <c r="S619" s="42">
        <f>1039745-179984</f>
        <v>859761</v>
      </c>
      <c r="U619" s="42">
        <v>1271975</v>
      </c>
      <c r="W619" s="42">
        <f>1925075+1271975</f>
        <v>3197050</v>
      </c>
      <c r="Y619" s="42">
        <v>15176610</v>
      </c>
      <c r="AA619" s="42">
        <f t="shared" si="84"/>
        <v>479779</v>
      </c>
      <c r="AC619" s="42">
        <v>2238782</v>
      </c>
      <c r="AE619" s="42">
        <v>17895171</v>
      </c>
      <c r="AF619" s="42">
        <f t="shared" si="91"/>
        <v>0</v>
      </c>
      <c r="AH619" s="42">
        <f t="shared" si="90"/>
        <v>0</v>
      </c>
    </row>
    <row r="620" spans="1:34">
      <c r="A620" s="8" t="s">
        <v>330</v>
      </c>
      <c r="B620" s="8"/>
      <c r="C620" s="8" t="s">
        <v>32</v>
      </c>
      <c r="D620" s="8"/>
      <c r="E620" s="23">
        <v>44081</v>
      </c>
      <c r="G620" s="42">
        <f t="shared" si="89"/>
        <v>38247853</v>
      </c>
      <c r="I620" s="42">
        <f>821208+6501284</f>
        <v>7322492</v>
      </c>
      <c r="K620" s="42">
        <v>0</v>
      </c>
      <c r="M620" s="42">
        <v>45570345</v>
      </c>
      <c r="O620" s="42">
        <f t="shared" si="88"/>
        <v>3753781</v>
      </c>
      <c r="Q620" s="42">
        <v>945447</v>
      </c>
      <c r="S620" s="42">
        <f>5392859-945447</f>
        <v>4447412</v>
      </c>
      <c r="U620" s="42">
        <v>14855000</v>
      </c>
      <c r="W620" s="42">
        <v>24001640</v>
      </c>
      <c r="Y620" s="42">
        <v>4330058</v>
      </c>
      <c r="AA620" s="42">
        <f t="shared" si="84"/>
        <v>2085015</v>
      </c>
      <c r="AC620" s="42">
        <v>15153632</v>
      </c>
      <c r="AE620" s="42">
        <v>21568705</v>
      </c>
      <c r="AF620" s="42">
        <f t="shared" si="91"/>
        <v>0</v>
      </c>
      <c r="AH620" s="42">
        <f t="shared" si="90"/>
        <v>0</v>
      </c>
    </row>
    <row r="621" spans="1:34">
      <c r="A621" s="8" t="s">
        <v>546</v>
      </c>
      <c r="B621" s="8"/>
      <c r="C621" s="8" t="s">
        <v>70</v>
      </c>
      <c r="D621" s="8"/>
      <c r="E621" s="23">
        <v>50518</v>
      </c>
      <c r="G621" s="42">
        <f t="shared" si="89"/>
        <v>15516128</v>
      </c>
      <c r="I621" s="42">
        <f>81430+7506198</f>
        <v>7587628</v>
      </c>
      <c r="K621" s="42">
        <v>312049</v>
      </c>
      <c r="M621" s="42">
        <f>23103756+312049</f>
        <v>23415805</v>
      </c>
      <c r="O621" s="42">
        <f t="shared" si="88"/>
        <v>833948</v>
      </c>
      <c r="Q621" s="42">
        <v>235000</v>
      </c>
      <c r="S621" s="42">
        <f>6330503-235000</f>
        <v>6095503</v>
      </c>
      <c r="U621" s="42">
        <v>5090356</v>
      </c>
      <c r="W621" s="42">
        <f>7164451+5090356</f>
        <v>12254807</v>
      </c>
      <c r="Y621" s="42">
        <v>2709677</v>
      </c>
      <c r="AA621" s="42">
        <f t="shared" si="84"/>
        <v>2126687</v>
      </c>
      <c r="AC621" s="42">
        <v>6324634</v>
      </c>
      <c r="AE621" s="42">
        <v>11160998</v>
      </c>
      <c r="AF621" s="42">
        <f t="shared" si="91"/>
        <v>0</v>
      </c>
      <c r="AH621" s="42">
        <f t="shared" si="90"/>
        <v>0</v>
      </c>
    </row>
    <row r="622" spans="1:34">
      <c r="A622" s="8" t="s">
        <v>475</v>
      </c>
      <c r="B622" s="8"/>
      <c r="C622" s="8" t="s">
        <v>79</v>
      </c>
      <c r="D622" s="8"/>
      <c r="E622" s="23">
        <v>49577</v>
      </c>
      <c r="G622" s="42">
        <f t="shared" si="89"/>
        <v>28547435</v>
      </c>
      <c r="I622" s="42">
        <v>6681194</v>
      </c>
      <c r="K622" s="42">
        <v>0</v>
      </c>
      <c r="M622" s="42">
        <v>35228629</v>
      </c>
      <c r="O622" s="42">
        <f t="shared" si="88"/>
        <v>1166025</v>
      </c>
      <c r="Q622" s="42">
        <v>306715</v>
      </c>
      <c r="S622" s="42">
        <f>16563592-306715</f>
        <v>16256877</v>
      </c>
      <c r="U622" s="42">
        <v>3797785</v>
      </c>
      <c r="W622" s="42">
        <f>17729617+3797785</f>
        <v>21527402</v>
      </c>
      <c r="Y622" s="42">
        <v>5789240</v>
      </c>
      <c r="AA622" s="42">
        <f t="shared" si="84"/>
        <v>8116444</v>
      </c>
      <c r="AC622" s="42">
        <v>-204457</v>
      </c>
      <c r="AE622" s="42">
        <v>13701227</v>
      </c>
      <c r="AF622" s="42">
        <f t="shared" si="91"/>
        <v>0</v>
      </c>
      <c r="AH622" s="42">
        <f t="shared" si="90"/>
        <v>0</v>
      </c>
    </row>
    <row r="623" spans="1:34">
      <c r="A623" s="8" t="s">
        <v>513</v>
      </c>
      <c r="B623" s="8"/>
      <c r="C623" s="8" t="s">
        <v>63</v>
      </c>
      <c r="D623" s="8"/>
      <c r="E623" s="23">
        <v>49973</v>
      </c>
      <c r="G623" s="42">
        <f t="shared" si="89"/>
        <v>26568938</v>
      </c>
      <c r="I623" s="42">
        <v>15070740</v>
      </c>
      <c r="K623" s="42">
        <v>0</v>
      </c>
      <c r="M623" s="42">
        <v>41639678</v>
      </c>
      <c r="O623" s="42">
        <f t="shared" si="88"/>
        <v>3168187</v>
      </c>
      <c r="Q623" s="42">
        <v>1473792</v>
      </c>
      <c r="S623" s="42">
        <f>10073396-1473792</f>
        <v>8599604</v>
      </c>
      <c r="U623" s="42">
        <v>17663534</v>
      </c>
      <c r="W623" s="42">
        <f>13241583+17663534</f>
        <v>30905117</v>
      </c>
      <c r="Y623" s="42">
        <v>5966541</v>
      </c>
      <c r="AA623" s="42">
        <f t="shared" si="84"/>
        <v>648798</v>
      </c>
      <c r="AC623" s="42">
        <v>4119222</v>
      </c>
      <c r="AE623" s="42">
        <v>10734561</v>
      </c>
      <c r="AF623" s="42">
        <f t="shared" si="91"/>
        <v>0</v>
      </c>
      <c r="AH623" s="42">
        <f t="shared" si="90"/>
        <v>0</v>
      </c>
    </row>
    <row r="624" spans="1:34">
      <c r="A624" s="8" t="s">
        <v>618</v>
      </c>
      <c r="B624" s="8"/>
      <c r="C624" s="8" t="s">
        <v>71</v>
      </c>
      <c r="D624" s="8"/>
      <c r="E624" s="23">
        <v>45120</v>
      </c>
      <c r="G624" s="42">
        <f t="shared" si="89"/>
        <v>59528339</v>
      </c>
      <c r="I624" s="42">
        <f>2638115+30510616</f>
        <v>33148731</v>
      </c>
      <c r="K624" s="42">
        <v>0</v>
      </c>
      <c r="M624" s="42">
        <v>92677070</v>
      </c>
      <c r="O624" s="42">
        <f t="shared" si="88"/>
        <v>5051576</v>
      </c>
      <c r="Q624" s="42">
        <v>3371771</v>
      </c>
      <c r="S624" s="42">
        <f>19748966-3371771</f>
        <v>16377195</v>
      </c>
      <c r="U624" s="42">
        <v>25467916</v>
      </c>
      <c r="W624" s="42">
        <v>50268458</v>
      </c>
      <c r="Y624" s="42">
        <v>20827023</v>
      </c>
      <c r="AA624" s="42">
        <f t="shared" si="84"/>
        <v>4937221</v>
      </c>
      <c r="AC624" s="42">
        <v>16644368</v>
      </c>
      <c r="AE624" s="42">
        <v>42408612</v>
      </c>
      <c r="AF624" s="42">
        <f t="shared" si="91"/>
        <v>0</v>
      </c>
      <c r="AH624" s="42">
        <f t="shared" si="90"/>
        <v>0</v>
      </c>
    </row>
    <row r="625" spans="1:34">
      <c r="A625" s="8" t="s">
        <v>309</v>
      </c>
      <c r="B625" s="8"/>
      <c r="C625" s="8" t="s">
        <v>27</v>
      </c>
      <c r="D625" s="8"/>
      <c r="E625" s="23">
        <v>45138</v>
      </c>
      <c r="G625" s="42">
        <f t="shared" si="89"/>
        <v>201991908</v>
      </c>
      <c r="I625" s="42">
        <f>10537123+54698820</f>
        <v>65235943</v>
      </c>
      <c r="K625" s="42">
        <v>172447</v>
      </c>
      <c r="M625" s="42">
        <f>267227851+172447</f>
        <v>267400298</v>
      </c>
      <c r="O625" s="42">
        <f t="shared" si="88"/>
        <v>19860450</v>
      </c>
      <c r="Q625" s="42">
        <v>5740653</v>
      </c>
      <c r="S625" s="42">
        <f>98228190-5740653</f>
        <v>92487537</v>
      </c>
      <c r="U625" s="42">
        <v>58200707</v>
      </c>
      <c r="W625" s="42">
        <f>118088640+58200707</f>
        <v>176289347</v>
      </c>
      <c r="Y625" s="42">
        <v>16037554</v>
      </c>
      <c r="AA625" s="42">
        <f t="shared" si="84"/>
        <v>6997526</v>
      </c>
      <c r="AC625" s="42">
        <v>68075871</v>
      </c>
      <c r="AE625" s="42">
        <v>91110951</v>
      </c>
      <c r="AF625" s="42">
        <f t="shared" si="91"/>
        <v>0</v>
      </c>
      <c r="AH625" s="42">
        <f t="shared" si="90"/>
        <v>0</v>
      </c>
    </row>
    <row r="626" spans="1:34">
      <c r="A626" s="8" t="s">
        <v>258</v>
      </c>
      <c r="B626" s="8"/>
      <c r="C626" s="8" t="s">
        <v>110</v>
      </c>
      <c r="D626" s="8"/>
      <c r="E626" s="23">
        <v>46524</v>
      </c>
      <c r="G626" s="42">
        <f t="shared" si="89"/>
        <v>5918439</v>
      </c>
      <c r="I626" s="42">
        <v>7288060</v>
      </c>
      <c r="K626" s="42">
        <v>96907</v>
      </c>
      <c r="M626" s="42">
        <f>13206499+96907</f>
        <v>13303406</v>
      </c>
      <c r="O626" s="42">
        <f t="shared" si="88"/>
        <v>1222650</v>
      </c>
      <c r="Q626" s="42">
        <v>506746</v>
      </c>
      <c r="S626" s="42">
        <f>5702404-506746</f>
        <v>5195658</v>
      </c>
      <c r="U626" s="42">
        <v>2541478</v>
      </c>
      <c r="W626" s="42">
        <f>6925054+2541478</f>
        <v>9466532</v>
      </c>
      <c r="Y626" s="42">
        <v>2345611</v>
      </c>
      <c r="AA626" s="42">
        <f t="shared" si="84"/>
        <v>904317</v>
      </c>
      <c r="AC626" s="42">
        <v>586946</v>
      </c>
      <c r="AE626" s="42">
        <v>3836874</v>
      </c>
      <c r="AF626" s="42">
        <f t="shared" si="91"/>
        <v>0</v>
      </c>
      <c r="AH626" s="42">
        <f t="shared" si="90"/>
        <v>0</v>
      </c>
    </row>
    <row r="627" spans="1:34">
      <c r="A627" s="8" t="s">
        <v>331</v>
      </c>
      <c r="B627" s="8"/>
      <c r="C627" s="8" t="s">
        <v>32</v>
      </c>
      <c r="D627" s="8"/>
      <c r="E627" s="23">
        <v>45146</v>
      </c>
      <c r="G627" s="42">
        <f t="shared" si="89"/>
        <v>52153950</v>
      </c>
      <c r="I627" s="42">
        <f>3610173+20170268</f>
        <v>23780441</v>
      </c>
      <c r="K627" s="42">
        <v>250056</v>
      </c>
      <c r="M627" s="42">
        <v>76184447</v>
      </c>
      <c r="O627" s="42">
        <f t="shared" si="88"/>
        <v>3325376</v>
      </c>
      <c r="Q627" s="42">
        <v>1422798</v>
      </c>
      <c r="S627" s="42">
        <f>47502340-1422798</f>
        <v>46079542</v>
      </c>
      <c r="U627" s="42">
        <v>6840000</v>
      </c>
      <c r="W627" s="42">
        <v>57667716</v>
      </c>
      <c r="Y627" s="42">
        <v>362451</v>
      </c>
      <c r="AA627" s="42">
        <f t="shared" si="84"/>
        <v>4664039</v>
      </c>
      <c r="AC627" s="42">
        <v>13490241</v>
      </c>
      <c r="AE627" s="42">
        <v>18516731</v>
      </c>
      <c r="AF627" s="42">
        <f t="shared" si="91"/>
        <v>0</v>
      </c>
      <c r="AH627" s="42">
        <f t="shared" si="90"/>
        <v>0</v>
      </c>
    </row>
    <row r="628" spans="1:34">
      <c r="A628" s="8" t="s">
        <v>872</v>
      </c>
      <c r="B628" s="8"/>
      <c r="C628" s="8" t="s">
        <v>113</v>
      </c>
      <c r="D628" s="8"/>
      <c r="E628" s="23">
        <v>45153</v>
      </c>
      <c r="G628" s="42">
        <f t="shared" si="89"/>
        <v>40331331</v>
      </c>
      <c r="I628" s="42">
        <v>76384561</v>
      </c>
      <c r="K628" s="42">
        <v>0</v>
      </c>
      <c r="M628" s="42">
        <v>116715892</v>
      </c>
      <c r="O628" s="42">
        <f t="shared" si="88"/>
        <v>8727381</v>
      </c>
      <c r="Q628" s="42">
        <v>1473745</v>
      </c>
      <c r="S628" s="42">
        <f>44130596-1473745</f>
        <v>42656851</v>
      </c>
      <c r="U628" s="42">
        <v>18538398</v>
      </c>
      <c r="W628" s="42">
        <f>52857977+18538398</f>
        <v>71396375</v>
      </c>
      <c r="Y628" s="42">
        <v>35978815</v>
      </c>
      <c r="AA628" s="42">
        <f t="shared" ref="AA628" si="92">AE628-AC628-Y628</f>
        <v>4580891</v>
      </c>
      <c r="AC628" s="42">
        <v>4759811</v>
      </c>
      <c r="AE628" s="42">
        <v>45319517</v>
      </c>
      <c r="AF628" s="42">
        <f t="shared" ref="AF628" si="93">+M628-W628-AE628</f>
        <v>0</v>
      </c>
      <c r="AH628" s="42">
        <f t="shared" si="90"/>
        <v>0</v>
      </c>
    </row>
    <row r="629" spans="1:34">
      <c r="A629" s="8" t="s">
        <v>777</v>
      </c>
      <c r="B629" s="8"/>
      <c r="C629" s="8" t="s">
        <v>113</v>
      </c>
      <c r="D629" s="8"/>
      <c r="E629" s="23">
        <v>45674</v>
      </c>
      <c r="G629" s="42">
        <f t="shared" si="89"/>
        <v>7572960</v>
      </c>
      <c r="I629" s="42">
        <f>1238340+4346954</f>
        <v>5585294</v>
      </c>
      <c r="K629" s="42">
        <v>0</v>
      </c>
      <c r="M629" s="42">
        <v>13158254</v>
      </c>
      <c r="O629" s="42">
        <f t="shared" si="88"/>
        <v>945868</v>
      </c>
      <c r="Q629" s="42">
        <v>322357</v>
      </c>
      <c r="S629" s="42">
        <f>4803973-322357</f>
        <v>4481616</v>
      </c>
      <c r="U629" s="42">
        <v>3659092</v>
      </c>
      <c r="W629" s="42">
        <f>5749841+3659092</f>
        <v>9408933</v>
      </c>
      <c r="Y629" s="42">
        <v>1687781</v>
      </c>
      <c r="AA629" s="42">
        <f t="shared" si="84"/>
        <v>593986</v>
      </c>
      <c r="AC629" s="42">
        <v>1467554</v>
      </c>
      <c r="AE629" s="42">
        <v>3749321</v>
      </c>
      <c r="AF629" s="42">
        <f t="shared" si="91"/>
        <v>0</v>
      </c>
      <c r="AH629" s="42">
        <f t="shared" si="90"/>
        <v>0</v>
      </c>
    </row>
    <row r="630" spans="1:34">
      <c r="A630" s="8" t="s">
        <v>406</v>
      </c>
      <c r="B630" s="8"/>
      <c r="C630" s="8" t="s">
        <v>45</v>
      </c>
      <c r="D630" s="8"/>
      <c r="E630" s="23">
        <v>45161</v>
      </c>
      <c r="G630" s="42">
        <f t="shared" si="89"/>
        <v>57305189</v>
      </c>
      <c r="I630" s="42">
        <f>1002781+150155740</f>
        <v>151158521</v>
      </c>
      <c r="K630" s="42">
        <v>1557494</v>
      </c>
      <c r="M630" s="42">
        <f>208463710+1557494</f>
        <v>210021204</v>
      </c>
      <c r="O630" s="42">
        <f t="shared" si="88"/>
        <v>11958991</v>
      </c>
      <c r="Q630" s="42">
        <v>2568614</v>
      </c>
      <c r="S630" s="42">
        <f>41378961-2568614</f>
        <v>38810347</v>
      </c>
      <c r="U630" s="42">
        <v>25077797</v>
      </c>
      <c r="W630" s="42">
        <f>53337952+25077797</f>
        <v>78415749</v>
      </c>
      <c r="Y630" s="42">
        <v>117089538</v>
      </c>
      <c r="AA630" s="42">
        <f t="shared" si="84"/>
        <v>16422790</v>
      </c>
      <c r="AC630" s="42">
        <v>-1906873</v>
      </c>
      <c r="AE630" s="42">
        <v>131605455</v>
      </c>
      <c r="AF630" s="42">
        <f t="shared" si="91"/>
        <v>0</v>
      </c>
      <c r="AH630" s="42">
        <f t="shared" si="90"/>
        <v>0</v>
      </c>
    </row>
    <row r="631" spans="1:34">
      <c r="A631" s="8" t="s">
        <v>474</v>
      </c>
      <c r="B631" s="8"/>
      <c r="C631" s="8" t="s">
        <v>58</v>
      </c>
      <c r="D631" s="8"/>
      <c r="E631" s="23">
        <v>49544</v>
      </c>
      <c r="G631" s="42">
        <f t="shared" si="89"/>
        <v>8874793</v>
      </c>
      <c r="I631" s="42">
        <f>137750+13670457</f>
        <v>13808207</v>
      </c>
      <c r="K631" s="42">
        <v>0</v>
      </c>
      <c r="M631" s="42">
        <v>22683000</v>
      </c>
      <c r="O631" s="42">
        <f t="shared" si="88"/>
        <v>1499141</v>
      </c>
      <c r="Q631" s="42">
        <v>501623</v>
      </c>
      <c r="S631" s="42">
        <f>5105096-501623</f>
        <v>4603473</v>
      </c>
      <c r="U631" s="42">
        <v>4168674</v>
      </c>
      <c r="W631" s="42">
        <f>6604237+4168674</f>
        <v>10772911</v>
      </c>
      <c r="Y631" s="42">
        <v>9297375</v>
      </c>
      <c r="AA631" s="42">
        <f t="shared" si="84"/>
        <v>1634313</v>
      </c>
      <c r="AC631" s="42">
        <v>978401</v>
      </c>
      <c r="AE631" s="42">
        <v>11910089</v>
      </c>
      <c r="AF631" s="42">
        <f t="shared" si="91"/>
        <v>0</v>
      </c>
      <c r="AH631" s="42">
        <f t="shared" si="90"/>
        <v>0</v>
      </c>
    </row>
    <row r="632" spans="1:34">
      <c r="A632" s="8" t="s">
        <v>445</v>
      </c>
      <c r="B632" s="8"/>
      <c r="C632" s="8" t="s">
        <v>51</v>
      </c>
      <c r="D632" s="8"/>
      <c r="E632" s="23">
        <v>45179</v>
      </c>
      <c r="G632" s="42">
        <f t="shared" si="89"/>
        <v>27043743</v>
      </c>
      <c r="I632" s="42">
        <f>2494644+80425827</f>
        <v>82920471</v>
      </c>
      <c r="K632" s="42">
        <v>0</v>
      </c>
      <c r="M632" s="42">
        <v>109964214</v>
      </c>
      <c r="O632" s="42">
        <f t="shared" si="88"/>
        <v>5906501</v>
      </c>
      <c r="Q632" s="42">
        <v>785755</v>
      </c>
      <c r="S632" s="42">
        <f>32285222-785755</f>
        <v>31499467</v>
      </c>
      <c r="U632" s="42">
        <v>7835184</v>
      </c>
      <c r="W632" s="42">
        <f>38191723+7835184</f>
        <v>46026907</v>
      </c>
      <c r="Y632" s="42">
        <v>52891647</v>
      </c>
      <c r="AA632" s="42">
        <f t="shared" si="84"/>
        <v>7589515</v>
      </c>
      <c r="AC632" s="42">
        <v>3456145</v>
      </c>
      <c r="AE632" s="42">
        <v>63937307</v>
      </c>
      <c r="AF632" s="42">
        <f t="shared" si="91"/>
        <v>0</v>
      </c>
      <c r="AH632" s="42">
        <f t="shared" si="90"/>
        <v>0</v>
      </c>
    </row>
  </sheetData>
  <mergeCells count="5">
    <mergeCell ref="Q10:S10"/>
    <mergeCell ref="A1:I1"/>
    <mergeCell ref="Y8:AC8"/>
    <mergeCell ref="G8:M8"/>
    <mergeCell ref="Q8:W8"/>
  </mergeCells>
  <phoneticPr fontId="3" type="noConversion"/>
  <pageMargins left="0.75" right="0.5" top="0.5" bottom="0.5" header="0.25" footer="0.25"/>
  <pageSetup scale="76" firstPageNumber="6" pageOrder="overThenDown" orientation="portrait" useFirstPageNumber="1" r:id="rId1"/>
  <headerFooter scaleWithDoc="0" alignWithMargins="0"/>
  <rowBreaks count="4" manualBreakCount="4">
    <brk id="282" max="16383" man="1"/>
    <brk id="371" max="16383" man="1"/>
    <brk id="472" max="16383" man="1"/>
    <brk id="55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3"/>
  <sheetViews>
    <sheetView zoomScaleNormal="100" zoomScaleSheetLayoutView="100" workbookViewId="0">
      <pane xSplit="6" ySplit="11" topLeftCell="G12" activePane="bottomRight" state="frozen"/>
      <selection activeCell="C156" sqref="C156"/>
      <selection pane="topRight" activeCell="C156" sqref="C156"/>
      <selection pane="bottomLeft" activeCell="C156" sqref="C156"/>
      <selection pane="bottomRight" activeCell="W24" sqref="W24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1.7109375" style="42" customWidth="1"/>
    <col min="8" max="8" width="1.7109375" style="42" customWidth="1"/>
    <col min="9" max="9" width="11.7109375" style="42" customWidth="1"/>
    <col min="10" max="10" width="1.7109375" style="42" customWidth="1"/>
    <col min="11" max="11" width="11.7109375" style="42" customWidth="1"/>
    <col min="12" max="12" width="1.7109375" style="42" customWidth="1"/>
    <col min="13" max="13" width="11.7109375" style="42" customWidth="1"/>
    <col min="14" max="14" width="1.7109375" style="42" customWidth="1"/>
    <col min="15" max="15" width="11.7109375" style="42" customWidth="1"/>
    <col min="16" max="16" width="1.7109375" style="42" customWidth="1"/>
    <col min="17" max="17" width="11.7109375" style="42" customWidth="1"/>
    <col min="18" max="18" width="1.7109375" style="42" customWidth="1"/>
    <col min="19" max="19" width="12.28515625" style="42" customWidth="1"/>
    <col min="20" max="20" width="1.7109375" style="42" customWidth="1"/>
    <col min="21" max="21" width="11.7109375" style="42" customWidth="1"/>
    <col min="22" max="22" width="1.7109375" style="42" customWidth="1"/>
    <col min="23" max="23" width="14.28515625" style="42" bestFit="1" customWidth="1"/>
    <col min="24" max="16384" width="9.140625" style="42"/>
  </cols>
  <sheetData>
    <row r="1" spans="1:23" s="11" customFormat="1">
      <c r="A1" s="27" t="s">
        <v>80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3" s="11" customFormat="1">
      <c r="A2" s="27" t="s">
        <v>886</v>
      </c>
      <c r="B2" s="27"/>
      <c r="C2" s="27"/>
      <c r="D2" s="27"/>
      <c r="E2" s="27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56"/>
    </row>
    <row r="3" spans="1:23" s="11" customFormat="1">
      <c r="A3" s="27"/>
      <c r="B3" s="20"/>
      <c r="C3" s="20"/>
      <c r="D3" s="20"/>
      <c r="E3" s="20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56"/>
    </row>
    <row r="4" spans="1:23">
      <c r="A4" s="11" t="s">
        <v>167</v>
      </c>
    </row>
    <row r="5" spans="1:23">
      <c r="A5" s="11"/>
    </row>
    <row r="6" spans="1:23">
      <c r="A6" s="38" t="s">
        <v>721</v>
      </c>
    </row>
    <row r="7" spans="1:23" s="11" customFormat="1">
      <c r="A7" s="20"/>
      <c r="B7" s="7"/>
      <c r="C7" s="7"/>
      <c r="D7" s="7"/>
      <c r="E7" s="7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56"/>
    </row>
    <row r="8" spans="1:23">
      <c r="A8" s="3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47" t="s">
        <v>562</v>
      </c>
    </row>
    <row r="9" spans="1:23">
      <c r="A9" s="50"/>
      <c r="B9" s="50"/>
      <c r="C9" s="50"/>
      <c r="D9" s="50"/>
      <c r="E9" s="50"/>
      <c r="F9" s="50"/>
      <c r="G9" s="50" t="s">
        <v>81</v>
      </c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 t="s">
        <v>560</v>
      </c>
      <c r="V9" s="57"/>
      <c r="W9" s="47" t="s">
        <v>563</v>
      </c>
    </row>
    <row r="10" spans="1:23">
      <c r="A10" s="50"/>
      <c r="B10" s="50"/>
      <c r="C10" s="50"/>
      <c r="D10" s="50"/>
      <c r="E10" s="50"/>
      <c r="F10" s="50"/>
      <c r="G10" s="50" t="s">
        <v>83</v>
      </c>
      <c r="H10" s="50"/>
      <c r="I10" s="50"/>
      <c r="J10" s="50"/>
      <c r="K10" s="50" t="s">
        <v>95</v>
      </c>
      <c r="L10" s="50"/>
      <c r="M10" s="50" t="s">
        <v>73</v>
      </c>
      <c r="N10" s="50"/>
      <c r="O10" s="50" t="s">
        <v>94</v>
      </c>
      <c r="P10" s="50"/>
      <c r="Q10" s="50" t="s">
        <v>125</v>
      </c>
      <c r="R10" s="50"/>
      <c r="S10" s="50" t="s">
        <v>839</v>
      </c>
      <c r="T10" s="50"/>
      <c r="U10" s="47" t="s">
        <v>561</v>
      </c>
      <c r="V10" s="55"/>
      <c r="W10" s="47" t="s">
        <v>564</v>
      </c>
    </row>
    <row r="11" spans="1:23">
      <c r="A11" s="48" t="s">
        <v>198</v>
      </c>
      <c r="B11" s="47"/>
      <c r="C11" s="48" t="s">
        <v>4</v>
      </c>
      <c r="D11" s="47"/>
      <c r="E11" s="48" t="s">
        <v>197</v>
      </c>
      <c r="F11" s="50"/>
      <c r="G11" s="48" t="s">
        <v>84</v>
      </c>
      <c r="H11" s="50"/>
      <c r="I11" s="48" t="s">
        <v>85</v>
      </c>
      <c r="J11" s="50"/>
      <c r="K11" s="48" t="s">
        <v>98</v>
      </c>
      <c r="L11" s="50"/>
      <c r="M11" s="48" t="s">
        <v>96</v>
      </c>
      <c r="N11" s="50"/>
      <c r="O11" s="48" t="s">
        <v>97</v>
      </c>
      <c r="P11" s="50"/>
      <c r="Q11" s="48" t="s">
        <v>86</v>
      </c>
      <c r="R11" s="50"/>
      <c r="S11" s="48" t="s">
        <v>86</v>
      </c>
      <c r="T11" s="50"/>
      <c r="U11" s="48" t="s">
        <v>115</v>
      </c>
      <c r="V11" s="57"/>
      <c r="W11" s="47" t="s">
        <v>898</v>
      </c>
    </row>
    <row r="12" spans="1:23">
      <c r="A12" s="9"/>
      <c r="B12" s="9"/>
      <c r="C12" s="9"/>
      <c r="D12" s="9"/>
      <c r="E12" s="9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3" hidden="1">
      <c r="A13" s="9" t="s">
        <v>851</v>
      </c>
      <c r="B13" s="9"/>
      <c r="C13" s="9" t="s">
        <v>337</v>
      </c>
      <c r="D13" s="9"/>
      <c r="E13" s="23">
        <v>45187</v>
      </c>
      <c r="G13" s="42">
        <v>0</v>
      </c>
      <c r="I13" s="42">
        <v>0</v>
      </c>
      <c r="K13" s="42">
        <v>0</v>
      </c>
      <c r="M13" s="42">
        <v>0</v>
      </c>
      <c r="O13" s="42">
        <v>0</v>
      </c>
      <c r="Q13" s="42">
        <v>0</v>
      </c>
      <c r="S13" s="5">
        <f t="shared" ref="S13" si="0">SUM(G13:R13)</f>
        <v>0</v>
      </c>
      <c r="U13" s="42">
        <v>0</v>
      </c>
      <c r="W13" s="42">
        <f>+'St of Net Pos - GA'!Q13-'Long Term Liab - GA'!U13</f>
        <v>0</v>
      </c>
    </row>
    <row r="14" spans="1:23" s="24" customFormat="1">
      <c r="A14" s="51" t="s">
        <v>782</v>
      </c>
      <c r="B14" s="51"/>
      <c r="C14" s="51" t="s">
        <v>199</v>
      </c>
      <c r="D14" s="51"/>
      <c r="E14" s="51">
        <v>61903</v>
      </c>
      <c r="G14" s="24">
        <v>30050373</v>
      </c>
      <c r="I14" s="24">
        <v>0</v>
      </c>
      <c r="K14" s="24">
        <v>0</v>
      </c>
      <c r="M14" s="24">
        <v>0</v>
      </c>
      <c r="O14" s="24">
        <v>1197819</v>
      </c>
      <c r="Q14" s="24">
        <v>0</v>
      </c>
      <c r="S14" s="64">
        <f>SUM(G14:R14)</f>
        <v>31248192</v>
      </c>
      <c r="U14" s="24">
        <v>2131055</v>
      </c>
      <c r="W14" s="24">
        <f>+'St of Net Pos - GA'!Q14-'Long Term Liab - GA'!U14</f>
        <v>0</v>
      </c>
    </row>
    <row r="15" spans="1:23">
      <c r="A15" s="9" t="s">
        <v>582</v>
      </c>
      <c r="B15" s="9"/>
      <c r="C15" s="9" t="s">
        <v>58</v>
      </c>
      <c r="D15" s="9"/>
      <c r="E15" s="23">
        <v>49494</v>
      </c>
      <c r="G15" s="42">
        <f>420000+1085000+20697</f>
        <v>1525697</v>
      </c>
      <c r="I15" s="42">
        <v>0</v>
      </c>
      <c r="K15" s="42">
        <v>0</v>
      </c>
      <c r="M15" s="42">
        <v>1340429</v>
      </c>
      <c r="O15" s="42">
        <v>538323</v>
      </c>
      <c r="Q15" s="42">
        <v>0</v>
      </c>
      <c r="S15" s="5">
        <f t="shared" ref="S15:S75" si="1">SUM(G15:R15)</f>
        <v>3404449</v>
      </c>
      <c r="U15" s="42">
        <v>269346</v>
      </c>
      <c r="W15" s="42">
        <f>+'St of Net Pos - GA'!Q15-'Long Term Liab - GA'!U15</f>
        <v>0</v>
      </c>
    </row>
    <row r="16" spans="1:23">
      <c r="A16" s="9" t="s">
        <v>502</v>
      </c>
      <c r="B16" s="9"/>
      <c r="C16" s="9" t="s">
        <v>63</v>
      </c>
      <c r="D16" s="9"/>
      <c r="E16" s="23">
        <v>43489</v>
      </c>
      <c r="G16" s="42">
        <v>0</v>
      </c>
      <c r="I16" s="42">
        <v>0</v>
      </c>
      <c r="K16" s="42">
        <v>0</v>
      </c>
      <c r="M16" s="42">
        <v>0</v>
      </c>
      <c r="O16" s="42">
        <v>32329097</v>
      </c>
      <c r="Q16" s="42">
        <v>0</v>
      </c>
      <c r="S16" s="5">
        <f t="shared" si="1"/>
        <v>32329097</v>
      </c>
      <c r="U16" s="42">
        <v>1690153</v>
      </c>
      <c r="W16" s="42">
        <f>+'St of Net Pos - GA'!Q16-'Long Term Liab - GA'!U16</f>
        <v>0</v>
      </c>
    </row>
    <row r="17" spans="1:23" hidden="1">
      <c r="A17" s="9" t="s">
        <v>612</v>
      </c>
      <c r="B17" s="9"/>
      <c r="C17" s="9" t="s">
        <v>13</v>
      </c>
      <c r="D17" s="9"/>
      <c r="E17" s="23">
        <v>45906</v>
      </c>
      <c r="G17" s="42">
        <v>0</v>
      </c>
      <c r="I17" s="42">
        <v>0</v>
      </c>
      <c r="K17" s="42">
        <v>0</v>
      </c>
      <c r="M17" s="42">
        <v>0</v>
      </c>
      <c r="O17" s="42">
        <v>0</v>
      </c>
      <c r="Q17" s="42">
        <v>0</v>
      </c>
      <c r="S17" s="5">
        <f t="shared" si="1"/>
        <v>0</v>
      </c>
      <c r="U17" s="42">
        <v>0</v>
      </c>
      <c r="W17" s="42">
        <f>+'St of Net Pos - GA'!Q17-'Long Term Liab - GA'!U17</f>
        <v>0</v>
      </c>
    </row>
    <row r="18" spans="1:23" hidden="1">
      <c r="A18" s="9" t="s">
        <v>852</v>
      </c>
      <c r="B18" s="9"/>
      <c r="C18" s="9" t="s">
        <v>10</v>
      </c>
      <c r="D18" s="9"/>
      <c r="E18" s="23">
        <v>45757</v>
      </c>
      <c r="G18" s="42">
        <v>0</v>
      </c>
      <c r="I18" s="42">
        <v>0</v>
      </c>
      <c r="K18" s="42">
        <v>0</v>
      </c>
      <c r="M18" s="42">
        <v>0</v>
      </c>
      <c r="O18" s="42">
        <v>0</v>
      </c>
      <c r="Q18" s="42">
        <v>0</v>
      </c>
      <c r="S18" s="5">
        <f>SUM(G18:R18)</f>
        <v>0</v>
      </c>
      <c r="U18" s="42">
        <v>0</v>
      </c>
      <c r="W18" s="42">
        <f>+'St of Net Pos - GA'!Q18-'Long Term Liab - GA'!U18</f>
        <v>0</v>
      </c>
    </row>
    <row r="19" spans="1:23">
      <c r="A19" s="9" t="s">
        <v>489</v>
      </c>
      <c r="B19" s="9"/>
      <c r="C19" s="9" t="s">
        <v>62</v>
      </c>
      <c r="D19" s="9"/>
      <c r="E19" s="23">
        <v>43497</v>
      </c>
      <c r="G19" s="42">
        <f>2259000+34981+25815+107170+6305000+183980+507261+461864-353936+210000</f>
        <v>9741135</v>
      </c>
      <c r="I19" s="42">
        <v>0</v>
      </c>
      <c r="K19" s="42">
        <v>0</v>
      </c>
      <c r="M19" s="42">
        <v>0</v>
      </c>
      <c r="O19" s="42">
        <v>2977893</v>
      </c>
      <c r="Q19" s="42">
        <v>0</v>
      </c>
      <c r="S19" s="5">
        <f t="shared" si="1"/>
        <v>12719028</v>
      </c>
      <c r="U19" s="42">
        <v>936781</v>
      </c>
      <c r="W19" s="42">
        <f>+'St of Net Pos - GA'!Q19-'Long Term Liab - GA'!U19</f>
        <v>0</v>
      </c>
    </row>
    <row r="20" spans="1:23">
      <c r="A20" s="9" t="s">
        <v>290</v>
      </c>
      <c r="B20" s="9"/>
      <c r="C20" s="9" t="s">
        <v>25</v>
      </c>
      <c r="D20" s="9"/>
      <c r="E20" s="23">
        <v>46847</v>
      </c>
      <c r="G20" s="42">
        <f>415000+2004998+242029</f>
        <v>2662027</v>
      </c>
      <c r="I20" s="42">
        <v>0</v>
      </c>
      <c r="K20" s="42">
        <v>0</v>
      </c>
      <c r="M20" s="42">
        <v>21886</v>
      </c>
      <c r="O20" s="42">
        <v>334012</v>
      </c>
      <c r="Q20" s="42">
        <v>0</v>
      </c>
      <c r="S20" s="5">
        <f t="shared" si="1"/>
        <v>3017925</v>
      </c>
      <c r="U20" s="42">
        <v>306571</v>
      </c>
      <c r="W20" s="42">
        <f>+'St of Net Pos - GA'!Q20-'Long Term Liab - GA'!U20</f>
        <v>0</v>
      </c>
    </row>
    <row r="21" spans="1:23">
      <c r="A21" s="9" t="s">
        <v>743</v>
      </c>
      <c r="B21" s="9"/>
      <c r="C21" s="9" t="s">
        <v>44</v>
      </c>
      <c r="D21" s="9"/>
      <c r="E21" s="23">
        <v>45195</v>
      </c>
      <c r="G21" s="42">
        <v>18470765</v>
      </c>
      <c r="I21" s="42">
        <v>0</v>
      </c>
      <c r="K21" s="42">
        <v>400000</v>
      </c>
      <c r="M21" s="42">
        <v>0</v>
      </c>
      <c r="O21" s="42">
        <v>4645282</v>
      </c>
      <c r="Q21" s="42">
        <v>0</v>
      </c>
      <c r="S21" s="5">
        <f>SUM(G21:R21)</f>
        <v>23516047</v>
      </c>
      <c r="U21" s="42">
        <v>1980790</v>
      </c>
      <c r="W21" s="42">
        <f>+'St of Net Pos - GA'!Q21-'Long Term Liab - GA'!U21</f>
        <v>0</v>
      </c>
    </row>
    <row r="22" spans="1:23">
      <c r="A22" s="9" t="s">
        <v>798</v>
      </c>
      <c r="B22" s="9"/>
      <c r="C22" s="9" t="s">
        <v>61</v>
      </c>
      <c r="D22" s="9"/>
      <c r="E22" s="23">
        <v>49759</v>
      </c>
      <c r="G22" s="42">
        <v>3179055</v>
      </c>
      <c r="I22" s="42">
        <v>0</v>
      </c>
      <c r="K22" s="42">
        <v>0</v>
      </c>
      <c r="M22" s="42">
        <v>0</v>
      </c>
      <c r="O22" s="42">
        <v>672632</v>
      </c>
      <c r="Q22" s="42">
        <v>0</v>
      </c>
      <c r="S22" s="5">
        <f t="shared" si="1"/>
        <v>3851687</v>
      </c>
      <c r="U22" s="42">
        <v>344969</v>
      </c>
      <c r="W22" s="42">
        <f>+'St of Net Pos - GA'!Q22-'Long Term Liab - GA'!U22</f>
        <v>0</v>
      </c>
    </row>
    <row r="23" spans="1:23" hidden="1">
      <c r="A23" s="9" t="s">
        <v>686</v>
      </c>
      <c r="B23" s="9"/>
      <c r="C23" s="9" t="s">
        <v>598</v>
      </c>
      <c r="D23" s="9"/>
      <c r="E23" s="23">
        <v>46623</v>
      </c>
      <c r="G23" s="42">
        <v>0</v>
      </c>
      <c r="I23" s="42">
        <v>0</v>
      </c>
      <c r="K23" s="42">
        <v>0</v>
      </c>
      <c r="M23" s="42">
        <v>0</v>
      </c>
      <c r="O23" s="42">
        <v>0</v>
      </c>
      <c r="Q23" s="42">
        <v>0</v>
      </c>
      <c r="S23" s="5">
        <f t="shared" si="1"/>
        <v>0</v>
      </c>
      <c r="U23" s="42">
        <v>0</v>
      </c>
      <c r="W23" s="42">
        <f>+'St of Net Pos - GA'!Q23-'Long Term Liab - GA'!U23</f>
        <v>0</v>
      </c>
    </row>
    <row r="24" spans="1:23">
      <c r="A24" s="9" t="s">
        <v>387</v>
      </c>
      <c r="B24" s="9"/>
      <c r="C24" s="9" t="s">
        <v>114</v>
      </c>
      <c r="D24" s="9"/>
      <c r="E24" s="23">
        <v>48207</v>
      </c>
      <c r="G24" s="42">
        <v>22374796</v>
      </c>
      <c r="I24" s="42">
        <v>0</v>
      </c>
      <c r="K24" s="42">
        <v>0</v>
      </c>
      <c r="M24" s="42">
        <v>0</v>
      </c>
      <c r="O24" s="42">
        <v>1715635</v>
      </c>
      <c r="Q24" s="42">
        <v>0</v>
      </c>
      <c r="S24" s="5">
        <f t="shared" si="1"/>
        <v>24090431</v>
      </c>
      <c r="U24" s="42">
        <v>1892847</v>
      </c>
      <c r="W24" s="42">
        <f>+'St of Net Pos - GA'!Q24-'Long Term Liab - GA'!U24</f>
        <v>0</v>
      </c>
    </row>
    <row r="25" spans="1:23" hidden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42">
        <v>0</v>
      </c>
      <c r="M25" s="42">
        <v>0</v>
      </c>
      <c r="O25" s="42">
        <v>0</v>
      </c>
      <c r="Q25" s="42">
        <v>0</v>
      </c>
      <c r="S25" s="5">
        <f t="shared" ref="S25" si="2">SUM(G25:R25)</f>
        <v>0</v>
      </c>
      <c r="U25" s="42">
        <v>0</v>
      </c>
      <c r="W25" s="42">
        <f>+'St of Net Pos - GA'!Q25-'Long Term Liab - GA'!U25</f>
        <v>0</v>
      </c>
    </row>
    <row r="26" spans="1:23">
      <c r="A26" s="9" t="s">
        <v>332</v>
      </c>
      <c r="B26" s="9"/>
      <c r="C26" s="9" t="s">
        <v>33</v>
      </c>
      <c r="D26" s="9"/>
      <c r="E26" s="23">
        <v>47415</v>
      </c>
      <c r="G26" s="42">
        <v>0</v>
      </c>
      <c r="I26" s="42">
        <v>0</v>
      </c>
      <c r="K26" s="42">
        <v>0</v>
      </c>
      <c r="M26" s="42">
        <v>0</v>
      </c>
      <c r="O26" s="42">
        <v>394031</v>
      </c>
      <c r="Q26" s="42">
        <v>0</v>
      </c>
      <c r="S26" s="5">
        <f t="shared" si="1"/>
        <v>394031</v>
      </c>
      <c r="U26" s="42">
        <v>5744</v>
      </c>
      <c r="W26" s="42">
        <f>+'St of Net Pos - GA'!Q26-'Long Term Liab - GA'!U26</f>
        <v>0</v>
      </c>
    </row>
    <row r="27" spans="1:23" hidden="1">
      <c r="A27" s="9" t="s">
        <v>665</v>
      </c>
      <c r="B27" s="9"/>
      <c r="C27" s="9" t="s">
        <v>21</v>
      </c>
      <c r="D27" s="9"/>
      <c r="E27" s="23">
        <v>46631</v>
      </c>
      <c r="G27" s="42">
        <v>0</v>
      </c>
      <c r="I27" s="42">
        <v>0</v>
      </c>
      <c r="K27" s="42">
        <v>0</v>
      </c>
      <c r="M27" s="42">
        <v>0</v>
      </c>
      <c r="O27" s="42">
        <v>0</v>
      </c>
      <c r="Q27" s="42">
        <v>0</v>
      </c>
      <c r="S27" s="5">
        <f t="shared" si="1"/>
        <v>0</v>
      </c>
      <c r="U27" s="42">
        <v>0</v>
      </c>
      <c r="W27" s="42">
        <f>+'St of Net Pos - GA'!Q27-'Long Term Liab - GA'!U27</f>
        <v>0</v>
      </c>
    </row>
    <row r="28" spans="1:23">
      <c r="A28" s="9" t="s">
        <v>854</v>
      </c>
      <c r="B28" s="9"/>
      <c r="C28" s="9" t="s">
        <v>28</v>
      </c>
      <c r="D28" s="9"/>
      <c r="E28" s="23">
        <v>47043</v>
      </c>
      <c r="G28" s="42">
        <v>8889559</v>
      </c>
      <c r="I28" s="42">
        <v>0</v>
      </c>
      <c r="K28" s="42">
        <v>0</v>
      </c>
      <c r="M28" s="42">
        <v>0</v>
      </c>
      <c r="O28" s="42">
        <v>1145723</v>
      </c>
      <c r="Q28" s="42">
        <v>0</v>
      </c>
      <c r="S28" s="5">
        <f t="shared" si="1"/>
        <v>10035282</v>
      </c>
      <c r="U28" s="42">
        <v>940580</v>
      </c>
      <c r="W28" s="42">
        <f>+'St of Net Pos - GA'!Q28-'Long Term Liab - GA'!U28</f>
        <v>0</v>
      </c>
    </row>
    <row r="29" spans="1:23">
      <c r="A29" s="9" t="s">
        <v>333</v>
      </c>
      <c r="B29" s="9"/>
      <c r="C29" s="9" t="s">
        <v>33</v>
      </c>
      <c r="D29" s="9"/>
      <c r="E29" s="23">
        <v>47423</v>
      </c>
      <c r="G29" s="42">
        <v>640000</v>
      </c>
      <c r="I29" s="42">
        <v>0</v>
      </c>
      <c r="K29" s="42">
        <v>0</v>
      </c>
      <c r="M29" s="42">
        <v>0</v>
      </c>
      <c r="O29" s="42">
        <v>439082</v>
      </c>
      <c r="Q29" s="42">
        <v>0</v>
      </c>
      <c r="S29" s="5">
        <f t="shared" si="1"/>
        <v>1079082</v>
      </c>
      <c r="U29" s="42">
        <v>165103</v>
      </c>
      <c r="W29" s="42">
        <f>+'St of Net Pos - GA'!Q29-'Long Term Liab - GA'!U29</f>
        <v>0</v>
      </c>
    </row>
    <row r="30" spans="1:23">
      <c r="A30" s="9" t="s">
        <v>202</v>
      </c>
      <c r="B30" s="9"/>
      <c r="C30" s="9" t="s">
        <v>11</v>
      </c>
      <c r="D30" s="9"/>
      <c r="E30" s="23">
        <v>43505</v>
      </c>
      <c r="G30" s="42">
        <v>30816229</v>
      </c>
      <c r="I30" s="42">
        <v>260000</v>
      </c>
      <c r="K30" s="42">
        <v>0</v>
      </c>
      <c r="M30" s="42">
        <v>0</v>
      </c>
      <c r="O30" s="42">
        <v>2169777</v>
      </c>
      <c r="Q30" s="42">
        <v>0</v>
      </c>
      <c r="S30" s="5">
        <f t="shared" si="1"/>
        <v>33246006</v>
      </c>
      <c r="U30" s="42">
        <v>898699</v>
      </c>
      <c r="W30" s="42">
        <f>+'St of Net Pos - GA'!Q30-'Long Term Liab - GA'!U30</f>
        <v>0</v>
      </c>
    </row>
    <row r="31" spans="1:23">
      <c r="A31" s="9" t="s">
        <v>664</v>
      </c>
      <c r="B31" s="9"/>
      <c r="C31" s="9" t="s">
        <v>12</v>
      </c>
      <c r="D31" s="9"/>
      <c r="E31" s="23">
        <v>43513</v>
      </c>
      <c r="G31" s="42">
        <f>31910000+354958+427798+1720017-1100290</f>
        <v>33312483</v>
      </c>
      <c r="I31" s="42">
        <v>0</v>
      </c>
      <c r="K31" s="42">
        <v>0</v>
      </c>
      <c r="M31" s="42">
        <v>0</v>
      </c>
      <c r="O31" s="42">
        <v>2418918</v>
      </c>
      <c r="Q31" s="42">
        <v>0</v>
      </c>
      <c r="S31" s="5">
        <f t="shared" si="1"/>
        <v>35731401</v>
      </c>
      <c r="U31" s="42">
        <v>1879727</v>
      </c>
      <c r="W31" s="42">
        <f>+'St of Net Pos - GA'!Q31-'Long Term Liab - GA'!U31</f>
        <v>0</v>
      </c>
    </row>
    <row r="32" spans="1:23">
      <c r="A32" s="9" t="s">
        <v>209</v>
      </c>
      <c r="B32" s="9"/>
      <c r="C32" s="9" t="s">
        <v>13</v>
      </c>
      <c r="D32" s="9"/>
      <c r="E32" s="23">
        <v>43521</v>
      </c>
      <c r="G32" s="42">
        <f>13374771-1376925</f>
        <v>11997846</v>
      </c>
      <c r="I32" s="42">
        <v>0</v>
      </c>
      <c r="K32" s="42">
        <v>0</v>
      </c>
      <c r="M32" s="42">
        <v>0</v>
      </c>
      <c r="O32" s="42">
        <v>1376925</v>
      </c>
      <c r="Q32" s="42">
        <v>0</v>
      </c>
      <c r="S32" s="5">
        <f t="shared" si="1"/>
        <v>13374771</v>
      </c>
      <c r="U32" s="42">
        <v>1680598</v>
      </c>
      <c r="W32" s="42">
        <f>+'St of Net Pos - GA'!Q32-'Long Term Liab - GA'!U32</f>
        <v>0</v>
      </c>
    </row>
    <row r="33" spans="1:23">
      <c r="A33" s="9" t="s">
        <v>456</v>
      </c>
      <c r="B33" s="9"/>
      <c r="C33" s="9" t="s">
        <v>56</v>
      </c>
      <c r="D33" s="9"/>
      <c r="E33" s="23">
        <v>49171</v>
      </c>
      <c r="G33" s="42">
        <v>21773565</v>
      </c>
      <c r="I33" s="42">
        <v>0</v>
      </c>
      <c r="K33" s="42">
        <v>0</v>
      </c>
      <c r="M33" s="42">
        <v>149636</v>
      </c>
      <c r="O33" s="42">
        <v>1984547</v>
      </c>
      <c r="Q33" s="42">
        <v>8195060</v>
      </c>
      <c r="S33" s="5">
        <f t="shared" si="1"/>
        <v>32102808</v>
      </c>
      <c r="U33" s="42">
        <v>2277077</v>
      </c>
      <c r="W33" s="42">
        <f>+'St of Net Pos - GA'!Q33-'Long Term Liab - GA'!U33</f>
        <v>0</v>
      </c>
    </row>
    <row r="34" spans="1:23">
      <c r="A34" s="9" t="s">
        <v>398</v>
      </c>
      <c r="B34" s="9"/>
      <c r="C34" s="9" t="s">
        <v>45</v>
      </c>
      <c r="D34" s="9"/>
      <c r="E34" s="23">
        <v>48298</v>
      </c>
      <c r="G34" s="42">
        <f>47315602+3100018</f>
        <v>50415620</v>
      </c>
      <c r="I34" s="42">
        <v>237245</v>
      </c>
      <c r="K34" s="42">
        <v>0</v>
      </c>
      <c r="M34" s="42">
        <v>0</v>
      </c>
      <c r="O34" s="42">
        <v>2781175</v>
      </c>
      <c r="Q34" s="42">
        <v>40000</v>
      </c>
      <c r="S34" s="5">
        <f t="shared" si="1"/>
        <v>53474040</v>
      </c>
      <c r="U34" s="42">
        <v>2332571</v>
      </c>
      <c r="W34" s="42">
        <f>+'St of Net Pos - GA'!Q34-'Long Term Liab - GA'!U34</f>
        <v>0</v>
      </c>
    </row>
    <row r="35" spans="1:23">
      <c r="A35" s="9" t="s">
        <v>378</v>
      </c>
      <c r="B35" s="9"/>
      <c r="C35" s="9" t="s">
        <v>44</v>
      </c>
      <c r="D35" s="9"/>
      <c r="E35" s="23">
        <v>48124</v>
      </c>
      <c r="G35" s="42">
        <v>51136537</v>
      </c>
      <c r="I35" s="42">
        <v>0</v>
      </c>
      <c r="K35" s="42">
        <v>0</v>
      </c>
      <c r="M35" s="42">
        <v>251641</v>
      </c>
      <c r="O35" s="42">
        <v>5592505</v>
      </c>
      <c r="Q35" s="42">
        <v>0</v>
      </c>
      <c r="S35" s="5">
        <f t="shared" si="1"/>
        <v>56980683</v>
      </c>
      <c r="U35" s="42">
        <v>4118289</v>
      </c>
      <c r="W35" s="42">
        <f>+'St of Net Pos - GA'!Q35-'Long Term Liab - GA'!U35</f>
        <v>0</v>
      </c>
    </row>
    <row r="36" spans="1:23">
      <c r="A36" s="9" t="s">
        <v>379</v>
      </c>
      <c r="B36" s="9"/>
      <c r="C36" s="9" t="s">
        <v>44</v>
      </c>
      <c r="D36" s="9"/>
      <c r="E36" s="23">
        <v>48116</v>
      </c>
      <c r="G36" s="42">
        <f>65993944+2201395</f>
        <v>68195339</v>
      </c>
      <c r="I36" s="42">
        <v>0</v>
      </c>
      <c r="K36" s="42">
        <v>0</v>
      </c>
      <c r="M36" s="42">
        <v>63464</v>
      </c>
      <c r="O36" s="42">
        <v>2939043</v>
      </c>
      <c r="Q36" s="42">
        <v>0</v>
      </c>
      <c r="S36" s="5">
        <f t="shared" si="1"/>
        <v>71197846</v>
      </c>
      <c r="U36" s="42">
        <v>3233033</v>
      </c>
      <c r="W36" s="42">
        <f>+'St of Net Pos - GA'!Q36-'Long Term Liab - GA'!U36</f>
        <v>0</v>
      </c>
    </row>
    <row r="37" spans="1:23">
      <c r="A37" s="9" t="s">
        <v>281</v>
      </c>
      <c r="B37" s="9"/>
      <c r="C37" s="9" t="s">
        <v>22</v>
      </c>
      <c r="D37" s="9"/>
      <c r="E37" s="23">
        <v>46706</v>
      </c>
      <c r="G37" s="42">
        <v>0</v>
      </c>
      <c r="I37" s="42">
        <v>0</v>
      </c>
      <c r="K37" s="42">
        <v>0</v>
      </c>
      <c r="M37" s="42">
        <f>33566+99450</f>
        <v>133016</v>
      </c>
      <c r="O37" s="42">
        <v>706027</v>
      </c>
      <c r="Q37" s="42">
        <v>0</v>
      </c>
      <c r="S37" s="5">
        <f t="shared" si="1"/>
        <v>839043</v>
      </c>
      <c r="U37" s="42">
        <v>224166</v>
      </c>
      <c r="W37" s="42">
        <f>+'St of Net Pos - GA'!Q37-'Long Term Liab - GA'!U37</f>
        <v>0</v>
      </c>
    </row>
    <row r="38" spans="1:23">
      <c r="A38" s="9" t="s">
        <v>503</v>
      </c>
      <c r="B38" s="9"/>
      <c r="C38" s="9" t="s">
        <v>63</v>
      </c>
      <c r="D38" s="9"/>
      <c r="E38" s="23">
        <v>43539</v>
      </c>
      <c r="G38" s="42">
        <f>50235465+2139874</f>
        <v>52375339</v>
      </c>
      <c r="I38" s="42">
        <v>0</v>
      </c>
      <c r="K38" s="42">
        <v>0</v>
      </c>
      <c r="M38" s="42">
        <v>0</v>
      </c>
      <c r="O38" s="42">
        <v>2159411</v>
      </c>
      <c r="Q38" s="42">
        <v>0</v>
      </c>
      <c r="S38" s="5">
        <f t="shared" si="1"/>
        <v>54534750</v>
      </c>
      <c r="U38" s="42">
        <v>2451016</v>
      </c>
      <c r="W38" s="42">
        <f>+'St of Net Pos - GA'!Q38-'Long Term Liab - GA'!U38</f>
        <v>0</v>
      </c>
    </row>
    <row r="39" spans="1:23">
      <c r="A39" s="9" t="s">
        <v>744</v>
      </c>
      <c r="B39" s="9"/>
      <c r="C39" s="9" t="s">
        <v>15</v>
      </c>
      <c r="D39" s="9"/>
      <c r="E39" s="23">
        <v>45203</v>
      </c>
      <c r="G39" s="42">
        <f>485000+1410000+94999+109819+143486+585000</f>
        <v>2828304</v>
      </c>
      <c r="I39" s="42">
        <v>0</v>
      </c>
      <c r="K39" s="42">
        <v>0</v>
      </c>
      <c r="M39" s="42">
        <v>129780</v>
      </c>
      <c r="O39" s="42">
        <v>696822</v>
      </c>
      <c r="Q39" s="42">
        <v>0</v>
      </c>
      <c r="S39" s="5">
        <f t="shared" ref="S39" si="3">SUM(G39:R39)</f>
        <v>3654906</v>
      </c>
      <c r="U39" s="42">
        <v>311270</v>
      </c>
      <c r="W39" s="42">
        <f>+'St of Net Pos - GA'!Q39-'Long Term Liab - GA'!U39</f>
        <v>0</v>
      </c>
    </row>
    <row r="40" spans="1:23">
      <c r="A40" s="9" t="s">
        <v>235</v>
      </c>
      <c r="B40" s="9"/>
      <c r="C40" s="9" t="s">
        <v>112</v>
      </c>
      <c r="D40" s="9"/>
      <c r="E40" s="23">
        <v>46300</v>
      </c>
      <c r="G40" s="42">
        <f>19347448+1525+181239</f>
        <v>19530212</v>
      </c>
      <c r="I40" s="42">
        <v>0</v>
      </c>
      <c r="K40" s="42">
        <v>0</v>
      </c>
      <c r="M40" s="42">
        <v>262000</v>
      </c>
      <c r="O40" s="42">
        <v>1042594</v>
      </c>
      <c r="Q40" s="42">
        <v>0</v>
      </c>
      <c r="S40" s="5">
        <f t="shared" si="1"/>
        <v>20834806</v>
      </c>
      <c r="U40" s="42">
        <v>882071</v>
      </c>
      <c r="W40" s="42">
        <f>+'St of Net Pos - GA'!Q40-'Long Term Liab - GA'!U40</f>
        <v>0</v>
      </c>
    </row>
    <row r="41" spans="1:23" hidden="1">
      <c r="A41" s="9" t="s">
        <v>666</v>
      </c>
      <c r="B41" s="9"/>
      <c r="C41" s="9" t="s">
        <v>10</v>
      </c>
      <c r="D41" s="9"/>
      <c r="E41" s="23">
        <v>45765</v>
      </c>
      <c r="G41" s="42">
        <v>0</v>
      </c>
      <c r="I41" s="42">
        <v>0</v>
      </c>
      <c r="K41" s="42">
        <v>0</v>
      </c>
      <c r="M41" s="42">
        <v>0</v>
      </c>
      <c r="O41" s="42">
        <v>0</v>
      </c>
      <c r="Q41" s="42">
        <v>0</v>
      </c>
      <c r="S41" s="5">
        <f t="shared" ref="S41" si="4">SUM(G41:R41)</f>
        <v>0</v>
      </c>
      <c r="U41" s="42">
        <v>0</v>
      </c>
      <c r="W41" s="42">
        <f>+'St of Net Pos - GA'!Q41-'Long Term Liab - GA'!U41</f>
        <v>0</v>
      </c>
    </row>
    <row r="42" spans="1:23">
      <c r="A42" s="9" t="s">
        <v>629</v>
      </c>
      <c r="B42" s="9"/>
      <c r="C42" s="9" t="s">
        <v>20</v>
      </c>
      <c r="D42" s="9"/>
      <c r="E42" s="23">
        <v>43547</v>
      </c>
      <c r="G42" s="42">
        <v>29940256</v>
      </c>
      <c r="I42" s="42">
        <v>0</v>
      </c>
      <c r="K42" s="42">
        <v>0</v>
      </c>
      <c r="M42" s="42">
        <v>0</v>
      </c>
      <c r="O42" s="42">
        <v>3886204</v>
      </c>
      <c r="Q42" s="42">
        <v>1620000</v>
      </c>
      <c r="S42" s="5">
        <f t="shared" si="1"/>
        <v>35446460</v>
      </c>
      <c r="U42" s="42">
        <v>1954878</v>
      </c>
      <c r="W42" s="42">
        <f>+'St of Net Pos - GA'!Q42-'Long Term Liab - GA'!U42</f>
        <v>0</v>
      </c>
    </row>
    <row r="43" spans="1:23">
      <c r="A43" s="9" t="s">
        <v>259</v>
      </c>
      <c r="B43" s="9"/>
      <c r="C43" s="9" t="s">
        <v>20</v>
      </c>
      <c r="D43" s="9"/>
      <c r="E43" s="23">
        <v>43554</v>
      </c>
      <c r="G43" s="42">
        <v>37567973</v>
      </c>
      <c r="I43" s="42">
        <v>0</v>
      </c>
      <c r="K43" s="42">
        <v>3995000</v>
      </c>
      <c r="M43" s="42">
        <v>103847</v>
      </c>
      <c r="O43" s="42">
        <v>2478414</v>
      </c>
      <c r="Q43" s="42">
        <v>0</v>
      </c>
      <c r="S43" s="5">
        <f t="shared" si="1"/>
        <v>44145234</v>
      </c>
      <c r="U43" s="42">
        <v>2722679</v>
      </c>
      <c r="W43" s="42">
        <f>+'St of Net Pos - GA'!Q43-'Long Term Liab - GA'!U43</f>
        <v>0</v>
      </c>
    </row>
    <row r="44" spans="1:23">
      <c r="A44" s="9" t="s">
        <v>244</v>
      </c>
      <c r="B44" s="9"/>
      <c r="C44" s="9" t="s">
        <v>111</v>
      </c>
      <c r="D44" s="9"/>
      <c r="E44" s="23">
        <v>46425</v>
      </c>
      <c r="G44" s="42">
        <f>21498614+449311</f>
        <v>21947925</v>
      </c>
      <c r="I44" s="42">
        <v>128181</v>
      </c>
      <c r="K44" s="42">
        <v>0</v>
      </c>
      <c r="M44" s="42">
        <v>158357</v>
      </c>
      <c r="O44" s="42">
        <v>854730</v>
      </c>
      <c r="Q44" s="42">
        <v>0</v>
      </c>
      <c r="S44" s="5">
        <f t="shared" si="1"/>
        <v>23089193</v>
      </c>
      <c r="U44" s="42">
        <v>592665</v>
      </c>
      <c r="W44" s="42">
        <f>+'St of Net Pos - GA'!Q44-'Long Term Liab - GA'!U44</f>
        <v>0</v>
      </c>
    </row>
    <row r="45" spans="1:23">
      <c r="A45" s="9" t="s">
        <v>315</v>
      </c>
      <c r="B45" s="9"/>
      <c r="C45" s="9" t="s">
        <v>113</v>
      </c>
      <c r="D45" s="9"/>
      <c r="E45" s="23">
        <v>47241</v>
      </c>
      <c r="G45" s="42">
        <f>77705000+15415000+6160000+1344145</f>
        <v>100624145</v>
      </c>
      <c r="I45" s="42">
        <v>0</v>
      </c>
      <c r="K45" s="42">
        <v>0</v>
      </c>
      <c r="M45" s="42">
        <v>2764000</v>
      </c>
      <c r="O45" s="42">
        <v>4193310</v>
      </c>
      <c r="Q45" s="42">
        <v>0</v>
      </c>
      <c r="S45" s="5">
        <f t="shared" si="1"/>
        <v>107581455</v>
      </c>
      <c r="U45" s="42">
        <v>4949039</v>
      </c>
      <c r="W45" s="42">
        <f>+'St of Net Pos - GA'!Q45-'Long Term Liab - GA'!U45</f>
        <v>0</v>
      </c>
    </row>
    <row r="46" spans="1:23">
      <c r="A46" s="9" t="s">
        <v>260</v>
      </c>
      <c r="B46" s="9"/>
      <c r="C46" s="9" t="s">
        <v>20</v>
      </c>
      <c r="D46" s="9"/>
      <c r="E46" s="23">
        <v>43562</v>
      </c>
      <c r="G46" s="42">
        <v>2822588</v>
      </c>
      <c r="I46" s="42">
        <v>0</v>
      </c>
      <c r="K46" s="42">
        <v>0</v>
      </c>
      <c r="M46" s="42">
        <v>251144</v>
      </c>
      <c r="O46" s="42">
        <v>3719239</v>
      </c>
      <c r="Q46" s="42">
        <v>0</v>
      </c>
      <c r="S46" s="5">
        <f t="shared" si="1"/>
        <v>6792971</v>
      </c>
      <c r="U46" s="42">
        <v>2123258</v>
      </c>
      <c r="W46" s="42">
        <f>+'St of Net Pos - GA'!Q46-'Long Term Liab - GA'!U46</f>
        <v>0</v>
      </c>
    </row>
    <row r="47" spans="1:23">
      <c r="A47" s="9" t="s">
        <v>214</v>
      </c>
      <c r="B47" s="9"/>
      <c r="C47" s="9" t="s">
        <v>15</v>
      </c>
      <c r="D47" s="9"/>
      <c r="E47" s="23">
        <v>43570</v>
      </c>
      <c r="G47" s="42">
        <v>2360060</v>
      </c>
      <c r="I47" s="42">
        <v>0</v>
      </c>
      <c r="K47" s="42">
        <v>0</v>
      </c>
      <c r="M47" s="42">
        <v>105825</v>
      </c>
      <c r="O47" s="42">
        <v>945029</v>
      </c>
      <c r="Q47" s="42">
        <v>0</v>
      </c>
      <c r="S47" s="5">
        <f t="shared" si="1"/>
        <v>3410914</v>
      </c>
      <c r="U47" s="42">
        <v>435277</v>
      </c>
      <c r="W47" s="42">
        <f>+'St of Net Pos - GA'!Q47-'Long Term Liab - GA'!U47</f>
        <v>0</v>
      </c>
    </row>
    <row r="48" spans="1:23">
      <c r="A48" s="9" t="s">
        <v>729</v>
      </c>
      <c r="B48" s="9"/>
      <c r="C48" s="9" t="s">
        <v>113</v>
      </c>
      <c r="D48" s="9"/>
      <c r="E48" s="23">
        <v>47274</v>
      </c>
      <c r="G48" s="42">
        <v>40911241</v>
      </c>
      <c r="I48" s="42">
        <v>0</v>
      </c>
      <c r="K48" s="42">
        <v>0</v>
      </c>
      <c r="M48" s="42">
        <v>3719000</v>
      </c>
      <c r="O48" s="42">
        <v>1575085</v>
      </c>
      <c r="Q48" s="42">
        <v>0</v>
      </c>
      <c r="S48" s="5">
        <f t="shared" si="1"/>
        <v>46205326</v>
      </c>
      <c r="U48" s="42">
        <v>1893761</v>
      </c>
      <c r="W48" s="42">
        <f>+'St of Net Pos - GA'!Q48-'Long Term Liab - GA'!U48</f>
        <v>0</v>
      </c>
    </row>
    <row r="49" spans="1:23" hidden="1">
      <c r="A49" s="9" t="s">
        <v>873</v>
      </c>
      <c r="B49" s="9"/>
      <c r="C49" s="9" t="s">
        <v>43</v>
      </c>
      <c r="D49" s="9"/>
      <c r="E49" s="23">
        <v>43588</v>
      </c>
      <c r="G49" s="42">
        <v>0</v>
      </c>
      <c r="I49" s="42">
        <v>0</v>
      </c>
      <c r="K49" s="42">
        <v>0</v>
      </c>
      <c r="M49" s="42">
        <v>0</v>
      </c>
      <c r="O49" s="42">
        <v>0</v>
      </c>
      <c r="Q49" s="42">
        <v>0</v>
      </c>
      <c r="S49" s="5">
        <f t="shared" ref="S49" si="5">SUM(G49:R49)</f>
        <v>0</v>
      </c>
      <c r="U49" s="42">
        <v>0</v>
      </c>
      <c r="W49" s="42">
        <f>+'St of Net Pos - GA'!Q49-'Long Term Liab - GA'!U49</f>
        <v>0</v>
      </c>
    </row>
    <row r="50" spans="1:23">
      <c r="A50" s="9" t="s">
        <v>353</v>
      </c>
      <c r="B50" s="9"/>
      <c r="C50" s="9" t="s">
        <v>37</v>
      </c>
      <c r="D50" s="9"/>
      <c r="E50" s="23">
        <v>43596</v>
      </c>
      <c r="G50" s="42">
        <f>852578+8725000+13949422+314261</f>
        <v>23841261</v>
      </c>
      <c r="I50" s="42">
        <v>0</v>
      </c>
      <c r="K50" s="42">
        <v>0</v>
      </c>
      <c r="M50" s="42">
        <v>452526</v>
      </c>
      <c r="O50" s="42">
        <v>1567213</v>
      </c>
      <c r="Q50" s="42">
        <v>150000</v>
      </c>
      <c r="S50" s="5">
        <f t="shared" si="1"/>
        <v>26011000</v>
      </c>
      <c r="U50" s="42">
        <v>969458</v>
      </c>
      <c r="W50" s="42">
        <f>+'St of Net Pos - GA'!Q50-'Long Term Liab - GA'!U50</f>
        <v>0</v>
      </c>
    </row>
    <row r="51" spans="1:23">
      <c r="A51" s="9" t="s">
        <v>543</v>
      </c>
      <c r="B51" s="9"/>
      <c r="C51" s="9" t="s">
        <v>70</v>
      </c>
      <c r="D51" s="9"/>
      <c r="E51" s="23">
        <v>43604</v>
      </c>
      <c r="G51" s="42">
        <v>0</v>
      </c>
      <c r="I51" s="42">
        <v>0</v>
      </c>
      <c r="K51" s="42">
        <v>0</v>
      </c>
      <c r="M51" s="42">
        <v>0</v>
      </c>
      <c r="O51" s="42">
        <v>532966</v>
      </c>
      <c r="Q51" s="42">
        <v>0</v>
      </c>
      <c r="S51" s="5">
        <f t="shared" si="1"/>
        <v>532966</v>
      </c>
      <c r="U51" s="42">
        <v>111205</v>
      </c>
      <c r="W51" s="42">
        <f>+'St of Net Pos - GA'!Q51-'Long Term Liab - GA'!U51</f>
        <v>0</v>
      </c>
    </row>
    <row r="52" spans="1:23" hidden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42">
        <v>0</v>
      </c>
      <c r="M52" s="42">
        <v>0</v>
      </c>
      <c r="O52" s="42">
        <v>0</v>
      </c>
      <c r="Q52" s="42">
        <v>0</v>
      </c>
      <c r="S52" s="5">
        <f t="shared" ref="S52" si="6">SUM(G52:R52)</f>
        <v>0</v>
      </c>
      <c r="U52" s="42">
        <v>0</v>
      </c>
      <c r="W52" s="42">
        <f>+'St of Net Pos - GA'!Q52-'Long Term Liab - GA'!U52</f>
        <v>0</v>
      </c>
    </row>
    <row r="53" spans="1:23" hidden="1">
      <c r="A53" s="9" t="s">
        <v>857</v>
      </c>
      <c r="B53" s="9"/>
      <c r="C53" s="9" t="s">
        <v>53</v>
      </c>
      <c r="D53" s="9"/>
      <c r="E53" s="23">
        <v>48926</v>
      </c>
      <c r="G53" s="42">
        <v>0</v>
      </c>
      <c r="I53" s="42">
        <v>0</v>
      </c>
      <c r="K53" s="42">
        <v>0</v>
      </c>
      <c r="M53" s="42">
        <v>0</v>
      </c>
      <c r="O53" s="42">
        <v>0</v>
      </c>
      <c r="Q53" s="42">
        <v>0</v>
      </c>
      <c r="S53" s="5">
        <f t="shared" si="1"/>
        <v>0</v>
      </c>
      <c r="U53" s="42">
        <v>0</v>
      </c>
      <c r="W53" s="42">
        <f>+'St of Net Pos - GA'!Q53-'Long Term Liab - GA'!U53</f>
        <v>0</v>
      </c>
    </row>
    <row r="54" spans="1:23">
      <c r="A54" s="9" t="s">
        <v>261</v>
      </c>
      <c r="B54" s="9"/>
      <c r="C54" s="9" t="s">
        <v>20</v>
      </c>
      <c r="D54" s="9"/>
      <c r="E54" s="23">
        <v>43612</v>
      </c>
      <c r="G54" s="42">
        <v>9342020</v>
      </c>
      <c r="I54" s="42">
        <v>0</v>
      </c>
      <c r="K54" s="42">
        <v>0</v>
      </c>
      <c r="M54" s="42">
        <v>0</v>
      </c>
      <c r="O54" s="42">
        <v>3620526</v>
      </c>
      <c r="Q54" s="42">
        <v>25269431</v>
      </c>
      <c r="S54" s="5">
        <f t="shared" si="1"/>
        <v>38231977</v>
      </c>
      <c r="U54" s="42">
        <v>2387401</v>
      </c>
      <c r="W54" s="42">
        <f>+'St of Net Pos - GA'!Q54-'Long Term Liab - GA'!U54</f>
        <v>0</v>
      </c>
    </row>
    <row r="55" spans="1:23">
      <c r="A55" s="9" t="s">
        <v>634</v>
      </c>
      <c r="B55" s="9"/>
      <c r="C55" s="9" t="s">
        <v>30</v>
      </c>
      <c r="D55" s="9"/>
      <c r="E55" s="23">
        <v>47167</v>
      </c>
      <c r="G55" s="42">
        <v>0</v>
      </c>
      <c r="I55" s="42">
        <v>0</v>
      </c>
      <c r="K55" s="42">
        <v>0</v>
      </c>
      <c r="M55" s="42">
        <v>140357</v>
      </c>
      <c r="O55" s="42">
        <v>994565</v>
      </c>
      <c r="Q55" s="42">
        <v>0</v>
      </c>
      <c r="S55" s="5">
        <f t="shared" si="1"/>
        <v>1134922</v>
      </c>
      <c r="U55" s="42">
        <v>422493</v>
      </c>
      <c r="W55" s="42">
        <f>+'St of Net Pos - GA'!Q55-'Long Term Liab - GA'!U55</f>
        <v>0</v>
      </c>
    </row>
    <row r="56" spans="1:23" hidden="1">
      <c r="A56" s="9" t="s">
        <v>283</v>
      </c>
      <c r="B56" s="9"/>
      <c r="C56" s="9" t="s">
        <v>24</v>
      </c>
      <c r="D56" s="9"/>
      <c r="E56" s="23">
        <v>46789</v>
      </c>
      <c r="G56" s="42">
        <v>0</v>
      </c>
      <c r="I56" s="42">
        <v>0</v>
      </c>
      <c r="K56" s="42">
        <v>0</v>
      </c>
      <c r="M56" s="42">
        <v>0</v>
      </c>
      <c r="O56" s="42">
        <v>0</v>
      </c>
      <c r="Q56" s="42">
        <v>0</v>
      </c>
      <c r="S56" s="5">
        <f t="shared" si="1"/>
        <v>0</v>
      </c>
      <c r="U56" s="42">
        <v>0</v>
      </c>
      <c r="W56" s="42">
        <f>+'St of Net Pos - GA'!Q56-'Long Term Liab - GA'!U56</f>
        <v>0</v>
      </c>
    </row>
    <row r="57" spans="1:23" hidden="1">
      <c r="A57" s="9" t="s">
        <v>786</v>
      </c>
      <c r="B57" s="9"/>
      <c r="C57" s="9" t="s">
        <v>25</v>
      </c>
      <c r="D57" s="9"/>
      <c r="E57" s="23">
        <v>46854</v>
      </c>
      <c r="G57" s="42">
        <v>0</v>
      </c>
      <c r="I57" s="42">
        <v>0</v>
      </c>
      <c r="K57" s="42">
        <v>0</v>
      </c>
      <c r="M57" s="42">
        <v>0</v>
      </c>
      <c r="O57" s="42">
        <v>0</v>
      </c>
      <c r="Q57" s="42">
        <v>0</v>
      </c>
      <c r="S57" s="5">
        <f t="shared" si="1"/>
        <v>0</v>
      </c>
      <c r="U57" s="42">
        <v>0</v>
      </c>
      <c r="W57" s="42">
        <f>+'St of Net Pos - GA'!Q57-'Long Term Liab - GA'!U57</f>
        <v>0</v>
      </c>
    </row>
    <row r="58" spans="1:23">
      <c r="A58" s="9" t="s">
        <v>420</v>
      </c>
      <c r="B58" s="9"/>
      <c r="C58" s="9" t="s">
        <v>48</v>
      </c>
      <c r="D58" s="9"/>
      <c r="E58" s="23">
        <v>48611</v>
      </c>
      <c r="G58" s="42">
        <v>0</v>
      </c>
      <c r="I58" s="42">
        <v>0</v>
      </c>
      <c r="K58" s="42">
        <v>453825</v>
      </c>
      <c r="M58" s="42">
        <v>799000</v>
      </c>
      <c r="O58" s="42">
        <v>394008</v>
      </c>
      <c r="Q58" s="42">
        <v>0</v>
      </c>
      <c r="S58" s="5">
        <f t="shared" si="1"/>
        <v>1646833</v>
      </c>
      <c r="U58" s="42">
        <v>203393</v>
      </c>
      <c r="W58" s="42">
        <f>+'St of Net Pos - GA'!Q58-'Long Term Liab - GA'!U58</f>
        <v>0</v>
      </c>
    </row>
    <row r="59" spans="1:23">
      <c r="A59" s="9" t="s">
        <v>236</v>
      </c>
      <c r="B59" s="9"/>
      <c r="C59" s="9" t="s">
        <v>112</v>
      </c>
      <c r="D59" s="9"/>
      <c r="E59" s="23">
        <v>46318</v>
      </c>
      <c r="G59" s="42">
        <v>3748761</v>
      </c>
      <c r="I59" s="42">
        <v>0</v>
      </c>
      <c r="K59" s="42">
        <v>0</v>
      </c>
      <c r="M59" s="42">
        <v>177769</v>
      </c>
      <c r="O59" s="42">
        <v>988742</v>
      </c>
      <c r="Q59" s="42">
        <v>2135000</v>
      </c>
      <c r="S59" s="5">
        <f t="shared" si="1"/>
        <v>7050272</v>
      </c>
      <c r="U59" s="42">
        <v>514818</v>
      </c>
      <c r="W59" s="42">
        <f>+'St of Net Pos - GA'!Q59-'Long Term Liab - GA'!U59</f>
        <v>0</v>
      </c>
    </row>
    <row r="60" spans="1:23" hidden="1">
      <c r="A60" s="9" t="s">
        <v>667</v>
      </c>
      <c r="B60" s="9"/>
      <c r="C60" s="9" t="s">
        <v>60</v>
      </c>
      <c r="D60" s="9"/>
      <c r="E60" s="23">
        <v>49692</v>
      </c>
      <c r="G60" s="42">
        <v>0</v>
      </c>
      <c r="I60" s="42">
        <v>0</v>
      </c>
      <c r="K60" s="42">
        <v>0</v>
      </c>
      <c r="M60" s="42">
        <v>0</v>
      </c>
      <c r="O60" s="42">
        <v>0</v>
      </c>
      <c r="Q60" s="42">
        <v>0</v>
      </c>
      <c r="S60" s="5">
        <f t="shared" ref="S60" si="7">SUM(G60:R60)</f>
        <v>0</v>
      </c>
      <c r="U60" s="42">
        <v>0</v>
      </c>
      <c r="W60" s="42">
        <f>+'St of Net Pos - GA'!Q60-'Long Term Liab - GA'!U60</f>
        <v>0</v>
      </c>
    </row>
    <row r="61" spans="1:23">
      <c r="A61" s="9" t="s">
        <v>297</v>
      </c>
      <c r="B61" s="9"/>
      <c r="C61" s="9" t="s">
        <v>27</v>
      </c>
      <c r="D61" s="9"/>
      <c r="E61" s="23">
        <v>43620</v>
      </c>
      <c r="G61" s="42">
        <v>21349996</v>
      </c>
      <c r="I61" s="42">
        <v>0</v>
      </c>
      <c r="K61" s="42">
        <v>0</v>
      </c>
      <c r="M61" s="42">
        <v>0</v>
      </c>
      <c r="O61" s="42">
        <v>1801331</v>
      </c>
      <c r="Q61" s="42">
        <v>0</v>
      </c>
      <c r="S61" s="5">
        <f t="shared" si="1"/>
        <v>23151327</v>
      </c>
      <c r="U61" s="42">
        <v>1955000</v>
      </c>
      <c r="W61" s="42">
        <f>+'St of Net Pos - GA'!Q61-'Long Term Liab - GA'!U61</f>
        <v>0</v>
      </c>
    </row>
    <row r="62" spans="1:23">
      <c r="A62" s="9" t="s">
        <v>630</v>
      </c>
      <c r="B62" s="9"/>
      <c r="C62" s="9" t="s">
        <v>23</v>
      </c>
      <c r="D62" s="9"/>
      <c r="E62" s="23">
        <v>46748</v>
      </c>
      <c r="G62" s="42">
        <v>43679357</v>
      </c>
      <c r="I62" s="42">
        <v>0</v>
      </c>
      <c r="K62" s="42">
        <v>0</v>
      </c>
      <c r="M62" s="42">
        <v>0</v>
      </c>
      <c r="O62" s="42">
        <v>1638636</v>
      </c>
      <c r="Q62" s="42">
        <v>0</v>
      </c>
      <c r="S62" s="5">
        <f t="shared" si="1"/>
        <v>45317993</v>
      </c>
      <c r="U62" s="42">
        <v>2039194</v>
      </c>
      <c r="W62" s="42">
        <f>+'St of Net Pos - GA'!Q62-'Long Term Liab - GA'!U62</f>
        <v>0</v>
      </c>
    </row>
    <row r="63" spans="1:23">
      <c r="A63" s="9" t="s">
        <v>411</v>
      </c>
      <c r="B63" s="9"/>
      <c r="C63" s="9" t="s">
        <v>47</v>
      </c>
      <c r="D63" s="9"/>
      <c r="E63" s="23">
        <v>48462</v>
      </c>
      <c r="G63" s="42">
        <v>2500000</v>
      </c>
      <c r="I63" s="42">
        <v>0</v>
      </c>
      <c r="K63" s="42">
        <v>0</v>
      </c>
      <c r="M63" s="42">
        <v>0</v>
      </c>
      <c r="O63" s="42">
        <v>427888</v>
      </c>
      <c r="Q63" s="42">
        <v>0</v>
      </c>
      <c r="S63" s="5">
        <f t="shared" si="1"/>
        <v>2927888</v>
      </c>
      <c r="U63" s="42">
        <v>463253</v>
      </c>
      <c r="W63" s="42">
        <f>+'St of Net Pos - GA'!Q63-'Long Term Liab - GA'!U63</f>
        <v>0</v>
      </c>
    </row>
    <row r="64" spans="1:23">
      <c r="A64" s="9" t="s">
        <v>240</v>
      </c>
      <c r="B64" s="9"/>
      <c r="C64" s="9" t="s">
        <v>18</v>
      </c>
      <c r="D64" s="9"/>
      <c r="E64" s="23">
        <v>46383</v>
      </c>
      <c r="G64" s="42">
        <v>4871331</v>
      </c>
      <c r="I64" s="42">
        <v>0</v>
      </c>
      <c r="K64" s="42">
        <v>0</v>
      </c>
      <c r="M64" s="42">
        <v>0</v>
      </c>
      <c r="O64" s="42">
        <v>286457</v>
      </c>
      <c r="Q64" s="42">
        <v>0</v>
      </c>
      <c r="S64" s="5">
        <f t="shared" si="1"/>
        <v>5157788</v>
      </c>
      <c r="U64" s="42">
        <v>460225</v>
      </c>
      <c r="W64" s="42">
        <f>+'St of Net Pos - GA'!Q64-'Long Term Liab - GA'!U64</f>
        <v>0</v>
      </c>
    </row>
    <row r="65" spans="1:23">
      <c r="A65" s="9" t="s">
        <v>291</v>
      </c>
      <c r="B65" s="9"/>
      <c r="C65" s="9" t="s">
        <v>25</v>
      </c>
      <c r="D65" s="9"/>
      <c r="E65" s="23">
        <v>46862</v>
      </c>
      <c r="G65" s="42">
        <f>25481478-578969</f>
        <v>24902509</v>
      </c>
      <c r="I65" s="42">
        <v>0</v>
      </c>
      <c r="K65" s="42">
        <v>0</v>
      </c>
      <c r="M65" s="42">
        <v>0</v>
      </c>
      <c r="O65" s="42">
        <v>578969</v>
      </c>
      <c r="Q65" s="42">
        <v>0</v>
      </c>
      <c r="S65" s="5">
        <f t="shared" si="1"/>
        <v>25481478</v>
      </c>
      <c r="U65" s="42">
        <v>1024743</v>
      </c>
      <c r="W65" s="42">
        <f>+'St of Net Pos - GA'!Q65-'Long Term Liab - GA'!U65</f>
        <v>0</v>
      </c>
    </row>
    <row r="66" spans="1:23">
      <c r="A66" s="9" t="s">
        <v>514</v>
      </c>
      <c r="B66" s="9"/>
      <c r="C66" s="9" t="s">
        <v>64</v>
      </c>
      <c r="D66" s="9"/>
      <c r="E66" s="23">
        <v>50096</v>
      </c>
      <c r="G66" s="42">
        <v>0</v>
      </c>
      <c r="I66" s="42">
        <v>0</v>
      </c>
      <c r="K66" s="42">
        <v>209095</v>
      </c>
      <c r="M66" s="42">
        <v>33924</v>
      </c>
      <c r="O66" s="42">
        <v>177120</v>
      </c>
      <c r="Q66" s="42">
        <v>0</v>
      </c>
      <c r="S66" s="5">
        <f t="shared" si="1"/>
        <v>420139</v>
      </c>
      <c r="U66" s="42">
        <v>77802</v>
      </c>
      <c r="W66" s="42">
        <f>+'St of Net Pos - GA'!Q66-'Long Term Liab - GA'!U66</f>
        <v>0</v>
      </c>
    </row>
    <row r="67" spans="1:23">
      <c r="A67" s="9" t="s">
        <v>476</v>
      </c>
      <c r="B67" s="9"/>
      <c r="C67" s="9" t="s">
        <v>59</v>
      </c>
      <c r="D67" s="9"/>
      <c r="E67" s="23">
        <v>49593</v>
      </c>
      <c r="G67" s="42">
        <v>848044</v>
      </c>
      <c r="I67" s="42">
        <v>0</v>
      </c>
      <c r="K67" s="42">
        <v>0</v>
      </c>
      <c r="M67" s="42">
        <v>0</v>
      </c>
      <c r="O67" s="42">
        <v>733928</v>
      </c>
      <c r="Q67" s="42">
        <v>0</v>
      </c>
      <c r="S67" s="5">
        <f>SUM(G67:R67)</f>
        <v>1581972</v>
      </c>
      <c r="U67" s="42">
        <v>186560</v>
      </c>
      <c r="W67" s="42">
        <f>+'St of Net Pos - GA'!Q67-'Long Term Liab - GA'!U67</f>
        <v>0</v>
      </c>
    </row>
    <row r="68" spans="1:23" hidden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42">
        <v>0</v>
      </c>
      <c r="M68" s="42">
        <v>0</v>
      </c>
      <c r="O68" s="42">
        <v>0</v>
      </c>
      <c r="Q68" s="42">
        <v>0</v>
      </c>
      <c r="S68" s="5">
        <f t="shared" si="1"/>
        <v>0</v>
      </c>
      <c r="U68" s="42">
        <v>0</v>
      </c>
      <c r="W68" s="42">
        <f>+'St of Net Pos - GA'!Q68-'Long Term Liab - GA'!U68</f>
        <v>0</v>
      </c>
    </row>
    <row r="69" spans="1:23">
      <c r="A69" s="9" t="s">
        <v>399</v>
      </c>
      <c r="B69" s="9"/>
      <c r="C69" s="9" t="s">
        <v>45</v>
      </c>
      <c r="D69" s="9"/>
      <c r="E69" s="23">
        <v>48306</v>
      </c>
      <c r="G69" s="42">
        <v>3488000</v>
      </c>
      <c r="I69" s="42">
        <v>0</v>
      </c>
      <c r="K69" s="42">
        <v>2998379</v>
      </c>
      <c r="M69" s="42">
        <v>6210775</v>
      </c>
      <c r="O69" s="42">
        <v>2295666</v>
      </c>
      <c r="Q69" s="42">
        <v>283333</v>
      </c>
      <c r="S69" s="5">
        <f t="shared" si="1"/>
        <v>15276153</v>
      </c>
      <c r="U69" s="42">
        <v>1166791</v>
      </c>
      <c r="W69" s="42">
        <f>+'St of Net Pos - GA'!Q69-'Long Term Liab - GA'!U69</f>
        <v>0</v>
      </c>
    </row>
    <row r="70" spans="1:23" hidden="1">
      <c r="A70" s="9" t="s">
        <v>900</v>
      </c>
      <c r="B70" s="9"/>
      <c r="C70" s="9" t="s">
        <v>61</v>
      </c>
      <c r="D70" s="9"/>
      <c r="E70" s="23">
        <v>49767</v>
      </c>
      <c r="G70" s="42">
        <v>0</v>
      </c>
      <c r="I70" s="42">
        <v>0</v>
      </c>
      <c r="K70" s="42">
        <v>0</v>
      </c>
      <c r="M70" s="42">
        <v>0</v>
      </c>
      <c r="O70" s="42">
        <v>0</v>
      </c>
      <c r="Q70" s="42">
        <v>0</v>
      </c>
      <c r="S70" s="5">
        <f t="shared" si="1"/>
        <v>0</v>
      </c>
      <c r="U70" s="42">
        <v>0</v>
      </c>
      <c r="W70" s="42">
        <f>+'St of Net Pos - GA'!Q70-'Long Term Liab - GA'!U70</f>
        <v>0</v>
      </c>
    </row>
    <row r="71" spans="1:23">
      <c r="A71" s="9" t="s">
        <v>549</v>
      </c>
      <c r="B71" s="9"/>
      <c r="C71" s="9" t="s">
        <v>72</v>
      </c>
      <c r="D71" s="9"/>
      <c r="E71" s="23">
        <v>43638</v>
      </c>
      <c r="G71" s="42">
        <f>25140000+1140698</f>
        <v>26280698</v>
      </c>
      <c r="I71" s="42">
        <v>0</v>
      </c>
      <c r="K71" s="42">
        <v>937500</v>
      </c>
      <c r="M71" s="42">
        <v>0</v>
      </c>
      <c r="O71" s="42">
        <f>2106739+218043</f>
        <v>2324782</v>
      </c>
      <c r="Q71" s="42">
        <v>0</v>
      </c>
      <c r="S71" s="5">
        <f t="shared" si="1"/>
        <v>29542980</v>
      </c>
      <c r="U71" s="42">
        <v>1079860</v>
      </c>
      <c r="W71" s="42">
        <f>+'St of Net Pos - GA'!Q71-'Long Term Liab - GA'!U71</f>
        <v>0</v>
      </c>
    </row>
    <row r="72" spans="1:23" hidden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42">
        <v>0</v>
      </c>
      <c r="M72" s="42">
        <v>0</v>
      </c>
      <c r="O72" s="42">
        <v>0</v>
      </c>
      <c r="Q72" s="42">
        <v>0</v>
      </c>
      <c r="S72" s="5">
        <f t="shared" ref="S72" si="8">SUM(G72:R72)</f>
        <v>0</v>
      </c>
      <c r="U72" s="42">
        <v>0</v>
      </c>
      <c r="W72" s="42">
        <f>+'St of Net Pos - GA'!Q72-'Long Term Liab - GA'!U72</f>
        <v>0</v>
      </c>
    </row>
    <row r="73" spans="1:23">
      <c r="A73" s="9" t="s">
        <v>779</v>
      </c>
      <c r="B73" s="9"/>
      <c r="C73" s="9" t="s">
        <v>20</v>
      </c>
      <c r="D73" s="9"/>
      <c r="E73" s="23">
        <v>43646</v>
      </c>
      <c r="G73" s="42">
        <v>11824374</v>
      </c>
      <c r="I73" s="42">
        <v>0</v>
      </c>
      <c r="K73" s="42">
        <v>7673759</v>
      </c>
      <c r="M73" s="42">
        <v>145292</v>
      </c>
      <c r="O73" s="42">
        <v>4763583</v>
      </c>
      <c r="Q73" s="42">
        <f>180000+7500+801131</f>
        <v>988631</v>
      </c>
      <c r="S73" s="5">
        <f t="shared" si="1"/>
        <v>25395639</v>
      </c>
      <c r="U73" s="42">
        <v>2049930</v>
      </c>
      <c r="W73" s="42">
        <f>+'St of Net Pos - GA'!Q73-'Long Term Liab - GA'!U73</f>
        <v>0</v>
      </c>
    </row>
    <row r="74" spans="1:23">
      <c r="A74" s="9" t="s">
        <v>745</v>
      </c>
      <c r="B74" s="9"/>
      <c r="C74" s="9" t="s">
        <v>15</v>
      </c>
      <c r="D74" s="9"/>
      <c r="E74" s="23">
        <v>45237</v>
      </c>
      <c r="G74" s="42">
        <f>270000+3435000+159994+69210+591798</f>
        <v>4526002</v>
      </c>
      <c r="I74" s="42">
        <v>0</v>
      </c>
      <c r="K74" s="42">
        <v>0</v>
      </c>
      <c r="M74" s="42">
        <v>0</v>
      </c>
      <c r="O74" s="42">
        <v>322138</v>
      </c>
      <c r="Q74" s="42">
        <v>294850</v>
      </c>
      <c r="S74" s="5">
        <f t="shared" si="1"/>
        <v>5142990</v>
      </c>
      <c r="U74" s="42">
        <v>269510</v>
      </c>
      <c r="W74" s="42">
        <f>+'St of Net Pos - GA'!Q74-'Long Term Liab - GA'!U74</f>
        <v>0</v>
      </c>
    </row>
    <row r="75" spans="1:23" hidden="1">
      <c r="A75" s="9" t="s">
        <v>787</v>
      </c>
      <c r="B75" s="9"/>
      <c r="C75" s="9" t="s">
        <v>346</v>
      </c>
      <c r="D75" s="9"/>
      <c r="E75" s="23">
        <v>47613</v>
      </c>
      <c r="G75" s="42">
        <v>0</v>
      </c>
      <c r="I75" s="42">
        <v>0</v>
      </c>
      <c r="K75" s="42">
        <v>0</v>
      </c>
      <c r="M75" s="42">
        <v>0</v>
      </c>
      <c r="O75" s="42">
        <v>0</v>
      </c>
      <c r="Q75" s="42">
        <v>0</v>
      </c>
      <c r="S75" s="5">
        <f t="shared" si="1"/>
        <v>0</v>
      </c>
      <c r="U75" s="42">
        <v>0</v>
      </c>
      <c r="W75" s="42">
        <f>+'St of Net Pos - GA'!Q75-'Long Term Liab - GA'!U75</f>
        <v>0</v>
      </c>
    </row>
    <row r="76" spans="1:23">
      <c r="A76" s="9" t="s">
        <v>515</v>
      </c>
      <c r="B76" s="9"/>
      <c r="C76" s="9" t="s">
        <v>64</v>
      </c>
      <c r="D76" s="9"/>
      <c r="E76" s="23">
        <v>50112</v>
      </c>
      <c r="G76" s="42">
        <f>1410777+60032-1864</f>
        <v>1468945</v>
      </c>
      <c r="I76" s="42">
        <v>0</v>
      </c>
      <c r="K76" s="42">
        <v>0</v>
      </c>
      <c r="M76" s="42">
        <v>0</v>
      </c>
      <c r="O76" s="42">
        <v>468784</v>
      </c>
      <c r="Q76" s="42">
        <v>0</v>
      </c>
      <c r="S76" s="5">
        <f>SUM(G76:R76)</f>
        <v>1937729</v>
      </c>
      <c r="U76" s="42">
        <v>222595</v>
      </c>
      <c r="W76" s="42">
        <f>+'St of Net Pos - GA'!Q76-'Long Term Liab - GA'!U76</f>
        <v>0</v>
      </c>
    </row>
    <row r="77" spans="1:23">
      <c r="A77" s="9" t="s">
        <v>668</v>
      </c>
      <c r="B77" s="9"/>
      <c r="C77" s="9" t="s">
        <v>64</v>
      </c>
      <c r="D77" s="9"/>
      <c r="E77" s="23">
        <v>50120</v>
      </c>
      <c r="G77" s="42">
        <v>13964749</v>
      </c>
      <c r="I77" s="42">
        <v>0</v>
      </c>
      <c r="K77" s="42">
        <v>0</v>
      </c>
      <c r="M77" s="42">
        <v>9805</v>
      </c>
      <c r="O77" s="42">
        <v>641159</v>
      </c>
      <c r="Q77" s="42">
        <v>30000</v>
      </c>
      <c r="S77" s="5">
        <f t="shared" ref="S77:S89" si="9">SUM(G77:R77)</f>
        <v>14645713</v>
      </c>
      <c r="U77" s="42">
        <v>392874</v>
      </c>
      <c r="W77" s="42">
        <f>+'St of Net Pos - GA'!Q77-'Long Term Liab - GA'!U77</f>
        <v>0</v>
      </c>
    </row>
    <row r="78" spans="1:23">
      <c r="A78" s="9" t="s">
        <v>262</v>
      </c>
      <c r="B78" s="9"/>
      <c r="C78" s="9" t="s">
        <v>20</v>
      </c>
      <c r="D78" s="9"/>
      <c r="E78" s="23">
        <v>43653</v>
      </c>
      <c r="G78" s="42">
        <v>0</v>
      </c>
      <c r="I78" s="42">
        <v>0</v>
      </c>
      <c r="K78" s="42">
        <v>0</v>
      </c>
      <c r="M78" s="42">
        <v>0</v>
      </c>
      <c r="O78" s="42">
        <v>1391440</v>
      </c>
      <c r="Q78" s="42">
        <v>0</v>
      </c>
      <c r="S78" s="5">
        <f t="shared" si="9"/>
        <v>1391440</v>
      </c>
      <c r="U78" s="42">
        <v>47149</v>
      </c>
      <c r="W78" s="42">
        <f>+'St of Net Pos - GA'!Q78-'Long Term Liab - GA'!U78</f>
        <v>0</v>
      </c>
    </row>
    <row r="79" spans="1:23">
      <c r="A79" s="9" t="s">
        <v>425</v>
      </c>
      <c r="B79" s="9"/>
      <c r="C79" s="9" t="s">
        <v>50</v>
      </c>
      <c r="D79" s="9"/>
      <c r="E79" s="23">
        <v>48678</v>
      </c>
      <c r="G79" s="42">
        <v>20052984</v>
      </c>
      <c r="I79" s="42">
        <v>0</v>
      </c>
      <c r="K79" s="42">
        <v>0</v>
      </c>
      <c r="M79" s="42">
        <v>0</v>
      </c>
      <c r="O79" s="42">
        <v>960549</v>
      </c>
      <c r="Q79" s="42">
        <v>0</v>
      </c>
      <c r="S79" s="5">
        <f t="shared" si="9"/>
        <v>21013533</v>
      </c>
      <c r="U79" s="42">
        <v>880307</v>
      </c>
      <c r="W79" s="42">
        <f>+'St of Net Pos - GA'!Q79-'Long Term Liab - GA'!U79</f>
        <v>0</v>
      </c>
    </row>
    <row r="80" spans="1:23">
      <c r="A80" s="9" t="s">
        <v>226</v>
      </c>
      <c r="B80" s="9"/>
      <c r="C80" s="9" t="s">
        <v>16</v>
      </c>
      <c r="D80" s="9"/>
      <c r="E80" s="23">
        <v>46177</v>
      </c>
      <c r="G80" s="42">
        <v>0</v>
      </c>
      <c r="I80" s="42">
        <v>0</v>
      </c>
      <c r="K80" s="42">
        <v>0</v>
      </c>
      <c r="M80" s="42">
        <v>65493</v>
      </c>
      <c r="O80" s="42">
        <v>180981</v>
      </c>
      <c r="Q80" s="42">
        <v>0</v>
      </c>
      <c r="S80" s="5">
        <f t="shared" si="9"/>
        <v>246474</v>
      </c>
      <c r="U80" s="42">
        <v>73175</v>
      </c>
      <c r="W80" s="42">
        <f>+'St of Net Pos - GA'!Q80-'Long Term Liab - GA'!U80</f>
        <v>0</v>
      </c>
    </row>
    <row r="81" spans="1:23">
      <c r="A81" s="9" t="s">
        <v>412</v>
      </c>
      <c r="B81" s="9"/>
      <c r="C81" s="9" t="s">
        <v>47</v>
      </c>
      <c r="D81" s="9"/>
      <c r="E81" s="23">
        <v>43661</v>
      </c>
      <c r="G81" s="42">
        <v>35376110</v>
      </c>
      <c r="I81" s="42">
        <v>0</v>
      </c>
      <c r="K81" s="42">
        <v>0</v>
      </c>
      <c r="M81" s="42">
        <v>0</v>
      </c>
      <c r="O81" s="42">
        <v>5082800</v>
      </c>
      <c r="Q81" s="42">
        <v>0</v>
      </c>
      <c r="S81" s="5">
        <f t="shared" si="9"/>
        <v>40458910</v>
      </c>
      <c r="U81" s="42">
        <v>2475009</v>
      </c>
      <c r="W81" s="42">
        <f>+'St of Net Pos - GA'!Q81-'Long Term Liab - GA'!U81</f>
        <v>0</v>
      </c>
    </row>
    <row r="82" spans="1:23" hidden="1">
      <c r="A82" s="9" t="s">
        <v>669</v>
      </c>
      <c r="B82" s="9"/>
      <c r="C82" s="9" t="s">
        <v>548</v>
      </c>
      <c r="D82" s="9"/>
      <c r="E82" s="23">
        <v>43679</v>
      </c>
      <c r="G82" s="42">
        <v>0</v>
      </c>
      <c r="I82" s="42">
        <v>0</v>
      </c>
      <c r="K82" s="42">
        <v>0</v>
      </c>
      <c r="M82" s="42">
        <v>0</v>
      </c>
      <c r="O82" s="42">
        <v>0</v>
      </c>
      <c r="Q82" s="42">
        <v>0</v>
      </c>
      <c r="S82" s="5">
        <f t="shared" si="9"/>
        <v>0</v>
      </c>
      <c r="U82" s="42">
        <v>0</v>
      </c>
      <c r="W82" s="42">
        <f>+'St of Net Pos - GA'!Q82-'Long Term Liab - GA'!U82</f>
        <v>0</v>
      </c>
    </row>
    <row r="83" spans="1:23">
      <c r="A83" s="9" t="s">
        <v>254</v>
      </c>
      <c r="B83" s="9"/>
      <c r="C83" s="9" t="s">
        <v>110</v>
      </c>
      <c r="D83" s="9"/>
      <c r="E83" s="23">
        <v>46508</v>
      </c>
      <c r="G83" s="42">
        <f>7791940+116764</f>
        <v>7908704</v>
      </c>
      <c r="I83" s="42">
        <v>357975</v>
      </c>
      <c r="K83" s="42">
        <v>0</v>
      </c>
      <c r="M83" s="42">
        <v>141031</v>
      </c>
      <c r="O83" s="42">
        <v>290082</v>
      </c>
      <c r="Q83" s="42">
        <v>0</v>
      </c>
      <c r="S83" s="5">
        <f t="shared" si="9"/>
        <v>8697792</v>
      </c>
      <c r="U83" s="42">
        <v>376720</v>
      </c>
      <c r="W83" s="42">
        <f>+'St of Net Pos - GA'!Q83-'Long Term Liab - GA'!U83</f>
        <v>0</v>
      </c>
    </row>
    <row r="84" spans="1:23">
      <c r="A84" s="9" t="s">
        <v>205</v>
      </c>
      <c r="B84" s="9"/>
      <c r="C84" s="9" t="s">
        <v>12</v>
      </c>
      <c r="D84" s="9"/>
      <c r="E84" s="23">
        <v>45856</v>
      </c>
      <c r="G84" s="42">
        <v>0</v>
      </c>
      <c r="I84" s="42">
        <v>0</v>
      </c>
      <c r="K84" s="42">
        <v>0</v>
      </c>
      <c r="M84" s="42">
        <v>15820</v>
      </c>
      <c r="O84" s="42">
        <v>1103699</v>
      </c>
      <c r="Q84" s="42">
        <v>0</v>
      </c>
      <c r="S84" s="5">
        <f t="shared" si="9"/>
        <v>1119519</v>
      </c>
      <c r="U84" s="42">
        <v>64120</v>
      </c>
      <c r="W84" s="42">
        <f>+'St of Net Pos - GA'!Q84-'Long Term Liab - GA'!U84</f>
        <v>0</v>
      </c>
    </row>
    <row r="85" spans="1:23">
      <c r="A85" s="9" t="s">
        <v>205</v>
      </c>
      <c r="B85" s="9"/>
      <c r="C85" s="9" t="s">
        <v>39</v>
      </c>
      <c r="D85" s="9"/>
      <c r="E85" s="23">
        <v>47787</v>
      </c>
      <c r="G85" s="42">
        <v>887775</v>
      </c>
      <c r="I85" s="42">
        <v>0</v>
      </c>
      <c r="K85" s="42">
        <v>0</v>
      </c>
      <c r="M85" s="42">
        <v>21102</v>
      </c>
      <c r="O85" s="42">
        <v>1251339</v>
      </c>
      <c r="Q85" s="42">
        <v>0</v>
      </c>
      <c r="S85" s="5">
        <f t="shared" si="9"/>
        <v>2160216</v>
      </c>
      <c r="U85" s="42">
        <v>137831</v>
      </c>
      <c r="W85" s="42">
        <f>+'St of Net Pos - GA'!Q85-'Long Term Liab - GA'!U85</f>
        <v>0</v>
      </c>
    </row>
    <row r="86" spans="1:23">
      <c r="A86" s="9" t="s">
        <v>670</v>
      </c>
      <c r="B86" s="9"/>
      <c r="C86" s="9" t="s">
        <v>47</v>
      </c>
      <c r="D86" s="9"/>
      <c r="E86" s="23">
        <v>48470</v>
      </c>
      <c r="G86" s="42">
        <v>16498142</v>
      </c>
      <c r="I86" s="42">
        <v>0</v>
      </c>
      <c r="K86" s="42">
        <v>0</v>
      </c>
      <c r="M86" s="42">
        <v>2964190</v>
      </c>
      <c r="O86" s="42">
        <v>1536212</v>
      </c>
      <c r="Q86" s="42">
        <v>0</v>
      </c>
      <c r="S86" s="5">
        <f t="shared" si="9"/>
        <v>20998544</v>
      </c>
      <c r="U86" s="42">
        <v>1593772</v>
      </c>
      <c r="W86" s="42">
        <f>+'St of Net Pos - GA'!Q86-'Long Term Liab - GA'!U86</f>
        <v>0</v>
      </c>
    </row>
    <row r="87" spans="1:23" hidden="1">
      <c r="A87" s="35" t="s">
        <v>788</v>
      </c>
      <c r="B87" s="9"/>
      <c r="C87" s="9" t="s">
        <v>111</v>
      </c>
      <c r="D87" s="9"/>
      <c r="E87" s="54" t="s">
        <v>871</v>
      </c>
      <c r="G87" s="42">
        <v>0</v>
      </c>
      <c r="I87" s="42">
        <v>0</v>
      </c>
      <c r="K87" s="42">
        <v>0</v>
      </c>
      <c r="M87" s="42">
        <v>0</v>
      </c>
      <c r="O87" s="42">
        <v>0</v>
      </c>
      <c r="Q87" s="42">
        <v>0</v>
      </c>
      <c r="S87" s="5">
        <f>SUM(G87:R87)</f>
        <v>0</v>
      </c>
      <c r="U87" s="42">
        <v>0</v>
      </c>
      <c r="W87" s="42">
        <f>+'St of Net Pos - GA'!Q87-'Long Term Liab - GA'!U87</f>
        <v>0</v>
      </c>
    </row>
    <row r="88" spans="1:23">
      <c r="A88" s="9" t="s">
        <v>631</v>
      </c>
      <c r="B88" s="9"/>
      <c r="C88" s="9" t="s">
        <v>23</v>
      </c>
      <c r="D88" s="9"/>
      <c r="E88" s="23">
        <v>46755</v>
      </c>
      <c r="G88" s="42">
        <f>21296787+757982</f>
        <v>22054769</v>
      </c>
      <c r="I88" s="42">
        <v>0</v>
      </c>
      <c r="K88" s="42">
        <v>0</v>
      </c>
      <c r="M88" s="42">
        <v>249581</v>
      </c>
      <c r="O88" s="42">
        <v>1534632</v>
      </c>
      <c r="Q88" s="42">
        <v>0</v>
      </c>
      <c r="S88" s="5">
        <f t="shared" si="9"/>
        <v>23838982</v>
      </c>
      <c r="U88" s="42">
        <v>1609049</v>
      </c>
      <c r="W88" s="42">
        <f>+'St of Net Pos - GA'!Q88-'Long Term Liab - GA'!U88</f>
        <v>0</v>
      </c>
    </row>
    <row r="89" spans="1:23">
      <c r="A89" s="9" t="s">
        <v>255</v>
      </c>
      <c r="B89" s="9"/>
      <c r="C89" s="9" t="s">
        <v>110</v>
      </c>
      <c r="D89" s="9"/>
      <c r="E89" s="23">
        <v>43687</v>
      </c>
      <c r="G89" s="42">
        <v>13513245</v>
      </c>
      <c r="I89" s="42">
        <v>0</v>
      </c>
      <c r="K89" s="42">
        <v>0</v>
      </c>
      <c r="M89" s="42">
        <v>0</v>
      </c>
      <c r="O89" s="42">
        <v>1271812</v>
      </c>
      <c r="Q89" s="42">
        <v>0</v>
      </c>
      <c r="S89" s="5">
        <f t="shared" si="9"/>
        <v>14785057</v>
      </c>
      <c r="U89" s="42">
        <v>506563</v>
      </c>
      <c r="W89" s="42">
        <f>+'St of Net Pos - GA'!Q89-'Long Term Liab - GA'!U89</f>
        <v>0</v>
      </c>
    </row>
    <row r="90" spans="1:23">
      <c r="A90" s="9" t="s">
        <v>746</v>
      </c>
      <c r="B90" s="9"/>
      <c r="C90" s="9" t="s">
        <v>52</v>
      </c>
      <c r="D90" s="9"/>
      <c r="E90" s="23">
        <v>45252</v>
      </c>
      <c r="G90" s="42">
        <v>0</v>
      </c>
      <c r="I90" s="42">
        <v>0</v>
      </c>
      <c r="K90" s="42">
        <v>0</v>
      </c>
      <c r="M90" s="42">
        <v>9367</v>
      </c>
      <c r="O90" s="42">
        <v>312599</v>
      </c>
      <c r="Q90" s="42">
        <v>0</v>
      </c>
      <c r="S90" s="5">
        <f t="shared" ref="S90:S143" si="10">SUM(G90:R90)</f>
        <v>321966</v>
      </c>
      <c r="U90" s="42">
        <v>16313</v>
      </c>
      <c r="W90" s="42">
        <f>+'St of Net Pos - GA'!Q90-'Long Term Liab - GA'!U90</f>
        <v>0</v>
      </c>
    </row>
    <row r="91" spans="1:23">
      <c r="A91" s="9" t="s">
        <v>317</v>
      </c>
      <c r="B91" s="9"/>
      <c r="C91" s="9" t="s">
        <v>31</v>
      </c>
      <c r="D91" s="9"/>
      <c r="E91" s="23">
        <v>43695</v>
      </c>
      <c r="G91" s="42">
        <v>5222529</v>
      </c>
      <c r="I91" s="42">
        <v>0</v>
      </c>
      <c r="K91" s="42">
        <v>0</v>
      </c>
      <c r="M91" s="42">
        <v>1707</v>
      </c>
      <c r="O91" s="42">
        <v>1317533</v>
      </c>
      <c r="Q91" s="42">
        <v>59434</v>
      </c>
      <c r="S91" s="5">
        <f t="shared" si="10"/>
        <v>6601203</v>
      </c>
      <c r="U91" s="42">
        <v>554916</v>
      </c>
      <c r="W91" s="42">
        <f>+'St of Net Pos - GA'!Q91-'Long Term Liab - GA'!U91</f>
        <v>0</v>
      </c>
    </row>
    <row r="92" spans="1:23">
      <c r="A92" s="9" t="s">
        <v>642</v>
      </c>
      <c r="B92" s="9"/>
      <c r="C92" s="9" t="s">
        <v>45</v>
      </c>
      <c r="D92" s="9"/>
      <c r="E92" s="23">
        <v>43703</v>
      </c>
      <c r="G92" s="42">
        <v>1883861</v>
      </c>
      <c r="I92" s="42">
        <v>0</v>
      </c>
      <c r="K92" s="42">
        <v>0</v>
      </c>
      <c r="M92" s="42">
        <v>1810000</v>
      </c>
      <c r="O92" s="42">
        <v>603148</v>
      </c>
      <c r="Q92" s="42">
        <v>0</v>
      </c>
      <c r="S92" s="5">
        <f t="shared" si="10"/>
        <v>4297009</v>
      </c>
      <c r="U92" s="42">
        <v>406834</v>
      </c>
      <c r="W92" s="42">
        <f>+'St of Net Pos - GA'!Q92-'Long Term Liab - GA'!U92</f>
        <v>0</v>
      </c>
    </row>
    <row r="93" spans="1:23">
      <c r="A93" s="9" t="s">
        <v>298</v>
      </c>
      <c r="B93" s="9"/>
      <c r="C93" s="9" t="s">
        <v>27</v>
      </c>
      <c r="D93" s="9"/>
      <c r="E93" s="23">
        <v>46946</v>
      </c>
      <c r="G93" s="42">
        <f>61650257+4040855</f>
        <v>65691112</v>
      </c>
      <c r="I93" s="42">
        <v>0</v>
      </c>
      <c r="K93" s="42">
        <v>2067405</v>
      </c>
      <c r="M93" s="42">
        <v>186171</v>
      </c>
      <c r="O93" s="42">
        <v>874930</v>
      </c>
      <c r="Q93" s="42">
        <v>982201</v>
      </c>
      <c r="S93" s="5">
        <f t="shared" si="10"/>
        <v>69801819</v>
      </c>
      <c r="U93" s="42">
        <v>2318541</v>
      </c>
      <c r="W93" s="42">
        <f>+'St of Net Pos - GA'!Q93-'Long Term Liab - GA'!U93</f>
        <v>0</v>
      </c>
    </row>
    <row r="94" spans="1:23">
      <c r="A94" s="9" t="s">
        <v>400</v>
      </c>
      <c r="B94" s="9"/>
      <c r="C94" s="9" t="s">
        <v>45</v>
      </c>
      <c r="D94" s="9"/>
      <c r="E94" s="23">
        <v>48314</v>
      </c>
      <c r="G94" s="42">
        <v>0</v>
      </c>
      <c r="I94" s="42">
        <v>26228</v>
      </c>
      <c r="K94" s="42">
        <v>0</v>
      </c>
      <c r="M94" s="42">
        <v>0</v>
      </c>
      <c r="O94" s="42">
        <v>2707948</v>
      </c>
      <c r="Q94" s="42">
        <v>0</v>
      </c>
      <c r="S94" s="5">
        <f t="shared" si="10"/>
        <v>2734176</v>
      </c>
      <c r="U94" s="42">
        <v>126819</v>
      </c>
      <c r="W94" s="42">
        <f>+'St of Net Pos - GA'!Q94-'Long Term Liab - GA'!U94</f>
        <v>0</v>
      </c>
    </row>
    <row r="95" spans="1:23">
      <c r="A95" s="9" t="s">
        <v>490</v>
      </c>
      <c r="B95" s="9"/>
      <c r="C95" s="9" t="s">
        <v>62</v>
      </c>
      <c r="D95" s="9"/>
      <c r="E95" s="23">
        <v>43711</v>
      </c>
      <c r="G95" s="42">
        <v>52841000</v>
      </c>
      <c r="I95" s="42">
        <v>0</v>
      </c>
      <c r="K95" s="42">
        <v>0</v>
      </c>
      <c r="M95" s="42">
        <v>347000</v>
      </c>
      <c r="O95" s="42">
        <v>5222000</v>
      </c>
      <c r="Q95" s="42">
        <v>3955000</v>
      </c>
      <c r="S95" s="5">
        <f>SUM(G95:R95)</f>
        <v>62365000</v>
      </c>
      <c r="U95" s="42">
        <v>17684000</v>
      </c>
      <c r="W95" s="42">
        <f>+'St of Net Pos - GA'!Q95-'Long Term Liab - GA'!U95</f>
        <v>0</v>
      </c>
    </row>
    <row r="96" spans="1:23">
      <c r="A96" s="9" t="s">
        <v>491</v>
      </c>
      <c r="B96" s="9"/>
      <c r="C96" s="9" t="s">
        <v>62</v>
      </c>
      <c r="D96" s="9"/>
      <c r="E96" s="23">
        <v>49833</v>
      </c>
      <c r="G96" s="42">
        <v>0</v>
      </c>
      <c r="I96" s="42">
        <v>77047</v>
      </c>
      <c r="K96" s="42">
        <f>597341+75000</f>
        <v>672341</v>
      </c>
      <c r="M96" s="42">
        <v>782592</v>
      </c>
      <c r="O96" s="42">
        <v>2263569</v>
      </c>
      <c r="Q96" s="42">
        <v>0</v>
      </c>
      <c r="S96" s="5">
        <f t="shared" si="10"/>
        <v>3795549</v>
      </c>
      <c r="U96" s="42">
        <v>570999</v>
      </c>
      <c r="W96" s="42">
        <f>+'St of Net Pos - GA'!Q96-'Long Term Liab - GA'!U96</f>
        <v>0</v>
      </c>
    </row>
    <row r="97" spans="1:23">
      <c r="A97" s="9" t="s">
        <v>643</v>
      </c>
      <c r="B97" s="9"/>
      <c r="C97" s="9" t="s">
        <v>30</v>
      </c>
      <c r="D97" s="9"/>
      <c r="E97" s="23">
        <v>47175</v>
      </c>
      <c r="G97" s="42">
        <f>9047113+875000</f>
        <v>9922113</v>
      </c>
      <c r="I97" s="42">
        <v>0</v>
      </c>
      <c r="K97" s="42">
        <v>0</v>
      </c>
      <c r="M97" s="42">
        <v>0</v>
      </c>
      <c r="O97" s="42">
        <v>897319</v>
      </c>
      <c r="Q97" s="42">
        <v>0</v>
      </c>
      <c r="S97" s="5">
        <f t="shared" si="10"/>
        <v>10819432</v>
      </c>
      <c r="U97" s="42">
        <v>1075468</v>
      </c>
      <c r="W97" s="42">
        <f>+'St of Net Pos - GA'!Q97-'Long Term Liab - GA'!U97</f>
        <v>0</v>
      </c>
    </row>
    <row r="98" spans="1:23">
      <c r="A98" s="9" t="s">
        <v>438</v>
      </c>
      <c r="B98" s="9"/>
      <c r="C98" s="9" t="s">
        <v>78</v>
      </c>
      <c r="D98" s="9"/>
      <c r="E98" s="23">
        <v>48793</v>
      </c>
      <c r="G98" s="42">
        <v>3903308</v>
      </c>
      <c r="I98" s="42">
        <v>0</v>
      </c>
      <c r="K98" s="42">
        <v>0</v>
      </c>
      <c r="M98" s="42">
        <v>0</v>
      </c>
      <c r="O98" s="42">
        <v>681629</v>
      </c>
      <c r="Q98" s="42">
        <v>0</v>
      </c>
      <c r="S98" s="5">
        <f>SUM(G98:R98)</f>
        <v>4584937</v>
      </c>
      <c r="U98" s="42">
        <v>458703</v>
      </c>
      <c r="W98" s="42">
        <f>+'St of Net Pos - GA'!Q98-'Long Term Liab - GA'!U98</f>
        <v>0</v>
      </c>
    </row>
    <row r="99" spans="1:23" hidden="1">
      <c r="A99" s="9" t="s">
        <v>855</v>
      </c>
      <c r="B99" s="9"/>
      <c r="C99" s="9" t="s">
        <v>553</v>
      </c>
      <c r="D99" s="9"/>
      <c r="E99" s="23">
        <v>45260</v>
      </c>
      <c r="G99" s="42">
        <v>0</v>
      </c>
      <c r="I99" s="42">
        <v>0</v>
      </c>
      <c r="K99" s="42">
        <v>0</v>
      </c>
      <c r="M99" s="42">
        <v>0</v>
      </c>
      <c r="O99" s="42">
        <v>0</v>
      </c>
      <c r="Q99" s="42">
        <v>0</v>
      </c>
      <c r="S99" s="5">
        <f t="shared" si="10"/>
        <v>0</v>
      </c>
      <c r="U99" s="42">
        <v>0</v>
      </c>
      <c r="W99" s="42">
        <f>+'St of Net Pos - GA'!Q99-'Long Term Liab - GA'!U99</f>
        <v>0</v>
      </c>
    </row>
    <row r="100" spans="1:23" s="24" customFormat="1">
      <c r="A100" s="51" t="s">
        <v>539</v>
      </c>
      <c r="B100" s="51"/>
      <c r="C100" s="51" t="s">
        <v>69</v>
      </c>
      <c r="D100" s="51"/>
      <c r="E100" s="23">
        <v>50419</v>
      </c>
      <c r="G100" s="42">
        <v>0</v>
      </c>
      <c r="H100" s="42"/>
      <c r="I100" s="42">
        <v>0</v>
      </c>
      <c r="J100" s="42"/>
      <c r="K100" s="42">
        <v>0</v>
      </c>
      <c r="L100" s="42"/>
      <c r="M100" s="42">
        <v>99535</v>
      </c>
      <c r="N100" s="42"/>
      <c r="O100" s="42">
        <v>676530</v>
      </c>
      <c r="P100" s="42"/>
      <c r="Q100" s="42">
        <v>0</v>
      </c>
      <c r="R100" s="42"/>
      <c r="S100" s="5">
        <f t="shared" si="10"/>
        <v>776065</v>
      </c>
      <c r="T100" s="42"/>
      <c r="U100" s="42">
        <v>111954</v>
      </c>
      <c r="V100" s="42"/>
      <c r="W100" s="42">
        <f>+'St of Net Pos - GA'!Q100-'Long Term Liab - GA'!U100</f>
        <v>0</v>
      </c>
    </row>
    <row r="101" spans="1:23" s="24" customFormat="1">
      <c r="A101" s="51" t="s">
        <v>747</v>
      </c>
      <c r="B101" s="51"/>
      <c r="C101" s="51" t="s">
        <v>16</v>
      </c>
      <c r="D101" s="51"/>
      <c r="E101" s="51">
        <v>45278</v>
      </c>
      <c r="G101" s="24">
        <v>441825</v>
      </c>
      <c r="I101" s="24">
        <v>0</v>
      </c>
      <c r="K101" s="24">
        <v>0</v>
      </c>
      <c r="M101" s="24">
        <v>98850</v>
      </c>
      <c r="O101" s="24">
        <v>1421044</v>
      </c>
      <c r="Q101" s="24">
        <v>0</v>
      </c>
      <c r="S101" s="64">
        <f t="shared" si="10"/>
        <v>1961719</v>
      </c>
      <c r="U101" s="24">
        <v>219269</v>
      </c>
      <c r="W101" s="24">
        <f>+'St of Net Pos - GA'!Q101-'Long Term Liab - GA'!U101</f>
        <v>0</v>
      </c>
    </row>
    <row r="102" spans="1:23">
      <c r="A102" s="9" t="s">
        <v>644</v>
      </c>
      <c r="B102" s="9"/>
      <c r="C102" s="9" t="s">
        <v>113</v>
      </c>
      <c r="D102" s="9"/>
      <c r="E102" s="23">
        <v>47258</v>
      </c>
      <c r="G102" s="42">
        <f>7910000+3440000</f>
        <v>11350000</v>
      </c>
      <c r="I102" s="42">
        <v>0</v>
      </c>
      <c r="K102" s="42">
        <v>0</v>
      </c>
      <c r="M102" s="42">
        <v>2205000</v>
      </c>
      <c r="O102" s="42">
        <v>441609</v>
      </c>
      <c r="Q102" s="42">
        <v>0</v>
      </c>
      <c r="S102" s="5">
        <f t="shared" si="10"/>
        <v>13996609</v>
      </c>
      <c r="U102" s="42">
        <v>40000</v>
      </c>
      <c r="W102" s="42">
        <f>+'St of Net Pos - GA'!Q102-'Long Term Liab - GA'!U102</f>
        <v>0</v>
      </c>
    </row>
    <row r="103" spans="1:23" hidden="1">
      <c r="A103" s="9" t="s">
        <v>613</v>
      </c>
      <c r="B103" s="9"/>
      <c r="C103" s="9" t="s">
        <v>419</v>
      </c>
      <c r="D103" s="9"/>
      <c r="E103" s="23">
        <v>43729</v>
      </c>
      <c r="G103" s="42">
        <v>0</v>
      </c>
      <c r="I103" s="42">
        <v>0</v>
      </c>
      <c r="K103" s="42">
        <v>0</v>
      </c>
      <c r="M103" s="42">
        <v>0</v>
      </c>
      <c r="O103" s="42">
        <v>0</v>
      </c>
      <c r="Q103" s="42">
        <v>0</v>
      </c>
      <c r="S103" s="5">
        <f t="shared" ref="S103" si="11">SUM(G103:R103)</f>
        <v>0</v>
      </c>
      <c r="U103" s="42">
        <v>0</v>
      </c>
      <c r="W103" s="42">
        <f>+'St of Net Pos - GA'!Q103-'Long Term Liab - GA'!U103</f>
        <v>0</v>
      </c>
    </row>
    <row r="104" spans="1:23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v>0</v>
      </c>
      <c r="I104" s="42">
        <v>0</v>
      </c>
      <c r="K104" s="42">
        <v>0</v>
      </c>
      <c r="M104" s="42">
        <v>0</v>
      </c>
      <c r="O104" s="42">
        <v>0</v>
      </c>
      <c r="Q104" s="42">
        <v>0</v>
      </c>
      <c r="S104" s="5">
        <f t="shared" si="10"/>
        <v>0</v>
      </c>
      <c r="U104" s="42">
        <v>0</v>
      </c>
      <c r="W104" s="42">
        <f>+'St of Net Pos - GA'!Q104-'Long Term Liab - GA'!U104</f>
        <v>0</v>
      </c>
    </row>
    <row r="105" spans="1:23">
      <c r="A105" s="9" t="s">
        <v>645</v>
      </c>
      <c r="B105" s="9"/>
      <c r="C105" s="9" t="s">
        <v>50</v>
      </c>
      <c r="D105" s="9"/>
      <c r="E105" s="23">
        <v>43737</v>
      </c>
      <c r="G105" s="42">
        <v>55705689</v>
      </c>
      <c r="I105" s="42">
        <v>0</v>
      </c>
      <c r="K105" s="42">
        <v>0</v>
      </c>
      <c r="M105" s="42">
        <v>0</v>
      </c>
      <c r="O105" s="42">
        <v>2422346</v>
      </c>
      <c r="Q105" s="42">
        <v>0</v>
      </c>
      <c r="S105" s="5">
        <f t="shared" si="10"/>
        <v>58128035</v>
      </c>
      <c r="U105" s="42">
        <v>5398095</v>
      </c>
      <c r="W105" s="42">
        <f>+'St of Net Pos - GA'!Q105-'Long Term Liab - GA'!U105</f>
        <v>0</v>
      </c>
    </row>
    <row r="106" spans="1:23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v>0</v>
      </c>
      <c r="I106" s="42">
        <v>0</v>
      </c>
      <c r="K106" s="42">
        <v>0</v>
      </c>
      <c r="M106" s="42">
        <v>0</v>
      </c>
      <c r="O106" s="42">
        <v>0</v>
      </c>
      <c r="Q106" s="42">
        <v>0</v>
      </c>
      <c r="S106" s="5">
        <f t="shared" si="10"/>
        <v>0</v>
      </c>
      <c r="U106" s="42">
        <v>0</v>
      </c>
      <c r="W106" s="42">
        <f>+'St of Net Pos - GA'!Q106-'Long Term Liab - GA'!U106</f>
        <v>0</v>
      </c>
    </row>
    <row r="107" spans="1:23">
      <c r="A107" s="9" t="s">
        <v>748</v>
      </c>
      <c r="B107" s="9"/>
      <c r="C107" s="9" t="s">
        <v>20</v>
      </c>
      <c r="D107" s="9"/>
      <c r="E107" s="23">
        <v>45286</v>
      </c>
      <c r="G107" s="42">
        <v>25588610</v>
      </c>
      <c r="I107" s="42">
        <v>0</v>
      </c>
      <c r="K107" s="42">
        <v>0</v>
      </c>
      <c r="M107" s="42">
        <v>46624</v>
      </c>
      <c r="O107" s="42">
        <v>2360223</v>
      </c>
      <c r="Q107" s="42">
        <v>0</v>
      </c>
      <c r="S107" s="5">
        <f t="shared" si="10"/>
        <v>27995457</v>
      </c>
      <c r="U107" s="42">
        <v>2445094</v>
      </c>
      <c r="W107" s="42">
        <f>+'St of Net Pos - GA'!Q107-'Long Term Liab - GA'!U107</f>
        <v>0</v>
      </c>
    </row>
    <row r="108" spans="1:23">
      <c r="A108" s="9" t="s">
        <v>516</v>
      </c>
      <c r="B108" s="9"/>
      <c r="C108" s="9" t="s">
        <v>64</v>
      </c>
      <c r="D108" s="9"/>
      <c r="E108" s="23">
        <v>50138</v>
      </c>
      <c r="G108" s="42">
        <f>465000+930000</f>
        <v>1395000</v>
      </c>
      <c r="I108" s="42">
        <v>0</v>
      </c>
      <c r="K108" s="42">
        <v>0</v>
      </c>
      <c r="M108" s="42">
        <v>779568</v>
      </c>
      <c r="O108" s="42">
        <v>658482</v>
      </c>
      <c r="Q108" s="42">
        <v>0</v>
      </c>
      <c r="S108" s="5">
        <f t="shared" si="10"/>
        <v>2833050</v>
      </c>
      <c r="U108" s="42">
        <v>437911</v>
      </c>
      <c r="W108" s="42">
        <f>+'St of Net Pos - GA'!Q108-'Long Term Liab - GA'!U108</f>
        <v>0</v>
      </c>
    </row>
    <row r="109" spans="1:23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v>0</v>
      </c>
      <c r="I109" s="42">
        <v>0</v>
      </c>
      <c r="K109" s="42">
        <v>0</v>
      </c>
      <c r="M109" s="42">
        <v>0</v>
      </c>
      <c r="O109" s="42">
        <v>0</v>
      </c>
      <c r="Q109" s="42">
        <v>0</v>
      </c>
      <c r="S109" s="5">
        <f t="shared" si="10"/>
        <v>0</v>
      </c>
      <c r="U109" s="42">
        <v>0</v>
      </c>
      <c r="W109" s="42">
        <f>+'St of Net Pos - GA'!Q109-'Long Term Liab - GA'!U109</f>
        <v>0</v>
      </c>
    </row>
    <row r="110" spans="1:23">
      <c r="A110" s="9" t="s">
        <v>749</v>
      </c>
      <c r="B110" s="9"/>
      <c r="C110" s="9" t="s">
        <v>364</v>
      </c>
      <c r="D110" s="9"/>
      <c r="E110" s="23">
        <v>45294</v>
      </c>
      <c r="G110" s="42">
        <v>1425147</v>
      </c>
      <c r="I110" s="42">
        <v>0</v>
      </c>
      <c r="K110" s="42">
        <v>0</v>
      </c>
      <c r="M110" s="42">
        <v>0</v>
      </c>
      <c r="O110" s="42">
        <v>446373</v>
      </c>
      <c r="Q110" s="42">
        <f>2860000+153721</f>
        <v>3013721</v>
      </c>
      <c r="S110" s="5">
        <f t="shared" si="10"/>
        <v>4885241</v>
      </c>
      <c r="U110" s="42">
        <v>458748</v>
      </c>
      <c r="W110" s="42">
        <f>+'St of Net Pos - GA'!Q110-'Long Term Liab - GA'!U110</f>
        <v>0</v>
      </c>
    </row>
    <row r="111" spans="1:23">
      <c r="A111" s="9" t="s">
        <v>470</v>
      </c>
      <c r="B111" s="9"/>
      <c r="C111" s="9" t="s">
        <v>58</v>
      </c>
      <c r="D111" s="9"/>
      <c r="E111" s="23">
        <v>43745</v>
      </c>
      <c r="G111" s="42">
        <v>31496326</v>
      </c>
      <c r="I111" s="42">
        <v>0</v>
      </c>
      <c r="K111" s="42">
        <v>0</v>
      </c>
      <c r="M111" s="42">
        <v>372265</v>
      </c>
      <c r="O111" s="42">
        <v>2303714</v>
      </c>
      <c r="Q111" s="42">
        <v>0</v>
      </c>
      <c r="S111" s="5">
        <f t="shared" si="10"/>
        <v>34172305</v>
      </c>
      <c r="U111" s="42">
        <v>1154159</v>
      </c>
      <c r="W111" s="42">
        <f>+'St of Net Pos - GA'!Q111-'Long Term Liab - GA'!U111</f>
        <v>0</v>
      </c>
    </row>
    <row r="112" spans="1:23">
      <c r="A112" s="9" t="s">
        <v>547</v>
      </c>
      <c r="B112" s="9"/>
      <c r="C112" s="9" t="s">
        <v>71</v>
      </c>
      <c r="D112" s="9"/>
      <c r="E112" s="23">
        <v>50534</v>
      </c>
      <c r="G112" s="42">
        <v>0</v>
      </c>
      <c r="I112" s="42">
        <v>0</v>
      </c>
      <c r="K112" s="42">
        <v>0</v>
      </c>
      <c r="M112" s="42">
        <v>0</v>
      </c>
      <c r="O112" s="42">
        <v>594469</v>
      </c>
      <c r="Q112" s="42">
        <v>0</v>
      </c>
      <c r="S112" s="5">
        <f t="shared" si="10"/>
        <v>594469</v>
      </c>
      <c r="U112" s="42">
        <v>87217</v>
      </c>
      <c r="W112" s="42">
        <f>+'St of Net Pos - GA'!Q112-'Long Term Liab - GA'!U112</f>
        <v>0</v>
      </c>
    </row>
    <row r="113" spans="1:23">
      <c r="A113" s="9" t="s">
        <v>647</v>
      </c>
      <c r="B113" s="9"/>
      <c r="C113" s="9" t="s">
        <v>32</v>
      </c>
      <c r="D113" s="9"/>
      <c r="E113" s="23">
        <v>43752</v>
      </c>
      <c r="G113" s="42">
        <v>630873616</v>
      </c>
      <c r="I113" s="42">
        <v>0</v>
      </c>
      <c r="K113" s="42">
        <v>0</v>
      </c>
      <c r="M113" s="42">
        <v>105815000</v>
      </c>
      <c r="O113" s="42">
        <v>40964789</v>
      </c>
      <c r="Q113" s="42">
        <v>0</v>
      </c>
      <c r="S113" s="5">
        <f t="shared" si="10"/>
        <v>777653405</v>
      </c>
      <c r="U113" s="42">
        <v>37648766</v>
      </c>
      <c r="W113" s="42">
        <f>+'St of Net Pos - GA'!Q113-'Long Term Liab - GA'!U113</f>
        <v>0</v>
      </c>
    </row>
    <row r="114" spans="1:23">
      <c r="A114" s="9" t="s">
        <v>449</v>
      </c>
      <c r="B114" s="9"/>
      <c r="C114" s="9" t="s">
        <v>54</v>
      </c>
      <c r="D114" s="9"/>
      <c r="E114" s="23">
        <v>43760</v>
      </c>
      <c r="G114" s="42">
        <f>37542208+958193</f>
        <v>38500401</v>
      </c>
      <c r="I114" s="42">
        <v>0</v>
      </c>
      <c r="K114" s="42">
        <v>258000</v>
      </c>
      <c r="M114" s="42">
        <v>181895</v>
      </c>
      <c r="O114" s="42">
        <v>1623021</v>
      </c>
      <c r="Q114" s="42">
        <v>7000000</v>
      </c>
      <c r="S114" s="5">
        <f t="shared" si="10"/>
        <v>47563317</v>
      </c>
      <c r="U114" s="42">
        <v>836531</v>
      </c>
      <c r="W114" s="42">
        <f>+'St of Net Pos - GA'!Q114-'Long Term Liab - GA'!U114</f>
        <v>0</v>
      </c>
    </row>
    <row r="115" spans="1:23">
      <c r="A115" s="9" t="s">
        <v>229</v>
      </c>
      <c r="B115" s="9"/>
      <c r="C115" s="9" t="s">
        <v>17</v>
      </c>
      <c r="D115" s="9"/>
      <c r="E115" s="23">
        <v>46284</v>
      </c>
      <c r="G115" s="42">
        <v>0</v>
      </c>
      <c r="I115" s="42">
        <v>0</v>
      </c>
      <c r="K115" s="42">
        <v>0</v>
      </c>
      <c r="M115" s="42">
        <v>25417</v>
      </c>
      <c r="O115" s="42">
        <v>1314145</v>
      </c>
      <c r="Q115" s="42">
        <v>0</v>
      </c>
      <c r="S115" s="5">
        <f t="shared" si="10"/>
        <v>1339562</v>
      </c>
      <c r="U115" s="42">
        <v>194999</v>
      </c>
      <c r="W115" s="42">
        <f>+'St of Net Pos - GA'!Q115-'Long Term Liab - GA'!U115</f>
        <v>0</v>
      </c>
    </row>
    <row r="116" spans="1:23">
      <c r="A116" s="9" t="s">
        <v>477</v>
      </c>
      <c r="B116" s="9"/>
      <c r="C116" s="9" t="s">
        <v>59</v>
      </c>
      <c r="D116" s="9"/>
      <c r="E116" s="23">
        <v>49601</v>
      </c>
      <c r="G116" s="42">
        <v>5371583</v>
      </c>
      <c r="I116" s="42">
        <v>133353</v>
      </c>
      <c r="K116" s="42">
        <v>0</v>
      </c>
      <c r="M116" s="42">
        <v>33000</v>
      </c>
      <c r="O116" s="42">
        <v>343792</v>
      </c>
      <c r="Q116" s="42">
        <v>0</v>
      </c>
      <c r="S116" s="5">
        <f t="shared" si="10"/>
        <v>5881728</v>
      </c>
      <c r="U116" s="42">
        <v>232584</v>
      </c>
      <c r="W116" s="42">
        <f>+'St of Net Pos - GA'!Q116-'Long Term Liab - GA'!U116</f>
        <v>0</v>
      </c>
    </row>
    <row r="117" spans="1:23">
      <c r="A117" s="9" t="s">
        <v>529</v>
      </c>
      <c r="B117" s="9"/>
      <c r="C117" s="9" t="s">
        <v>65</v>
      </c>
      <c r="D117" s="9"/>
      <c r="E117" s="23">
        <v>43778</v>
      </c>
      <c r="G117" s="42">
        <f>2647368+332534</f>
        <v>2979902</v>
      </c>
      <c r="I117" s="42">
        <v>0</v>
      </c>
      <c r="K117" s="42">
        <v>0</v>
      </c>
      <c r="M117" s="42">
        <v>190715</v>
      </c>
      <c r="O117" s="42">
        <v>1372952</v>
      </c>
      <c r="Q117" s="42">
        <v>0</v>
      </c>
      <c r="S117" s="5">
        <f t="shared" si="10"/>
        <v>4543569</v>
      </c>
      <c r="U117" s="42">
        <v>593222</v>
      </c>
      <c r="W117" s="42">
        <f>+'St of Net Pos - GA'!Q117-'Long Term Liab - GA'!U117</f>
        <v>0</v>
      </c>
    </row>
    <row r="118" spans="1:23">
      <c r="A118" s="9" t="s">
        <v>465</v>
      </c>
      <c r="B118" s="9"/>
      <c r="C118" s="9" t="s">
        <v>109</v>
      </c>
      <c r="D118" s="9"/>
      <c r="E118" s="23">
        <v>49411</v>
      </c>
      <c r="G118" s="42">
        <f>6027069+300481</f>
        <v>6327550</v>
      </c>
      <c r="I118" s="42">
        <v>0</v>
      </c>
      <c r="K118" s="42">
        <v>0</v>
      </c>
      <c r="M118" s="42">
        <v>0</v>
      </c>
      <c r="O118" s="42">
        <v>627900</v>
      </c>
      <c r="Q118" s="42">
        <v>0</v>
      </c>
      <c r="S118" s="5">
        <f t="shared" si="10"/>
        <v>6955450</v>
      </c>
      <c r="U118" s="42">
        <v>523019</v>
      </c>
      <c r="W118" s="42">
        <f>+'St of Net Pos - GA'!Q118-'Long Term Liab - GA'!U118</f>
        <v>0</v>
      </c>
    </row>
    <row r="119" spans="1:23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v>0</v>
      </c>
      <c r="I119" s="42">
        <v>0</v>
      </c>
      <c r="K119" s="42">
        <v>0</v>
      </c>
      <c r="M119" s="42">
        <v>0</v>
      </c>
      <c r="O119" s="42">
        <v>0</v>
      </c>
      <c r="Q119" s="42">
        <v>0</v>
      </c>
      <c r="S119" s="5">
        <f t="shared" si="10"/>
        <v>0</v>
      </c>
      <c r="U119" s="42">
        <v>0</v>
      </c>
      <c r="W119" s="42">
        <f>+'St of Net Pos - GA'!Q119-'Long Term Liab - GA'!U119</f>
        <v>0</v>
      </c>
    </row>
    <row r="120" spans="1:23">
      <c r="A120" s="9" t="s">
        <v>648</v>
      </c>
      <c r="B120" s="9"/>
      <c r="C120" s="9" t="s">
        <v>112</v>
      </c>
      <c r="D120" s="9"/>
      <c r="E120" s="23">
        <v>46326</v>
      </c>
      <c r="G120" s="42">
        <v>317056</v>
      </c>
      <c r="I120" s="42">
        <v>0</v>
      </c>
      <c r="K120" s="42">
        <v>0</v>
      </c>
      <c r="M120" s="42">
        <v>0</v>
      </c>
      <c r="O120" s="42">
        <v>625513</v>
      </c>
      <c r="Q120" s="42">
        <v>0</v>
      </c>
      <c r="S120" s="5">
        <f t="shared" si="10"/>
        <v>942569</v>
      </c>
      <c r="U120" s="42">
        <v>249971</v>
      </c>
      <c r="W120" s="42">
        <f>+'St of Net Pos - GA'!Q120-'Long Term Liab - GA'!U120</f>
        <v>0</v>
      </c>
    </row>
    <row r="121" spans="1:23">
      <c r="A121" s="9" t="s">
        <v>646</v>
      </c>
      <c r="B121" s="9"/>
      <c r="C121" s="9" t="s">
        <v>20</v>
      </c>
      <c r="D121" s="9"/>
      <c r="E121" s="23">
        <v>43794</v>
      </c>
      <c r="G121" s="42">
        <f>660000+6750000+186407+5500000</f>
        <v>13096407</v>
      </c>
      <c r="I121" s="42">
        <v>0</v>
      </c>
      <c r="K121" s="42">
        <v>0</v>
      </c>
      <c r="M121" s="42">
        <v>318414</v>
      </c>
      <c r="O121" s="42">
        <v>6368671</v>
      </c>
      <c r="Q121" s="42">
        <v>156000</v>
      </c>
      <c r="S121" s="5">
        <f t="shared" si="10"/>
        <v>19939492</v>
      </c>
      <c r="U121" s="42">
        <v>1609535</v>
      </c>
      <c r="W121" s="42">
        <f>+'St of Net Pos - GA'!Q121-'Long Term Liab - GA'!U121</f>
        <v>0</v>
      </c>
    </row>
    <row r="122" spans="1:23">
      <c r="A122" s="9" t="s">
        <v>263</v>
      </c>
      <c r="B122" s="9"/>
      <c r="C122" s="9" t="s">
        <v>20</v>
      </c>
      <c r="D122" s="9"/>
      <c r="E122" s="23">
        <v>43786</v>
      </c>
      <c r="G122" s="42">
        <f>151047957+21250000</f>
        <v>172297957</v>
      </c>
      <c r="I122" s="42">
        <v>0</v>
      </c>
      <c r="K122" s="42">
        <v>0</v>
      </c>
      <c r="M122" s="42">
        <v>0</v>
      </c>
      <c r="O122" s="42">
        <v>40941495</v>
      </c>
      <c r="Q122" s="42">
        <v>6320348</v>
      </c>
      <c r="S122" s="5">
        <f t="shared" si="10"/>
        <v>219559800</v>
      </c>
      <c r="U122" s="42">
        <f>15529161+4812236</f>
        <v>20341397</v>
      </c>
      <c r="W122" s="42">
        <f>+'St of Net Pos - GA'!Q122-'Long Term Liab - GA'!U122</f>
        <v>0</v>
      </c>
    </row>
    <row r="123" spans="1:23">
      <c r="A123" s="9" t="s">
        <v>241</v>
      </c>
      <c r="B123" s="9"/>
      <c r="C123" s="9" t="s">
        <v>18</v>
      </c>
      <c r="D123" s="9"/>
      <c r="E123" s="23">
        <v>46391</v>
      </c>
      <c r="G123" s="42">
        <v>8270059</v>
      </c>
      <c r="I123" s="42">
        <v>0</v>
      </c>
      <c r="K123" s="42">
        <v>0</v>
      </c>
      <c r="M123" s="42">
        <v>724372</v>
      </c>
      <c r="O123" s="42">
        <v>846902</v>
      </c>
      <c r="Q123" s="42">
        <v>0</v>
      </c>
      <c r="S123" s="5">
        <f t="shared" si="10"/>
        <v>9841333</v>
      </c>
      <c r="U123" s="42">
        <v>857245</v>
      </c>
      <c r="W123" s="42">
        <f>+'St of Net Pos - GA'!Q123-'Long Term Liab - GA'!U123</f>
        <v>0</v>
      </c>
    </row>
    <row r="124" spans="1:23">
      <c r="A124" s="9" t="s">
        <v>413</v>
      </c>
      <c r="B124" s="9"/>
      <c r="C124" s="9" t="s">
        <v>47</v>
      </c>
      <c r="D124" s="9"/>
      <c r="E124" s="23">
        <v>48488</v>
      </c>
      <c r="G124" s="42">
        <v>1075000</v>
      </c>
      <c r="I124" s="42">
        <v>0</v>
      </c>
      <c r="K124" s="42">
        <v>0</v>
      </c>
      <c r="M124" s="42">
        <v>0</v>
      </c>
      <c r="O124" s="42">
        <v>2143867</v>
      </c>
      <c r="Q124" s="42">
        <f>3845000+21815000-595451</f>
        <v>25064549</v>
      </c>
      <c r="S124" s="5">
        <f t="shared" si="10"/>
        <v>28283416</v>
      </c>
      <c r="U124" s="42">
        <v>430884</v>
      </c>
      <c r="W124" s="42">
        <f>+'St of Net Pos - GA'!Q124-'Long Term Liab - GA'!U124</f>
        <v>0</v>
      </c>
    </row>
    <row r="125" spans="1:23">
      <c r="A125" s="9" t="s">
        <v>750</v>
      </c>
      <c r="B125" s="9"/>
      <c r="C125" s="9" t="s">
        <v>79</v>
      </c>
      <c r="D125" s="9"/>
      <c r="E125" s="23">
        <v>45302</v>
      </c>
      <c r="G125" s="42">
        <f>24533653+924362</f>
        <v>25458015</v>
      </c>
      <c r="I125" s="42">
        <v>0</v>
      </c>
      <c r="K125" s="42">
        <v>0</v>
      </c>
      <c r="M125" s="42">
        <v>942849</v>
      </c>
      <c r="O125" s="42">
        <v>1744017</v>
      </c>
      <c r="Q125" s="42">
        <v>0</v>
      </c>
      <c r="S125" s="5">
        <f t="shared" si="10"/>
        <v>28144881</v>
      </c>
      <c r="U125" s="42">
        <v>1240593</v>
      </c>
      <c r="W125" s="42">
        <f>+'St of Net Pos - GA'!Q125-'Long Term Liab - GA'!U125</f>
        <v>0</v>
      </c>
    </row>
    <row r="126" spans="1:23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v>0</v>
      </c>
      <c r="I126" s="42">
        <v>0</v>
      </c>
      <c r="K126" s="42">
        <v>0</v>
      </c>
      <c r="M126" s="42">
        <v>0</v>
      </c>
      <c r="O126" s="42">
        <v>0</v>
      </c>
      <c r="Q126" s="42">
        <v>0</v>
      </c>
      <c r="S126" s="5">
        <f t="shared" si="10"/>
        <v>0</v>
      </c>
      <c r="U126" s="42">
        <v>0</v>
      </c>
      <c r="W126" s="42">
        <f>+'St of Net Pos - GA'!Q126-'Long Term Liab - GA'!U126</f>
        <v>0</v>
      </c>
    </row>
    <row r="127" spans="1:23" hidden="1">
      <c r="A127" s="9" t="s">
        <v>605</v>
      </c>
      <c r="B127" s="9"/>
      <c r="C127" s="9" t="s">
        <v>57</v>
      </c>
      <c r="D127" s="9"/>
      <c r="E127" s="23">
        <v>64964</v>
      </c>
      <c r="G127" s="42">
        <v>0</v>
      </c>
      <c r="I127" s="42">
        <v>0</v>
      </c>
      <c r="K127" s="42">
        <v>0</v>
      </c>
      <c r="M127" s="42">
        <v>0</v>
      </c>
      <c r="O127" s="42">
        <v>0</v>
      </c>
      <c r="Q127" s="42">
        <v>0</v>
      </c>
      <c r="S127" s="5">
        <f>SUM(G127:R127)</f>
        <v>0</v>
      </c>
      <c r="U127" s="42">
        <v>0</v>
      </c>
      <c r="W127" s="42">
        <f>+'St of Net Pos - GA'!Q127-'Long Term Liab - GA'!U127</f>
        <v>0</v>
      </c>
    </row>
    <row r="128" spans="1:23">
      <c r="A128" s="9" t="s">
        <v>256</v>
      </c>
      <c r="B128" s="9"/>
      <c r="C128" s="9" t="s">
        <v>110</v>
      </c>
      <c r="D128" s="9"/>
      <c r="E128" s="23">
        <v>46516</v>
      </c>
      <c r="G128" s="42">
        <f>12804154+521373</f>
        <v>13325527</v>
      </c>
      <c r="I128" s="42">
        <v>0</v>
      </c>
      <c r="K128" s="42">
        <v>0</v>
      </c>
      <c r="M128" s="42">
        <v>59240</v>
      </c>
      <c r="O128" s="42">
        <v>392188</v>
      </c>
      <c r="Q128" s="42">
        <v>85118</v>
      </c>
      <c r="S128" s="5">
        <f t="shared" si="10"/>
        <v>13862073</v>
      </c>
      <c r="U128" s="42">
        <v>535820</v>
      </c>
      <c r="W128" s="42">
        <f>+'St of Net Pos - GA'!Q128-'Long Term Liab - GA'!U128</f>
        <v>0</v>
      </c>
    </row>
    <row r="129" spans="1:23">
      <c r="A129" s="9" t="s">
        <v>380</v>
      </c>
      <c r="B129" s="9"/>
      <c r="C129" s="9" t="s">
        <v>44</v>
      </c>
      <c r="D129" s="9"/>
      <c r="E129" s="23">
        <v>48140</v>
      </c>
      <c r="G129" s="42">
        <f>5785000+55000+17716+1021846+420563</f>
        <v>7300125</v>
      </c>
      <c r="I129" s="42">
        <v>0</v>
      </c>
      <c r="K129" s="42">
        <v>650000</v>
      </c>
      <c r="M129" s="42">
        <v>67763</v>
      </c>
      <c r="O129" s="42">
        <v>819975</v>
      </c>
      <c r="Q129" s="42">
        <v>47317</v>
      </c>
      <c r="S129" s="5">
        <f t="shared" si="10"/>
        <v>8885180</v>
      </c>
      <c r="U129" s="42">
        <v>330013</v>
      </c>
      <c r="W129" s="42">
        <f>+'St of Net Pos - GA'!Q129-'Long Term Liab - GA'!U129</f>
        <v>0</v>
      </c>
    </row>
    <row r="130" spans="1:23">
      <c r="A130" s="9" t="s">
        <v>751</v>
      </c>
      <c r="B130" s="9"/>
      <c r="C130" s="9" t="s">
        <v>111</v>
      </c>
      <c r="D130" s="9"/>
      <c r="E130" s="23">
        <v>45328</v>
      </c>
      <c r="G130" s="42">
        <f>836334+160000</f>
        <v>996334</v>
      </c>
      <c r="I130" s="42">
        <v>26472</v>
      </c>
      <c r="K130" s="42">
        <v>0</v>
      </c>
      <c r="M130" s="42">
        <v>19970</v>
      </c>
      <c r="O130" s="42">
        <v>515136</v>
      </c>
      <c r="Q130" s="42">
        <v>13781811</v>
      </c>
      <c r="S130" s="5">
        <f t="shared" si="10"/>
        <v>15339723</v>
      </c>
      <c r="U130" s="42">
        <v>339080</v>
      </c>
      <c r="W130" s="42">
        <f>+'St of Net Pos - GA'!Q130-'Long Term Liab - GA'!U130</f>
        <v>0</v>
      </c>
    </row>
    <row r="131" spans="1:23">
      <c r="A131" s="9" t="s">
        <v>299</v>
      </c>
      <c r="B131" s="9"/>
      <c r="C131" s="9" t="s">
        <v>27</v>
      </c>
      <c r="D131" s="9"/>
      <c r="E131" s="23">
        <v>43802</v>
      </c>
      <c r="G131" s="42">
        <f>598213031-58011140-12499925</f>
        <v>527701966</v>
      </c>
      <c r="I131" s="42">
        <v>0</v>
      </c>
      <c r="K131" s="42">
        <v>0</v>
      </c>
      <c r="M131" s="42">
        <v>0</v>
      </c>
      <c r="O131" s="42">
        <v>58011140</v>
      </c>
      <c r="Q131" s="42">
        <v>12499925</v>
      </c>
      <c r="S131" s="5">
        <f t="shared" si="10"/>
        <v>598213031</v>
      </c>
      <c r="U131" s="42">
        <v>31064201</v>
      </c>
      <c r="W131" s="42">
        <f>+'St of Net Pos - GA'!Q131-'Long Term Liab - GA'!U131</f>
        <v>0</v>
      </c>
    </row>
    <row r="132" spans="1:23" hidden="1">
      <c r="A132" s="9" t="s">
        <v>606</v>
      </c>
      <c r="B132" s="9"/>
      <c r="C132" s="9" t="s">
        <v>464</v>
      </c>
      <c r="D132" s="9"/>
      <c r="E132" s="23">
        <v>49312</v>
      </c>
      <c r="G132" s="42">
        <v>0</v>
      </c>
      <c r="I132" s="42">
        <v>0</v>
      </c>
      <c r="K132" s="42">
        <v>0</v>
      </c>
      <c r="M132" s="42">
        <v>0</v>
      </c>
      <c r="O132" s="42">
        <v>0</v>
      </c>
      <c r="Q132" s="42">
        <v>0</v>
      </c>
      <c r="S132" s="5">
        <f t="shared" ref="S132" si="12">SUM(G132:R132)</f>
        <v>0</v>
      </c>
      <c r="U132" s="42">
        <v>0</v>
      </c>
      <c r="W132" s="42">
        <f>+'St of Net Pos - GA'!Q132-'Long Term Liab - GA'!U132</f>
        <v>0</v>
      </c>
    </row>
    <row r="133" spans="1:23">
      <c r="A133" s="9" t="s">
        <v>206</v>
      </c>
      <c r="B133" s="9"/>
      <c r="C133" s="9" t="s">
        <v>12</v>
      </c>
      <c r="D133" s="9"/>
      <c r="E133" s="23">
        <v>43810</v>
      </c>
      <c r="G133" s="42">
        <v>5688116</v>
      </c>
      <c r="I133" s="42">
        <v>224000</v>
      </c>
      <c r="K133" s="42">
        <v>0</v>
      </c>
      <c r="M133" s="42">
        <v>0</v>
      </c>
      <c r="O133" s="42">
        <v>902511</v>
      </c>
      <c r="Q133" s="42">
        <v>0</v>
      </c>
      <c r="S133" s="5">
        <f t="shared" si="10"/>
        <v>6814627</v>
      </c>
      <c r="U133" s="42">
        <v>597933</v>
      </c>
      <c r="W133" s="42">
        <f>+'St of Net Pos - GA'!Q133-'Long Term Liab - GA'!U133</f>
        <v>0</v>
      </c>
    </row>
    <row r="134" spans="1:23">
      <c r="A134" s="9" t="s">
        <v>340</v>
      </c>
      <c r="B134" s="9"/>
      <c r="C134" s="9" t="s">
        <v>341</v>
      </c>
      <c r="D134" s="9"/>
      <c r="E134" s="23">
        <v>47548</v>
      </c>
      <c r="G134" s="42">
        <v>0</v>
      </c>
      <c r="I134" s="42">
        <v>0</v>
      </c>
      <c r="K134" s="42">
        <v>0</v>
      </c>
      <c r="M134" s="42">
        <v>0</v>
      </c>
      <c r="O134" s="42">
        <v>141452</v>
      </c>
      <c r="Q134" s="42">
        <v>0</v>
      </c>
      <c r="S134" s="5">
        <f t="shared" si="10"/>
        <v>141452</v>
      </c>
      <c r="U134" s="42">
        <v>21122</v>
      </c>
      <c r="W134" s="42">
        <f>+'St of Net Pos - GA'!Q134-'Long Term Liab - GA'!U134</f>
        <v>0</v>
      </c>
    </row>
    <row r="135" spans="1:23" hidden="1">
      <c r="A135" s="9" t="s">
        <v>671</v>
      </c>
      <c r="B135" s="9"/>
      <c r="C135" s="9" t="s">
        <v>464</v>
      </c>
      <c r="D135" s="9"/>
      <c r="E135" s="23">
        <v>49320</v>
      </c>
      <c r="G135" s="42">
        <v>0</v>
      </c>
      <c r="I135" s="42">
        <v>0</v>
      </c>
      <c r="K135" s="42">
        <v>0</v>
      </c>
      <c r="M135" s="42">
        <v>0</v>
      </c>
      <c r="O135" s="42">
        <v>0</v>
      </c>
      <c r="Q135" s="42">
        <v>0</v>
      </c>
      <c r="S135" s="5">
        <f t="shared" si="10"/>
        <v>0</v>
      </c>
      <c r="U135" s="42">
        <v>0</v>
      </c>
      <c r="W135" s="42">
        <f>+'St of Net Pos - GA'!Q135-'Long Term Liab - GA'!U135</f>
        <v>0</v>
      </c>
    </row>
    <row r="136" spans="1:23">
      <c r="A136" s="9" t="s">
        <v>504</v>
      </c>
      <c r="B136" s="9"/>
      <c r="C136" s="9" t="s">
        <v>63</v>
      </c>
      <c r="D136" s="9"/>
      <c r="E136" s="23">
        <v>49981</v>
      </c>
      <c r="G136" s="42">
        <v>1506126</v>
      </c>
      <c r="I136" s="42">
        <v>0</v>
      </c>
      <c r="K136" s="42">
        <v>3490261</v>
      </c>
      <c r="M136" s="42">
        <v>47936</v>
      </c>
      <c r="O136" s="42">
        <v>1737463</v>
      </c>
      <c r="Q136" s="42">
        <v>0</v>
      </c>
      <c r="S136" s="5">
        <f t="shared" si="10"/>
        <v>6781786</v>
      </c>
      <c r="U136" s="42">
        <v>1543381</v>
      </c>
      <c r="W136" s="42">
        <f>+'St of Net Pos - GA'!Q136-'Long Term Liab - GA'!U136</f>
        <v>0</v>
      </c>
    </row>
    <row r="137" spans="1:23">
      <c r="A137" s="9" t="s">
        <v>334</v>
      </c>
      <c r="B137" s="9"/>
      <c r="C137" s="9" t="s">
        <v>33</v>
      </c>
      <c r="D137" s="9"/>
      <c r="E137" s="23">
        <v>47431</v>
      </c>
      <c r="G137" s="42">
        <v>6060819</v>
      </c>
      <c r="I137" s="42">
        <v>51054</v>
      </c>
      <c r="K137" s="42">
        <v>0</v>
      </c>
      <c r="M137" s="42">
        <v>0</v>
      </c>
      <c r="O137" s="42">
        <v>539134</v>
      </c>
      <c r="Q137" s="42">
        <v>0</v>
      </c>
      <c r="S137" s="5">
        <f t="shared" si="10"/>
        <v>6651007</v>
      </c>
      <c r="U137" s="42">
        <v>187606</v>
      </c>
      <c r="W137" s="42">
        <f>+'St of Net Pos - GA'!Q137-'Long Term Liab - GA'!U137</f>
        <v>0</v>
      </c>
    </row>
    <row r="138" spans="1:23">
      <c r="A138" s="9" t="s">
        <v>251</v>
      </c>
      <c r="B138" s="9"/>
      <c r="C138" s="9" t="s">
        <v>19</v>
      </c>
      <c r="D138" s="9"/>
      <c r="E138" s="23">
        <v>43828</v>
      </c>
      <c r="G138" s="42">
        <v>9574388</v>
      </c>
      <c r="I138" s="42">
        <v>0</v>
      </c>
      <c r="K138" s="42">
        <v>0</v>
      </c>
      <c r="M138" s="42">
        <v>65191</v>
      </c>
      <c r="O138" s="42">
        <v>1539393</v>
      </c>
      <c r="Q138" s="42">
        <v>0</v>
      </c>
      <c r="S138" s="5">
        <f t="shared" si="10"/>
        <v>11178972</v>
      </c>
      <c r="U138" s="42">
        <v>773530</v>
      </c>
      <c r="W138" s="42">
        <f>+'St of Net Pos - GA'!Q138-'Long Term Liab - GA'!U138</f>
        <v>0</v>
      </c>
    </row>
    <row r="139" spans="1:23">
      <c r="A139" s="9" t="s">
        <v>599</v>
      </c>
      <c r="B139" s="9"/>
      <c r="C139" s="9" t="s">
        <v>63</v>
      </c>
      <c r="D139" s="9"/>
      <c r="E139" s="23">
        <v>49999</v>
      </c>
      <c r="G139" s="42">
        <v>315000</v>
      </c>
      <c r="I139" s="42">
        <v>791855</v>
      </c>
      <c r="K139" s="42">
        <v>1233876</v>
      </c>
      <c r="M139" s="42">
        <v>2689000</v>
      </c>
      <c r="O139" s="42">
        <v>1100282</v>
      </c>
      <c r="Q139" s="42">
        <v>0</v>
      </c>
      <c r="S139" s="5">
        <f t="shared" si="10"/>
        <v>6130013</v>
      </c>
      <c r="U139" s="42">
        <v>1195118</v>
      </c>
      <c r="W139" s="42">
        <f>+'St of Net Pos - GA'!Q139-'Long Term Liab - GA'!U139</f>
        <v>0</v>
      </c>
    </row>
    <row r="140" spans="1:23">
      <c r="A140" s="9" t="s">
        <v>752</v>
      </c>
      <c r="B140" s="9"/>
      <c r="C140" s="9" t="s">
        <v>48</v>
      </c>
      <c r="D140" s="9"/>
      <c r="E140" s="23">
        <v>45336</v>
      </c>
      <c r="G140" s="42">
        <v>0</v>
      </c>
      <c r="I140" s="42">
        <v>0</v>
      </c>
      <c r="K140" s="42">
        <v>79016</v>
      </c>
      <c r="M140" s="42">
        <v>70567</v>
      </c>
      <c r="O140" s="42">
        <v>544784</v>
      </c>
      <c r="Q140" s="42">
        <v>0</v>
      </c>
      <c r="S140" s="5">
        <f t="shared" si="10"/>
        <v>694367</v>
      </c>
      <c r="U140" s="42">
        <v>59289</v>
      </c>
      <c r="W140" s="42">
        <f>+'St of Net Pos - GA'!Q140-'Long Term Liab - GA'!U140</f>
        <v>0</v>
      </c>
    </row>
    <row r="141" spans="1:23" hidden="1">
      <c r="A141" s="9" t="s">
        <v>825</v>
      </c>
      <c r="B141" s="9"/>
      <c r="C141" s="9" t="s">
        <v>110</v>
      </c>
      <c r="D141" s="9"/>
      <c r="E141" s="23">
        <v>45344</v>
      </c>
      <c r="G141" s="42">
        <v>0</v>
      </c>
      <c r="I141" s="42">
        <v>0</v>
      </c>
      <c r="K141" s="42">
        <v>0</v>
      </c>
      <c r="M141" s="42">
        <v>0</v>
      </c>
      <c r="O141" s="42">
        <v>0</v>
      </c>
      <c r="Q141" s="42">
        <v>0</v>
      </c>
      <c r="S141" s="5">
        <f t="shared" si="10"/>
        <v>0</v>
      </c>
      <c r="U141" s="42">
        <v>0</v>
      </c>
      <c r="W141" s="42">
        <f>+'St of Net Pos - GA'!Q141-'Long Term Liab - GA'!U141</f>
        <v>0</v>
      </c>
    </row>
    <row r="142" spans="1:23">
      <c r="A142" s="9" t="s">
        <v>245</v>
      </c>
      <c r="B142" s="9"/>
      <c r="C142" s="9" t="s">
        <v>111</v>
      </c>
      <c r="D142" s="9"/>
      <c r="E142" s="23">
        <v>46433</v>
      </c>
      <c r="G142" s="42">
        <f>4318510+557471</f>
        <v>4875981</v>
      </c>
      <c r="I142" s="42">
        <v>0</v>
      </c>
      <c r="K142" s="42">
        <v>149990</v>
      </c>
      <c r="M142" s="42">
        <v>199858</v>
      </c>
      <c r="O142" s="42">
        <v>384266</v>
      </c>
      <c r="Q142" s="42">
        <v>0</v>
      </c>
      <c r="S142" s="5">
        <f t="shared" si="10"/>
        <v>5610095</v>
      </c>
      <c r="U142" s="42">
        <v>569705</v>
      </c>
      <c r="W142" s="42">
        <f>+'St of Net Pos - GA'!Q142-'Long Term Liab - GA'!U142</f>
        <v>0</v>
      </c>
    </row>
    <row r="143" spans="1:23">
      <c r="A143" s="9" t="s">
        <v>245</v>
      </c>
      <c r="B143" s="9"/>
      <c r="C143" s="9" t="s">
        <v>109</v>
      </c>
      <c r="D143" s="9"/>
      <c r="E143" s="23">
        <v>49429</v>
      </c>
      <c r="G143" s="42">
        <v>2180000</v>
      </c>
      <c r="I143" s="42">
        <v>0</v>
      </c>
      <c r="K143" s="42">
        <v>0</v>
      </c>
      <c r="M143" s="42">
        <v>0</v>
      </c>
      <c r="O143" s="42">
        <v>453638</v>
      </c>
      <c r="Q143" s="42">
        <v>0</v>
      </c>
      <c r="S143" s="5">
        <f t="shared" si="10"/>
        <v>2633638</v>
      </c>
      <c r="U143" s="42">
        <v>323119</v>
      </c>
      <c r="W143" s="42">
        <f>+'St of Net Pos - GA'!Q143-'Long Term Liab - GA'!U143</f>
        <v>0</v>
      </c>
    </row>
    <row r="144" spans="1:23" hidden="1">
      <c r="A144" s="9" t="s">
        <v>650</v>
      </c>
      <c r="B144" s="9"/>
      <c r="C144" s="9" t="s">
        <v>67</v>
      </c>
      <c r="D144" s="9"/>
      <c r="E144" s="23">
        <v>50351</v>
      </c>
      <c r="G144" s="42">
        <v>0</v>
      </c>
      <c r="I144" s="42">
        <v>0</v>
      </c>
      <c r="K144" s="42">
        <v>0</v>
      </c>
      <c r="M144" s="42">
        <v>0</v>
      </c>
      <c r="O144" s="42">
        <v>0</v>
      </c>
      <c r="Q144" s="42">
        <v>0</v>
      </c>
      <c r="S144" s="5">
        <f t="shared" ref="S144:S149" si="13">SUM(G144:R144)</f>
        <v>0</v>
      </c>
      <c r="U144" s="42">
        <v>0</v>
      </c>
      <c r="W144" s="42">
        <f>+'St of Net Pos - GA'!Q144-'Long Term Liab - GA'!U144</f>
        <v>0</v>
      </c>
    </row>
    <row r="145" spans="1:23">
      <c r="A145" s="9" t="s">
        <v>712</v>
      </c>
      <c r="B145" s="9"/>
      <c r="C145" s="9" t="s">
        <v>56</v>
      </c>
      <c r="D145" s="9"/>
      <c r="E145" s="23">
        <v>49189</v>
      </c>
      <c r="G145" s="42">
        <v>7602135</v>
      </c>
      <c r="I145" s="42">
        <v>0</v>
      </c>
      <c r="K145" s="42">
        <v>0</v>
      </c>
      <c r="M145" s="42">
        <v>0</v>
      </c>
      <c r="O145" s="42">
        <v>1682140</v>
      </c>
      <c r="Q145" s="42">
        <v>470000</v>
      </c>
      <c r="S145" s="5">
        <f t="shared" si="13"/>
        <v>9754275</v>
      </c>
      <c r="U145" s="42">
        <v>1033541</v>
      </c>
      <c r="W145" s="42">
        <f>+'St of Net Pos - GA'!Q145-'Long Term Liab - GA'!U145</f>
        <v>0</v>
      </c>
    </row>
    <row r="146" spans="1:23">
      <c r="A146" s="9" t="s">
        <v>753</v>
      </c>
      <c r="B146" s="9"/>
      <c r="C146" s="9" t="s">
        <v>448</v>
      </c>
      <c r="D146" s="9"/>
      <c r="E146" s="23">
        <v>45351</v>
      </c>
      <c r="G146" s="42">
        <v>1064639</v>
      </c>
      <c r="I146" s="42">
        <v>0</v>
      </c>
      <c r="K146" s="42">
        <v>0</v>
      </c>
      <c r="M146" s="42">
        <v>34024</v>
      </c>
      <c r="O146" s="42">
        <v>486258</v>
      </c>
      <c r="Q146" s="42">
        <v>0</v>
      </c>
      <c r="S146" s="5">
        <f t="shared" si="13"/>
        <v>1584921</v>
      </c>
      <c r="U146" s="42">
        <v>161542</v>
      </c>
      <c r="W146" s="42">
        <f>+'St of Net Pos - GA'!Q146-'Long Term Liab - GA'!U146</f>
        <v>0</v>
      </c>
    </row>
    <row r="147" spans="1:23">
      <c r="A147" s="9" t="s">
        <v>651</v>
      </c>
      <c r="B147" s="9"/>
      <c r="C147" s="9" t="s">
        <v>63</v>
      </c>
      <c r="D147" s="9"/>
      <c r="E147" s="23">
        <v>43836</v>
      </c>
      <c r="G147" s="42">
        <f>3135000+137142</f>
        <v>3272142</v>
      </c>
      <c r="I147" s="42">
        <v>0</v>
      </c>
      <c r="K147" s="42">
        <v>0</v>
      </c>
      <c r="M147" s="42">
        <v>148507</v>
      </c>
      <c r="O147" s="42">
        <v>2495552</v>
      </c>
      <c r="Q147" s="42">
        <v>0</v>
      </c>
      <c r="S147" s="5">
        <f t="shared" si="13"/>
        <v>5916201</v>
      </c>
      <c r="U147" s="42">
        <v>1094139</v>
      </c>
      <c r="W147" s="42">
        <f>+'St of Net Pos - GA'!Q147-'Long Term Liab - GA'!U147</f>
        <v>0</v>
      </c>
    </row>
    <row r="148" spans="1:23">
      <c r="A148" s="9" t="s">
        <v>713</v>
      </c>
      <c r="B148" s="9"/>
      <c r="C148" s="9" t="s">
        <v>20</v>
      </c>
      <c r="D148" s="9"/>
      <c r="E148" s="23">
        <v>46557</v>
      </c>
      <c r="G148" s="42">
        <v>0</v>
      </c>
      <c r="I148" s="42">
        <v>0</v>
      </c>
      <c r="K148" s="42">
        <v>0</v>
      </c>
      <c r="M148" s="42">
        <v>1565125</v>
      </c>
      <c r="O148" s="42">
        <v>1022194</v>
      </c>
      <c r="Q148" s="42">
        <v>0</v>
      </c>
      <c r="S148" s="5">
        <f t="shared" si="13"/>
        <v>2587319</v>
      </c>
      <c r="U148" s="42">
        <v>791629</v>
      </c>
      <c r="W148" s="42">
        <f>+'St of Net Pos - GA'!Q148-'Long Term Liab - GA'!U148</f>
        <v>0</v>
      </c>
    </row>
    <row r="149" spans="1:23">
      <c r="A149" s="9" t="s">
        <v>604</v>
      </c>
      <c r="B149" s="9"/>
      <c r="C149" s="9" t="s">
        <v>71</v>
      </c>
      <c r="D149" s="9"/>
      <c r="E149" s="23">
        <v>50542</v>
      </c>
      <c r="G149" s="42">
        <f>14700000+741000+271357</f>
        <v>15712357</v>
      </c>
      <c r="I149" s="42">
        <v>0</v>
      </c>
      <c r="K149" s="42">
        <v>0</v>
      </c>
      <c r="M149" s="42">
        <v>0</v>
      </c>
      <c r="O149" s="42">
        <v>773250</v>
      </c>
      <c r="Q149" s="42">
        <v>0</v>
      </c>
      <c r="S149" s="5">
        <f t="shared" si="13"/>
        <v>16485607</v>
      </c>
      <c r="U149" s="42">
        <v>136910</v>
      </c>
      <c r="W149" s="42">
        <f>+'St of Net Pos - GA'!Q149-'Long Term Liab - GA'!U149</f>
        <v>0</v>
      </c>
    </row>
    <row r="150" spans="1:23" hidden="1">
      <c r="A150" s="9" t="s">
        <v>735</v>
      </c>
      <c r="B150" s="9"/>
      <c r="C150" s="9" t="s">
        <v>53</v>
      </c>
      <c r="D150" s="9"/>
      <c r="E150" s="23">
        <v>48934</v>
      </c>
      <c r="G150" s="42">
        <v>0</v>
      </c>
      <c r="I150" s="42">
        <v>0</v>
      </c>
      <c r="K150" s="42">
        <v>0</v>
      </c>
      <c r="M150" s="42">
        <v>0</v>
      </c>
      <c r="O150" s="42">
        <v>0</v>
      </c>
      <c r="Q150" s="42">
        <v>0</v>
      </c>
      <c r="S150" s="5">
        <f t="shared" ref="S150:S161" si="14">SUM(G150:R150)</f>
        <v>0</v>
      </c>
      <c r="U150" s="42">
        <v>0</v>
      </c>
      <c r="W150" s="42">
        <f>+'St of Net Pos - GA'!Q150-'Long Term Liab - GA'!U150</f>
        <v>0</v>
      </c>
    </row>
    <row r="151" spans="1:23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v>0</v>
      </c>
      <c r="I151" s="42">
        <v>0</v>
      </c>
      <c r="K151" s="42">
        <v>0</v>
      </c>
      <c r="M151" s="42">
        <v>0</v>
      </c>
      <c r="O151" s="42">
        <v>0</v>
      </c>
      <c r="Q151" s="42">
        <v>0</v>
      </c>
      <c r="S151" s="5">
        <f t="shared" si="14"/>
        <v>0</v>
      </c>
      <c r="U151" s="42">
        <v>0</v>
      </c>
      <c r="W151" s="42">
        <f>+'St of Net Pos - GA'!Q151-'Long Term Liab - GA'!U151</f>
        <v>0</v>
      </c>
    </row>
    <row r="152" spans="1:23">
      <c r="A152" s="9" t="s">
        <v>365</v>
      </c>
      <c r="B152" s="9"/>
      <c r="C152" s="9" t="s">
        <v>364</v>
      </c>
      <c r="D152" s="9"/>
      <c r="E152" s="23">
        <v>47928</v>
      </c>
      <c r="G152" s="42">
        <f>145000+700000+35229+620000</f>
        <v>1500229</v>
      </c>
      <c r="I152" s="42">
        <v>0</v>
      </c>
      <c r="K152" s="42">
        <v>0</v>
      </c>
      <c r="M152" s="42">
        <v>0</v>
      </c>
      <c r="O152" s="42">
        <v>0</v>
      </c>
      <c r="Q152" s="42">
        <f>825000+444774</f>
        <v>1269774</v>
      </c>
      <c r="S152" s="5">
        <f t="shared" si="14"/>
        <v>2770003</v>
      </c>
      <c r="U152" s="42">
        <v>294489</v>
      </c>
      <c r="W152" s="42">
        <f>+'St of Net Pos - GA'!Q152-'Long Term Liab - GA'!U152</f>
        <v>0</v>
      </c>
    </row>
    <row r="153" spans="1:23">
      <c r="A153" s="9" t="s">
        <v>426</v>
      </c>
      <c r="B153" s="9"/>
      <c r="C153" s="9" t="s">
        <v>50</v>
      </c>
      <c r="D153" s="9"/>
      <c r="E153" s="23">
        <v>43844</v>
      </c>
      <c r="G153" s="42">
        <v>117822672</v>
      </c>
      <c r="I153" s="42">
        <v>0</v>
      </c>
      <c r="K153" s="42">
        <v>700000</v>
      </c>
      <c r="M153" s="42">
        <v>0</v>
      </c>
      <c r="O153" s="42">
        <v>4430886</v>
      </c>
      <c r="Q153" s="42">
        <f>10000000+14434862+14735000+585247+93450000+5776761</f>
        <v>138981870</v>
      </c>
      <c r="S153" s="5">
        <f t="shared" si="14"/>
        <v>261935428</v>
      </c>
      <c r="U153" s="42">
        <v>12597250</v>
      </c>
      <c r="W153" s="42">
        <f>+'St of Net Pos - GA'!Q153-'Long Term Liab - GA'!U153</f>
        <v>0</v>
      </c>
    </row>
    <row r="154" spans="1:23">
      <c r="A154" s="9" t="s">
        <v>877</v>
      </c>
      <c r="B154" s="9"/>
      <c r="C154" s="9" t="s">
        <v>32</v>
      </c>
      <c r="D154" s="9"/>
      <c r="E154" s="23">
        <v>43851</v>
      </c>
      <c r="G154" s="42">
        <v>516010</v>
      </c>
      <c r="I154" s="42">
        <v>0</v>
      </c>
      <c r="K154" s="42">
        <v>0</v>
      </c>
      <c r="M154" s="42">
        <v>0</v>
      </c>
      <c r="O154" s="42">
        <v>782967</v>
      </c>
      <c r="Q154" s="42">
        <v>143672</v>
      </c>
      <c r="S154" s="5">
        <f t="shared" si="14"/>
        <v>1442649</v>
      </c>
      <c r="U154" s="42">
        <v>391207</v>
      </c>
      <c r="W154" s="42">
        <f>+'St of Net Pos - GA'!Q154-'Long Term Liab - GA'!U154</f>
        <v>0</v>
      </c>
    </row>
    <row r="155" spans="1:23" hidden="1">
      <c r="A155" s="9" t="s">
        <v>653</v>
      </c>
      <c r="B155" s="9"/>
      <c r="C155" s="9" t="s">
        <v>22</v>
      </c>
      <c r="D155" s="9"/>
      <c r="E155" s="23">
        <v>43869</v>
      </c>
      <c r="G155" s="42">
        <v>0</v>
      </c>
      <c r="I155" s="42">
        <v>0</v>
      </c>
      <c r="K155" s="42">
        <v>0</v>
      </c>
      <c r="M155" s="42">
        <v>0</v>
      </c>
      <c r="O155" s="42">
        <v>0</v>
      </c>
      <c r="Q155" s="42">
        <v>0</v>
      </c>
      <c r="S155" s="5">
        <f t="shared" si="14"/>
        <v>0</v>
      </c>
      <c r="U155" s="42">
        <v>0</v>
      </c>
      <c r="W155" s="42">
        <f>+'St of Net Pos - GA'!Q155-'Long Term Liab - GA'!U155</f>
        <v>0</v>
      </c>
    </row>
    <row r="156" spans="1:23">
      <c r="A156" s="9" t="s">
        <v>736</v>
      </c>
      <c r="B156" s="9"/>
      <c r="C156" s="9" t="s">
        <v>23</v>
      </c>
      <c r="D156" s="9"/>
      <c r="E156" s="23">
        <v>43877</v>
      </c>
      <c r="G156" s="42">
        <v>27803895</v>
      </c>
      <c r="I156" s="42">
        <v>0</v>
      </c>
      <c r="K156" s="42">
        <v>2663900</v>
      </c>
      <c r="M156" s="42">
        <v>0</v>
      </c>
      <c r="O156" s="42">
        <v>1098176</v>
      </c>
      <c r="Q156" s="42">
        <v>0</v>
      </c>
      <c r="S156" s="5">
        <f t="shared" si="14"/>
        <v>31565971</v>
      </c>
      <c r="U156" s="42">
        <v>2954253</v>
      </c>
      <c r="W156" s="42">
        <f>+'St of Net Pos - GA'!Q156-'Long Term Liab - GA'!U156</f>
        <v>0</v>
      </c>
    </row>
    <row r="157" spans="1:23">
      <c r="A157" s="9" t="s">
        <v>200</v>
      </c>
      <c r="B157" s="9"/>
      <c r="C157" s="9" t="s">
        <v>10</v>
      </c>
      <c r="D157" s="9"/>
      <c r="E157" s="23">
        <v>43885</v>
      </c>
      <c r="G157" s="42">
        <v>0</v>
      </c>
      <c r="I157" s="42">
        <v>0</v>
      </c>
      <c r="K157" s="42">
        <v>0</v>
      </c>
      <c r="M157" s="42">
        <v>0</v>
      </c>
      <c r="O157" s="42">
        <v>554289</v>
      </c>
      <c r="Q157" s="42">
        <v>0</v>
      </c>
      <c r="S157" s="5">
        <f t="shared" si="14"/>
        <v>554289</v>
      </c>
      <c r="U157" s="42">
        <v>27132</v>
      </c>
      <c r="W157" s="42">
        <f>+'St of Net Pos - GA'!Q157-'Long Term Liab - GA'!U157</f>
        <v>0</v>
      </c>
    </row>
    <row r="158" spans="1:23">
      <c r="A158" s="9" t="s">
        <v>530</v>
      </c>
      <c r="B158" s="9"/>
      <c r="C158" s="9" t="s">
        <v>65</v>
      </c>
      <c r="D158" s="9"/>
      <c r="E158" s="23">
        <v>43893</v>
      </c>
      <c r="G158" s="42">
        <v>2613209</v>
      </c>
      <c r="I158" s="42">
        <v>0</v>
      </c>
      <c r="K158" s="42">
        <v>0</v>
      </c>
      <c r="M158" s="42">
        <v>129719</v>
      </c>
      <c r="O158" s="42">
        <v>1694810</v>
      </c>
      <c r="Q158" s="42">
        <v>0</v>
      </c>
      <c r="S158" s="5">
        <f t="shared" si="14"/>
        <v>4437738</v>
      </c>
      <c r="U158" s="42">
        <v>710416</v>
      </c>
      <c r="W158" s="42">
        <f>+'St of Net Pos - GA'!Q158-'Long Term Liab - GA'!U158</f>
        <v>0</v>
      </c>
    </row>
    <row r="159" spans="1:23">
      <c r="A159" s="9" t="s">
        <v>300</v>
      </c>
      <c r="B159" s="9"/>
      <c r="C159" s="9" t="s">
        <v>27</v>
      </c>
      <c r="D159" s="9"/>
      <c r="E159" s="23">
        <v>47027</v>
      </c>
      <c r="G159" s="42">
        <f>134580000+40419305+9416935</f>
        <v>184416240</v>
      </c>
      <c r="I159" s="42">
        <v>0</v>
      </c>
      <c r="K159" s="42">
        <v>0</v>
      </c>
      <c r="M159" s="42">
        <v>19802</v>
      </c>
      <c r="O159" s="42">
        <v>11593911</v>
      </c>
      <c r="Q159" s="42">
        <v>0</v>
      </c>
      <c r="S159" s="5">
        <f t="shared" si="14"/>
        <v>196029953</v>
      </c>
      <c r="U159" s="42">
        <v>21241298</v>
      </c>
      <c r="W159" s="42">
        <f>+'St of Net Pos - GA'!Q159-'Long Term Liab - GA'!U159</f>
        <v>0</v>
      </c>
    </row>
    <row r="160" spans="1:23">
      <c r="A160" s="9" t="s">
        <v>264</v>
      </c>
      <c r="B160" s="9"/>
      <c r="C160" s="9" t="s">
        <v>20</v>
      </c>
      <c r="D160" s="9"/>
      <c r="E160" s="23">
        <v>43901</v>
      </c>
      <c r="G160" s="42">
        <v>5355139</v>
      </c>
      <c r="I160" s="42">
        <v>0</v>
      </c>
      <c r="K160" s="42">
        <v>0</v>
      </c>
      <c r="M160" s="42">
        <v>0</v>
      </c>
      <c r="O160" s="42">
        <v>5490764</v>
      </c>
      <c r="Q160" s="42">
        <v>0</v>
      </c>
      <c r="S160" s="5">
        <f t="shared" si="14"/>
        <v>10845903</v>
      </c>
      <c r="U160" s="42">
        <v>1733592</v>
      </c>
      <c r="W160" s="42">
        <f>+'St of Net Pos - GA'!Q160-'Long Term Liab - GA'!U160</f>
        <v>0</v>
      </c>
    </row>
    <row r="161" spans="1:23">
      <c r="A161" s="9" t="s">
        <v>242</v>
      </c>
      <c r="B161" s="9"/>
      <c r="C161" s="9" t="s">
        <v>18</v>
      </c>
      <c r="D161" s="9"/>
      <c r="E161" s="23">
        <v>46409</v>
      </c>
      <c r="G161" s="42">
        <f>1411698+485000</f>
        <v>1896698</v>
      </c>
      <c r="I161" s="42">
        <v>0</v>
      </c>
      <c r="K161" s="42">
        <v>0</v>
      </c>
      <c r="M161" s="42">
        <v>0</v>
      </c>
      <c r="O161" s="42">
        <v>370874</v>
      </c>
      <c r="Q161" s="42">
        <v>0</v>
      </c>
      <c r="S161" s="5">
        <f t="shared" si="14"/>
        <v>2267572</v>
      </c>
      <c r="U161" s="42">
        <v>119986</v>
      </c>
      <c r="W161" s="42">
        <f>+'St of Net Pos - GA'!Q161-'Long Term Liab - GA'!U161</f>
        <v>0</v>
      </c>
    </row>
    <row r="162" spans="1:23">
      <c r="A162" s="9" t="s">
        <v>318</v>
      </c>
      <c r="B162" s="9"/>
      <c r="C162" s="9" t="s">
        <v>31</v>
      </c>
      <c r="D162" s="9"/>
      <c r="E162" s="23">
        <v>69682</v>
      </c>
      <c r="G162" s="42">
        <f>953539+1075035</f>
        <v>2028574</v>
      </c>
      <c r="I162" s="42">
        <v>0</v>
      </c>
      <c r="K162" s="42">
        <v>403200</v>
      </c>
      <c r="M162" s="42">
        <v>146715</v>
      </c>
      <c r="O162" s="42">
        <v>394605</v>
      </c>
      <c r="Q162" s="42">
        <v>0</v>
      </c>
      <c r="S162" s="5">
        <f t="shared" ref="S162:S221" si="15">SUM(G162:R162)</f>
        <v>2973094</v>
      </c>
      <c r="U162" s="42">
        <v>407142</v>
      </c>
      <c r="W162" s="42">
        <f>+'St of Net Pos - GA'!Q162-'Long Term Liab - GA'!U162</f>
        <v>0</v>
      </c>
    </row>
    <row r="163" spans="1:23">
      <c r="A163" s="9" t="s">
        <v>351</v>
      </c>
      <c r="B163" s="9"/>
      <c r="C163" s="9" t="s">
        <v>36</v>
      </c>
      <c r="D163" s="9"/>
      <c r="E163" s="23">
        <v>47688</v>
      </c>
      <c r="G163" s="42">
        <v>1632120</v>
      </c>
      <c r="I163" s="42">
        <v>0</v>
      </c>
      <c r="K163" s="42">
        <v>0</v>
      </c>
      <c r="M163" s="42">
        <v>0</v>
      </c>
      <c r="O163" s="42">
        <v>1182966</v>
      </c>
      <c r="Q163" s="42">
        <v>0</v>
      </c>
      <c r="S163" s="5">
        <f t="shared" si="15"/>
        <v>2815086</v>
      </c>
      <c r="U163" s="42">
        <v>331958</v>
      </c>
      <c r="W163" s="42">
        <f>+'St of Net Pos - GA'!Q163-'Long Term Liab - GA'!U163</f>
        <v>0</v>
      </c>
    </row>
    <row r="164" spans="1:23" hidden="1">
      <c r="A164" s="9" t="s">
        <v>654</v>
      </c>
      <c r="B164" s="9"/>
      <c r="C164" s="9" t="s">
        <v>40</v>
      </c>
      <c r="D164" s="9"/>
      <c r="E164" s="23">
        <v>47845</v>
      </c>
      <c r="G164" s="42">
        <v>0</v>
      </c>
      <c r="I164" s="42">
        <v>0</v>
      </c>
      <c r="K164" s="42">
        <v>0</v>
      </c>
      <c r="M164" s="42">
        <v>0</v>
      </c>
      <c r="O164" s="42">
        <v>0</v>
      </c>
      <c r="Q164" s="42">
        <v>0</v>
      </c>
      <c r="S164" s="5">
        <f t="shared" si="15"/>
        <v>0</v>
      </c>
      <c r="U164" s="42">
        <v>0</v>
      </c>
      <c r="W164" s="42">
        <f>+'St of Net Pos - GA'!Q164-'Long Term Liab - GA'!U164</f>
        <v>0</v>
      </c>
    </row>
    <row r="165" spans="1:23">
      <c r="A165" s="9" t="s">
        <v>246</v>
      </c>
      <c r="B165" s="9"/>
      <c r="C165" s="9" t="s">
        <v>111</v>
      </c>
      <c r="D165" s="9"/>
      <c r="E165" s="23">
        <v>43919</v>
      </c>
      <c r="G165" s="42">
        <v>7900000</v>
      </c>
      <c r="I165" s="42">
        <v>0</v>
      </c>
      <c r="K165" s="42">
        <v>0</v>
      </c>
      <c r="M165" s="42">
        <v>1682000</v>
      </c>
      <c r="O165" s="42">
        <v>1237843</v>
      </c>
      <c r="Q165" s="42">
        <v>60000</v>
      </c>
      <c r="S165" s="5">
        <f t="shared" si="15"/>
        <v>10879843</v>
      </c>
      <c r="U165" s="42">
        <v>478051</v>
      </c>
      <c r="W165" s="42">
        <f>+'St of Net Pos - GA'!Q165-'Long Term Liab - GA'!U165</f>
        <v>0</v>
      </c>
    </row>
    <row r="166" spans="1:23">
      <c r="A166" s="9" t="s">
        <v>440</v>
      </c>
      <c r="B166" s="9"/>
      <c r="C166" s="9" t="s">
        <v>51</v>
      </c>
      <c r="D166" s="9"/>
      <c r="E166" s="23">
        <v>48835</v>
      </c>
      <c r="G166" s="42">
        <v>4744754</v>
      </c>
      <c r="I166" s="42">
        <v>0</v>
      </c>
      <c r="K166" s="42">
        <v>297841</v>
      </c>
      <c r="M166" s="42">
        <v>135492</v>
      </c>
      <c r="O166" s="42">
        <v>519564</v>
      </c>
      <c r="Q166" s="42">
        <v>981718</v>
      </c>
      <c r="S166" s="5">
        <f t="shared" si="15"/>
        <v>6679369</v>
      </c>
      <c r="U166" s="42">
        <v>611853</v>
      </c>
      <c r="W166" s="42">
        <f>+'St of Net Pos - GA'!Q166-'Long Term Liab - GA'!U166</f>
        <v>0</v>
      </c>
    </row>
    <row r="167" spans="1:23">
      <c r="A167" s="9" t="s">
        <v>247</v>
      </c>
      <c r="B167" s="9"/>
      <c r="C167" s="9" t="s">
        <v>111</v>
      </c>
      <c r="D167" s="9"/>
      <c r="E167" s="23">
        <v>43927</v>
      </c>
      <c r="G167" s="42">
        <v>0</v>
      </c>
      <c r="I167" s="42">
        <v>0</v>
      </c>
      <c r="K167" s="42">
        <v>0</v>
      </c>
      <c r="M167" s="42">
        <v>1211345</v>
      </c>
      <c r="O167" s="42">
        <v>343213</v>
      </c>
      <c r="Q167" s="42">
        <v>0</v>
      </c>
      <c r="S167" s="5">
        <f t="shared" si="15"/>
        <v>1554558</v>
      </c>
      <c r="U167" s="42">
        <v>351023</v>
      </c>
      <c r="W167" s="42">
        <f>+'St of Net Pos - GA'!Q167-'Long Term Liab - GA'!U167</f>
        <v>0</v>
      </c>
    </row>
    <row r="168" spans="1:23">
      <c r="A168" s="9" t="s">
        <v>217</v>
      </c>
      <c r="B168" s="9"/>
      <c r="C168" s="9" t="s">
        <v>77</v>
      </c>
      <c r="D168" s="9"/>
      <c r="E168" s="23">
        <v>46037</v>
      </c>
      <c r="G168" s="42">
        <f>1405000+6045000+137080</f>
        <v>7587080</v>
      </c>
      <c r="I168" s="42">
        <v>0</v>
      </c>
      <c r="K168" s="42">
        <v>0</v>
      </c>
      <c r="M168" s="42">
        <v>0</v>
      </c>
      <c r="O168" s="42">
        <v>732798</v>
      </c>
      <c r="Q168" s="42">
        <v>38354</v>
      </c>
      <c r="S168" s="5">
        <f t="shared" si="15"/>
        <v>8358232</v>
      </c>
      <c r="U168" s="42">
        <v>663658</v>
      </c>
      <c r="W168" s="42">
        <f>+'St of Net Pos - GA'!Q168-'Long Term Liab - GA'!U168</f>
        <v>0</v>
      </c>
    </row>
    <row r="169" spans="1:23">
      <c r="A169" s="9" t="s">
        <v>217</v>
      </c>
      <c r="B169" s="9"/>
      <c r="C169" s="9" t="s">
        <v>417</v>
      </c>
      <c r="D169" s="9"/>
      <c r="E169" s="23">
        <v>48512</v>
      </c>
      <c r="G169" s="42">
        <f>725000+48997</f>
        <v>773997</v>
      </c>
      <c r="I169" s="42">
        <v>0</v>
      </c>
      <c r="K169" s="42">
        <v>0</v>
      </c>
      <c r="M169" s="42">
        <v>0</v>
      </c>
      <c r="O169" s="42">
        <v>199626</v>
      </c>
      <c r="Q169" s="42">
        <v>0</v>
      </c>
      <c r="S169" s="5">
        <f t="shared" si="15"/>
        <v>973623</v>
      </c>
      <c r="U169" s="42">
        <v>108127</v>
      </c>
      <c r="W169" s="42">
        <f>+'St of Net Pos - GA'!Q169-'Long Term Liab - GA'!U169</f>
        <v>0</v>
      </c>
    </row>
    <row r="170" spans="1:23" hidden="1">
      <c r="A170" s="9" t="s">
        <v>655</v>
      </c>
      <c r="B170" s="9"/>
      <c r="C170" s="9" t="s">
        <v>55</v>
      </c>
      <c r="D170" s="9"/>
      <c r="E170" s="23">
        <v>49122</v>
      </c>
      <c r="G170" s="42">
        <v>0</v>
      </c>
      <c r="I170" s="42">
        <v>0</v>
      </c>
      <c r="K170" s="42">
        <v>0</v>
      </c>
      <c r="M170" s="42">
        <v>0</v>
      </c>
      <c r="O170" s="42">
        <v>0</v>
      </c>
      <c r="Q170" s="42">
        <v>0</v>
      </c>
      <c r="S170" s="5">
        <f t="shared" ref="S170:S171" si="16">SUM(G170:R170)</f>
        <v>0</v>
      </c>
      <c r="U170" s="42">
        <v>0</v>
      </c>
      <c r="W170" s="42">
        <f>+'St of Net Pos - GA'!Q170-'Long Term Liab - GA'!U170</f>
        <v>0</v>
      </c>
    </row>
    <row r="171" spans="1:23">
      <c r="A171" s="9" t="s">
        <v>550</v>
      </c>
      <c r="B171" s="9"/>
      <c r="C171" s="9" t="s">
        <v>72</v>
      </c>
      <c r="D171" s="9"/>
      <c r="E171" s="23">
        <v>50674</v>
      </c>
      <c r="G171" s="42">
        <v>2639687</v>
      </c>
      <c r="I171" s="42">
        <v>0</v>
      </c>
      <c r="K171" s="42">
        <v>600000</v>
      </c>
      <c r="M171" s="42">
        <v>0</v>
      </c>
      <c r="O171" s="42">
        <v>861072</v>
      </c>
      <c r="Q171" s="42">
        <v>0</v>
      </c>
      <c r="S171" s="5">
        <f t="shared" si="16"/>
        <v>4100759</v>
      </c>
      <c r="U171" s="42">
        <v>469520</v>
      </c>
      <c r="W171" s="42">
        <f>+'St of Net Pos - GA'!Q171-'Long Term Liab - GA'!U171</f>
        <v>0</v>
      </c>
    </row>
    <row r="172" spans="1:23" hidden="1">
      <c r="A172" s="8" t="s">
        <v>858</v>
      </c>
      <c r="B172" s="9"/>
      <c r="C172" s="9" t="s">
        <v>57</v>
      </c>
      <c r="D172" s="9"/>
      <c r="E172" s="23">
        <v>43935</v>
      </c>
      <c r="G172" s="42">
        <v>0</v>
      </c>
      <c r="I172" s="42">
        <v>0</v>
      </c>
      <c r="K172" s="42">
        <v>0</v>
      </c>
      <c r="M172" s="42">
        <v>0</v>
      </c>
      <c r="O172" s="42">
        <v>0</v>
      </c>
      <c r="Q172" s="42">
        <v>0</v>
      </c>
      <c r="S172" s="5">
        <f t="shared" si="15"/>
        <v>0</v>
      </c>
      <c r="U172" s="42">
        <v>0</v>
      </c>
      <c r="W172" s="42">
        <f>+'St of Net Pos - GA'!Q172-'Long Term Liab - GA'!U172</f>
        <v>0</v>
      </c>
    </row>
    <row r="173" spans="1:23" hidden="1">
      <c r="A173" s="9" t="s">
        <v>656</v>
      </c>
      <c r="B173" s="9"/>
      <c r="C173" s="9" t="s">
        <v>548</v>
      </c>
      <c r="D173" s="9"/>
      <c r="E173" s="23">
        <v>50617</v>
      </c>
      <c r="G173" s="42">
        <v>0</v>
      </c>
      <c r="I173" s="42">
        <v>0</v>
      </c>
      <c r="K173" s="42">
        <v>0</v>
      </c>
      <c r="M173" s="42">
        <v>0</v>
      </c>
      <c r="O173" s="42">
        <v>0</v>
      </c>
      <c r="Q173" s="42">
        <v>0</v>
      </c>
      <c r="S173" s="5">
        <f t="shared" si="15"/>
        <v>0</v>
      </c>
      <c r="U173" s="42">
        <v>0</v>
      </c>
      <c r="W173" s="42">
        <f>+'St of Net Pos - GA'!Q173-'Long Term Liab - GA'!U173</f>
        <v>0</v>
      </c>
    </row>
    <row r="174" spans="1:23">
      <c r="A174" s="9" t="s">
        <v>657</v>
      </c>
      <c r="B174" s="9"/>
      <c r="C174" s="9" t="s">
        <v>220</v>
      </c>
      <c r="D174" s="9"/>
      <c r="E174" s="23">
        <v>46094</v>
      </c>
      <c r="G174" s="42">
        <f>1310506+2979350+6890000+2199979+1061570+1410000+21565000+2905000+684823</f>
        <v>41006228</v>
      </c>
      <c r="I174" s="42">
        <v>0</v>
      </c>
      <c r="K174" s="42">
        <v>0</v>
      </c>
      <c r="M174" s="42">
        <v>52445</v>
      </c>
      <c r="O174" s="42">
        <v>1133488</v>
      </c>
      <c r="Q174" s="42">
        <v>165000</v>
      </c>
      <c r="S174" s="5">
        <f t="shared" si="15"/>
        <v>42357161</v>
      </c>
      <c r="U174" s="42">
        <v>2013375</v>
      </c>
      <c r="W174" s="42">
        <f>+'St of Net Pos - GA'!Q174-'Long Term Liab - GA'!U174</f>
        <v>0</v>
      </c>
    </row>
    <row r="175" spans="1:23">
      <c r="A175" s="9" t="s">
        <v>360</v>
      </c>
      <c r="B175" s="9"/>
      <c r="C175" s="9" t="s">
        <v>24</v>
      </c>
      <c r="D175" s="9"/>
      <c r="E175" s="23">
        <v>46789</v>
      </c>
      <c r="G175" s="42">
        <v>0</v>
      </c>
      <c r="I175" s="42">
        <v>0</v>
      </c>
      <c r="K175" s="42">
        <v>0</v>
      </c>
      <c r="M175" s="42">
        <v>73448</v>
      </c>
      <c r="O175" s="42">
        <v>817407</v>
      </c>
      <c r="Q175" s="42">
        <v>0</v>
      </c>
      <c r="S175" s="5">
        <f>SUM(G175:R175)</f>
        <v>890855</v>
      </c>
      <c r="U175" s="42">
        <v>197864</v>
      </c>
      <c r="W175" s="42">
        <f>+'St of Net Pos - GA'!Q175-'Long Term Liab - GA'!U175</f>
        <v>0</v>
      </c>
    </row>
    <row r="176" spans="1:23">
      <c r="A176" s="9" t="s">
        <v>360</v>
      </c>
      <c r="B176" s="9"/>
      <c r="C176" s="9" t="s">
        <v>39</v>
      </c>
      <c r="D176" s="9"/>
      <c r="E176" s="23">
        <v>47795</v>
      </c>
      <c r="G176" s="42">
        <v>0</v>
      </c>
      <c r="I176" s="42">
        <v>0</v>
      </c>
      <c r="K176" s="42">
        <v>0</v>
      </c>
      <c r="M176" s="42">
        <v>99785</v>
      </c>
      <c r="O176" s="42">
        <v>1303015</v>
      </c>
      <c r="Q176" s="42">
        <v>0</v>
      </c>
      <c r="S176" s="5">
        <f>SUM(G176:R176)</f>
        <v>1402800</v>
      </c>
      <c r="U176" s="42">
        <v>293981</v>
      </c>
      <c r="W176" s="42">
        <f>+'St of Net Pos - GA'!Q176-'Long Term Liab - GA'!U176</f>
        <v>0</v>
      </c>
    </row>
    <row r="177" spans="1:23" hidden="1">
      <c r="A177" s="9" t="s">
        <v>859</v>
      </c>
      <c r="B177" s="9"/>
      <c r="C177" s="9" t="s">
        <v>548</v>
      </c>
      <c r="D177" s="9"/>
      <c r="E177" s="23">
        <v>50625</v>
      </c>
      <c r="G177" s="42">
        <v>0</v>
      </c>
      <c r="I177" s="42">
        <v>0</v>
      </c>
      <c r="K177" s="42">
        <v>0</v>
      </c>
      <c r="M177" s="42">
        <v>0</v>
      </c>
      <c r="O177" s="42">
        <v>0</v>
      </c>
      <c r="Q177" s="42">
        <v>0</v>
      </c>
      <c r="S177" s="5">
        <f t="shared" si="15"/>
        <v>0</v>
      </c>
      <c r="U177" s="42">
        <v>0</v>
      </c>
      <c r="W177" s="42">
        <f>+'St of Net Pos - GA'!Q177-'Long Term Liab - GA'!U177</f>
        <v>0</v>
      </c>
    </row>
    <row r="178" spans="1:23">
      <c r="A178" s="9" t="s">
        <v>672</v>
      </c>
      <c r="B178" s="9"/>
      <c r="C178" s="9" t="s">
        <v>46</v>
      </c>
      <c r="D178" s="9"/>
      <c r="E178" s="23">
        <v>48413</v>
      </c>
      <c r="G178" s="42">
        <v>15588639</v>
      </c>
      <c r="I178" s="42">
        <v>111170</v>
      </c>
      <c r="K178" s="42">
        <v>0</v>
      </c>
      <c r="M178" s="42">
        <v>40950</v>
      </c>
      <c r="O178" s="42">
        <v>751529</v>
      </c>
      <c r="Q178" s="42">
        <v>0</v>
      </c>
      <c r="S178" s="5">
        <f t="shared" ref="S178" si="17">SUM(G178:R178)</f>
        <v>16492288</v>
      </c>
      <c r="U178" s="42">
        <v>858696</v>
      </c>
      <c r="W178" s="42">
        <f>+'St of Net Pos - GA'!Q178-'Long Term Liab - GA'!U178</f>
        <v>0</v>
      </c>
    </row>
    <row r="179" spans="1:23" hidden="1">
      <c r="A179" s="9" t="s">
        <v>658</v>
      </c>
      <c r="B179" s="9"/>
      <c r="C179" s="9" t="s">
        <v>10</v>
      </c>
      <c r="D179" s="9"/>
      <c r="E179" s="23">
        <v>45773</v>
      </c>
      <c r="G179" s="42">
        <v>0</v>
      </c>
      <c r="I179" s="42">
        <v>0</v>
      </c>
      <c r="K179" s="42">
        <v>0</v>
      </c>
      <c r="M179" s="42">
        <v>0</v>
      </c>
      <c r="O179" s="42">
        <v>0</v>
      </c>
      <c r="Q179" s="42">
        <v>0</v>
      </c>
      <c r="S179" s="5">
        <f t="shared" ref="S179" si="18">SUM(G179:R179)</f>
        <v>0</v>
      </c>
      <c r="U179" s="42">
        <v>0</v>
      </c>
      <c r="W179" s="42">
        <f>+'St of Net Pos - GA'!Q179-'Long Term Liab - GA'!U179</f>
        <v>0</v>
      </c>
    </row>
    <row r="180" spans="1:23" hidden="1">
      <c r="A180" s="9" t="s">
        <v>687</v>
      </c>
      <c r="B180" s="9"/>
      <c r="C180" s="9" t="s">
        <v>72</v>
      </c>
      <c r="D180" s="9"/>
      <c r="E180" s="23">
        <v>50682</v>
      </c>
      <c r="G180" s="42">
        <v>0</v>
      </c>
      <c r="I180" s="42">
        <v>0</v>
      </c>
      <c r="K180" s="42">
        <v>0</v>
      </c>
      <c r="M180" s="42">
        <v>0</v>
      </c>
      <c r="O180" s="42">
        <v>0</v>
      </c>
      <c r="Q180" s="42">
        <v>0</v>
      </c>
      <c r="S180" s="5">
        <f t="shared" ref="S180" si="19">SUM(G180:R180)</f>
        <v>0</v>
      </c>
      <c r="U180" s="42">
        <v>0</v>
      </c>
      <c r="W180" s="42">
        <f>+'St of Net Pos - GA'!Q180-'Long Term Liab - GA'!U180</f>
        <v>0</v>
      </c>
    </row>
    <row r="181" spans="1:23">
      <c r="A181" s="9" t="s">
        <v>381</v>
      </c>
      <c r="B181" s="9"/>
      <c r="C181" s="9" t="s">
        <v>44</v>
      </c>
      <c r="D181" s="9"/>
      <c r="E181" s="23">
        <v>43943</v>
      </c>
      <c r="G181" s="42">
        <v>43935474</v>
      </c>
      <c r="I181" s="42">
        <v>0</v>
      </c>
      <c r="K181" s="42">
        <v>0</v>
      </c>
      <c r="M181" s="42">
        <v>3895988</v>
      </c>
      <c r="O181" s="42">
        <v>4658798</v>
      </c>
      <c r="Q181" s="42">
        <v>0</v>
      </c>
      <c r="S181" s="5">
        <f t="shared" si="15"/>
        <v>52490260</v>
      </c>
      <c r="U181" s="42">
        <v>2018400</v>
      </c>
      <c r="W181" s="42">
        <f>+'St of Net Pos - GA'!Q181-'Long Term Liab - GA'!U181</f>
        <v>0</v>
      </c>
    </row>
    <row r="182" spans="1:23">
      <c r="A182" s="9" t="s">
        <v>265</v>
      </c>
      <c r="B182" s="9"/>
      <c r="C182" s="9" t="s">
        <v>20</v>
      </c>
      <c r="D182" s="9"/>
      <c r="E182" s="23">
        <v>43950</v>
      </c>
      <c r="G182" s="42">
        <f>40165500+115199</f>
        <v>40280699</v>
      </c>
      <c r="I182" s="42">
        <v>0</v>
      </c>
      <c r="K182" s="42">
        <f>1525000+4185000</f>
        <v>5710000</v>
      </c>
      <c r="M182" s="42">
        <v>0</v>
      </c>
      <c r="O182" s="42">
        <v>1633097</v>
      </c>
      <c r="Q182" s="42">
        <v>1241926</v>
      </c>
      <c r="S182" s="5">
        <f t="shared" si="15"/>
        <v>48865722</v>
      </c>
      <c r="U182" s="42">
        <v>3662148</v>
      </c>
      <c r="W182" s="42">
        <f>+'St of Net Pos - GA'!Q182-'Long Term Liab - GA'!U182</f>
        <v>0</v>
      </c>
    </row>
    <row r="183" spans="1:23" hidden="1">
      <c r="A183" s="9" t="s">
        <v>614</v>
      </c>
      <c r="B183" s="9"/>
      <c r="C183" s="9" t="s">
        <v>28</v>
      </c>
      <c r="D183" s="9"/>
      <c r="E183" s="23">
        <v>47050</v>
      </c>
      <c r="G183" s="42">
        <v>0</v>
      </c>
      <c r="I183" s="42">
        <v>0</v>
      </c>
      <c r="K183" s="42">
        <v>0</v>
      </c>
      <c r="M183" s="42">
        <v>0</v>
      </c>
      <c r="O183" s="42">
        <v>0</v>
      </c>
      <c r="Q183" s="42">
        <v>0</v>
      </c>
      <c r="S183" s="5">
        <f t="shared" si="15"/>
        <v>0</v>
      </c>
      <c r="U183" s="42">
        <v>0</v>
      </c>
      <c r="W183" s="42">
        <f>+'St of Net Pos - GA'!Q183-'Long Term Liab - GA'!U183</f>
        <v>0</v>
      </c>
    </row>
    <row r="184" spans="1:23">
      <c r="A184" s="9" t="s">
        <v>535</v>
      </c>
      <c r="B184" s="9"/>
      <c r="C184" s="9" t="s">
        <v>66</v>
      </c>
      <c r="D184" s="9"/>
      <c r="E184" s="23">
        <v>50328</v>
      </c>
      <c r="G184" s="42">
        <f>795846+543129+8654786+1355102</f>
        <v>11348863</v>
      </c>
      <c r="I184" s="42">
        <v>0</v>
      </c>
      <c r="K184" s="42">
        <v>39000</v>
      </c>
      <c r="M184" s="42">
        <v>0</v>
      </c>
      <c r="O184" s="42">
        <v>501932</v>
      </c>
      <c r="Q184" s="42">
        <v>0</v>
      </c>
      <c r="S184" s="5">
        <f t="shared" si="15"/>
        <v>11889795</v>
      </c>
      <c r="U184" s="42">
        <v>604967</v>
      </c>
      <c r="W184" s="42">
        <f>+'St of Net Pos - GA'!Q184-'Long Term Liab - GA'!U184</f>
        <v>0</v>
      </c>
    </row>
    <row r="185" spans="1:23">
      <c r="A185" s="9" t="s">
        <v>621</v>
      </c>
      <c r="B185" s="9"/>
      <c r="C185" s="9" t="s">
        <v>113</v>
      </c>
      <c r="D185" s="9"/>
      <c r="E185" s="23">
        <v>43968</v>
      </c>
      <c r="G185" s="42">
        <v>15431473</v>
      </c>
      <c r="I185" s="42">
        <v>0</v>
      </c>
      <c r="K185" s="42">
        <v>0</v>
      </c>
      <c r="M185" s="42">
        <v>0</v>
      </c>
      <c r="O185" s="42">
        <v>3461356</v>
      </c>
      <c r="Q185" s="42">
        <v>0</v>
      </c>
      <c r="S185" s="5">
        <f>SUM(G185:R185)</f>
        <v>18892829</v>
      </c>
      <c r="U185" s="42">
        <v>1594034</v>
      </c>
      <c r="W185" s="42">
        <f>+'St of Net Pos - GA'!Q185-'Long Term Liab - GA'!U185</f>
        <v>0</v>
      </c>
    </row>
    <row r="186" spans="1:23">
      <c r="A186" s="9" t="s">
        <v>221</v>
      </c>
      <c r="B186" s="9"/>
      <c r="C186" s="9" t="s">
        <v>220</v>
      </c>
      <c r="D186" s="9"/>
      <c r="E186" s="23">
        <v>46102</v>
      </c>
      <c r="G186" s="42">
        <v>29185764</v>
      </c>
      <c r="I186" s="42">
        <v>0</v>
      </c>
      <c r="K186" s="42">
        <v>0</v>
      </c>
      <c r="M186" s="42">
        <v>3079389</v>
      </c>
      <c r="O186" s="42">
        <v>6773854</v>
      </c>
      <c r="Q186" s="42">
        <v>356462</v>
      </c>
      <c r="S186" s="5">
        <f t="shared" si="15"/>
        <v>39395469</v>
      </c>
      <c r="U186" s="42">
        <v>1932519</v>
      </c>
      <c r="W186" s="42">
        <f>+'St of Net Pos - GA'!Q186-'Long Term Liab - GA'!U186</f>
        <v>0</v>
      </c>
    </row>
    <row r="187" spans="1:23">
      <c r="A187" s="9" t="s">
        <v>347</v>
      </c>
      <c r="B187" s="9"/>
      <c r="C187" s="9" t="s">
        <v>346</v>
      </c>
      <c r="D187" s="9"/>
      <c r="E187" s="23">
        <v>47621</v>
      </c>
      <c r="G187" s="42">
        <f>1240000+174999+216704+88190</f>
        <v>1719893</v>
      </c>
      <c r="I187" s="42">
        <v>0</v>
      </c>
      <c r="K187" s="42">
        <v>0</v>
      </c>
      <c r="M187" s="42">
        <v>0</v>
      </c>
      <c r="O187" s="42">
        <v>479190</v>
      </c>
      <c r="Q187" s="42">
        <v>0</v>
      </c>
      <c r="S187" s="5">
        <f t="shared" si="15"/>
        <v>2199083</v>
      </c>
      <c r="U187" s="42">
        <v>105834</v>
      </c>
      <c r="W187" s="42">
        <f>+'St of Net Pos - GA'!Q187-'Long Term Liab - GA'!U187</f>
        <v>0</v>
      </c>
    </row>
    <row r="188" spans="1:23">
      <c r="A188" s="9" t="s">
        <v>292</v>
      </c>
      <c r="B188" s="9"/>
      <c r="C188" s="9" t="s">
        <v>25</v>
      </c>
      <c r="D188" s="9"/>
      <c r="E188" s="23">
        <v>46870</v>
      </c>
      <c r="G188" s="42">
        <f>144550+460000+125000+7330000+9194998+7514206+1333787</f>
        <v>26102541</v>
      </c>
      <c r="I188" s="42">
        <v>0</v>
      </c>
      <c r="K188" s="42">
        <v>65000</v>
      </c>
      <c r="M188" s="42">
        <v>190546</v>
      </c>
      <c r="O188" s="42">
        <v>1360925</v>
      </c>
      <c r="Q188" s="42">
        <v>0</v>
      </c>
      <c r="S188" s="5">
        <f t="shared" si="15"/>
        <v>27719012</v>
      </c>
      <c r="U188" s="42">
        <v>1156675</v>
      </c>
      <c r="W188" s="42">
        <f>+'St of Net Pos - GA'!Q188-'Long Term Liab - GA'!U188</f>
        <v>0</v>
      </c>
    </row>
    <row r="189" spans="1:23" s="24" customFormat="1">
      <c r="A189" s="51" t="s">
        <v>366</v>
      </c>
      <c r="B189" s="51"/>
      <c r="C189" s="51" t="s">
        <v>364</v>
      </c>
      <c r="D189" s="51"/>
      <c r="E189" s="23">
        <v>47936</v>
      </c>
      <c r="G189" s="42">
        <f>390000+1685000</f>
        <v>2075000</v>
      </c>
      <c r="H189" s="42"/>
      <c r="I189" s="42">
        <v>0</v>
      </c>
      <c r="J189" s="42"/>
      <c r="K189" s="42">
        <v>0</v>
      </c>
      <c r="L189" s="42"/>
      <c r="M189" s="42">
        <v>0</v>
      </c>
      <c r="N189" s="42"/>
      <c r="O189" s="42">
        <f>641598+16842</f>
        <v>658440</v>
      </c>
      <c r="P189" s="42"/>
      <c r="Q189" s="42">
        <v>945000</v>
      </c>
      <c r="R189" s="42"/>
      <c r="S189" s="5">
        <f t="shared" si="15"/>
        <v>3678440</v>
      </c>
      <c r="T189" s="42"/>
      <c r="U189" s="42">
        <v>396596</v>
      </c>
      <c r="V189" s="42"/>
      <c r="W189" s="42">
        <f>+'St of Net Pos - GA'!Q189-'Long Term Liab - GA'!U189</f>
        <v>0</v>
      </c>
    </row>
    <row r="190" spans="1:23" hidden="1">
      <c r="A190" s="9" t="s">
        <v>615</v>
      </c>
      <c r="B190" s="9"/>
      <c r="C190" s="9" t="s">
        <v>61</v>
      </c>
      <c r="D190" s="9"/>
      <c r="E190" s="23">
        <v>49775</v>
      </c>
      <c r="G190" s="42">
        <v>0</v>
      </c>
      <c r="I190" s="42">
        <v>0</v>
      </c>
      <c r="K190" s="42">
        <v>0</v>
      </c>
      <c r="M190" s="42">
        <v>0</v>
      </c>
      <c r="O190" s="42">
        <v>0</v>
      </c>
      <c r="Q190" s="42">
        <v>0</v>
      </c>
      <c r="S190" s="5">
        <f t="shared" si="15"/>
        <v>0</v>
      </c>
      <c r="U190" s="42">
        <v>0</v>
      </c>
      <c r="W190" s="42">
        <f>+'St of Net Pos - GA'!Q190-'Long Term Liab - GA'!U190</f>
        <v>0</v>
      </c>
    </row>
    <row r="191" spans="1:23">
      <c r="A191" s="9" t="s">
        <v>492</v>
      </c>
      <c r="B191" s="9"/>
      <c r="C191" s="9" t="s">
        <v>62</v>
      </c>
      <c r="D191" s="9"/>
      <c r="E191" s="23">
        <v>49841</v>
      </c>
      <c r="G191" s="42">
        <f>11532105+1543985</f>
        <v>13076090</v>
      </c>
      <c r="I191" s="42">
        <v>0</v>
      </c>
      <c r="K191" s="42">
        <v>0</v>
      </c>
      <c r="M191" s="42">
        <v>0</v>
      </c>
      <c r="O191" s="42">
        <v>660890</v>
      </c>
      <c r="Q191" s="42">
        <v>0</v>
      </c>
      <c r="S191" s="5">
        <f t="shared" si="15"/>
        <v>13736980</v>
      </c>
      <c r="U191" s="42">
        <v>724766</v>
      </c>
      <c r="W191" s="42">
        <f>+'St of Net Pos - GA'!Q191-'Long Term Liab - GA'!U191</f>
        <v>0</v>
      </c>
    </row>
    <row r="192" spans="1:23" hidden="1">
      <c r="A192" s="8" t="s">
        <v>878</v>
      </c>
      <c r="B192" s="9"/>
      <c r="C192" s="9" t="s">
        <v>41</v>
      </c>
      <c r="D192" s="9"/>
      <c r="E192" s="23">
        <v>45369</v>
      </c>
      <c r="G192" s="42">
        <v>0</v>
      </c>
      <c r="I192" s="42">
        <v>0</v>
      </c>
      <c r="K192" s="42">
        <v>0</v>
      </c>
      <c r="M192" s="42">
        <v>0</v>
      </c>
      <c r="O192" s="42">
        <v>0</v>
      </c>
      <c r="Q192" s="42">
        <v>0</v>
      </c>
      <c r="S192" s="5">
        <f t="shared" si="15"/>
        <v>0</v>
      </c>
      <c r="U192" s="42">
        <v>0</v>
      </c>
      <c r="W192" s="42">
        <f>+'St of Net Pos - GA'!Q192-'Long Term Liab - GA'!U192</f>
        <v>0</v>
      </c>
    </row>
    <row r="193" spans="1:23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f>28536131+83586</f>
        <v>28619717</v>
      </c>
      <c r="I193" s="24">
        <v>0</v>
      </c>
      <c r="K193" s="24">
        <v>0</v>
      </c>
      <c r="M193" s="24">
        <v>0</v>
      </c>
      <c r="O193" s="24">
        <v>1134922</v>
      </c>
      <c r="Q193" s="24">
        <v>112699</v>
      </c>
      <c r="S193" s="64">
        <f t="shared" si="15"/>
        <v>29867338</v>
      </c>
      <c r="U193" s="24">
        <v>1867753</v>
      </c>
      <c r="W193" s="24">
        <f>+'St of Net Pos - GA'!Q193-'Long Term Liab - GA'!U193</f>
        <v>0</v>
      </c>
    </row>
    <row r="194" spans="1:23" hidden="1">
      <c r="A194" s="9" t="s">
        <v>739</v>
      </c>
      <c r="B194" s="9"/>
      <c r="C194" s="9" t="s">
        <v>28</v>
      </c>
      <c r="D194" s="9"/>
      <c r="E194" s="23">
        <v>47068</v>
      </c>
      <c r="G194" s="42">
        <v>0</v>
      </c>
      <c r="I194" s="42">
        <v>0</v>
      </c>
      <c r="K194" s="42">
        <v>0</v>
      </c>
      <c r="M194" s="42">
        <v>0</v>
      </c>
      <c r="O194" s="42">
        <v>0</v>
      </c>
      <c r="Q194" s="42">
        <v>0</v>
      </c>
      <c r="S194" s="5">
        <f t="shared" si="15"/>
        <v>0</v>
      </c>
      <c r="U194" s="42">
        <v>0</v>
      </c>
      <c r="W194" s="42">
        <f>+'St of Net Pos - GA'!Q194-'Long Term Liab - GA'!U194</f>
        <v>0</v>
      </c>
    </row>
    <row r="195" spans="1:23">
      <c r="A195" s="9" t="s">
        <v>218</v>
      </c>
      <c r="B195" s="9"/>
      <c r="C195" s="9" t="s">
        <v>77</v>
      </c>
      <c r="D195" s="9"/>
      <c r="E195" s="23">
        <v>46045</v>
      </c>
      <c r="G195" s="42">
        <v>7151642</v>
      </c>
      <c r="I195" s="42">
        <v>0</v>
      </c>
      <c r="K195" s="42">
        <v>0</v>
      </c>
      <c r="M195" s="42">
        <v>0</v>
      </c>
      <c r="O195" s="42">
        <v>436888</v>
      </c>
      <c r="Q195" s="42">
        <v>0</v>
      </c>
      <c r="S195" s="5">
        <f t="shared" si="15"/>
        <v>7588530</v>
      </c>
      <c r="U195" s="42">
        <v>434309</v>
      </c>
      <c r="W195" s="42">
        <f>+'St of Net Pos - GA'!Q195-'Long Term Liab - GA'!U195</f>
        <v>0</v>
      </c>
    </row>
    <row r="196" spans="1:23">
      <c r="A196" s="9" t="s">
        <v>737</v>
      </c>
      <c r="B196" s="9"/>
      <c r="C196" s="9" t="s">
        <v>13</v>
      </c>
      <c r="D196" s="9"/>
      <c r="E196" s="23">
        <v>45914</v>
      </c>
      <c r="G196" s="42">
        <v>445260</v>
      </c>
      <c r="I196" s="42">
        <v>0</v>
      </c>
      <c r="K196" s="42">
        <v>0</v>
      </c>
      <c r="M196" s="42">
        <v>0</v>
      </c>
      <c r="O196" s="42">
        <v>507674</v>
      </c>
      <c r="Q196" s="42">
        <v>0</v>
      </c>
      <c r="S196" s="5">
        <f t="shared" si="15"/>
        <v>952934</v>
      </c>
      <c r="U196" s="42">
        <v>145279</v>
      </c>
      <c r="W196" s="42">
        <f>+'St of Net Pos - GA'!Q196-'Long Term Liab - GA'!U196</f>
        <v>0</v>
      </c>
    </row>
    <row r="197" spans="1:23">
      <c r="A197" s="9" t="s">
        <v>237</v>
      </c>
      <c r="B197" s="9"/>
      <c r="C197" s="9" t="s">
        <v>112</v>
      </c>
      <c r="D197" s="9"/>
      <c r="E197" s="23">
        <v>46334</v>
      </c>
      <c r="G197" s="42">
        <v>2441923</v>
      </c>
      <c r="I197" s="42">
        <v>0</v>
      </c>
      <c r="K197" s="42">
        <v>0</v>
      </c>
      <c r="M197" s="42">
        <v>50052</v>
      </c>
      <c r="O197" s="42">
        <v>370534</v>
      </c>
      <c r="Q197" s="42">
        <v>0</v>
      </c>
      <c r="S197" s="5">
        <f t="shared" si="15"/>
        <v>2862509</v>
      </c>
      <c r="U197" s="42">
        <v>347018</v>
      </c>
      <c r="W197" s="42">
        <f>+'St of Net Pos - GA'!Q197-'Long Term Liab - GA'!U197</f>
        <v>0</v>
      </c>
    </row>
    <row r="198" spans="1:23">
      <c r="A198" s="9" t="s">
        <v>714</v>
      </c>
      <c r="B198" s="9"/>
      <c r="C198" s="9" t="s">
        <v>56</v>
      </c>
      <c r="D198" s="9"/>
      <c r="E198" s="23">
        <v>49197</v>
      </c>
      <c r="G198" s="42">
        <f>24357337+1507331</f>
        <v>25864668</v>
      </c>
      <c r="I198" s="42">
        <v>21258</v>
      </c>
      <c r="K198" s="42">
        <v>0</v>
      </c>
      <c r="M198" s="42">
        <v>11085</v>
      </c>
      <c r="O198" s="42">
        <v>1020276</v>
      </c>
      <c r="Q198" s="42">
        <v>0</v>
      </c>
      <c r="S198" s="5">
        <f t="shared" si="15"/>
        <v>26917287</v>
      </c>
      <c r="U198" s="42">
        <v>872618</v>
      </c>
      <c r="W198" s="42">
        <f>+'St of Net Pos - GA'!Q198-'Long Term Liab - GA'!U198</f>
        <v>0</v>
      </c>
    </row>
    <row r="199" spans="1:23">
      <c r="A199" s="9" t="s">
        <v>335</v>
      </c>
      <c r="B199" s="9"/>
      <c r="C199" s="9" t="s">
        <v>33</v>
      </c>
      <c r="D199" s="9"/>
      <c r="E199" s="23">
        <v>43984</v>
      </c>
      <c r="G199" s="42">
        <f>51505981+446890</f>
        <v>51952871</v>
      </c>
      <c r="I199" s="42">
        <v>0</v>
      </c>
      <c r="K199" s="42">
        <v>0</v>
      </c>
      <c r="M199" s="42">
        <v>355548</v>
      </c>
      <c r="O199" s="42">
        <v>4394365</v>
      </c>
      <c r="Q199" s="42">
        <v>0</v>
      </c>
      <c r="S199" s="5">
        <f t="shared" si="15"/>
        <v>56702784</v>
      </c>
      <c r="U199" s="42">
        <v>2782576</v>
      </c>
      <c r="W199" s="42">
        <f>+'St of Net Pos - GA'!Q199-'Long Term Liab - GA'!U199</f>
        <v>0</v>
      </c>
    </row>
    <row r="200" spans="1:23">
      <c r="A200" s="9" t="s">
        <v>320</v>
      </c>
      <c r="B200" s="9"/>
      <c r="C200" s="9" t="s">
        <v>32</v>
      </c>
      <c r="D200" s="9"/>
      <c r="E200" s="23">
        <v>47332</v>
      </c>
      <c r="G200" s="42">
        <v>11751986</v>
      </c>
      <c r="I200" s="42">
        <v>0</v>
      </c>
      <c r="K200" s="42">
        <v>0</v>
      </c>
      <c r="M200" s="42">
        <v>381000</v>
      </c>
      <c r="O200" s="42">
        <v>1184955</v>
      </c>
      <c r="Q200" s="42">
        <v>0</v>
      </c>
      <c r="S200" s="5">
        <f t="shared" si="15"/>
        <v>13317941</v>
      </c>
      <c r="U200" s="42">
        <v>5673386</v>
      </c>
      <c r="W200" s="42">
        <f>+'St of Net Pos - GA'!Q200-'Long Term Liab - GA'!U200</f>
        <v>0</v>
      </c>
    </row>
    <row r="201" spans="1:23">
      <c r="A201" s="9" t="s">
        <v>382</v>
      </c>
      <c r="B201" s="9"/>
      <c r="C201" s="9" t="s">
        <v>44</v>
      </c>
      <c r="D201" s="9"/>
      <c r="E201" s="23">
        <v>48157</v>
      </c>
      <c r="G201" s="42">
        <v>865000</v>
      </c>
      <c r="I201" s="42">
        <v>0</v>
      </c>
      <c r="K201" s="42">
        <v>0</v>
      </c>
      <c r="M201" s="42">
        <v>146293</v>
      </c>
      <c r="O201" s="42">
        <v>967118</v>
      </c>
      <c r="Q201" s="42">
        <v>0</v>
      </c>
      <c r="S201" s="5">
        <f t="shared" si="15"/>
        <v>1978411</v>
      </c>
      <c r="U201" s="42">
        <v>424029</v>
      </c>
      <c r="W201" s="42">
        <f>+'St of Net Pos - GA'!Q201-'Long Term Liab - GA'!U201</f>
        <v>0</v>
      </c>
    </row>
    <row r="202" spans="1:23">
      <c r="A202" s="9" t="s">
        <v>321</v>
      </c>
      <c r="B202" s="9"/>
      <c r="C202" s="9" t="s">
        <v>32</v>
      </c>
      <c r="D202" s="9"/>
      <c r="E202" s="23">
        <v>47340</v>
      </c>
      <c r="G202" s="42">
        <f>6835000+76668</f>
        <v>6911668</v>
      </c>
      <c r="I202" s="42">
        <v>0</v>
      </c>
      <c r="K202" s="42">
        <v>0</v>
      </c>
      <c r="M202" s="42">
        <v>0</v>
      </c>
      <c r="O202" s="42">
        <v>2245330</v>
      </c>
      <c r="Q202" s="42">
        <v>0</v>
      </c>
      <c r="S202" s="5">
        <f t="shared" si="15"/>
        <v>9156998</v>
      </c>
      <c r="U202" s="42">
        <v>2911921</v>
      </c>
      <c r="W202" s="42">
        <f>+'St of Net Pos - GA'!Q202-'Long Term Liab - GA'!U202</f>
        <v>0</v>
      </c>
    </row>
    <row r="203" spans="1:23" hidden="1">
      <c r="A203" s="9" t="s">
        <v>611</v>
      </c>
      <c r="B203" s="9"/>
      <c r="C203" s="9" t="s">
        <v>70</v>
      </c>
      <c r="D203" s="9"/>
      <c r="E203" s="23">
        <v>50484</v>
      </c>
      <c r="G203" s="42">
        <v>0</v>
      </c>
      <c r="I203" s="42">
        <v>0</v>
      </c>
      <c r="K203" s="42">
        <v>0</v>
      </c>
      <c r="M203" s="42">
        <v>0</v>
      </c>
      <c r="O203" s="42">
        <v>0</v>
      </c>
      <c r="Q203" s="42">
        <v>0</v>
      </c>
      <c r="S203" s="5">
        <f t="shared" si="15"/>
        <v>0</v>
      </c>
      <c r="U203" s="42">
        <v>0</v>
      </c>
      <c r="W203" s="42">
        <f>+'St of Net Pos - GA'!Q203-'Long Term Liab - GA'!U203</f>
        <v>0</v>
      </c>
    </row>
    <row r="204" spans="1:23">
      <c r="A204" s="9" t="s">
        <v>486</v>
      </c>
      <c r="B204" s="9"/>
      <c r="C204" s="9" t="s">
        <v>61</v>
      </c>
      <c r="D204" s="9"/>
      <c r="E204" s="23">
        <v>49783</v>
      </c>
      <c r="G204" s="42">
        <v>9416853</v>
      </c>
      <c r="I204" s="42">
        <v>0</v>
      </c>
      <c r="K204" s="42">
        <v>890000</v>
      </c>
      <c r="M204" s="42">
        <v>0</v>
      </c>
      <c r="O204" s="42">
        <v>382288</v>
      </c>
      <c r="Q204" s="42">
        <v>0</v>
      </c>
      <c r="S204" s="5">
        <f t="shared" si="15"/>
        <v>10689141</v>
      </c>
      <c r="U204" s="42">
        <v>552287</v>
      </c>
      <c r="W204" s="42">
        <f>+'St of Net Pos - GA'!Q204-'Long Term Liab - GA'!U204</f>
        <v>0</v>
      </c>
    </row>
    <row r="205" spans="1:23" hidden="1">
      <c r="A205" s="9" t="s">
        <v>758</v>
      </c>
      <c r="B205" s="9"/>
      <c r="C205" s="9" t="s">
        <v>419</v>
      </c>
      <c r="D205" s="9"/>
      <c r="E205" s="23">
        <v>48595</v>
      </c>
      <c r="G205" s="42">
        <v>0</v>
      </c>
      <c r="I205" s="42">
        <v>0</v>
      </c>
      <c r="K205" s="42">
        <v>0</v>
      </c>
      <c r="M205" s="42">
        <v>0</v>
      </c>
      <c r="O205" s="42">
        <v>0</v>
      </c>
      <c r="Q205" s="42">
        <v>0</v>
      </c>
      <c r="S205" s="5">
        <f t="shared" si="15"/>
        <v>0</v>
      </c>
      <c r="U205" s="42">
        <v>0</v>
      </c>
      <c r="W205" s="42">
        <f>+'St of Net Pos - GA'!Q205-'Long Term Liab - GA'!U205</f>
        <v>0</v>
      </c>
    </row>
    <row r="206" spans="1:23" hidden="1">
      <c r="A206" s="9" t="s">
        <v>741</v>
      </c>
      <c r="B206" s="9"/>
      <c r="C206" s="9" t="s">
        <v>60</v>
      </c>
      <c r="D206" s="9"/>
      <c r="E206" s="23">
        <v>43992</v>
      </c>
      <c r="G206" s="42">
        <v>0</v>
      </c>
      <c r="I206" s="42">
        <v>0</v>
      </c>
      <c r="K206" s="42">
        <v>0</v>
      </c>
      <c r="M206" s="42">
        <v>0</v>
      </c>
      <c r="O206" s="42">
        <v>0</v>
      </c>
      <c r="Q206" s="42">
        <v>0</v>
      </c>
      <c r="S206" s="5">
        <f t="shared" si="15"/>
        <v>0</v>
      </c>
      <c r="U206" s="42">
        <v>0</v>
      </c>
      <c r="W206" s="42">
        <f>+'St of Net Pos - GA'!Q206-'Long Term Liab - GA'!U206</f>
        <v>0</v>
      </c>
    </row>
    <row r="207" spans="1:23">
      <c r="A207" s="9" t="s">
        <v>540</v>
      </c>
      <c r="B207" s="9"/>
      <c r="C207" s="9" t="s">
        <v>69</v>
      </c>
      <c r="D207" s="9"/>
      <c r="E207" s="23">
        <v>44008</v>
      </c>
      <c r="G207" s="42">
        <v>3282396</v>
      </c>
      <c r="I207" s="42">
        <v>0</v>
      </c>
      <c r="K207" s="42">
        <v>0</v>
      </c>
      <c r="M207" s="42">
        <v>0</v>
      </c>
      <c r="O207" s="42">
        <v>2007300</v>
      </c>
      <c r="Q207" s="42">
        <v>0</v>
      </c>
      <c r="S207" s="5">
        <f t="shared" si="15"/>
        <v>5289696</v>
      </c>
      <c r="U207" s="42">
        <v>577345</v>
      </c>
      <c r="W207" s="42">
        <f>+'St of Net Pos - GA'!Q207-'Long Term Liab - GA'!U207</f>
        <v>0</v>
      </c>
    </row>
    <row r="208" spans="1:23">
      <c r="A208" s="9" t="s">
        <v>441</v>
      </c>
      <c r="B208" s="9"/>
      <c r="C208" s="9" t="s">
        <v>51</v>
      </c>
      <c r="D208" s="9"/>
      <c r="E208" s="23">
        <v>48843</v>
      </c>
      <c r="G208" s="42">
        <v>5060959</v>
      </c>
      <c r="I208" s="42">
        <v>0</v>
      </c>
      <c r="K208" s="42">
        <v>289580</v>
      </c>
      <c r="M208" s="42">
        <v>148189</v>
      </c>
      <c r="O208" s="42">
        <v>1765820</v>
      </c>
      <c r="Q208" s="42">
        <v>0</v>
      </c>
      <c r="S208" s="5">
        <f t="shared" si="15"/>
        <v>7264548</v>
      </c>
      <c r="U208" s="42">
        <v>689374</v>
      </c>
      <c r="W208" s="42">
        <f>+'St of Net Pos - GA'!Q208-'Long Term Liab - GA'!U208</f>
        <v>0</v>
      </c>
    </row>
    <row r="209" spans="1:23" hidden="1">
      <c r="A209" s="9" t="s">
        <v>610</v>
      </c>
      <c r="B209" s="9"/>
      <c r="C209" s="9" t="s">
        <v>21</v>
      </c>
      <c r="D209" s="9"/>
      <c r="E209" s="23">
        <v>46649</v>
      </c>
      <c r="G209" s="42">
        <v>0</v>
      </c>
      <c r="I209" s="42">
        <v>0</v>
      </c>
      <c r="K209" s="42">
        <v>0</v>
      </c>
      <c r="M209" s="42">
        <v>0</v>
      </c>
      <c r="O209" s="42">
        <v>0</v>
      </c>
      <c r="Q209" s="42">
        <v>0</v>
      </c>
      <c r="S209" s="5">
        <f t="shared" si="15"/>
        <v>0</v>
      </c>
      <c r="U209" s="42">
        <v>0</v>
      </c>
      <c r="W209" s="42">
        <f>+'St of Net Pos - GA'!Q209-'Long Term Liab - GA'!U209</f>
        <v>0</v>
      </c>
    </row>
    <row r="210" spans="1:23" hidden="1">
      <c r="A210" s="9" t="s">
        <v>659</v>
      </c>
      <c r="B210" s="9"/>
      <c r="C210" s="9" t="s">
        <v>40</v>
      </c>
      <c r="D210" s="9"/>
      <c r="E210" s="23">
        <v>47852</v>
      </c>
      <c r="G210" s="42">
        <v>0</v>
      </c>
      <c r="I210" s="42">
        <v>0</v>
      </c>
      <c r="K210" s="42">
        <v>0</v>
      </c>
      <c r="M210" s="42">
        <v>0</v>
      </c>
      <c r="O210" s="42">
        <v>0</v>
      </c>
      <c r="Q210" s="42">
        <v>0</v>
      </c>
      <c r="S210" s="5">
        <f t="shared" si="15"/>
        <v>0</v>
      </c>
      <c r="U210" s="42">
        <v>0</v>
      </c>
      <c r="W210" s="42">
        <f>+'St of Net Pos - GA'!Q210-'Long Term Liab - GA'!U210</f>
        <v>0</v>
      </c>
    </row>
    <row r="211" spans="1:23">
      <c r="A211" s="9" t="s">
        <v>639</v>
      </c>
      <c r="B211" s="9"/>
      <c r="C211" s="9" t="s">
        <v>79</v>
      </c>
      <c r="D211" s="9"/>
      <c r="E211" s="23">
        <v>44016</v>
      </c>
      <c r="G211" s="42">
        <v>17560370</v>
      </c>
      <c r="I211" s="42">
        <v>0</v>
      </c>
      <c r="K211" s="42">
        <v>0</v>
      </c>
      <c r="M211" s="42">
        <v>0</v>
      </c>
      <c r="O211" s="42">
        <v>4087285</v>
      </c>
      <c r="Q211" s="42">
        <v>0</v>
      </c>
      <c r="S211" s="5">
        <f t="shared" si="15"/>
        <v>21647655</v>
      </c>
      <c r="U211" s="42">
        <v>1077543</v>
      </c>
      <c r="W211" s="42">
        <f>+'St of Net Pos - GA'!Q211-'Long Term Liab - GA'!U211</f>
        <v>0</v>
      </c>
    </row>
    <row r="212" spans="1:23">
      <c r="A212" s="9" t="s">
        <v>544</v>
      </c>
      <c r="B212" s="9"/>
      <c r="C212" s="9" t="s">
        <v>70</v>
      </c>
      <c r="D212" s="9"/>
      <c r="E212" s="23">
        <v>50492</v>
      </c>
      <c r="G212" s="42">
        <f>1366655+35183</f>
        <v>1401838</v>
      </c>
      <c r="I212" s="42">
        <v>0</v>
      </c>
      <c r="K212" s="42">
        <v>57000</v>
      </c>
      <c r="M212" s="42">
        <v>173894</v>
      </c>
      <c r="O212" s="42">
        <v>661766</v>
      </c>
      <c r="Q212" s="42">
        <v>338249</v>
      </c>
      <c r="S212" s="5">
        <f t="shared" si="15"/>
        <v>2632747</v>
      </c>
      <c r="U212" s="42">
        <v>198307</v>
      </c>
      <c r="W212" s="42">
        <f>+'St of Net Pos - GA'!Q212-'Long Term Liab - GA'!U212</f>
        <v>0</v>
      </c>
    </row>
    <row r="213" spans="1:23">
      <c r="A213" s="9" t="s">
        <v>636</v>
      </c>
      <c r="B213" s="9"/>
      <c r="C213" s="9" t="s">
        <v>27</v>
      </c>
      <c r="D213" s="9"/>
      <c r="E213" s="23">
        <v>46961</v>
      </c>
      <c r="G213" s="42">
        <v>30090634</v>
      </c>
      <c r="I213" s="42">
        <v>0</v>
      </c>
      <c r="K213" s="42">
        <v>5120000</v>
      </c>
      <c r="M213" s="42">
        <v>1130744</v>
      </c>
      <c r="O213" s="42">
        <v>6379569</v>
      </c>
      <c r="Q213" s="42">
        <v>0</v>
      </c>
      <c r="S213" s="5">
        <f t="shared" si="15"/>
        <v>42720947</v>
      </c>
      <c r="U213" s="42">
        <v>4804340</v>
      </c>
      <c r="W213" s="42">
        <f>+'St of Net Pos - GA'!Q213-'Long Term Liab - GA'!U213</f>
        <v>0</v>
      </c>
    </row>
    <row r="214" spans="1:23">
      <c r="A214" s="9" t="s">
        <v>257</v>
      </c>
      <c r="B214" s="9"/>
      <c r="C214" s="9" t="s">
        <v>110</v>
      </c>
      <c r="D214" s="9"/>
      <c r="E214" s="23">
        <v>44024</v>
      </c>
      <c r="G214" s="42">
        <v>17646674</v>
      </c>
      <c r="I214" s="42">
        <v>0</v>
      </c>
      <c r="K214" s="42">
        <v>0</v>
      </c>
      <c r="M214" s="42">
        <v>0</v>
      </c>
      <c r="O214" s="42">
        <v>1141626</v>
      </c>
      <c r="Q214" s="42">
        <v>0</v>
      </c>
      <c r="S214" s="5">
        <f t="shared" si="15"/>
        <v>18788300</v>
      </c>
      <c r="U214" s="42">
        <v>698760</v>
      </c>
      <c r="W214" s="42">
        <f>+'St of Net Pos - GA'!Q214-'Long Term Liab - GA'!U214</f>
        <v>0</v>
      </c>
    </row>
    <row r="215" spans="1:23">
      <c r="A215" s="9" t="s">
        <v>637</v>
      </c>
      <c r="B215" s="9"/>
      <c r="C215" s="9" t="s">
        <v>29</v>
      </c>
      <c r="D215" s="9"/>
      <c r="E215" s="23">
        <v>65680</v>
      </c>
      <c r="G215" s="42">
        <v>39725817</v>
      </c>
      <c r="I215" s="42">
        <v>0</v>
      </c>
      <c r="K215" s="42">
        <v>0</v>
      </c>
      <c r="M215" s="42">
        <v>2116643</v>
      </c>
      <c r="O215" s="42">
        <v>1346379</v>
      </c>
      <c r="Q215" s="42">
        <v>0</v>
      </c>
      <c r="S215" s="5">
        <f t="shared" si="15"/>
        <v>43188839</v>
      </c>
      <c r="U215" s="42">
        <v>1318074</v>
      </c>
      <c r="W215" s="42">
        <f>+'St of Net Pos - GA'!Q215-'Long Term Liab - GA'!U215</f>
        <v>0</v>
      </c>
    </row>
    <row r="216" spans="1:23">
      <c r="A216" s="9" t="s">
        <v>311</v>
      </c>
      <c r="B216" s="9"/>
      <c r="C216" s="9" t="s">
        <v>29</v>
      </c>
      <c r="D216" s="9"/>
      <c r="E216" s="23">
        <v>44032</v>
      </c>
      <c r="G216" s="42">
        <v>24378754</v>
      </c>
      <c r="I216" s="42">
        <v>0</v>
      </c>
      <c r="K216" s="42">
        <v>0</v>
      </c>
      <c r="M216" s="42">
        <v>0</v>
      </c>
      <c r="O216" s="42">
        <v>1377836</v>
      </c>
      <c r="Q216" s="42">
        <v>0</v>
      </c>
      <c r="S216" s="5">
        <f t="shared" si="15"/>
        <v>25756590</v>
      </c>
      <c r="U216" s="42">
        <v>1169031</v>
      </c>
      <c r="W216" s="42">
        <f>+'St of Net Pos - GA'!Q216-'Long Term Liab - GA'!U216</f>
        <v>0</v>
      </c>
    </row>
    <row r="217" spans="1:23">
      <c r="A217" s="9" t="s">
        <v>531</v>
      </c>
      <c r="B217" s="9"/>
      <c r="C217" s="9" t="s">
        <v>65</v>
      </c>
      <c r="D217" s="9"/>
      <c r="E217" s="23">
        <v>50278</v>
      </c>
      <c r="G217" s="42">
        <v>324356</v>
      </c>
      <c r="I217" s="42">
        <v>0</v>
      </c>
      <c r="K217" s="42">
        <v>86417</v>
      </c>
      <c r="M217" s="42">
        <v>0</v>
      </c>
      <c r="O217" s="42">
        <v>1027611</v>
      </c>
      <c r="Q217" s="42">
        <v>0</v>
      </c>
      <c r="S217" s="5">
        <f t="shared" si="15"/>
        <v>1438384</v>
      </c>
      <c r="U217" s="42">
        <v>447571</v>
      </c>
      <c r="W217" s="42">
        <f>+'St of Net Pos - GA'!Q217-'Long Term Liab - GA'!U217</f>
        <v>0</v>
      </c>
    </row>
    <row r="218" spans="1:23">
      <c r="A218" s="9" t="s">
        <v>673</v>
      </c>
      <c r="B218" s="9"/>
      <c r="C218" s="9" t="s">
        <v>20</v>
      </c>
      <c r="D218" s="9"/>
      <c r="E218" s="23">
        <v>44040</v>
      </c>
      <c r="G218" s="42">
        <v>44271986</v>
      </c>
      <c r="I218" s="42">
        <v>0</v>
      </c>
      <c r="K218" s="42">
        <v>0</v>
      </c>
      <c r="M218" s="42">
        <v>3258817</v>
      </c>
      <c r="O218" s="42">
        <v>5352287</v>
      </c>
      <c r="Q218" s="42">
        <v>185500</v>
      </c>
      <c r="S218" s="5">
        <f t="shared" si="15"/>
        <v>53068590</v>
      </c>
      <c r="U218" s="42">
        <v>2489539</v>
      </c>
      <c r="W218" s="42">
        <f>+'St of Net Pos - GA'!Q218-'Long Term Liab - GA'!U218</f>
        <v>0</v>
      </c>
    </row>
    <row r="219" spans="1:23">
      <c r="A219" s="9" t="s">
        <v>638</v>
      </c>
      <c r="B219" s="9"/>
      <c r="C219" s="9" t="s">
        <v>12</v>
      </c>
      <c r="D219" s="9"/>
      <c r="E219" s="23">
        <v>44057</v>
      </c>
      <c r="G219" s="42">
        <v>17969088</v>
      </c>
      <c r="I219" s="42">
        <v>0</v>
      </c>
      <c r="K219" s="42">
        <v>0</v>
      </c>
      <c r="M219" s="42">
        <v>0</v>
      </c>
      <c r="O219" s="42">
        <v>1552870</v>
      </c>
      <c r="Q219" s="42">
        <v>0</v>
      </c>
      <c r="S219" s="5">
        <f t="shared" si="15"/>
        <v>19521958</v>
      </c>
      <c r="U219" s="42">
        <v>1130959</v>
      </c>
      <c r="W219" s="42">
        <f>+'St of Net Pos - GA'!Q219-'Long Term Liab - GA'!U219</f>
        <v>0</v>
      </c>
    </row>
    <row r="220" spans="1:23" hidden="1">
      <c r="A220" s="9" t="s">
        <v>826</v>
      </c>
      <c r="B220" s="9"/>
      <c r="C220" s="9" t="s">
        <v>53</v>
      </c>
      <c r="D220" s="9"/>
      <c r="E220" s="23">
        <v>48942</v>
      </c>
      <c r="G220" s="42">
        <v>0</v>
      </c>
      <c r="I220" s="42">
        <v>0</v>
      </c>
      <c r="K220" s="42">
        <v>0</v>
      </c>
      <c r="M220" s="42">
        <v>0</v>
      </c>
      <c r="O220" s="42">
        <v>0</v>
      </c>
      <c r="Q220" s="42">
        <v>0</v>
      </c>
      <c r="S220" s="5">
        <f t="shared" si="15"/>
        <v>0</v>
      </c>
      <c r="U220" s="42">
        <v>0</v>
      </c>
      <c r="W220" s="42">
        <f>+'St of Net Pos - GA'!Q220-'Long Term Liab - GA'!U220</f>
        <v>0</v>
      </c>
    </row>
    <row r="221" spans="1:23" hidden="1">
      <c r="A221" s="9" t="s">
        <v>660</v>
      </c>
      <c r="B221" s="9"/>
      <c r="C221" s="9" t="s">
        <v>77</v>
      </c>
      <c r="D221" s="9"/>
      <c r="E221" s="23">
        <v>45377</v>
      </c>
      <c r="G221" s="42">
        <v>0</v>
      </c>
      <c r="I221" s="42">
        <v>0</v>
      </c>
      <c r="K221" s="42">
        <v>0</v>
      </c>
      <c r="M221" s="42">
        <v>0</v>
      </c>
      <c r="O221" s="42">
        <v>0</v>
      </c>
      <c r="Q221" s="42">
        <v>0</v>
      </c>
      <c r="S221" s="5">
        <f t="shared" si="15"/>
        <v>0</v>
      </c>
      <c r="U221" s="42">
        <v>0</v>
      </c>
      <c r="W221" s="42">
        <f>+'St of Net Pos - GA'!Q221-'Long Term Liab - GA'!U221</f>
        <v>0</v>
      </c>
    </row>
    <row r="222" spans="1:23">
      <c r="A222" s="9" t="s">
        <v>742</v>
      </c>
      <c r="B222" s="9"/>
      <c r="C222" s="9" t="s">
        <v>79</v>
      </c>
      <c r="D222" s="9"/>
      <c r="E222" s="23">
        <v>45385</v>
      </c>
      <c r="G222" s="42">
        <f>3510792+192963</f>
        <v>3703755</v>
      </c>
      <c r="I222" s="42">
        <v>0</v>
      </c>
      <c r="K222" s="42">
        <v>0</v>
      </c>
      <c r="M222" s="42">
        <v>10791</v>
      </c>
      <c r="O222" s="42">
        <v>556030</v>
      </c>
      <c r="Q222" s="42">
        <v>0</v>
      </c>
      <c r="S222" s="5">
        <f t="shared" ref="S222:S227" si="20">SUM(G222:R222)</f>
        <v>4270576</v>
      </c>
      <c r="U222" s="42">
        <v>387027</v>
      </c>
      <c r="W222" s="42">
        <f>+'St of Net Pos - GA'!Q222-'Long Term Liab - GA'!U222</f>
        <v>0</v>
      </c>
    </row>
    <row r="223" spans="1:23">
      <c r="A223" s="9" t="s">
        <v>517</v>
      </c>
      <c r="B223" s="9"/>
      <c r="C223" s="9" t="s">
        <v>64</v>
      </c>
      <c r="D223" s="9"/>
      <c r="E223" s="23">
        <v>44065</v>
      </c>
      <c r="G223" s="42">
        <f>10462054+315730</f>
        <v>10777784</v>
      </c>
      <c r="I223" s="42">
        <v>0</v>
      </c>
      <c r="K223" s="42">
        <v>0</v>
      </c>
      <c r="M223" s="42">
        <v>500000</v>
      </c>
      <c r="O223" s="42">
        <v>926275</v>
      </c>
      <c r="Q223" s="42">
        <v>0</v>
      </c>
      <c r="S223" s="5">
        <f t="shared" si="20"/>
        <v>12204059</v>
      </c>
      <c r="U223" s="42">
        <v>828264</v>
      </c>
      <c r="W223" s="42">
        <f>+'St of Net Pos - GA'!Q223-'Long Term Liab - GA'!U223</f>
        <v>0</v>
      </c>
    </row>
    <row r="224" spans="1:23" hidden="1">
      <c r="A224" s="9" t="s">
        <v>784</v>
      </c>
      <c r="B224" s="9"/>
      <c r="C224" s="9" t="s">
        <v>28</v>
      </c>
      <c r="D224" s="9"/>
      <c r="E224" s="23">
        <v>47068</v>
      </c>
      <c r="G224" s="42">
        <v>0</v>
      </c>
      <c r="I224" s="42">
        <v>0</v>
      </c>
      <c r="K224" s="42">
        <v>0</v>
      </c>
      <c r="M224" s="42">
        <v>0</v>
      </c>
      <c r="O224" s="42">
        <v>0</v>
      </c>
      <c r="Q224" s="42">
        <v>0</v>
      </c>
      <c r="S224" s="5">
        <f t="shared" si="20"/>
        <v>0</v>
      </c>
      <c r="U224" s="42">
        <v>0</v>
      </c>
      <c r="W224" s="42">
        <f>+'St of Net Pos - GA'!Q224-'Long Term Liab - GA'!U224</f>
        <v>0</v>
      </c>
    </row>
    <row r="225" spans="1:23">
      <c r="A225" s="9" t="s">
        <v>238</v>
      </c>
      <c r="B225" s="9"/>
      <c r="C225" s="9" t="s">
        <v>112</v>
      </c>
      <c r="D225" s="9"/>
      <c r="E225" s="23">
        <v>46342</v>
      </c>
      <c r="G225" s="42">
        <v>8634061</v>
      </c>
      <c r="I225" s="42">
        <v>0</v>
      </c>
      <c r="K225" s="42">
        <v>0</v>
      </c>
      <c r="M225" s="42">
        <v>0</v>
      </c>
      <c r="O225" s="42">
        <v>1657927</v>
      </c>
      <c r="Q225" s="42">
        <v>0</v>
      </c>
      <c r="S225" s="5">
        <f t="shared" si="20"/>
        <v>10291988</v>
      </c>
      <c r="U225" s="42">
        <v>673121</v>
      </c>
      <c r="W225" s="42">
        <f>+'St of Net Pos - GA'!Q225-'Long Term Liab - GA'!U225</f>
        <v>0</v>
      </c>
    </row>
    <row r="226" spans="1:23" hidden="1">
      <c r="A226" s="9" t="s">
        <v>785</v>
      </c>
      <c r="B226" s="9"/>
      <c r="C226" s="9" t="s">
        <v>227</v>
      </c>
      <c r="D226" s="9"/>
      <c r="E226" s="23">
        <v>46193</v>
      </c>
      <c r="G226" s="42">
        <v>0</v>
      </c>
      <c r="I226" s="42">
        <v>0</v>
      </c>
      <c r="K226" s="42">
        <v>0</v>
      </c>
      <c r="M226" s="42">
        <v>0</v>
      </c>
      <c r="O226" s="42">
        <v>0</v>
      </c>
      <c r="Q226" s="42">
        <v>0</v>
      </c>
      <c r="S226" s="5">
        <f t="shared" si="20"/>
        <v>0</v>
      </c>
      <c r="U226" s="42">
        <v>0</v>
      </c>
      <c r="W226" s="42">
        <f>+'St of Net Pos - GA'!Q226-'Long Term Liab - GA'!U226</f>
        <v>0</v>
      </c>
    </row>
    <row r="227" spans="1:23">
      <c r="A227" s="9" t="s">
        <v>207</v>
      </c>
      <c r="B227" s="9"/>
      <c r="C227" s="9" t="s">
        <v>12</v>
      </c>
      <c r="D227" s="9"/>
      <c r="E227" s="23">
        <v>45864</v>
      </c>
      <c r="G227" s="42">
        <v>9309546</v>
      </c>
      <c r="I227" s="42">
        <v>0</v>
      </c>
      <c r="K227" s="42">
        <v>0</v>
      </c>
      <c r="M227" s="42">
        <v>1072000</v>
      </c>
      <c r="O227" s="42">
        <v>598468</v>
      </c>
      <c r="Q227" s="42">
        <v>0</v>
      </c>
      <c r="S227" s="5">
        <f t="shared" si="20"/>
        <v>10980014</v>
      </c>
      <c r="U227" s="42">
        <v>805529</v>
      </c>
      <c r="W227" s="42">
        <f>+'St of Net Pos - GA'!Q227-'Long Term Liab - GA'!U227</f>
        <v>0</v>
      </c>
    </row>
    <row r="228" spans="1:23">
      <c r="A228" s="9" t="s">
        <v>301</v>
      </c>
      <c r="B228" s="9"/>
      <c r="C228" s="9" t="s">
        <v>27</v>
      </c>
      <c r="D228" s="9"/>
      <c r="E228" s="23">
        <v>44073</v>
      </c>
      <c r="G228" s="42">
        <f>4019343+101005</f>
        <v>4120348</v>
      </c>
      <c r="I228" s="42">
        <v>0</v>
      </c>
      <c r="K228" s="42">
        <v>70000</v>
      </c>
      <c r="M228" s="42">
        <v>175034</v>
      </c>
      <c r="O228" s="42">
        <v>991341</v>
      </c>
      <c r="Q228" s="42">
        <v>0</v>
      </c>
      <c r="S228" s="5">
        <f t="shared" ref="S228:S296" si="21">SUM(G228:R228)</f>
        <v>5356723</v>
      </c>
      <c r="U228" s="42">
        <v>545273</v>
      </c>
      <c r="W228" s="42">
        <f>+'St of Net Pos - GA'!Q228-'Long Term Liab - GA'!U228</f>
        <v>0</v>
      </c>
    </row>
    <row r="229" spans="1:23">
      <c r="A229" s="9" t="s">
        <v>661</v>
      </c>
      <c r="B229" s="9"/>
      <c r="C229" s="9" t="s">
        <v>42</v>
      </c>
      <c r="D229" s="9"/>
      <c r="E229" s="23">
        <v>45393</v>
      </c>
      <c r="G229" s="42">
        <v>32416372</v>
      </c>
      <c r="I229" s="42">
        <v>0</v>
      </c>
      <c r="K229" s="42">
        <v>1084316</v>
      </c>
      <c r="M229" s="42">
        <v>0</v>
      </c>
      <c r="O229" s="42">
        <v>1077567</v>
      </c>
      <c r="Q229" s="42">
        <v>0</v>
      </c>
      <c r="S229" s="5">
        <f t="shared" si="21"/>
        <v>34578255</v>
      </c>
      <c r="U229" s="42">
        <v>1076437</v>
      </c>
      <c r="W229" s="42">
        <f>+'St of Net Pos - GA'!Q229-'Long Term Liab - GA'!U229</f>
        <v>0</v>
      </c>
    </row>
    <row r="230" spans="1:23">
      <c r="A230" s="9" t="s">
        <v>478</v>
      </c>
      <c r="B230" s="9"/>
      <c r="C230" s="9" t="s">
        <v>59</v>
      </c>
      <c r="D230" s="9"/>
      <c r="E230" s="23">
        <v>49619</v>
      </c>
      <c r="G230" s="42">
        <v>0</v>
      </c>
      <c r="I230" s="42">
        <v>0</v>
      </c>
      <c r="K230" s="42">
        <v>112574</v>
      </c>
      <c r="M230" s="42">
        <v>29792</v>
      </c>
      <c r="O230" s="42">
        <v>307441</v>
      </c>
      <c r="Q230" s="42">
        <v>0</v>
      </c>
      <c r="S230" s="5">
        <f t="shared" si="21"/>
        <v>449807</v>
      </c>
      <c r="U230" s="42">
        <v>140012</v>
      </c>
      <c r="W230" s="42">
        <f>+'St of Net Pos - GA'!Q230-'Long Term Liab - GA'!U230</f>
        <v>0</v>
      </c>
    </row>
    <row r="231" spans="1:23">
      <c r="A231" s="9" t="s">
        <v>478</v>
      </c>
      <c r="B231" s="9"/>
      <c r="C231" s="9" t="s">
        <v>63</v>
      </c>
      <c r="D231" s="9"/>
      <c r="E231" s="23">
        <v>50013</v>
      </c>
      <c r="G231" s="42">
        <v>17170437</v>
      </c>
      <c r="I231" s="42">
        <v>0</v>
      </c>
      <c r="K231" s="42">
        <v>0</v>
      </c>
      <c r="M231" s="42">
        <v>594887</v>
      </c>
      <c r="O231" s="42">
        <v>1705824</v>
      </c>
      <c r="Q231" s="42">
        <f>12677067+661037</f>
        <v>13338104</v>
      </c>
      <c r="S231" s="5">
        <f t="shared" si="21"/>
        <v>32809252</v>
      </c>
      <c r="U231" s="42">
        <v>2410459</v>
      </c>
      <c r="W231" s="42">
        <f>+'St of Net Pos - GA'!Q231-'Long Term Liab - GA'!U231</f>
        <v>0</v>
      </c>
    </row>
    <row r="232" spans="1:23" hidden="1">
      <c r="A232" s="8" t="s">
        <v>845</v>
      </c>
      <c r="B232" s="9"/>
      <c r="C232" s="9" t="s">
        <v>71</v>
      </c>
      <c r="D232" s="9"/>
      <c r="E232" s="23">
        <v>50559</v>
      </c>
      <c r="G232" s="42">
        <v>0</v>
      </c>
      <c r="I232" s="42">
        <v>0</v>
      </c>
      <c r="K232" s="42">
        <v>0</v>
      </c>
      <c r="M232" s="42">
        <v>0</v>
      </c>
      <c r="O232" s="42">
        <v>0</v>
      </c>
      <c r="Q232" s="42">
        <v>0</v>
      </c>
      <c r="S232" s="5">
        <f t="shared" si="21"/>
        <v>0</v>
      </c>
      <c r="U232" s="42">
        <v>0</v>
      </c>
      <c r="W232" s="42">
        <f>+'St of Net Pos - GA'!Q232-'Long Term Liab - GA'!U232</f>
        <v>0</v>
      </c>
    </row>
    <row r="233" spans="1:23">
      <c r="A233" s="9" t="s">
        <v>316</v>
      </c>
      <c r="B233" s="9"/>
      <c r="C233" s="9" t="s">
        <v>113</v>
      </c>
      <c r="D233" s="9"/>
      <c r="E233" s="23">
        <v>47266</v>
      </c>
      <c r="G233" s="42">
        <v>6275093</v>
      </c>
      <c r="I233" s="42">
        <v>0</v>
      </c>
      <c r="K233" s="42">
        <v>0</v>
      </c>
      <c r="M233" s="42">
        <v>0</v>
      </c>
      <c r="O233" s="42">
        <v>688873</v>
      </c>
      <c r="Q233" s="42">
        <v>0</v>
      </c>
      <c r="S233" s="5">
        <f t="shared" si="21"/>
        <v>6963966</v>
      </c>
      <c r="U233" s="42">
        <v>438301</v>
      </c>
      <c r="W233" s="42">
        <f>+'St of Net Pos - GA'!Q233-'Long Term Liab - GA'!U233</f>
        <v>0</v>
      </c>
    </row>
    <row r="234" spans="1:23">
      <c r="A234" s="9" t="s">
        <v>754</v>
      </c>
      <c r="B234" s="9"/>
      <c r="C234" s="9" t="s">
        <v>346</v>
      </c>
      <c r="D234" s="9"/>
      <c r="E234" s="23">
        <v>45401</v>
      </c>
      <c r="G234" s="42">
        <f>400000+1025000+51341+354998+66160</f>
        <v>1897499</v>
      </c>
      <c r="I234" s="42">
        <v>0</v>
      </c>
      <c r="K234" s="42">
        <v>0</v>
      </c>
      <c r="M234" s="42">
        <v>0</v>
      </c>
      <c r="O234" s="42">
        <v>1189785</v>
      </c>
      <c r="Q234" s="42">
        <v>0</v>
      </c>
      <c r="S234" s="5">
        <f t="shared" si="21"/>
        <v>3087284</v>
      </c>
      <c r="U234" s="42">
        <v>390457</v>
      </c>
      <c r="W234" s="42">
        <f>+'St of Net Pos - GA'!Q234-'Long Term Liab - GA'!U234</f>
        <v>0</v>
      </c>
    </row>
    <row r="235" spans="1:23">
      <c r="A235" s="9" t="s">
        <v>230</v>
      </c>
      <c r="B235" s="9"/>
      <c r="C235" s="9" t="s">
        <v>17</v>
      </c>
      <c r="D235" s="9"/>
      <c r="E235" s="23">
        <v>46235</v>
      </c>
      <c r="G235" s="42">
        <v>49727</v>
      </c>
      <c r="I235" s="42">
        <v>0</v>
      </c>
      <c r="K235" s="42">
        <v>0</v>
      </c>
      <c r="M235" s="42">
        <v>0</v>
      </c>
      <c r="O235" s="42">
        <v>920873</v>
      </c>
      <c r="Q235" s="42">
        <v>71814</v>
      </c>
      <c r="S235" s="5">
        <f t="shared" si="21"/>
        <v>1042414</v>
      </c>
      <c r="U235" s="42">
        <v>233765</v>
      </c>
      <c r="W235" s="42">
        <f>+'St of Net Pos - GA'!Q235-'Long Term Liab - GA'!U235</f>
        <v>0</v>
      </c>
    </row>
    <row r="236" spans="1:23">
      <c r="A236" s="9" t="s">
        <v>280</v>
      </c>
      <c r="B236" s="9"/>
      <c r="C236" s="9" t="s">
        <v>21</v>
      </c>
      <c r="D236" s="9"/>
      <c r="E236" s="23">
        <v>44099</v>
      </c>
      <c r="G236" s="42">
        <v>0</v>
      </c>
      <c r="I236" s="42">
        <v>0</v>
      </c>
      <c r="K236" s="42">
        <v>0</v>
      </c>
      <c r="M236" s="42">
        <v>0</v>
      </c>
      <c r="O236" s="42">
        <v>985128</v>
      </c>
      <c r="Q236" s="42">
        <v>0</v>
      </c>
      <c r="S236" s="5">
        <f t="shared" si="21"/>
        <v>985128</v>
      </c>
      <c r="U236" s="42">
        <v>154642</v>
      </c>
      <c r="W236" s="42">
        <f>+'St of Net Pos - GA'!Q236-'Long Term Liab - GA'!U236</f>
        <v>0</v>
      </c>
    </row>
    <row r="237" spans="1:23">
      <c r="A237" s="9" t="s">
        <v>302</v>
      </c>
      <c r="B237" s="9"/>
      <c r="C237" s="9" t="s">
        <v>27</v>
      </c>
      <c r="D237" s="9"/>
      <c r="E237" s="23">
        <v>46979</v>
      </c>
      <c r="G237" s="42">
        <v>0</v>
      </c>
      <c r="I237" s="42">
        <v>0</v>
      </c>
      <c r="K237" s="42">
        <v>5431049</v>
      </c>
      <c r="M237" s="42">
        <v>4209470</v>
      </c>
      <c r="O237" s="42">
        <v>2261970</v>
      </c>
      <c r="Q237" s="42">
        <v>0</v>
      </c>
      <c r="S237" s="5">
        <f t="shared" si="21"/>
        <v>11902489</v>
      </c>
      <c r="U237" s="42">
        <v>1299529</v>
      </c>
      <c r="W237" s="42">
        <f>+'St of Net Pos - GA'!Q237-'Long Term Liab - GA'!U237</f>
        <v>0</v>
      </c>
    </row>
    <row r="238" spans="1:23" hidden="1">
      <c r="A238" s="8" t="s">
        <v>846</v>
      </c>
      <c r="B238" s="9"/>
      <c r="C238" s="9" t="s">
        <v>220</v>
      </c>
      <c r="D238" s="9"/>
      <c r="E238" s="23">
        <v>44107</v>
      </c>
      <c r="G238" s="42">
        <v>0</v>
      </c>
      <c r="I238" s="42">
        <v>0</v>
      </c>
      <c r="K238" s="42">
        <v>0</v>
      </c>
      <c r="M238" s="42">
        <v>0</v>
      </c>
      <c r="O238" s="42">
        <v>0</v>
      </c>
      <c r="Q238" s="42">
        <v>0</v>
      </c>
      <c r="S238" s="5">
        <f t="shared" si="21"/>
        <v>0</v>
      </c>
      <c r="U238" s="42">
        <v>0</v>
      </c>
      <c r="W238" s="42">
        <f>+'St of Net Pos - GA'!Q238-'Long Term Liab - GA'!U238</f>
        <v>0</v>
      </c>
    </row>
    <row r="239" spans="1:23">
      <c r="A239" s="8" t="s">
        <v>796</v>
      </c>
      <c r="B239" s="9"/>
      <c r="C239" s="9" t="s">
        <v>27</v>
      </c>
      <c r="D239" s="9"/>
      <c r="E239" s="23">
        <v>46953</v>
      </c>
      <c r="G239" s="42">
        <v>25044595</v>
      </c>
      <c r="I239" s="42">
        <v>0</v>
      </c>
      <c r="K239" s="42">
        <v>0</v>
      </c>
      <c r="M239" s="42">
        <v>147009</v>
      </c>
      <c r="O239" s="42">
        <v>725068</v>
      </c>
      <c r="Q239" s="42">
        <v>0</v>
      </c>
      <c r="S239" s="5">
        <f t="shared" si="21"/>
        <v>25916672</v>
      </c>
      <c r="U239" s="42">
        <v>1446839</v>
      </c>
      <c r="W239" s="42">
        <f>+'St of Net Pos - GA'!Q239-'Long Term Liab - GA'!U239</f>
        <v>0</v>
      </c>
    </row>
    <row r="240" spans="1:23" hidden="1">
      <c r="A240" s="8" t="s">
        <v>338</v>
      </c>
      <c r="B240" s="9"/>
      <c r="C240" s="9" t="s">
        <v>337</v>
      </c>
      <c r="D240" s="9"/>
      <c r="E240" s="23">
        <v>47498</v>
      </c>
      <c r="G240" s="42">
        <v>0</v>
      </c>
      <c r="I240" s="42">
        <v>0</v>
      </c>
      <c r="K240" s="42">
        <v>0</v>
      </c>
      <c r="M240" s="42">
        <v>0</v>
      </c>
      <c r="O240" s="42">
        <v>0</v>
      </c>
      <c r="Q240" s="42">
        <v>0</v>
      </c>
      <c r="S240" s="5">
        <f t="shared" si="21"/>
        <v>0</v>
      </c>
      <c r="U240" s="42">
        <v>0</v>
      </c>
      <c r="W240" s="42">
        <f>+'St of Net Pos - GA'!Q240-'Long Term Liab - GA'!U240</f>
        <v>0</v>
      </c>
    </row>
    <row r="241" spans="1:23">
      <c r="A241" s="8" t="s">
        <v>487</v>
      </c>
      <c r="B241" s="9"/>
      <c r="C241" s="9" t="s">
        <v>61</v>
      </c>
      <c r="D241" s="9"/>
      <c r="E241" s="23">
        <v>49791</v>
      </c>
      <c r="G241" s="42">
        <v>8933201</v>
      </c>
      <c r="I241" s="42">
        <v>0</v>
      </c>
      <c r="K241" s="42">
        <v>0</v>
      </c>
      <c r="M241" s="42">
        <v>0</v>
      </c>
      <c r="O241" s="42">
        <v>418285</v>
      </c>
      <c r="Q241" s="42">
        <v>0</v>
      </c>
      <c r="S241" s="5">
        <f t="shared" si="21"/>
        <v>9351486</v>
      </c>
      <c r="U241" s="42">
        <v>245000</v>
      </c>
      <c r="W241" s="42">
        <f>+'St of Net Pos - GA'!Q241-'Long Term Liab - GA'!U241</f>
        <v>0</v>
      </c>
    </row>
    <row r="242" spans="1:23" hidden="1">
      <c r="A242" s="8" t="s">
        <v>847</v>
      </c>
      <c r="B242" s="9"/>
      <c r="C242" s="9" t="s">
        <v>341</v>
      </c>
      <c r="D242" s="9"/>
      <c r="E242" s="23">
        <v>45245</v>
      </c>
      <c r="G242" s="42">
        <v>0</v>
      </c>
      <c r="I242" s="42">
        <v>0</v>
      </c>
      <c r="K242" s="42">
        <v>0</v>
      </c>
      <c r="M242" s="42">
        <v>0</v>
      </c>
      <c r="O242" s="42">
        <v>0</v>
      </c>
      <c r="Q242" s="42">
        <v>0</v>
      </c>
      <c r="S242" s="5">
        <f t="shared" si="21"/>
        <v>0</v>
      </c>
      <c r="U242" s="42">
        <v>0</v>
      </c>
      <c r="W242" s="42">
        <f>+'St of Net Pos - GA'!Q242-'Long Term Liab - GA'!U242</f>
        <v>0</v>
      </c>
    </row>
    <row r="243" spans="1:23">
      <c r="A243" s="9" t="s">
        <v>371</v>
      </c>
      <c r="B243" s="9"/>
      <c r="C243" s="9" t="s">
        <v>42</v>
      </c>
      <c r="D243" s="9"/>
      <c r="E243" s="23">
        <v>44115</v>
      </c>
      <c r="G243" s="42">
        <v>14522171</v>
      </c>
      <c r="I243" s="42">
        <v>0</v>
      </c>
      <c r="K243" s="42">
        <v>0</v>
      </c>
      <c r="M243" s="42">
        <v>64732</v>
      </c>
      <c r="O243" s="42">
        <v>1184640</v>
      </c>
      <c r="Q243" s="42">
        <v>0</v>
      </c>
      <c r="S243" s="5">
        <f t="shared" si="21"/>
        <v>15771543</v>
      </c>
      <c r="U243" s="42">
        <v>1201949</v>
      </c>
      <c r="W243" s="42">
        <f>+'St of Net Pos - GA'!Q243-'Long Term Liab - GA'!U243</f>
        <v>0</v>
      </c>
    </row>
    <row r="244" spans="1:23" hidden="1">
      <c r="A244" s="9" t="s">
        <v>662</v>
      </c>
      <c r="B244" s="9"/>
      <c r="C244" s="9" t="s">
        <v>22</v>
      </c>
      <c r="D244" s="9"/>
      <c r="E244" s="23">
        <v>45419</v>
      </c>
      <c r="G244" s="42">
        <v>0</v>
      </c>
      <c r="I244" s="42">
        <v>0</v>
      </c>
      <c r="K244" s="42">
        <v>0</v>
      </c>
      <c r="M244" s="42">
        <v>0</v>
      </c>
      <c r="O244" s="42">
        <v>0</v>
      </c>
      <c r="Q244" s="42">
        <v>0</v>
      </c>
      <c r="S244" s="5">
        <f t="shared" si="21"/>
        <v>0</v>
      </c>
      <c r="U244" s="42">
        <v>0</v>
      </c>
      <c r="W244" s="42">
        <f>+'St of Net Pos - GA'!Q244-'Long Term Liab - GA'!U244</f>
        <v>0</v>
      </c>
    </row>
    <row r="245" spans="1:23">
      <c r="A245" s="9" t="s">
        <v>414</v>
      </c>
      <c r="B245" s="9"/>
      <c r="C245" s="9" t="s">
        <v>47</v>
      </c>
      <c r="D245" s="9"/>
      <c r="E245" s="23">
        <v>48496</v>
      </c>
      <c r="G245" s="42">
        <v>29148520</v>
      </c>
      <c r="I245" s="42">
        <v>0</v>
      </c>
      <c r="K245" s="42">
        <v>0</v>
      </c>
      <c r="M245" s="42">
        <v>0</v>
      </c>
      <c r="O245" s="42">
        <v>2145067</v>
      </c>
      <c r="Q245" s="42">
        <v>0</v>
      </c>
      <c r="S245" s="5">
        <f t="shared" si="21"/>
        <v>31293587</v>
      </c>
      <c r="U245" s="42">
        <v>1677982</v>
      </c>
      <c r="W245" s="42">
        <f>+'St of Net Pos - GA'!Q245-'Long Term Liab - GA'!U245</f>
        <v>0</v>
      </c>
    </row>
    <row r="246" spans="1:23">
      <c r="A246" s="9" t="s">
        <v>414</v>
      </c>
      <c r="B246" s="9"/>
      <c r="C246" s="9" t="s">
        <v>78</v>
      </c>
      <c r="D246" s="9"/>
      <c r="E246" s="23">
        <v>48801</v>
      </c>
      <c r="G246" s="42">
        <v>15242884</v>
      </c>
      <c r="I246" s="42">
        <v>0</v>
      </c>
      <c r="K246" s="42">
        <v>0</v>
      </c>
      <c r="M246" s="42">
        <v>0</v>
      </c>
      <c r="O246" s="42">
        <v>876969</v>
      </c>
      <c r="Q246" s="42">
        <v>0</v>
      </c>
      <c r="S246" s="5">
        <f t="shared" si="21"/>
        <v>16119853</v>
      </c>
      <c r="U246" s="42">
        <v>237352</v>
      </c>
      <c r="W246" s="42">
        <f>+'St of Net Pos - GA'!Q246-'Long Term Liab - GA'!U246</f>
        <v>0</v>
      </c>
    </row>
    <row r="247" spans="1:23">
      <c r="A247" s="9" t="s">
        <v>303</v>
      </c>
      <c r="B247" s="9"/>
      <c r="C247" s="9" t="s">
        <v>27</v>
      </c>
      <c r="D247" s="9"/>
      <c r="E247" s="23">
        <v>47019</v>
      </c>
      <c r="G247" s="42">
        <v>167183578</v>
      </c>
      <c r="I247" s="42">
        <v>0</v>
      </c>
      <c r="K247" s="42">
        <f>5120000+2307</f>
        <v>5122307</v>
      </c>
      <c r="M247" s="42">
        <v>0</v>
      </c>
      <c r="O247" s="42">
        <v>12666821</v>
      </c>
      <c r="Q247" s="42">
        <v>2592000</v>
      </c>
      <c r="S247" s="5">
        <f t="shared" si="21"/>
        <v>187564706</v>
      </c>
      <c r="U247" s="42">
        <v>13198657</v>
      </c>
      <c r="W247" s="42">
        <f>+'St of Net Pos - GA'!Q247-'Long Term Liab - GA'!U247</f>
        <v>0</v>
      </c>
    </row>
    <row r="248" spans="1:23">
      <c r="A248" s="9" t="s">
        <v>348</v>
      </c>
      <c r="B248" s="9"/>
      <c r="C248" s="9" t="s">
        <v>346</v>
      </c>
      <c r="D248" s="9"/>
      <c r="E248" s="23">
        <v>44123</v>
      </c>
      <c r="G248" s="42">
        <v>10099549</v>
      </c>
      <c r="I248" s="42">
        <v>0</v>
      </c>
      <c r="K248" s="42">
        <v>0</v>
      </c>
      <c r="M248" s="42">
        <v>695000</v>
      </c>
      <c r="O248" s="42">
        <v>972220</v>
      </c>
      <c r="Q248" s="42">
        <v>0</v>
      </c>
      <c r="S248" s="5">
        <f t="shared" si="21"/>
        <v>11766769</v>
      </c>
      <c r="U248" s="42">
        <v>659246</v>
      </c>
      <c r="W248" s="42">
        <f>+'St of Net Pos - GA'!Q248-'Long Term Liab - GA'!U248</f>
        <v>0</v>
      </c>
    </row>
    <row r="249" spans="1:23">
      <c r="A249" s="9" t="s">
        <v>203</v>
      </c>
      <c r="B249" s="9"/>
      <c r="C249" s="9" t="s">
        <v>11</v>
      </c>
      <c r="D249" s="9"/>
      <c r="E249" s="23">
        <v>45823</v>
      </c>
      <c r="G249" s="42">
        <v>67500</v>
      </c>
      <c r="I249" s="42">
        <v>0</v>
      </c>
      <c r="K249" s="42">
        <v>40350</v>
      </c>
      <c r="M249" s="42">
        <v>0</v>
      </c>
      <c r="O249" s="42">
        <v>1049649</v>
      </c>
      <c r="Q249" s="42">
        <v>0</v>
      </c>
      <c r="S249" s="5">
        <f t="shared" si="21"/>
        <v>1157499</v>
      </c>
      <c r="U249" s="42">
        <v>378965</v>
      </c>
      <c r="W249" s="42">
        <f>+'St of Net Pos - GA'!Q249-'Long Term Liab - GA'!U249</f>
        <v>0</v>
      </c>
    </row>
    <row r="250" spans="1:23">
      <c r="A250" s="9" t="s">
        <v>342</v>
      </c>
      <c r="B250" s="9"/>
      <c r="C250" s="9" t="s">
        <v>34</v>
      </c>
      <c r="D250" s="9"/>
      <c r="E250" s="23">
        <v>47571</v>
      </c>
      <c r="G250" s="42">
        <v>2115000</v>
      </c>
      <c r="I250" s="42">
        <v>1774000</v>
      </c>
      <c r="K250" s="42">
        <v>0</v>
      </c>
      <c r="M250" s="42">
        <v>0</v>
      </c>
      <c r="O250" s="42">
        <v>239577</v>
      </c>
      <c r="Q250" s="42">
        <v>0</v>
      </c>
      <c r="S250" s="5">
        <f t="shared" si="21"/>
        <v>4128577</v>
      </c>
      <c r="U250" s="42">
        <v>183566</v>
      </c>
      <c r="W250" s="42">
        <f>+'St of Net Pos - GA'!Q250-'Long Term Liab - GA'!U250</f>
        <v>0</v>
      </c>
    </row>
    <row r="251" spans="1:23" ht="12" hidden="1" customHeight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42">
        <v>0</v>
      </c>
      <c r="M251" s="42">
        <v>0</v>
      </c>
      <c r="O251" s="42">
        <v>0</v>
      </c>
      <c r="Q251" s="42">
        <v>0</v>
      </c>
      <c r="S251" s="5">
        <v>0</v>
      </c>
      <c r="U251" s="42">
        <v>0</v>
      </c>
      <c r="W251" s="42">
        <f>+'St of Net Pos - GA'!Q251-'Long Term Liab - GA'!U251</f>
        <v>0</v>
      </c>
    </row>
    <row r="252" spans="1:23">
      <c r="A252" s="9" t="s">
        <v>518</v>
      </c>
      <c r="B252" s="9"/>
      <c r="C252" s="9" t="s">
        <v>64</v>
      </c>
      <c r="D252" s="9"/>
      <c r="E252" s="23">
        <v>50161</v>
      </c>
      <c r="G252" s="42">
        <v>1102620</v>
      </c>
      <c r="I252" s="42">
        <v>0</v>
      </c>
      <c r="K252" s="42">
        <v>0</v>
      </c>
      <c r="M252" s="42">
        <v>0</v>
      </c>
      <c r="O252" s="42">
        <v>2941118</v>
      </c>
      <c r="Q252" s="42">
        <v>0</v>
      </c>
      <c r="S252" s="5">
        <f t="shared" si="21"/>
        <v>4043738</v>
      </c>
      <c r="U252" s="42">
        <v>377697</v>
      </c>
      <c r="W252" s="42">
        <f>+'St of Net Pos - GA'!Q252-'Long Term Liab - GA'!U252</f>
        <v>0</v>
      </c>
    </row>
    <row r="253" spans="1:23">
      <c r="A253" s="9" t="s">
        <v>755</v>
      </c>
      <c r="B253" s="9"/>
      <c r="C253" s="9" t="s">
        <v>64</v>
      </c>
      <c r="D253" s="9"/>
      <c r="E253" s="23">
        <v>45427</v>
      </c>
      <c r="G253" s="42">
        <v>18267743</v>
      </c>
      <c r="I253" s="42">
        <v>0</v>
      </c>
      <c r="K253" s="42">
        <v>0</v>
      </c>
      <c r="M253" s="42">
        <v>0</v>
      </c>
      <c r="O253" s="42">
        <v>913257</v>
      </c>
      <c r="Q253" s="42">
        <v>0</v>
      </c>
      <c r="S253" s="5">
        <f t="shared" si="21"/>
        <v>19181000</v>
      </c>
      <c r="U253" s="42">
        <v>853329</v>
      </c>
      <c r="W253" s="42">
        <f>+'St of Net Pos - GA'!Q253-'Long Term Liab - GA'!U253</f>
        <v>0</v>
      </c>
    </row>
    <row r="254" spans="1:23">
      <c r="A254" s="9" t="s">
        <v>427</v>
      </c>
      <c r="B254" s="9"/>
      <c r="C254" s="9" t="s">
        <v>50</v>
      </c>
      <c r="D254" s="9"/>
      <c r="E254" s="23">
        <v>48751</v>
      </c>
      <c r="G254" s="42">
        <v>77255000</v>
      </c>
      <c r="I254" s="42">
        <v>1485000</v>
      </c>
      <c r="K254" s="42">
        <v>60730</v>
      </c>
      <c r="M254" s="42">
        <v>56314</v>
      </c>
      <c r="O254" s="42">
        <v>2097370</v>
      </c>
      <c r="Q254" s="42">
        <v>482873</v>
      </c>
      <c r="S254" s="5">
        <f t="shared" si="21"/>
        <v>81437287</v>
      </c>
      <c r="U254" s="42">
        <v>2360765</v>
      </c>
      <c r="W254" s="42">
        <f>+'St of Net Pos - GA'!Q254-'Long Term Liab - GA'!U254</f>
        <v>0</v>
      </c>
    </row>
    <row r="255" spans="1:23">
      <c r="A255" s="9" t="s">
        <v>505</v>
      </c>
      <c r="B255" s="9"/>
      <c r="C255" s="9" t="s">
        <v>63</v>
      </c>
      <c r="D255" s="9"/>
      <c r="E255" s="23">
        <v>50021</v>
      </c>
      <c r="G255" s="42">
        <f>24830000+103232</f>
        <v>24933232</v>
      </c>
      <c r="I255" s="42">
        <v>0</v>
      </c>
      <c r="K255" s="42">
        <v>0</v>
      </c>
      <c r="M255" s="42">
        <v>367512</v>
      </c>
      <c r="O255" s="42">
        <v>3698810</v>
      </c>
      <c r="Q255" s="42">
        <v>283549</v>
      </c>
      <c r="S255" s="5">
        <f t="shared" si="21"/>
        <v>29283103</v>
      </c>
      <c r="U255" s="42">
        <v>4035170</v>
      </c>
      <c r="W255" s="42">
        <f>+'St of Net Pos - GA'!Q255-'Long Term Liab - GA'!U255</f>
        <v>0</v>
      </c>
    </row>
    <row r="256" spans="1:23">
      <c r="A256" s="9" t="s">
        <v>471</v>
      </c>
      <c r="B256" s="9"/>
      <c r="C256" s="9" t="s">
        <v>58</v>
      </c>
      <c r="D256" s="9"/>
      <c r="E256" s="23">
        <v>49502</v>
      </c>
      <c r="G256" s="42">
        <f>530000+588770</f>
        <v>1118770</v>
      </c>
      <c r="I256" s="42">
        <v>0</v>
      </c>
      <c r="K256" s="42">
        <v>0</v>
      </c>
      <c r="M256" s="42">
        <v>32891</v>
      </c>
      <c r="O256" s="42">
        <v>608890</v>
      </c>
      <c r="Q256" s="42">
        <v>0</v>
      </c>
      <c r="S256" s="5">
        <f t="shared" si="21"/>
        <v>1760551</v>
      </c>
      <c r="U256" s="42">
        <v>218257</v>
      </c>
      <c r="W256" s="42">
        <f>+'St of Net Pos - GA'!Q256-'Long Term Liab - GA'!U256</f>
        <v>0</v>
      </c>
    </row>
    <row r="257" spans="1:23">
      <c r="A257" s="9" t="s">
        <v>284</v>
      </c>
      <c r="B257" s="9"/>
      <c r="C257" s="9" t="s">
        <v>24</v>
      </c>
      <c r="D257" s="9"/>
      <c r="E257" s="23">
        <v>44131</v>
      </c>
      <c r="G257" s="42">
        <f>2990846+1265000+238747</f>
        <v>4494593</v>
      </c>
      <c r="I257" s="42">
        <v>0</v>
      </c>
      <c r="K257" s="42">
        <v>0</v>
      </c>
      <c r="M257" s="42">
        <v>3069537</v>
      </c>
      <c r="O257" s="42">
        <v>808992</v>
      </c>
      <c r="Q257" s="42">
        <v>0</v>
      </c>
      <c r="S257" s="5">
        <f t="shared" si="21"/>
        <v>8373122</v>
      </c>
      <c r="U257" s="42">
        <v>899127</v>
      </c>
      <c r="W257" s="42">
        <f>+'St of Net Pos - GA'!Q257-'Long Term Liab - GA'!U257</f>
        <v>0</v>
      </c>
    </row>
    <row r="258" spans="1:23">
      <c r="A258" s="9" t="s">
        <v>267</v>
      </c>
      <c r="B258" s="9"/>
      <c r="C258" s="9" t="s">
        <v>20</v>
      </c>
      <c r="D258" s="9"/>
      <c r="E258" s="23">
        <v>46565</v>
      </c>
      <c r="G258" s="42">
        <v>15232963</v>
      </c>
      <c r="I258" s="42">
        <v>0</v>
      </c>
      <c r="K258" s="42">
        <v>0</v>
      </c>
      <c r="M258" s="42">
        <v>48117</v>
      </c>
      <c r="O258" s="42">
        <v>1421058</v>
      </c>
      <c r="Q258" s="42">
        <v>0</v>
      </c>
      <c r="S258" s="5">
        <f t="shared" si="21"/>
        <v>16702138</v>
      </c>
      <c r="U258" s="42">
        <v>921718</v>
      </c>
      <c r="W258" s="42">
        <f>+'St of Net Pos - GA'!Q258-'Long Term Liab - GA'!U258</f>
        <v>0</v>
      </c>
    </row>
    <row r="259" spans="1:23" ht="12" customHeight="1">
      <c r="A259" s="9" t="s">
        <v>361</v>
      </c>
      <c r="B259" s="9"/>
      <c r="C259" s="9" t="s">
        <v>39</v>
      </c>
      <c r="D259" s="9"/>
      <c r="E259" s="23">
        <v>47803</v>
      </c>
      <c r="G259" s="42">
        <v>11935635</v>
      </c>
      <c r="I259" s="42">
        <v>0</v>
      </c>
      <c r="K259" s="42">
        <v>0</v>
      </c>
      <c r="M259" s="42">
        <v>165963</v>
      </c>
      <c r="O259" s="42">
        <v>1326082</v>
      </c>
      <c r="Q259" s="42">
        <v>0</v>
      </c>
      <c r="S259" s="5">
        <f t="shared" si="21"/>
        <v>13427680</v>
      </c>
      <c r="U259" s="42">
        <v>731675</v>
      </c>
      <c r="W259" s="42">
        <f>+'St of Net Pos - GA'!Q259-'Long Term Liab - GA'!U259</f>
        <v>0</v>
      </c>
    </row>
    <row r="260" spans="1:23" ht="12" customHeight="1">
      <c r="A260" s="9" t="s">
        <v>756</v>
      </c>
      <c r="B260" s="9"/>
      <c r="C260" s="9" t="s">
        <v>32</v>
      </c>
      <c r="D260" s="9"/>
      <c r="E260" s="23">
        <v>45435</v>
      </c>
      <c r="G260" s="42">
        <f>30735089+834124</f>
        <v>31569213</v>
      </c>
      <c r="I260" s="42">
        <v>0</v>
      </c>
      <c r="K260" s="42">
        <v>0</v>
      </c>
      <c r="M260" s="42">
        <v>486000</v>
      </c>
      <c r="O260" s="42">
        <v>1599618</v>
      </c>
      <c r="Q260" s="42">
        <v>0</v>
      </c>
      <c r="S260" s="5">
        <f t="shared" si="21"/>
        <v>33654831</v>
      </c>
      <c r="U260" s="42">
        <v>3019917</v>
      </c>
      <c r="W260" s="42">
        <f>+'St of Net Pos - GA'!Q260-'Long Term Liab - GA'!U260</f>
        <v>0</v>
      </c>
    </row>
    <row r="261" spans="1:23" ht="12" hidden="1" customHeight="1">
      <c r="A261" s="9" t="s">
        <v>789</v>
      </c>
      <c r="B261" s="9"/>
      <c r="C261" s="9" t="s">
        <v>43</v>
      </c>
      <c r="D261" s="9"/>
      <c r="E261" s="23">
        <v>48082</v>
      </c>
      <c r="G261" s="42">
        <v>0</v>
      </c>
      <c r="I261" s="42">
        <v>0</v>
      </c>
      <c r="K261" s="42">
        <v>0</v>
      </c>
      <c r="M261" s="42">
        <v>0</v>
      </c>
      <c r="O261" s="42">
        <v>0</v>
      </c>
      <c r="Q261" s="42">
        <v>0</v>
      </c>
      <c r="S261" s="5">
        <v>0</v>
      </c>
      <c r="U261" s="42">
        <v>0</v>
      </c>
      <c r="W261" s="42">
        <f>+'St of Net Pos - GA'!Q261-'Long Term Liab - GA'!U261</f>
        <v>0</v>
      </c>
    </row>
    <row r="262" spans="1:23" ht="12" customHeight="1">
      <c r="A262" s="9" t="s">
        <v>532</v>
      </c>
      <c r="B262" s="9"/>
      <c r="C262" s="9" t="s">
        <v>65</v>
      </c>
      <c r="D262" s="9"/>
      <c r="E262" s="23">
        <v>50286</v>
      </c>
      <c r="G262" s="42">
        <f>6655000+87994+378556+203607+1645000+1059989+736007+146793-104153</f>
        <v>10808793</v>
      </c>
      <c r="I262" s="42">
        <v>0</v>
      </c>
      <c r="K262" s="42">
        <v>0</v>
      </c>
      <c r="M262" s="42">
        <v>92705</v>
      </c>
      <c r="O262" s="42">
        <v>1230683</v>
      </c>
      <c r="Q262" s="42">
        <v>0</v>
      </c>
      <c r="S262" s="5">
        <f t="shared" si="21"/>
        <v>12132181</v>
      </c>
      <c r="U262" s="42">
        <v>884593</v>
      </c>
      <c r="W262" s="42">
        <f>+'St of Net Pos - GA'!Q262-'Long Term Liab - GA'!U262</f>
        <v>0</v>
      </c>
    </row>
    <row r="263" spans="1:23" ht="12" customHeight="1">
      <c r="A263" s="9" t="s">
        <v>367</v>
      </c>
      <c r="B263" s="9"/>
      <c r="C263" s="9" t="s">
        <v>364</v>
      </c>
      <c r="D263" s="9"/>
      <c r="E263" s="23">
        <v>44149</v>
      </c>
      <c r="G263" s="42">
        <v>18541453</v>
      </c>
      <c r="I263" s="42">
        <v>0</v>
      </c>
      <c r="K263" s="42">
        <v>0</v>
      </c>
      <c r="M263" s="42">
        <v>0</v>
      </c>
      <c r="O263" s="42">
        <v>0</v>
      </c>
      <c r="Q263" s="42">
        <v>737233</v>
      </c>
      <c r="S263" s="5">
        <f t="shared" si="21"/>
        <v>19278686</v>
      </c>
      <c r="U263" s="42">
        <v>575000</v>
      </c>
      <c r="W263" s="42">
        <f>+'St of Net Pos - GA'!Q263-'Long Term Liab - GA'!U263</f>
        <v>0</v>
      </c>
    </row>
    <row r="264" spans="1:23" ht="12" hidden="1" customHeight="1">
      <c r="A264" s="9" t="s">
        <v>663</v>
      </c>
      <c r="B264" s="9"/>
      <c r="C264" s="9" t="s">
        <v>61</v>
      </c>
      <c r="D264" s="9"/>
      <c r="E264" s="23">
        <v>49809</v>
      </c>
      <c r="G264" s="42">
        <v>0</v>
      </c>
      <c r="I264" s="42">
        <v>0</v>
      </c>
      <c r="K264" s="42">
        <v>0</v>
      </c>
      <c r="M264" s="42">
        <v>0</v>
      </c>
      <c r="O264" s="42">
        <v>0</v>
      </c>
      <c r="Q264" s="42">
        <v>0</v>
      </c>
      <c r="S264" s="5">
        <f t="shared" si="21"/>
        <v>0</v>
      </c>
      <c r="U264" s="42">
        <v>0</v>
      </c>
      <c r="W264" s="42">
        <f>+'St of Net Pos - GA'!Q264-'Long Term Liab - GA'!U264</f>
        <v>0</v>
      </c>
    </row>
    <row r="265" spans="1:23" ht="12" hidden="1" customHeight="1">
      <c r="A265" s="9" t="s">
        <v>674</v>
      </c>
      <c r="B265" s="9"/>
      <c r="C265" s="9" t="s">
        <v>38</v>
      </c>
      <c r="D265" s="9"/>
      <c r="E265" s="23">
        <v>44156</v>
      </c>
      <c r="G265" s="42">
        <v>0</v>
      </c>
      <c r="I265" s="42">
        <v>0</v>
      </c>
      <c r="K265" s="42">
        <v>0</v>
      </c>
      <c r="M265" s="42">
        <v>0</v>
      </c>
      <c r="O265" s="42">
        <v>0</v>
      </c>
      <c r="Q265" s="42">
        <v>0</v>
      </c>
      <c r="S265" s="5">
        <f t="shared" si="21"/>
        <v>0</v>
      </c>
      <c r="U265" s="42">
        <v>0</v>
      </c>
      <c r="W265" s="42">
        <f>+'St of Net Pos - GA'!Q265-'Long Term Liab - GA'!U265</f>
        <v>0</v>
      </c>
    </row>
    <row r="266" spans="1:23" ht="12" customHeight="1">
      <c r="A266" s="9" t="s">
        <v>493</v>
      </c>
      <c r="B266" s="9"/>
      <c r="C266" s="9" t="s">
        <v>62</v>
      </c>
      <c r="D266" s="9"/>
      <c r="E266" s="23">
        <v>49858</v>
      </c>
      <c r="G266" s="42">
        <f>57393904+2947751</f>
        <v>60341655</v>
      </c>
      <c r="I266" s="42">
        <v>0</v>
      </c>
      <c r="K266" s="42">
        <v>0</v>
      </c>
      <c r="M266" s="42">
        <v>0</v>
      </c>
      <c r="O266" s="42">
        <v>4314714</v>
      </c>
      <c r="Q266" s="42">
        <v>100000</v>
      </c>
      <c r="S266" s="5">
        <f t="shared" si="21"/>
        <v>64756369</v>
      </c>
      <c r="U266" s="42">
        <v>4202546</v>
      </c>
      <c r="W266" s="42">
        <f>+'St of Net Pos - GA'!Q266-'Long Term Liab - GA'!U266</f>
        <v>0</v>
      </c>
    </row>
    <row r="267" spans="1:23" ht="12" customHeight="1">
      <c r="A267" s="9" t="s">
        <v>401</v>
      </c>
      <c r="B267" s="9"/>
      <c r="C267" s="9" t="s">
        <v>45</v>
      </c>
      <c r="D267" s="9"/>
      <c r="E267" s="23">
        <v>48322</v>
      </c>
      <c r="G267" s="42">
        <v>0</v>
      </c>
      <c r="I267" s="42">
        <v>0</v>
      </c>
      <c r="K267" s="42">
        <v>0</v>
      </c>
      <c r="M267" s="42">
        <v>567358</v>
      </c>
      <c r="O267" s="42">
        <v>527715</v>
      </c>
      <c r="Q267" s="42">
        <f>14415000-159295</f>
        <v>14255705</v>
      </c>
      <c r="S267" s="5">
        <f t="shared" si="21"/>
        <v>15350778</v>
      </c>
      <c r="U267" s="42">
        <v>527205</v>
      </c>
      <c r="W267" s="42">
        <f>+'St of Net Pos - GA'!Q267-'Long Term Liab - GA'!U267</f>
        <v>0</v>
      </c>
    </row>
    <row r="268" spans="1:23" ht="12" customHeight="1">
      <c r="A268" s="9" t="s">
        <v>457</v>
      </c>
      <c r="B268" s="9"/>
      <c r="C268" s="9" t="s">
        <v>56</v>
      </c>
      <c r="D268" s="9"/>
      <c r="E268" s="23">
        <v>49205</v>
      </c>
      <c r="G268" s="42">
        <f>4415000+171569</f>
        <v>4586569</v>
      </c>
      <c r="I268" s="42">
        <v>0</v>
      </c>
      <c r="K268" s="42">
        <v>0</v>
      </c>
      <c r="M268" s="42">
        <v>115654</v>
      </c>
      <c r="O268" s="42">
        <v>822409</v>
      </c>
      <c r="Q268" s="42">
        <v>0</v>
      </c>
      <c r="S268" s="5">
        <f t="shared" si="21"/>
        <v>5524632</v>
      </c>
      <c r="U268" s="42">
        <v>418386</v>
      </c>
      <c r="W268" s="42">
        <f>+'St of Net Pos - GA'!Q268-'Long Term Liab - GA'!U268</f>
        <v>0</v>
      </c>
    </row>
    <row r="269" spans="1:23">
      <c r="A269" s="9" t="s">
        <v>208</v>
      </c>
      <c r="B269" s="9"/>
      <c r="C269" s="9" t="s">
        <v>12</v>
      </c>
      <c r="D269" s="9"/>
      <c r="E269" s="23">
        <v>45872</v>
      </c>
      <c r="G269" s="42">
        <v>20228555</v>
      </c>
      <c r="I269" s="42">
        <v>0</v>
      </c>
      <c r="K269" s="42">
        <v>0</v>
      </c>
      <c r="M269" s="42">
        <v>3091015</v>
      </c>
      <c r="O269" s="42">
        <v>755717</v>
      </c>
      <c r="Q269" s="42">
        <v>0</v>
      </c>
      <c r="S269" s="5">
        <f t="shared" si="21"/>
        <v>24075287</v>
      </c>
      <c r="U269" s="42">
        <v>992050</v>
      </c>
      <c r="W269" s="42">
        <f>+'St of Net Pos - GA'!Q269-'Long Term Liab - GA'!U269</f>
        <v>0</v>
      </c>
    </row>
    <row r="270" spans="1:23">
      <c r="A270" s="9" t="s">
        <v>394</v>
      </c>
      <c r="B270" s="9"/>
      <c r="C270" s="9" t="s">
        <v>395</v>
      </c>
      <c r="D270" s="9"/>
      <c r="E270" s="23">
        <v>48256</v>
      </c>
      <c r="G270" s="42">
        <f>132260+845000+8025000+354987+36812+2195000+229999+5482+300000+1273735</f>
        <v>13398275</v>
      </c>
      <c r="I270" s="42">
        <v>0</v>
      </c>
      <c r="K270" s="42">
        <v>0</v>
      </c>
      <c r="M270" s="42">
        <v>89677</v>
      </c>
      <c r="O270" s="42">
        <v>1002898</v>
      </c>
      <c r="Q270" s="42">
        <v>0</v>
      </c>
      <c r="S270" s="5">
        <f t="shared" si="21"/>
        <v>14490850</v>
      </c>
      <c r="U270" s="42">
        <v>1223582</v>
      </c>
      <c r="W270" s="42">
        <f>+'St of Net Pos - GA'!Q270-'Long Term Liab - GA'!U270</f>
        <v>0</v>
      </c>
    </row>
    <row r="271" spans="1:23">
      <c r="A271" s="9" t="s">
        <v>675</v>
      </c>
      <c r="B271" s="9"/>
      <c r="C271" s="9" t="s">
        <v>50</v>
      </c>
      <c r="D271" s="9"/>
      <c r="E271" s="23">
        <v>48686</v>
      </c>
      <c r="G271" s="42">
        <v>0</v>
      </c>
      <c r="I271" s="42">
        <v>0</v>
      </c>
      <c r="K271" s="42">
        <v>0</v>
      </c>
      <c r="M271" s="42">
        <v>57256</v>
      </c>
      <c r="O271" s="42">
        <v>197723</v>
      </c>
      <c r="Q271" s="42">
        <v>573000</v>
      </c>
      <c r="S271" s="5">
        <f t="shared" si="21"/>
        <v>827979</v>
      </c>
      <c r="U271" s="42">
        <v>73152</v>
      </c>
      <c r="W271" s="42">
        <f>+'St of Net Pos - GA'!Q271-'Long Term Liab - GA'!U271</f>
        <v>0</v>
      </c>
    </row>
    <row r="272" spans="1:23" hidden="1">
      <c r="A272" s="9" t="s">
        <v>860</v>
      </c>
      <c r="B272" s="9"/>
      <c r="C272" s="9" t="s">
        <v>464</v>
      </c>
      <c r="D272" s="9"/>
      <c r="E272" s="23">
        <v>49338</v>
      </c>
      <c r="G272" s="42">
        <v>0</v>
      </c>
      <c r="I272" s="42">
        <v>0</v>
      </c>
      <c r="K272" s="42">
        <v>0</v>
      </c>
      <c r="M272" s="42">
        <v>0</v>
      </c>
      <c r="O272" s="42">
        <v>0</v>
      </c>
      <c r="Q272" s="42">
        <v>0</v>
      </c>
      <c r="S272" s="5">
        <f t="shared" si="21"/>
        <v>0</v>
      </c>
      <c r="U272" s="42">
        <v>0</v>
      </c>
      <c r="W272" s="42">
        <f>+'St of Net Pos - GA'!Q272-'Long Term Liab - GA'!U272</f>
        <v>0</v>
      </c>
    </row>
    <row r="273" spans="1:23">
      <c r="A273" s="9" t="s">
        <v>372</v>
      </c>
      <c r="B273" s="9"/>
      <c r="C273" s="9" t="s">
        <v>42</v>
      </c>
      <c r="D273" s="9"/>
      <c r="E273" s="23">
        <v>47985</v>
      </c>
      <c r="G273" s="42">
        <v>0</v>
      </c>
      <c r="I273" s="42">
        <v>0</v>
      </c>
      <c r="K273" s="42">
        <v>204032</v>
      </c>
      <c r="M273" s="42">
        <v>0</v>
      </c>
      <c r="O273" s="42">
        <v>0</v>
      </c>
      <c r="Q273" s="42">
        <v>0</v>
      </c>
      <c r="S273" s="5">
        <f t="shared" si="21"/>
        <v>204032</v>
      </c>
      <c r="U273" s="42">
        <v>188009</v>
      </c>
      <c r="W273" s="42">
        <f>+'St of Net Pos - GA'!Q273-'Long Term Liab - GA'!U273</f>
        <v>0</v>
      </c>
    </row>
    <row r="274" spans="1:23">
      <c r="A274" s="9" t="s">
        <v>396</v>
      </c>
      <c r="B274" s="9"/>
      <c r="C274" s="9" t="s">
        <v>395</v>
      </c>
      <c r="D274" s="9"/>
      <c r="E274" s="23">
        <v>48264</v>
      </c>
      <c r="G274" s="42">
        <f>20255984+852457</f>
        <v>21108441</v>
      </c>
      <c r="I274" s="42">
        <v>0</v>
      </c>
      <c r="K274" s="42">
        <v>261000</v>
      </c>
      <c r="M274" s="42">
        <v>0</v>
      </c>
      <c r="O274" s="42">
        <v>926261</v>
      </c>
      <c r="Q274" s="42">
        <v>0</v>
      </c>
      <c r="S274" s="5">
        <f t="shared" si="21"/>
        <v>22295702</v>
      </c>
      <c r="U274" s="42">
        <v>1123659</v>
      </c>
      <c r="W274" s="42">
        <f>+'St of Net Pos - GA'!Q274-'Long Term Liab - GA'!U274</f>
        <v>0</v>
      </c>
    </row>
    <row r="275" spans="1:23">
      <c r="A275" s="9" t="s">
        <v>519</v>
      </c>
      <c r="B275" s="9"/>
      <c r="C275" s="9" t="s">
        <v>64</v>
      </c>
      <c r="D275" s="9"/>
      <c r="E275" s="23">
        <v>50179</v>
      </c>
      <c r="G275" s="42">
        <v>8433224</v>
      </c>
      <c r="I275" s="42">
        <v>0</v>
      </c>
      <c r="K275" s="42">
        <v>0</v>
      </c>
      <c r="M275" s="42">
        <v>0</v>
      </c>
      <c r="O275" s="42">
        <v>627538</v>
      </c>
      <c r="Q275" s="42">
        <v>0</v>
      </c>
      <c r="S275" s="5">
        <f t="shared" si="21"/>
        <v>9060762</v>
      </c>
      <c r="U275" s="42">
        <v>622109</v>
      </c>
      <c r="W275" s="42">
        <f>+'St of Net Pos - GA'!Q275-'Long Term Liab - GA'!U275</f>
        <v>0</v>
      </c>
    </row>
    <row r="276" spans="1:23" hidden="1">
      <c r="A276" s="9" t="s">
        <v>861</v>
      </c>
      <c r="B276" s="9"/>
      <c r="C276" s="9" t="s">
        <v>464</v>
      </c>
      <c r="D276" s="9"/>
      <c r="E276" s="23">
        <v>49346</v>
      </c>
      <c r="G276" s="42">
        <v>0</v>
      </c>
      <c r="I276" s="42">
        <v>0</v>
      </c>
      <c r="K276" s="42">
        <v>0</v>
      </c>
      <c r="M276" s="42">
        <v>0</v>
      </c>
      <c r="O276" s="42">
        <v>0</v>
      </c>
      <c r="Q276" s="42">
        <v>0</v>
      </c>
      <c r="S276" s="5">
        <f t="shared" ref="S276" si="22">SUM(G276:R276)</f>
        <v>0</v>
      </c>
      <c r="U276" s="42">
        <v>0</v>
      </c>
      <c r="W276" s="42">
        <f>+'St of Net Pos - GA'!Q276-'Long Term Liab - GA'!U276</f>
        <v>0</v>
      </c>
    </row>
    <row r="277" spans="1:23">
      <c r="A277" s="9" t="s">
        <v>285</v>
      </c>
      <c r="B277" s="9"/>
      <c r="C277" s="9" t="s">
        <v>24</v>
      </c>
      <c r="D277" s="9"/>
      <c r="E277" s="23">
        <v>46797</v>
      </c>
      <c r="G277" s="42">
        <v>0</v>
      </c>
      <c r="I277" s="42">
        <v>0</v>
      </c>
      <c r="K277" s="42">
        <v>0</v>
      </c>
      <c r="M277" s="42">
        <v>0</v>
      </c>
      <c r="O277" s="42">
        <v>22939</v>
      </c>
      <c r="Q277" s="42">
        <v>0</v>
      </c>
      <c r="S277" s="5">
        <f t="shared" si="21"/>
        <v>22939</v>
      </c>
      <c r="U277" s="42">
        <v>0</v>
      </c>
      <c r="W277" s="42">
        <f>+'St of Net Pos - GA'!Q277-'Long Term Liab - GA'!U277</f>
        <v>0</v>
      </c>
    </row>
    <row r="278" spans="1:23">
      <c r="A278" s="9" t="s">
        <v>312</v>
      </c>
      <c r="B278" s="9"/>
      <c r="C278" s="9" t="s">
        <v>30</v>
      </c>
      <c r="D278" s="9"/>
      <c r="E278" s="23">
        <v>47191</v>
      </c>
      <c r="G278" s="42">
        <f>39270000+613996+2711593-92205</f>
        <v>42503384</v>
      </c>
      <c r="I278" s="42">
        <v>0</v>
      </c>
      <c r="K278" s="42">
        <v>0</v>
      </c>
      <c r="M278" s="42">
        <v>0</v>
      </c>
      <c r="O278" s="42">
        <v>3558449</v>
      </c>
      <c r="Q278" s="42">
        <v>0</v>
      </c>
      <c r="S278" s="5">
        <f t="shared" si="21"/>
        <v>46061833</v>
      </c>
      <c r="U278" s="42">
        <v>2883312</v>
      </c>
      <c r="W278" s="42">
        <f>+'St of Net Pos - GA'!Q278-'Long Term Liab - GA'!U278</f>
        <v>0</v>
      </c>
    </row>
    <row r="279" spans="1:23">
      <c r="A279" s="9" t="s">
        <v>458</v>
      </c>
      <c r="B279" s="9"/>
      <c r="C279" s="9" t="s">
        <v>56</v>
      </c>
      <c r="D279" s="9"/>
      <c r="E279" s="23">
        <v>44164</v>
      </c>
      <c r="G279" s="42">
        <f>8600000+908721+7820000+881710+965000+239996+194440+9780+955000+49999+596048+44657+1285000+364996+181872+40140</f>
        <v>23137359</v>
      </c>
      <c r="I279" s="42">
        <v>0</v>
      </c>
      <c r="K279" s="42">
        <v>0</v>
      </c>
      <c r="M279" s="42">
        <v>926925</v>
      </c>
      <c r="O279" s="42">
        <v>3385441</v>
      </c>
      <c r="Q279" s="42">
        <v>0</v>
      </c>
      <c r="S279" s="5">
        <f t="shared" si="21"/>
        <v>27449725</v>
      </c>
      <c r="U279" s="42">
        <v>2860263</v>
      </c>
      <c r="W279" s="42">
        <f>+'St of Net Pos - GA'!Q279-'Long Term Liab - GA'!U279</f>
        <v>0</v>
      </c>
    </row>
    <row r="280" spans="1:23" hidden="1">
      <c r="A280" s="9" t="s">
        <v>902</v>
      </c>
      <c r="B280" s="9"/>
      <c r="C280" s="9" t="s">
        <v>337</v>
      </c>
      <c r="D280" s="9"/>
      <c r="E280" s="23">
        <v>44172</v>
      </c>
      <c r="G280" s="42">
        <v>0</v>
      </c>
      <c r="I280" s="42">
        <v>0</v>
      </c>
      <c r="K280" s="42">
        <v>0</v>
      </c>
      <c r="M280" s="42">
        <v>0</v>
      </c>
      <c r="O280" s="42">
        <v>0</v>
      </c>
      <c r="Q280" s="42">
        <v>0</v>
      </c>
      <c r="S280" s="5">
        <f t="shared" si="21"/>
        <v>0</v>
      </c>
      <c r="U280" s="42">
        <v>0</v>
      </c>
      <c r="W280" s="42">
        <f>+'St of Net Pos - GA'!Q280-'Long Term Liab - GA'!U280</f>
        <v>0</v>
      </c>
    </row>
    <row r="281" spans="1:23" s="24" customFormat="1">
      <c r="A281" s="51" t="s">
        <v>428</v>
      </c>
      <c r="B281" s="51"/>
      <c r="C281" s="51" t="s">
        <v>50</v>
      </c>
      <c r="D281" s="51"/>
      <c r="E281" s="23">
        <v>44180</v>
      </c>
      <c r="G281" s="42">
        <f>85869349+4845446</f>
        <v>90714795</v>
      </c>
      <c r="H281" s="42"/>
      <c r="I281" s="42">
        <v>0</v>
      </c>
      <c r="J281" s="42"/>
      <c r="K281" s="42">
        <v>0</v>
      </c>
      <c r="L281" s="42"/>
      <c r="M281" s="42">
        <v>0</v>
      </c>
      <c r="N281" s="42"/>
      <c r="O281" s="42">
        <v>8085157</v>
      </c>
      <c r="P281" s="42"/>
      <c r="Q281" s="42">
        <v>0</v>
      </c>
      <c r="R281" s="42"/>
      <c r="S281" s="5">
        <f t="shared" si="21"/>
        <v>98799952</v>
      </c>
      <c r="T281" s="42"/>
      <c r="U281" s="42">
        <v>4409299</v>
      </c>
      <c r="V281" s="42"/>
      <c r="W281" s="42">
        <f>+'St of Net Pos - GA'!Q281-'Long Term Liab - GA'!U281</f>
        <v>0</v>
      </c>
    </row>
    <row r="282" spans="1:23">
      <c r="A282" s="9" t="s">
        <v>632</v>
      </c>
      <c r="B282" s="9"/>
      <c r="C282" s="9" t="s">
        <v>44</v>
      </c>
      <c r="D282" s="9"/>
      <c r="E282" s="23">
        <v>48165</v>
      </c>
      <c r="G282" s="42">
        <f>24757882+1478855</f>
        <v>26236737</v>
      </c>
      <c r="I282" s="42">
        <v>0</v>
      </c>
      <c r="K282" s="42">
        <v>0</v>
      </c>
      <c r="M282" s="42">
        <v>203859</v>
      </c>
      <c r="O282" s="42">
        <v>718524</v>
      </c>
      <c r="Q282" s="42">
        <f>702000+49205</f>
        <v>751205</v>
      </c>
      <c r="S282" s="5">
        <f t="shared" si="21"/>
        <v>27910325</v>
      </c>
      <c r="U282" s="42">
        <v>635528</v>
      </c>
      <c r="W282" s="42">
        <f>+'St of Net Pos - GA'!Q282-'Long Term Liab - GA'!U282</f>
        <v>0</v>
      </c>
    </row>
    <row r="283" spans="1:23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v>61341526</v>
      </c>
      <c r="I283" s="24">
        <v>0</v>
      </c>
      <c r="K283" s="24">
        <v>0</v>
      </c>
      <c r="M283" s="24">
        <v>0</v>
      </c>
      <c r="O283" s="24">
        <v>0</v>
      </c>
      <c r="Q283" s="24">
        <v>0</v>
      </c>
      <c r="S283" s="64">
        <f t="shared" si="21"/>
        <v>61341526</v>
      </c>
      <c r="U283" s="24">
        <v>2241163</v>
      </c>
      <c r="W283" s="24">
        <f>+'St of Net Pos - GA'!Q283-'Long Term Liab - GA'!U283</f>
        <v>0</v>
      </c>
    </row>
    <row r="284" spans="1:23">
      <c r="A284" s="9" t="s">
        <v>903</v>
      </c>
      <c r="B284" s="9"/>
      <c r="C284" s="9" t="s">
        <v>41</v>
      </c>
      <c r="D284" s="9"/>
      <c r="E284" s="23">
        <v>47878</v>
      </c>
      <c r="G284" s="42">
        <v>15845427</v>
      </c>
      <c r="I284" s="42">
        <v>0</v>
      </c>
      <c r="K284" s="42">
        <v>0</v>
      </c>
      <c r="M284" s="42">
        <v>0</v>
      </c>
      <c r="O284" s="42">
        <v>883896</v>
      </c>
      <c r="Q284" s="42">
        <v>0</v>
      </c>
      <c r="S284" s="5">
        <v>16729323</v>
      </c>
      <c r="U284" s="42">
        <v>666333</v>
      </c>
      <c r="W284" s="42">
        <v>0</v>
      </c>
    </row>
    <row r="285" spans="1:23">
      <c r="A285" s="9" t="s">
        <v>520</v>
      </c>
      <c r="B285" s="9"/>
      <c r="C285" s="9" t="s">
        <v>64</v>
      </c>
      <c r="D285" s="9"/>
      <c r="E285" s="23">
        <v>50245</v>
      </c>
      <c r="G285" s="42">
        <v>6072750</v>
      </c>
      <c r="I285" s="42">
        <v>0</v>
      </c>
      <c r="K285" s="42">
        <v>0</v>
      </c>
      <c r="M285" s="42">
        <v>1707000</v>
      </c>
      <c r="O285" s="42">
        <v>553918</v>
      </c>
      <c r="Q285" s="42">
        <v>0</v>
      </c>
      <c r="S285" s="5">
        <v>8333668</v>
      </c>
      <c r="U285" s="42">
        <v>573590</v>
      </c>
      <c r="W285" s="42">
        <v>0</v>
      </c>
    </row>
    <row r="286" spans="1:23">
      <c r="A286" s="9" t="s">
        <v>494</v>
      </c>
      <c r="B286" s="9"/>
      <c r="C286" s="9" t="s">
        <v>62</v>
      </c>
      <c r="D286" s="9"/>
      <c r="E286" s="23">
        <v>49866</v>
      </c>
      <c r="G286" s="42">
        <v>26088490</v>
      </c>
      <c r="I286" s="42">
        <v>0</v>
      </c>
      <c r="K286" s="42">
        <v>0</v>
      </c>
      <c r="M286" s="42">
        <v>0</v>
      </c>
      <c r="O286" s="42">
        <v>752337</v>
      </c>
      <c r="Q286" s="42">
        <v>0</v>
      </c>
      <c r="S286" s="5">
        <v>26840827</v>
      </c>
      <c r="U286" s="42">
        <v>1385673</v>
      </c>
      <c r="W286" s="42">
        <v>0</v>
      </c>
    </row>
    <row r="287" spans="1:23" hidden="1">
      <c r="A287" s="9" t="s">
        <v>790</v>
      </c>
      <c r="B287" s="9"/>
      <c r="C287" s="9" t="s">
        <v>72</v>
      </c>
      <c r="D287" s="9"/>
      <c r="E287" s="23">
        <v>50690</v>
      </c>
      <c r="G287" s="42">
        <v>0</v>
      </c>
      <c r="I287" s="42">
        <v>0</v>
      </c>
      <c r="K287" s="42">
        <v>0</v>
      </c>
      <c r="M287" s="42">
        <v>0</v>
      </c>
      <c r="O287" s="42">
        <v>0</v>
      </c>
      <c r="Q287" s="42">
        <v>0</v>
      </c>
      <c r="S287" s="5">
        <f t="shared" si="21"/>
        <v>0</v>
      </c>
      <c r="U287" s="42">
        <v>0</v>
      </c>
      <c r="W287" s="42">
        <f>+'St of Net Pos - GA'!Q287-'Long Term Liab - GA'!U287</f>
        <v>0</v>
      </c>
    </row>
    <row r="288" spans="1:23">
      <c r="A288" s="9" t="s">
        <v>521</v>
      </c>
      <c r="B288" s="9"/>
      <c r="C288" s="9" t="s">
        <v>64</v>
      </c>
      <c r="D288" s="9"/>
      <c r="E288" s="23">
        <v>50187</v>
      </c>
      <c r="G288" s="42">
        <v>2475000</v>
      </c>
      <c r="I288" s="42">
        <v>0</v>
      </c>
      <c r="K288" s="42">
        <v>0</v>
      </c>
      <c r="M288" s="42">
        <v>225000</v>
      </c>
      <c r="O288" s="42">
        <v>1459446</v>
      </c>
      <c r="Q288" s="42">
        <v>0</v>
      </c>
      <c r="S288" s="5">
        <f t="shared" si="21"/>
        <v>4159446</v>
      </c>
      <c r="U288" s="42">
        <v>920100</v>
      </c>
      <c r="W288" s="42">
        <f>+'St of Net Pos - GA'!Q288-'Long Term Liab - GA'!U288</f>
        <v>0</v>
      </c>
    </row>
    <row r="289" spans="1:23">
      <c r="A289" s="9" t="s">
        <v>268</v>
      </c>
      <c r="B289" s="9"/>
      <c r="C289" s="9" t="s">
        <v>20</v>
      </c>
      <c r="D289" s="9"/>
      <c r="E289" s="23">
        <v>44198</v>
      </c>
      <c r="G289" s="42">
        <f>118854791+5171742</f>
        <v>124026533</v>
      </c>
      <c r="I289" s="42">
        <v>0</v>
      </c>
      <c r="K289" s="42">
        <v>0</v>
      </c>
      <c r="M289" s="42">
        <v>721763</v>
      </c>
      <c r="O289" s="42">
        <v>5680934</v>
      </c>
      <c r="Q289" s="42">
        <v>5832182</v>
      </c>
      <c r="S289" s="5">
        <f t="shared" si="21"/>
        <v>136261412</v>
      </c>
      <c r="U289" s="42">
        <v>7003102</v>
      </c>
      <c r="W289" s="42">
        <f>+'St of Net Pos - GA'!Q289-'Long Term Liab - GA'!U289</f>
        <v>0</v>
      </c>
    </row>
    <row r="290" spans="1:23">
      <c r="A290" s="9" t="s">
        <v>625</v>
      </c>
      <c r="B290" s="9"/>
      <c r="C290" s="9" t="s">
        <v>42</v>
      </c>
      <c r="D290" s="9"/>
      <c r="E290" s="23">
        <v>47993</v>
      </c>
      <c r="G290" s="42">
        <f>10724872+1244758</f>
        <v>11969630</v>
      </c>
      <c r="I290" s="42">
        <v>0</v>
      </c>
      <c r="K290" s="42">
        <v>0</v>
      </c>
      <c r="M290" s="42">
        <v>126525</v>
      </c>
      <c r="O290" s="42">
        <v>504672</v>
      </c>
      <c r="Q290" s="42">
        <v>0</v>
      </c>
      <c r="S290" s="5">
        <f>SUM(G290:R290)</f>
        <v>12600827</v>
      </c>
      <c r="U290" s="42">
        <v>900883</v>
      </c>
      <c r="W290" s="42">
        <f>+'St of Net Pos - GA'!Q290-'Long Term Liab - GA'!U290</f>
        <v>0</v>
      </c>
    </row>
    <row r="291" spans="1:23">
      <c r="A291" s="9" t="s">
        <v>222</v>
      </c>
      <c r="B291" s="9"/>
      <c r="C291" s="9" t="s">
        <v>220</v>
      </c>
      <c r="D291" s="9"/>
      <c r="E291" s="23">
        <v>46110</v>
      </c>
      <c r="G291" s="42">
        <v>163136785</v>
      </c>
      <c r="I291" s="42">
        <v>0</v>
      </c>
      <c r="K291" s="42">
        <v>0</v>
      </c>
      <c r="M291" s="42">
        <v>0</v>
      </c>
      <c r="O291" s="42">
        <v>7192919</v>
      </c>
      <c r="Q291" s="42">
        <v>0</v>
      </c>
      <c r="S291" s="5">
        <f t="shared" si="21"/>
        <v>170329704</v>
      </c>
      <c r="U291" s="42">
        <v>8831015</v>
      </c>
      <c r="W291" s="42">
        <f>+'St of Net Pos - GA'!Q291-'Long Term Liab - GA'!U291</f>
        <v>0</v>
      </c>
    </row>
    <row r="292" spans="1:23" hidden="1">
      <c r="A292" s="9" t="s">
        <v>791</v>
      </c>
      <c r="B292" s="9"/>
      <c r="C292" s="9" t="s">
        <v>79</v>
      </c>
      <c r="D292" s="9"/>
      <c r="E292" s="23">
        <v>49569</v>
      </c>
      <c r="G292" s="42">
        <v>0</v>
      </c>
      <c r="I292" s="42">
        <v>0</v>
      </c>
      <c r="K292" s="42">
        <v>0</v>
      </c>
      <c r="M292" s="42">
        <v>0</v>
      </c>
      <c r="O292" s="42">
        <v>0</v>
      </c>
      <c r="Q292" s="42">
        <v>0</v>
      </c>
      <c r="S292" s="5">
        <f t="shared" si="21"/>
        <v>0</v>
      </c>
      <c r="U292" s="42">
        <v>0</v>
      </c>
      <c r="W292" s="42">
        <f>+'St of Net Pos - GA'!Q292-'Long Term Liab - GA'!U292</f>
        <v>0</v>
      </c>
    </row>
    <row r="293" spans="1:23">
      <c r="A293" s="9" t="s">
        <v>293</v>
      </c>
      <c r="B293" s="9"/>
      <c r="C293" s="9" t="s">
        <v>25</v>
      </c>
      <c r="D293" s="9"/>
      <c r="E293" s="23">
        <v>44206</v>
      </c>
      <c r="G293" s="42">
        <f>11450000+48960000+3519735</f>
        <v>63929735</v>
      </c>
      <c r="I293" s="42">
        <v>0</v>
      </c>
      <c r="K293" s="42">
        <v>2000000</v>
      </c>
      <c r="M293" s="42">
        <v>1254488</v>
      </c>
      <c r="O293" s="42">
        <v>2761477</v>
      </c>
      <c r="Q293" s="42">
        <v>2413</v>
      </c>
      <c r="S293" s="5">
        <f t="shared" si="21"/>
        <v>69948113</v>
      </c>
      <c r="U293" s="42">
        <v>2524547</v>
      </c>
      <c r="W293" s="42">
        <f>+'St of Net Pos - GA'!Q293-'Long Term Liab - GA'!U293</f>
        <v>0</v>
      </c>
    </row>
    <row r="294" spans="1:23" hidden="1">
      <c r="A294" s="9" t="s">
        <v>723</v>
      </c>
      <c r="B294" s="9"/>
      <c r="C294" s="9" t="s">
        <v>69</v>
      </c>
      <c r="D294" s="9"/>
      <c r="E294" s="23">
        <v>44214</v>
      </c>
      <c r="G294" s="42">
        <v>0</v>
      </c>
      <c r="I294" s="42">
        <v>0</v>
      </c>
      <c r="K294" s="42">
        <v>0</v>
      </c>
      <c r="M294" s="42">
        <v>0</v>
      </c>
      <c r="O294" s="42">
        <v>0</v>
      </c>
      <c r="Q294" s="42">
        <v>0</v>
      </c>
      <c r="S294" s="5">
        <f t="shared" si="21"/>
        <v>0</v>
      </c>
      <c r="U294" s="42">
        <v>0</v>
      </c>
      <c r="W294" s="42">
        <f>+'St of Net Pos - GA'!Q294-'Long Term Liab - GA'!U294</f>
        <v>0</v>
      </c>
    </row>
    <row r="295" spans="1:23">
      <c r="A295" s="9" t="s">
        <v>313</v>
      </c>
      <c r="B295" s="9"/>
      <c r="C295" s="9" t="s">
        <v>30</v>
      </c>
      <c r="D295" s="9"/>
      <c r="E295" s="23">
        <v>47209</v>
      </c>
      <c r="G295" s="42">
        <v>0</v>
      </c>
      <c r="I295" s="42">
        <v>0</v>
      </c>
      <c r="K295" s="42">
        <v>0</v>
      </c>
      <c r="M295" s="42">
        <v>0</v>
      </c>
      <c r="O295" s="42">
        <v>230754</v>
      </c>
      <c r="Q295" s="42">
        <v>0</v>
      </c>
      <c r="S295" s="5">
        <f t="shared" si="21"/>
        <v>230754</v>
      </c>
      <c r="U295" s="42">
        <v>17108</v>
      </c>
      <c r="W295" s="42">
        <f>+'St of Net Pos - GA'!Q295-'Long Term Liab - GA'!U295</f>
        <v>0</v>
      </c>
    </row>
    <row r="296" spans="1:23" hidden="1">
      <c r="A296" s="9" t="s">
        <v>757</v>
      </c>
      <c r="B296" s="9"/>
      <c r="C296" s="9" t="s">
        <v>111</v>
      </c>
      <c r="D296" s="9"/>
      <c r="E296" s="23">
        <v>45443</v>
      </c>
      <c r="G296" s="42">
        <v>0</v>
      </c>
      <c r="I296" s="42">
        <v>0</v>
      </c>
      <c r="K296" s="42">
        <v>0</v>
      </c>
      <c r="M296" s="42">
        <v>0</v>
      </c>
      <c r="O296" s="42">
        <v>0</v>
      </c>
      <c r="Q296" s="42">
        <v>0</v>
      </c>
      <c r="S296" s="5">
        <f t="shared" si="21"/>
        <v>0</v>
      </c>
      <c r="U296" s="42">
        <v>0</v>
      </c>
    </row>
    <row r="297" spans="1:23" hidden="1">
      <c r="A297" s="9" t="s">
        <v>676</v>
      </c>
      <c r="B297" s="9"/>
      <c r="C297" s="9" t="s">
        <v>464</v>
      </c>
      <c r="D297" s="9"/>
      <c r="E297" s="23">
        <v>49353</v>
      </c>
      <c r="G297" s="42">
        <v>0</v>
      </c>
      <c r="I297" s="42">
        <v>0</v>
      </c>
      <c r="K297" s="42">
        <v>0</v>
      </c>
      <c r="M297" s="42">
        <v>0</v>
      </c>
      <c r="O297" s="42">
        <v>0</v>
      </c>
      <c r="Q297" s="42">
        <v>0</v>
      </c>
      <c r="S297" s="5">
        <f>SUM(G297:R297)</f>
        <v>0</v>
      </c>
      <c r="U297" s="42">
        <v>0</v>
      </c>
      <c r="W297" s="42">
        <f>+'St of Net Pos - GA'!Q297-'Long Term Liab - GA'!U297</f>
        <v>0</v>
      </c>
    </row>
    <row r="298" spans="1:23" hidden="1">
      <c r="A298" s="9" t="s">
        <v>792</v>
      </c>
      <c r="B298" s="9"/>
      <c r="C298" s="9" t="s">
        <v>109</v>
      </c>
      <c r="D298" s="9"/>
      <c r="E298" s="23">
        <v>49437</v>
      </c>
      <c r="G298" s="42">
        <v>0</v>
      </c>
      <c r="I298" s="42">
        <v>0</v>
      </c>
      <c r="K298" s="42">
        <v>0</v>
      </c>
      <c r="M298" s="42">
        <v>0</v>
      </c>
      <c r="O298" s="42">
        <v>0</v>
      </c>
      <c r="Q298" s="42">
        <v>0</v>
      </c>
      <c r="S298" s="5">
        <f>SUM(G298:R298)</f>
        <v>0</v>
      </c>
      <c r="U298" s="42">
        <v>0</v>
      </c>
      <c r="W298" s="42">
        <f>+'St of Net Pos - GA'!Q298-'Long Term Liab - GA'!U298</f>
        <v>0</v>
      </c>
    </row>
    <row r="299" spans="1:23">
      <c r="A299" s="9" t="s">
        <v>793</v>
      </c>
      <c r="B299" s="9"/>
      <c r="C299" s="9" t="s">
        <v>33</v>
      </c>
      <c r="D299" s="9"/>
      <c r="E299" s="23">
        <v>47449</v>
      </c>
      <c r="G299" s="42">
        <v>3323835</v>
      </c>
      <c r="I299" s="42">
        <v>0</v>
      </c>
      <c r="K299" s="42">
        <v>0</v>
      </c>
      <c r="M299" s="42">
        <v>0</v>
      </c>
      <c r="O299" s="42">
        <v>860068</v>
      </c>
      <c r="Q299" s="42">
        <v>0</v>
      </c>
      <c r="S299" s="5">
        <f>SUM(G299:R299)</f>
        <v>4183903</v>
      </c>
      <c r="U299" s="42">
        <v>100922</v>
      </c>
      <c r="W299" s="42">
        <f>+'St of Net Pos - GA'!Q299-'Long Term Liab - GA'!U299</f>
        <v>0</v>
      </c>
    </row>
    <row r="300" spans="1:23">
      <c r="A300" s="9" t="s">
        <v>343</v>
      </c>
      <c r="B300" s="9"/>
      <c r="C300" s="9" t="s">
        <v>34</v>
      </c>
      <c r="D300" s="9"/>
      <c r="E300" s="23">
        <v>47589</v>
      </c>
      <c r="G300" s="42">
        <f>1170002+216760-167313</f>
        <v>1219449</v>
      </c>
      <c r="I300" s="42">
        <v>0</v>
      </c>
      <c r="K300" s="42">
        <v>686598</v>
      </c>
      <c r="M300" s="42">
        <v>126628</v>
      </c>
      <c r="O300" s="42">
        <v>737674</v>
      </c>
      <c r="Q300" s="42">
        <v>0</v>
      </c>
      <c r="S300" s="5">
        <f>SUM(G300:R300)</f>
        <v>2770349</v>
      </c>
      <c r="U300" s="42">
        <v>437248</v>
      </c>
      <c r="W300" s="42">
        <f>+'St of Net Pos - GA'!Q300-'Long Term Liab - GA'!U300</f>
        <v>0</v>
      </c>
    </row>
    <row r="301" spans="1:23">
      <c r="A301" s="9" t="s">
        <v>522</v>
      </c>
      <c r="B301" s="9"/>
      <c r="C301" s="9" t="s">
        <v>64</v>
      </c>
      <c r="D301" s="9"/>
      <c r="E301" s="23">
        <v>50195</v>
      </c>
      <c r="G301" s="42">
        <v>8873891</v>
      </c>
      <c r="I301" s="42">
        <v>0</v>
      </c>
      <c r="K301" s="42">
        <v>0</v>
      </c>
      <c r="M301" s="42">
        <v>106164</v>
      </c>
      <c r="O301" s="42">
        <v>1043947</v>
      </c>
      <c r="Q301" s="42">
        <v>0</v>
      </c>
      <c r="S301" s="5">
        <f t="shared" ref="S301:S368" si="23">SUM(G301:R301)</f>
        <v>10024002</v>
      </c>
      <c r="U301" s="42">
        <v>849669</v>
      </c>
      <c r="W301" s="42">
        <f>+'St of Net Pos - GA'!Q301-'Long Term Liab - GA'!U301</f>
        <v>0</v>
      </c>
    </row>
    <row r="302" spans="1:23">
      <c r="A302" s="9" t="s">
        <v>738</v>
      </c>
      <c r="B302" s="9"/>
      <c r="C302" s="9" t="s">
        <v>25</v>
      </c>
      <c r="D302" s="9"/>
      <c r="E302" s="23">
        <v>46888</v>
      </c>
      <c r="G302" s="42">
        <v>10496469</v>
      </c>
      <c r="I302" s="42">
        <v>0</v>
      </c>
      <c r="K302" s="42">
        <v>0</v>
      </c>
      <c r="M302" s="42">
        <v>0</v>
      </c>
      <c r="O302" s="42">
        <v>870205</v>
      </c>
      <c r="Q302" s="42">
        <v>0</v>
      </c>
      <c r="S302" s="5">
        <f>SUM(G302:R302)</f>
        <v>11366674</v>
      </c>
      <c r="U302" s="42">
        <v>1053745</v>
      </c>
      <c r="W302" s="42">
        <f>+'St of Net Pos - GA'!Q302-'Long Term Liab - GA'!U302</f>
        <v>0</v>
      </c>
    </row>
    <row r="303" spans="1:23">
      <c r="A303" s="9" t="s">
        <v>904</v>
      </c>
      <c r="B303" s="9"/>
      <c r="C303" s="9" t="s">
        <v>42</v>
      </c>
      <c r="D303" s="9"/>
      <c r="E303" s="23">
        <v>48009</v>
      </c>
      <c r="G303" s="42">
        <v>70961354</v>
      </c>
      <c r="I303" s="42">
        <v>0</v>
      </c>
      <c r="K303" s="42">
        <v>0</v>
      </c>
      <c r="M303" s="42">
        <v>360047</v>
      </c>
      <c r="O303" s="42">
        <v>928201</v>
      </c>
      <c r="Q303" s="42">
        <v>4300000</v>
      </c>
      <c r="S303" s="5">
        <f t="shared" ref="S303:S320" si="24">SUM(G303:R303)</f>
        <v>76549602</v>
      </c>
      <c r="U303" s="42">
        <v>3201500</v>
      </c>
      <c r="W303" s="42">
        <f>+'St of Net Pos - GA'!Q303-'Long Term Liab - GA'!U303</f>
        <v>0</v>
      </c>
    </row>
    <row r="304" spans="1:23">
      <c r="A304" s="9" t="s">
        <v>373</v>
      </c>
      <c r="B304" s="9"/>
      <c r="C304" s="9" t="s">
        <v>42</v>
      </c>
      <c r="D304" s="9"/>
      <c r="E304" s="23">
        <v>48017</v>
      </c>
      <c r="G304" s="42">
        <f>335000+8275000+1141049+215371+895000+965000</f>
        <v>11826420</v>
      </c>
      <c r="I304" s="42">
        <v>0</v>
      </c>
      <c r="K304" s="42">
        <v>0</v>
      </c>
      <c r="M304" s="42">
        <v>882887</v>
      </c>
      <c r="O304" s="42">
        <v>1032703</v>
      </c>
      <c r="Q304" s="42">
        <v>1866509</v>
      </c>
      <c r="S304" s="5">
        <f t="shared" si="24"/>
        <v>15608519</v>
      </c>
      <c r="U304" s="42">
        <v>1370508</v>
      </c>
      <c r="W304" s="42">
        <f>+'St of Net Pos - GA'!Q304-'Long Term Liab - GA'!U304</f>
        <v>0</v>
      </c>
    </row>
    <row r="305" spans="1:23" hidden="1">
      <c r="A305" s="9" t="s">
        <v>677</v>
      </c>
      <c r="B305" s="9"/>
      <c r="C305" s="9" t="s">
        <v>10</v>
      </c>
      <c r="D305" s="9"/>
      <c r="E305" s="23">
        <v>44222</v>
      </c>
      <c r="G305" s="42">
        <v>0</v>
      </c>
      <c r="I305" s="42">
        <v>0</v>
      </c>
      <c r="K305" s="42">
        <v>0</v>
      </c>
      <c r="M305" s="42">
        <v>0</v>
      </c>
      <c r="O305" s="42">
        <v>0</v>
      </c>
      <c r="Q305" s="42">
        <v>0</v>
      </c>
      <c r="S305" s="5">
        <f t="shared" si="24"/>
        <v>0</v>
      </c>
      <c r="U305" s="42">
        <v>0</v>
      </c>
      <c r="W305" s="42">
        <f>+'St of Net Pos - GA'!Q305-'Long Term Liab - GA'!U305</f>
        <v>0</v>
      </c>
    </row>
    <row r="306" spans="1:23">
      <c r="A306" s="9" t="s">
        <v>537</v>
      </c>
      <c r="B306" s="9"/>
      <c r="C306" s="9" t="s">
        <v>67</v>
      </c>
      <c r="D306" s="9"/>
      <c r="E306" s="23">
        <v>50369</v>
      </c>
      <c r="G306" s="42">
        <f>11107345+404973</f>
        <v>11512318</v>
      </c>
      <c r="I306" s="42">
        <v>0</v>
      </c>
      <c r="K306" s="42">
        <v>0</v>
      </c>
      <c r="M306" s="42">
        <v>0</v>
      </c>
      <c r="O306" s="42">
        <v>311869</v>
      </c>
      <c r="Q306" s="42">
        <v>0</v>
      </c>
      <c r="S306" s="5">
        <f t="shared" si="24"/>
        <v>11824187</v>
      </c>
      <c r="U306" s="42">
        <v>519920</v>
      </c>
      <c r="W306" s="42">
        <f>+'St of Net Pos - GA'!Q306-'Long Term Liab - GA'!U306</f>
        <v>0</v>
      </c>
    </row>
    <row r="307" spans="1:23">
      <c r="A307" s="9" t="s">
        <v>760</v>
      </c>
      <c r="B307" s="9"/>
      <c r="C307" s="9" t="s">
        <v>111</v>
      </c>
      <c r="D307" s="9"/>
      <c r="E307" s="23">
        <v>45450</v>
      </c>
      <c r="G307" s="42">
        <f>935000+87282</f>
        <v>1022282</v>
      </c>
      <c r="I307" s="42">
        <v>0</v>
      </c>
      <c r="K307" s="42">
        <v>0</v>
      </c>
      <c r="M307" s="42">
        <v>4450235</v>
      </c>
      <c r="O307" s="42">
        <v>392643</v>
      </c>
      <c r="Q307" s="42">
        <v>0</v>
      </c>
      <c r="S307" s="5">
        <f t="shared" si="24"/>
        <v>5865160</v>
      </c>
      <c r="U307" s="42">
        <v>351226</v>
      </c>
      <c r="W307" s="42">
        <f>+'St of Net Pos - GA'!Q307-'Long Term Liab - GA'!U307</f>
        <v>0</v>
      </c>
    </row>
    <row r="308" spans="1:23">
      <c r="A308" s="9" t="s">
        <v>541</v>
      </c>
      <c r="B308" s="9"/>
      <c r="C308" s="9" t="s">
        <v>69</v>
      </c>
      <c r="D308" s="9"/>
      <c r="E308" s="23">
        <v>50443</v>
      </c>
      <c r="G308" s="42">
        <v>71249551</v>
      </c>
      <c r="I308" s="42">
        <v>0</v>
      </c>
      <c r="K308" s="42">
        <v>0</v>
      </c>
      <c r="M308" s="42">
        <f>482000+255000+126404</f>
        <v>863404</v>
      </c>
      <c r="O308" s="42">
        <v>1677430</v>
      </c>
      <c r="Q308" s="42">
        <v>0</v>
      </c>
      <c r="S308" s="5">
        <f t="shared" si="24"/>
        <v>73790385</v>
      </c>
      <c r="U308" s="42">
        <v>3770474</v>
      </c>
      <c r="W308" s="42">
        <f>+'St of Net Pos - GA'!Q308-'Long Term Liab - GA'!U308</f>
        <v>0</v>
      </c>
    </row>
    <row r="309" spans="1:23" hidden="1">
      <c r="A309" s="9" t="s">
        <v>794</v>
      </c>
      <c r="B309" s="9"/>
      <c r="C309" s="9" t="s">
        <v>32</v>
      </c>
      <c r="D309" s="9"/>
      <c r="E309" s="23">
        <v>44230</v>
      </c>
      <c r="G309" s="42">
        <v>0</v>
      </c>
      <c r="I309" s="42">
        <v>0</v>
      </c>
      <c r="K309" s="42">
        <v>0</v>
      </c>
      <c r="M309" s="42">
        <v>0</v>
      </c>
      <c r="O309" s="42">
        <v>0</v>
      </c>
      <c r="Q309" s="42">
        <v>0</v>
      </c>
      <c r="S309" s="5">
        <f t="shared" si="24"/>
        <v>0</v>
      </c>
      <c r="U309" s="42">
        <v>0</v>
      </c>
      <c r="W309" s="42">
        <f>+'St of Net Pos - GA'!Q309-'Long Term Liab - GA'!U309</f>
        <v>0</v>
      </c>
    </row>
    <row r="310" spans="1:23">
      <c r="A310" s="9" t="s">
        <v>450</v>
      </c>
      <c r="B310" s="9"/>
      <c r="C310" s="9" t="s">
        <v>54</v>
      </c>
      <c r="D310" s="9"/>
      <c r="E310" s="23">
        <v>49080</v>
      </c>
      <c r="G310" s="42">
        <v>0</v>
      </c>
      <c r="I310" s="42">
        <v>0</v>
      </c>
      <c r="K310" s="42">
        <v>0</v>
      </c>
      <c r="M310" s="42">
        <v>0</v>
      </c>
      <c r="O310" s="42">
        <v>1253845</v>
      </c>
      <c r="Q310" s="42">
        <v>0</v>
      </c>
      <c r="S310" s="5">
        <f t="shared" si="24"/>
        <v>1253845</v>
      </c>
      <c r="U310" s="42">
        <v>65445</v>
      </c>
      <c r="W310" s="42">
        <f>+'St of Net Pos - GA'!Q310-'Long Term Liab - GA'!U310</f>
        <v>0</v>
      </c>
    </row>
    <row r="311" spans="1:23">
      <c r="A311" s="9" t="s">
        <v>350</v>
      </c>
      <c r="B311" s="9"/>
      <c r="C311" s="9" t="s">
        <v>35</v>
      </c>
      <c r="D311" s="9"/>
      <c r="E311" s="23">
        <v>44248</v>
      </c>
      <c r="G311" s="42">
        <v>17254638</v>
      </c>
      <c r="I311" s="42">
        <v>0</v>
      </c>
      <c r="K311" s="42">
        <v>0</v>
      </c>
      <c r="M311" s="42">
        <v>3175664</v>
      </c>
      <c r="O311" s="42">
        <v>2271041</v>
      </c>
      <c r="Q311" s="42">
        <v>0</v>
      </c>
      <c r="S311" s="5">
        <f t="shared" si="24"/>
        <v>22701343</v>
      </c>
      <c r="U311" s="42">
        <v>1887868</v>
      </c>
      <c r="W311" s="42">
        <f>+'St of Net Pos - GA'!Q311-'Long Term Liab - GA'!U311</f>
        <v>0</v>
      </c>
    </row>
    <row r="312" spans="1:23">
      <c r="A312" s="9" t="s">
        <v>397</v>
      </c>
      <c r="B312" s="9"/>
      <c r="C312" s="9" t="s">
        <v>395</v>
      </c>
      <c r="D312" s="9"/>
      <c r="E312" s="23">
        <v>44255</v>
      </c>
      <c r="G312" s="42">
        <f>5125000+750000+909909+1053001+471318+5085000+1070000+999955+1083727+442407+2080000+53212</f>
        <v>19123529</v>
      </c>
      <c r="I312" s="42">
        <v>0</v>
      </c>
      <c r="K312" s="42">
        <v>0</v>
      </c>
      <c r="M312" s="42">
        <v>30222</v>
      </c>
      <c r="O312" s="42">
        <v>833037</v>
      </c>
      <c r="Q312" s="42">
        <v>0</v>
      </c>
      <c r="S312" s="5">
        <f t="shared" si="24"/>
        <v>19986788</v>
      </c>
      <c r="U312" s="42">
        <v>4659789</v>
      </c>
      <c r="W312" s="42">
        <f>+'St of Net Pos - GA'!Q312-'Long Term Liab - GA'!U312</f>
        <v>0</v>
      </c>
    </row>
    <row r="313" spans="1:23">
      <c r="A313" s="9" t="s">
        <v>383</v>
      </c>
      <c r="B313" s="9"/>
      <c r="C313" s="9" t="s">
        <v>44</v>
      </c>
      <c r="D313" s="9"/>
      <c r="E313" s="23">
        <v>44263</v>
      </c>
      <c r="G313" s="42">
        <v>36659667</v>
      </c>
      <c r="I313" s="42">
        <v>0</v>
      </c>
      <c r="K313" s="42">
        <v>0</v>
      </c>
      <c r="M313" s="42">
        <v>0</v>
      </c>
      <c r="O313" s="42">
        <v>7647459</v>
      </c>
      <c r="Q313" s="42">
        <v>0</v>
      </c>
      <c r="S313" s="5">
        <f t="shared" si="24"/>
        <v>44307126</v>
      </c>
      <c r="U313" s="42">
        <v>4169970</v>
      </c>
      <c r="W313" s="42">
        <f>+'St of Net Pos - GA'!Q313-'Long Term Liab - GA'!U313</f>
        <v>0</v>
      </c>
    </row>
    <row r="314" spans="1:23">
      <c r="A314" s="9" t="s">
        <v>523</v>
      </c>
      <c r="B314" s="9"/>
      <c r="C314" s="9" t="s">
        <v>64</v>
      </c>
      <c r="D314" s="9"/>
      <c r="E314" s="23">
        <v>50203</v>
      </c>
      <c r="G314" s="42">
        <v>0</v>
      </c>
      <c r="I314" s="42">
        <v>0</v>
      </c>
      <c r="K314" s="42">
        <v>258512</v>
      </c>
      <c r="M314" s="42">
        <v>119936</v>
      </c>
      <c r="O314" s="42">
        <v>317450</v>
      </c>
      <c r="Q314" s="42">
        <v>1740000</v>
      </c>
      <c r="S314" s="5">
        <f t="shared" si="24"/>
        <v>2435898</v>
      </c>
      <c r="U314" s="42">
        <v>360292</v>
      </c>
      <c r="W314" s="42">
        <f>+'St of Net Pos - GA'!Q314-'Long Term Liab - GA'!U314</f>
        <v>0</v>
      </c>
    </row>
    <row r="315" spans="1:23">
      <c r="A315" s="9" t="s">
        <v>678</v>
      </c>
      <c r="B315" s="9"/>
      <c r="C315" s="9" t="s">
        <v>11</v>
      </c>
      <c r="D315" s="9"/>
      <c r="E315" s="23">
        <v>45468</v>
      </c>
      <c r="G315" s="42">
        <v>0</v>
      </c>
      <c r="I315" s="42">
        <v>935060</v>
      </c>
      <c r="K315" s="42">
        <v>0</v>
      </c>
      <c r="M315" s="42">
        <v>31028</v>
      </c>
      <c r="O315" s="42">
        <v>1350378</v>
      </c>
      <c r="Q315" s="42">
        <v>0</v>
      </c>
      <c r="S315" s="5">
        <f t="shared" si="24"/>
        <v>2316466</v>
      </c>
      <c r="U315" s="42">
        <v>260297</v>
      </c>
      <c r="W315" s="42">
        <f>+'St of Net Pos - GA'!Q315-'Long Term Liab - GA'!U315</f>
        <v>0</v>
      </c>
    </row>
    <row r="316" spans="1:23">
      <c r="A316" s="9" t="s">
        <v>495</v>
      </c>
      <c r="B316" s="9"/>
      <c r="C316" s="9" t="s">
        <v>62</v>
      </c>
      <c r="D316" s="9"/>
      <c r="E316" s="23">
        <v>49874</v>
      </c>
      <c r="G316" s="42">
        <f>8227285+105000+22320436</f>
        <v>30652721</v>
      </c>
      <c r="I316" s="42">
        <v>0</v>
      </c>
      <c r="K316" s="42">
        <v>0</v>
      </c>
      <c r="M316" s="42">
        <v>730535</v>
      </c>
      <c r="O316" s="42">
        <v>864966</v>
      </c>
      <c r="Q316" s="42">
        <v>36926</v>
      </c>
      <c r="S316" s="5">
        <f t="shared" si="24"/>
        <v>32285148</v>
      </c>
      <c r="U316" s="42">
        <v>1240819</v>
      </c>
      <c r="W316" s="42">
        <f>+'St of Net Pos - GA'!Q316-'Long Term Liab - GA'!U316</f>
        <v>0</v>
      </c>
    </row>
    <row r="317" spans="1:23">
      <c r="A317" s="9" t="s">
        <v>322</v>
      </c>
      <c r="B317" s="9"/>
      <c r="C317" s="9" t="s">
        <v>32</v>
      </c>
      <c r="D317" s="9"/>
      <c r="E317" s="23">
        <v>44271</v>
      </c>
      <c r="G317" s="42">
        <v>22336155</v>
      </c>
      <c r="I317" s="42">
        <v>0</v>
      </c>
      <c r="K317" s="42">
        <v>0</v>
      </c>
      <c r="M317" s="42">
        <v>0</v>
      </c>
      <c r="O317" s="42">
        <v>1591025</v>
      </c>
      <c r="Q317" s="42">
        <v>0</v>
      </c>
      <c r="S317" s="5">
        <f t="shared" si="24"/>
        <v>23927180</v>
      </c>
      <c r="U317" s="42">
        <v>2490478</v>
      </c>
      <c r="W317" s="42">
        <f>+'St of Net Pos - GA'!Q317-'Long Term Liab - GA'!U317</f>
        <v>0</v>
      </c>
    </row>
    <row r="318" spans="1:23">
      <c r="A318" s="9" t="s">
        <v>679</v>
      </c>
      <c r="B318" s="9"/>
      <c r="C318" s="9" t="s">
        <v>45</v>
      </c>
      <c r="D318" s="9"/>
      <c r="E318" s="23">
        <v>48330</v>
      </c>
      <c r="G318" s="42">
        <f>460000+955000+59080</f>
        <v>1474080</v>
      </c>
      <c r="I318" s="42">
        <v>0</v>
      </c>
      <c r="K318" s="42">
        <v>0</v>
      </c>
      <c r="M318" s="42">
        <v>0</v>
      </c>
      <c r="O318" s="42">
        <v>356626</v>
      </c>
      <c r="Q318" s="42">
        <v>0</v>
      </c>
      <c r="S318" s="5">
        <f t="shared" si="24"/>
        <v>1830706</v>
      </c>
      <c r="U318" s="42">
        <v>195379</v>
      </c>
      <c r="W318" s="42">
        <f>+'St of Net Pos - GA'!Q318-'Long Term Liab - GA'!U318</f>
        <v>0</v>
      </c>
    </row>
    <row r="319" spans="1:23">
      <c r="A319" s="9" t="s">
        <v>795</v>
      </c>
      <c r="B319" s="9"/>
      <c r="C319" s="9" t="s">
        <v>109</v>
      </c>
      <c r="D319" s="9"/>
      <c r="E319" s="23">
        <v>49445</v>
      </c>
      <c r="G319" s="42">
        <v>481000</v>
      </c>
      <c r="I319" s="42">
        <v>0</v>
      </c>
      <c r="K319" s="42">
        <v>0</v>
      </c>
      <c r="M319" s="42">
        <v>0</v>
      </c>
      <c r="O319" s="42">
        <v>213641</v>
      </c>
      <c r="Q319" s="42">
        <v>0</v>
      </c>
      <c r="S319" s="5">
        <f t="shared" si="24"/>
        <v>694641</v>
      </c>
      <c r="U319" s="42">
        <v>56084</v>
      </c>
      <c r="W319" s="42">
        <f>+'St of Net Pos - GA'!Q319-'Long Term Liab - GA'!U319</f>
        <v>0</v>
      </c>
    </row>
    <row r="320" spans="1:23">
      <c r="A320" s="9" t="s">
        <v>349</v>
      </c>
      <c r="B320" s="9"/>
      <c r="C320" s="9" t="s">
        <v>346</v>
      </c>
      <c r="D320" s="9"/>
      <c r="E320" s="23">
        <v>47639</v>
      </c>
      <c r="G320" s="42">
        <f>240000+855000+18589</f>
        <v>1113589</v>
      </c>
      <c r="I320" s="42">
        <v>0</v>
      </c>
      <c r="K320" s="42">
        <v>0</v>
      </c>
      <c r="M320" s="42">
        <v>149636</v>
      </c>
      <c r="O320" s="42">
        <v>616072</v>
      </c>
      <c r="Q320" s="42">
        <v>0</v>
      </c>
      <c r="S320" s="5">
        <f t="shared" si="24"/>
        <v>1879297</v>
      </c>
      <c r="U320" s="42">
        <v>206098</v>
      </c>
      <c r="W320" s="42">
        <f>+'St of Net Pos - GA'!Q320-'Long Term Liab - GA'!U320</f>
        <v>0</v>
      </c>
    </row>
    <row r="321" spans="1:23">
      <c r="A321" s="9" t="s">
        <v>705</v>
      </c>
      <c r="B321" s="9"/>
      <c r="C321" s="9" t="s">
        <v>50</v>
      </c>
      <c r="D321" s="9"/>
      <c r="E321" s="23">
        <v>48702</v>
      </c>
      <c r="G321" s="42">
        <v>10706797</v>
      </c>
      <c r="I321" s="42">
        <v>0</v>
      </c>
      <c r="K321" s="42">
        <v>0</v>
      </c>
      <c r="M321" s="42">
        <v>1120000</v>
      </c>
      <c r="O321" s="42">
        <v>1927281</v>
      </c>
      <c r="Q321" s="42">
        <v>0</v>
      </c>
      <c r="S321" s="5">
        <f t="shared" si="23"/>
        <v>13754078</v>
      </c>
      <c r="U321" s="42">
        <v>1546715</v>
      </c>
      <c r="W321" s="42">
        <f>+'St of Net Pos - GA'!Q321-'Long Term Liab - GA'!U321</f>
        <v>0</v>
      </c>
    </row>
    <row r="322" spans="1:23">
      <c r="A322" s="9" t="s">
        <v>323</v>
      </c>
      <c r="B322" s="9"/>
      <c r="C322" s="9" t="s">
        <v>32</v>
      </c>
      <c r="D322" s="9"/>
      <c r="E322" s="23">
        <v>44289</v>
      </c>
      <c r="G322" s="42">
        <v>26018719</v>
      </c>
      <c r="I322" s="42">
        <v>0</v>
      </c>
      <c r="K322" s="42">
        <v>0</v>
      </c>
      <c r="M322" s="42">
        <v>411872</v>
      </c>
      <c r="O322" s="42">
        <v>584124</v>
      </c>
      <c r="Q322" s="42">
        <v>0</v>
      </c>
      <c r="S322" s="5">
        <f t="shared" si="23"/>
        <v>27014715</v>
      </c>
      <c r="U322" s="42">
        <v>925591</v>
      </c>
      <c r="W322" s="42">
        <f>+'St of Net Pos - GA'!Q322-'Long Term Liab - GA'!U322</f>
        <v>0</v>
      </c>
    </row>
    <row r="323" spans="1:23">
      <c r="A323" s="9" t="s">
        <v>223</v>
      </c>
      <c r="B323" s="9"/>
      <c r="C323" s="9" t="s">
        <v>220</v>
      </c>
      <c r="D323" s="9"/>
      <c r="E323" s="23">
        <v>46128</v>
      </c>
      <c r="G323" s="42">
        <f>241622+199994+7415000+117984+1720000+534882-194367+425173</f>
        <v>10460288</v>
      </c>
      <c r="I323" s="42">
        <v>0</v>
      </c>
      <c r="K323" s="42">
        <v>0</v>
      </c>
      <c r="M323" s="42">
        <f>4827+2733000+125000+115766+177928</f>
        <v>3156521</v>
      </c>
      <c r="O323" s="42">
        <v>114081</v>
      </c>
      <c r="Q323" s="42">
        <v>0</v>
      </c>
      <c r="S323" s="5">
        <f t="shared" si="23"/>
        <v>13730890</v>
      </c>
      <c r="U323" s="42">
        <v>397412</v>
      </c>
      <c r="W323" s="42">
        <f>+'St of Net Pos - GA'!Q323-'Long Term Liab - GA'!U323</f>
        <v>0</v>
      </c>
    </row>
    <row r="324" spans="1:23" hidden="1">
      <c r="A324" s="9" t="s">
        <v>724</v>
      </c>
      <c r="B324" s="9"/>
      <c r="C324" s="9" t="s">
        <v>41</v>
      </c>
      <c r="D324" s="9"/>
      <c r="E324" s="23">
        <v>47886</v>
      </c>
      <c r="G324" s="42">
        <v>0</v>
      </c>
      <c r="I324" s="42">
        <v>0</v>
      </c>
      <c r="K324" s="42">
        <v>0</v>
      </c>
      <c r="M324" s="42">
        <v>0</v>
      </c>
      <c r="O324" s="42">
        <v>0</v>
      </c>
      <c r="Q324" s="42">
        <v>0</v>
      </c>
      <c r="S324" s="5">
        <f t="shared" si="23"/>
        <v>0</v>
      </c>
      <c r="U324" s="42">
        <v>0</v>
      </c>
      <c r="W324" s="42">
        <f>+'St of Net Pos - GA'!Q324-'Long Term Liab - GA'!U324</f>
        <v>0</v>
      </c>
    </row>
    <row r="325" spans="1:23">
      <c r="A325" s="9" t="s">
        <v>223</v>
      </c>
      <c r="B325" s="9"/>
      <c r="C325" s="9" t="s">
        <v>109</v>
      </c>
      <c r="D325" s="9"/>
      <c r="E325" s="23">
        <v>49452</v>
      </c>
      <c r="G325" s="42">
        <f>26413398+2100325</f>
        <v>28513723</v>
      </c>
      <c r="I325" s="42">
        <v>0</v>
      </c>
      <c r="K325" s="42">
        <v>0</v>
      </c>
      <c r="M325" s="42">
        <v>66661</v>
      </c>
      <c r="O325" s="42">
        <v>1397540</v>
      </c>
      <c r="Q325" s="42">
        <v>0</v>
      </c>
      <c r="S325" s="5">
        <f t="shared" si="23"/>
        <v>29977924</v>
      </c>
      <c r="U325" s="42">
        <v>496117</v>
      </c>
      <c r="W325" s="42">
        <f>+'St of Net Pos - GA'!Q325-'Long Term Liab - GA'!U325</f>
        <v>0</v>
      </c>
    </row>
    <row r="326" spans="1:23">
      <c r="A326" s="9" t="s">
        <v>688</v>
      </c>
      <c r="B326" s="9"/>
      <c r="C326" s="9" t="s">
        <v>395</v>
      </c>
      <c r="D326" s="9"/>
      <c r="E326" s="23">
        <v>48272</v>
      </c>
      <c r="G326" s="42">
        <v>115000</v>
      </c>
      <c r="I326" s="42">
        <v>0</v>
      </c>
      <c r="K326" s="42">
        <v>0</v>
      </c>
      <c r="M326" s="42">
        <v>0</v>
      </c>
      <c r="O326" s="42">
        <v>851082</v>
      </c>
      <c r="Q326" s="42">
        <v>0</v>
      </c>
      <c r="S326" s="5">
        <f t="shared" si="23"/>
        <v>966082</v>
      </c>
      <c r="U326" s="42">
        <v>107429</v>
      </c>
      <c r="W326" s="42">
        <f>+'St of Net Pos - GA'!Q326-'Long Term Liab - GA'!U326</f>
        <v>0</v>
      </c>
    </row>
    <row r="327" spans="1:23">
      <c r="A327" s="9" t="s">
        <v>600</v>
      </c>
      <c r="B327" s="9"/>
      <c r="C327" s="9" t="s">
        <v>199</v>
      </c>
      <c r="D327" s="9"/>
      <c r="E327" s="54" t="s">
        <v>870</v>
      </c>
      <c r="G327" s="42">
        <v>11197092</v>
      </c>
      <c r="I327" s="42">
        <v>0</v>
      </c>
      <c r="K327" s="42">
        <v>465000</v>
      </c>
      <c r="M327" s="42">
        <v>73095</v>
      </c>
      <c r="O327" s="42">
        <v>516415</v>
      </c>
      <c r="Q327" s="42">
        <v>0</v>
      </c>
      <c r="S327" s="5">
        <f t="shared" si="23"/>
        <v>12251602</v>
      </c>
      <c r="U327" s="42">
        <v>1149708</v>
      </c>
      <c r="W327" s="42">
        <f>+'St of Net Pos - GA'!Q327-'Long Term Liab - GA'!U327</f>
        <v>0</v>
      </c>
    </row>
    <row r="328" spans="1:23" hidden="1">
      <c r="A328" s="9" t="s">
        <v>799</v>
      </c>
      <c r="B328" s="9"/>
      <c r="C328" s="9" t="s">
        <v>63</v>
      </c>
      <c r="D328" s="9"/>
      <c r="E328" s="54">
        <v>50005</v>
      </c>
      <c r="G328" s="42">
        <v>0</v>
      </c>
      <c r="I328" s="42">
        <v>0</v>
      </c>
      <c r="K328" s="42">
        <v>0</v>
      </c>
      <c r="M328" s="42">
        <v>0</v>
      </c>
      <c r="O328" s="42">
        <v>0</v>
      </c>
      <c r="Q328" s="42">
        <v>0</v>
      </c>
      <c r="S328" s="5">
        <f t="shared" ref="S328" si="25">SUM(G328:R328)</f>
        <v>0</v>
      </c>
      <c r="U328" s="42">
        <v>0</v>
      </c>
      <c r="W328" s="42">
        <f>+'St of Net Pos - GA'!Q328-'Long Term Liab - GA'!U328</f>
        <v>0</v>
      </c>
    </row>
    <row r="329" spans="1:23">
      <c r="A329" s="9" t="s">
        <v>466</v>
      </c>
      <c r="B329" s="9"/>
      <c r="C329" s="9" t="s">
        <v>109</v>
      </c>
      <c r="D329" s="9"/>
      <c r="E329" s="23">
        <v>44297</v>
      </c>
      <c r="G329" s="42">
        <f>2686306+8204995+968228</f>
        <v>11859529</v>
      </c>
      <c r="I329" s="42">
        <v>0</v>
      </c>
      <c r="K329" s="42">
        <f>2500000+2901719</f>
        <v>5401719</v>
      </c>
      <c r="M329" s="42">
        <v>12978</v>
      </c>
      <c r="O329" s="42">
        <v>3386997</v>
      </c>
      <c r="Q329" s="42">
        <v>0</v>
      </c>
      <c r="S329" s="5">
        <f t="shared" si="23"/>
        <v>20661223</v>
      </c>
      <c r="U329" s="42">
        <v>2088572</v>
      </c>
      <c r="W329" s="42">
        <f>+'St of Net Pos - GA'!Q329-'Long Term Liab - GA'!U329</f>
        <v>0</v>
      </c>
    </row>
    <row r="330" spans="1:23">
      <c r="A330" s="9" t="s">
        <v>716</v>
      </c>
      <c r="B330" s="9"/>
      <c r="C330" s="9" t="s">
        <v>20</v>
      </c>
      <c r="D330" s="9"/>
      <c r="E330" s="23">
        <v>44305</v>
      </c>
      <c r="G330" s="42">
        <f>60940868+3033656</f>
        <v>63974524</v>
      </c>
      <c r="I330" s="42">
        <v>0</v>
      </c>
      <c r="K330" s="42">
        <v>0</v>
      </c>
      <c r="M330" s="42">
        <v>0</v>
      </c>
      <c r="O330" s="42">
        <v>2843891</v>
      </c>
      <c r="Q330" s="42">
        <v>0</v>
      </c>
      <c r="S330" s="5">
        <f t="shared" si="23"/>
        <v>66818415</v>
      </c>
      <c r="U330" s="42">
        <v>697481</v>
      </c>
      <c r="W330" s="42">
        <f>+'St of Net Pos - GA'!Q330-'Long Term Liab - GA'!U330</f>
        <v>0</v>
      </c>
    </row>
    <row r="331" spans="1:23">
      <c r="A331" s="9" t="s">
        <v>204</v>
      </c>
      <c r="B331" s="9"/>
      <c r="C331" s="9" t="s">
        <v>11</v>
      </c>
      <c r="D331" s="9"/>
      <c r="E331" s="23">
        <v>45831</v>
      </c>
      <c r="G331" s="42">
        <f>845000+725000+1215000+199997+40751+105981</f>
        <v>3131729</v>
      </c>
      <c r="I331" s="42">
        <v>0</v>
      </c>
      <c r="K331" s="42">
        <v>0</v>
      </c>
      <c r="M331" s="42">
        <v>0</v>
      </c>
      <c r="O331" s="42">
        <v>303981</v>
      </c>
      <c r="Q331" s="42">
        <v>0</v>
      </c>
      <c r="S331" s="5">
        <f t="shared" si="23"/>
        <v>3435710</v>
      </c>
      <c r="U331" s="42">
        <v>388239</v>
      </c>
      <c r="W331" s="42">
        <f>+'St of Net Pos - GA'!Q331-'Long Term Liab - GA'!U331</f>
        <v>0</v>
      </c>
    </row>
    <row r="332" spans="1:23">
      <c r="A332" s="9" t="s">
        <v>524</v>
      </c>
      <c r="B332" s="9"/>
      <c r="C332" s="9" t="s">
        <v>64</v>
      </c>
      <c r="D332" s="9"/>
      <c r="E332" s="23">
        <v>50211</v>
      </c>
      <c r="G332" s="42">
        <f>1793917+101445</f>
        <v>1895362</v>
      </c>
      <c r="I332" s="42">
        <v>0</v>
      </c>
      <c r="K332" s="42">
        <v>0</v>
      </c>
      <c r="M332" s="42">
        <v>0</v>
      </c>
      <c r="O332" s="42">
        <v>586166</v>
      </c>
      <c r="Q332" s="42">
        <v>0</v>
      </c>
      <c r="S332" s="5">
        <f t="shared" si="23"/>
        <v>2481528</v>
      </c>
      <c r="U332" s="42">
        <v>209703</v>
      </c>
      <c r="W332" s="42">
        <f>+'St of Net Pos - GA'!Q332-'Long Term Liab - GA'!U332</f>
        <v>0</v>
      </c>
    </row>
    <row r="333" spans="1:23">
      <c r="A333" s="9" t="s">
        <v>286</v>
      </c>
      <c r="B333" s="9"/>
      <c r="C333" s="9" t="s">
        <v>24</v>
      </c>
      <c r="D333" s="9"/>
      <c r="E333" s="23">
        <v>46805</v>
      </c>
      <c r="G333" s="42">
        <v>0</v>
      </c>
      <c r="I333" s="42">
        <v>0</v>
      </c>
      <c r="K333" s="42">
        <v>0</v>
      </c>
      <c r="M333" s="42">
        <v>2289000</v>
      </c>
      <c r="O333" s="42">
        <v>756804</v>
      </c>
      <c r="Q333" s="42">
        <v>0</v>
      </c>
      <c r="S333" s="5">
        <f t="shared" si="23"/>
        <v>3045804</v>
      </c>
      <c r="U333" s="42">
        <v>217476</v>
      </c>
      <c r="W333" s="42">
        <f>+'St of Net Pos - GA'!Q333-'Long Term Liab - GA'!U333</f>
        <v>0</v>
      </c>
    </row>
    <row r="334" spans="1:23">
      <c r="A334" s="9" t="s">
        <v>324</v>
      </c>
      <c r="B334" s="9"/>
      <c r="C334" s="9" t="s">
        <v>32</v>
      </c>
      <c r="D334" s="9"/>
      <c r="E334" s="23">
        <v>44313</v>
      </c>
      <c r="G334" s="42">
        <f>47685000+1177835-13873-1045461</f>
        <v>47803501</v>
      </c>
      <c r="I334" s="42">
        <v>0</v>
      </c>
      <c r="K334" s="42">
        <v>0</v>
      </c>
      <c r="M334" s="42">
        <v>1464060</v>
      </c>
      <c r="O334" s="42">
        <v>1030967</v>
      </c>
      <c r="Q334" s="42">
        <v>0</v>
      </c>
      <c r="S334" s="5">
        <f t="shared" si="23"/>
        <v>50298528</v>
      </c>
      <c r="U334" s="42">
        <v>1068089</v>
      </c>
      <c r="W334" s="42">
        <f>+'St of Net Pos - GA'!Q334-'Long Term Liab - GA'!U334</f>
        <v>0</v>
      </c>
    </row>
    <row r="335" spans="1:23" hidden="1">
      <c r="A335" s="9" t="s">
        <v>607</v>
      </c>
      <c r="B335" s="9"/>
      <c r="C335" s="9" t="s">
        <v>70</v>
      </c>
      <c r="D335" s="9"/>
      <c r="E335" s="23">
        <v>44321</v>
      </c>
      <c r="G335" s="42">
        <v>0</v>
      </c>
      <c r="I335" s="42">
        <v>0</v>
      </c>
      <c r="K335" s="42">
        <v>0</v>
      </c>
      <c r="M335" s="42">
        <v>0</v>
      </c>
      <c r="O335" s="42">
        <v>0</v>
      </c>
      <c r="Q335" s="42">
        <v>0</v>
      </c>
      <c r="S335" s="5">
        <f t="shared" si="23"/>
        <v>0</v>
      </c>
      <c r="U335" s="42">
        <v>0</v>
      </c>
      <c r="W335" s="42">
        <f>+'St of Net Pos - GA'!Q335-'Long Term Liab - GA'!U335</f>
        <v>0</v>
      </c>
    </row>
    <row r="336" spans="1:23">
      <c r="A336" s="9" t="s">
        <v>407</v>
      </c>
      <c r="B336" s="9"/>
      <c r="C336" s="9" t="s">
        <v>46</v>
      </c>
      <c r="D336" s="9"/>
      <c r="E336" s="23">
        <v>44339</v>
      </c>
      <c r="G336" s="42">
        <v>10250888</v>
      </c>
      <c r="I336" s="42">
        <v>0</v>
      </c>
      <c r="K336" s="42">
        <v>1725880</v>
      </c>
      <c r="M336" s="42">
        <v>254745</v>
      </c>
      <c r="O336" s="42">
        <v>2970973</v>
      </c>
      <c r="Q336" s="42">
        <v>0</v>
      </c>
      <c r="S336" s="5">
        <f t="shared" si="23"/>
        <v>15202486</v>
      </c>
      <c r="U336" s="42">
        <v>1261615</v>
      </c>
      <c r="W336" s="42">
        <f>+'St of Net Pos - GA'!Q336-'Long Term Liab - GA'!U336</f>
        <v>0</v>
      </c>
    </row>
    <row r="337" spans="1:23" hidden="1">
      <c r="A337" s="9" t="s">
        <v>680</v>
      </c>
      <c r="B337" s="9"/>
      <c r="C337" s="9" t="s">
        <v>419</v>
      </c>
      <c r="D337" s="9"/>
      <c r="E337" s="23">
        <v>48553</v>
      </c>
      <c r="G337" s="42">
        <v>0</v>
      </c>
      <c r="I337" s="42">
        <v>0</v>
      </c>
      <c r="K337" s="42">
        <v>0</v>
      </c>
      <c r="M337" s="42">
        <v>0</v>
      </c>
      <c r="O337" s="42">
        <v>0</v>
      </c>
      <c r="Q337" s="42">
        <v>0</v>
      </c>
      <c r="S337" s="5">
        <f t="shared" si="23"/>
        <v>0</v>
      </c>
      <c r="U337" s="42">
        <v>0</v>
      </c>
      <c r="W337" s="42">
        <f>+'St of Net Pos - GA'!Q337-'Long Term Liab - GA'!U337</f>
        <v>0</v>
      </c>
    </row>
    <row r="338" spans="1:23">
      <c r="A338" s="9" t="s">
        <v>496</v>
      </c>
      <c r="B338" s="9"/>
      <c r="C338" s="9" t="s">
        <v>62</v>
      </c>
      <c r="D338" s="9"/>
      <c r="E338" s="23">
        <v>49882</v>
      </c>
      <c r="G338" s="42">
        <v>0</v>
      </c>
      <c r="I338" s="42">
        <v>0</v>
      </c>
      <c r="K338" s="42">
        <v>0</v>
      </c>
      <c r="M338" s="42">
        <v>0</v>
      </c>
      <c r="O338" s="42">
        <v>1217944</v>
      </c>
      <c r="Q338" s="42">
        <v>0</v>
      </c>
      <c r="S338" s="5">
        <f t="shared" si="23"/>
        <v>1217944</v>
      </c>
      <c r="U338" s="42">
        <v>155284</v>
      </c>
      <c r="W338" s="42">
        <f>+'St of Net Pos - GA'!Q338-'Long Term Liab - GA'!U338</f>
        <v>0</v>
      </c>
    </row>
    <row r="339" spans="1:23">
      <c r="A339" s="9" t="s">
        <v>215</v>
      </c>
      <c r="B339" s="9"/>
      <c r="C339" s="9" t="s">
        <v>15</v>
      </c>
      <c r="D339" s="9"/>
      <c r="E339" s="23">
        <v>44347</v>
      </c>
      <c r="G339" s="42">
        <v>10565946</v>
      </c>
      <c r="I339" s="42">
        <v>0</v>
      </c>
      <c r="K339" s="42">
        <v>0</v>
      </c>
      <c r="M339" s="42">
        <v>3277689</v>
      </c>
      <c r="O339" s="42">
        <v>832987</v>
      </c>
      <c r="Q339" s="42">
        <v>0</v>
      </c>
      <c r="S339" s="5">
        <f t="shared" si="23"/>
        <v>14676622</v>
      </c>
      <c r="U339" s="42">
        <v>647424</v>
      </c>
      <c r="W339" s="42">
        <f>+'St of Net Pos - GA'!Q339-'Long Term Liab - GA'!U339</f>
        <v>0</v>
      </c>
    </row>
    <row r="340" spans="1:23">
      <c r="A340" s="9" t="s">
        <v>761</v>
      </c>
      <c r="B340" s="9"/>
      <c r="C340" s="9" t="s">
        <v>66</v>
      </c>
      <c r="D340" s="9"/>
      <c r="E340" s="23">
        <v>45476</v>
      </c>
      <c r="G340" s="42">
        <v>92566926</v>
      </c>
      <c r="I340" s="42">
        <v>22106</v>
      </c>
      <c r="K340" s="42">
        <v>260000</v>
      </c>
      <c r="M340" s="42">
        <v>2155516</v>
      </c>
      <c r="O340" s="42">
        <v>3661626</v>
      </c>
      <c r="Q340" s="42">
        <v>850118</v>
      </c>
      <c r="S340" s="5">
        <f t="shared" si="23"/>
        <v>99516292</v>
      </c>
      <c r="U340" s="42">
        <v>4753156</v>
      </c>
      <c r="W340" s="42">
        <f>+'St of Net Pos - GA'!Q340-'Long Term Liab - GA'!U340</f>
        <v>0</v>
      </c>
    </row>
    <row r="341" spans="1:23">
      <c r="A341" s="9" t="s">
        <v>542</v>
      </c>
      <c r="B341" s="9"/>
      <c r="C341" s="9" t="s">
        <v>69</v>
      </c>
      <c r="D341" s="9"/>
      <c r="E341" s="23">
        <v>50450</v>
      </c>
      <c r="G341" s="42">
        <v>112488385</v>
      </c>
      <c r="I341" s="42">
        <v>0</v>
      </c>
      <c r="K341" s="42">
        <v>0</v>
      </c>
      <c r="M341" s="42">
        <v>5025000</v>
      </c>
      <c r="O341" s="42">
        <v>5622625</v>
      </c>
      <c r="Q341" s="42">
        <v>0</v>
      </c>
      <c r="S341" s="5">
        <f t="shared" si="23"/>
        <v>123136010</v>
      </c>
      <c r="U341" s="42">
        <v>7778015</v>
      </c>
      <c r="W341" s="42">
        <f>+'St of Net Pos - GA'!Q341-'Long Term Liab - GA'!U341</f>
        <v>0</v>
      </c>
    </row>
    <row r="342" spans="1:23">
      <c r="A342" s="9" t="s">
        <v>497</v>
      </c>
      <c r="B342" s="9"/>
      <c r="C342" s="9" t="s">
        <v>62</v>
      </c>
      <c r="D342" s="9"/>
      <c r="E342" s="23">
        <v>44354</v>
      </c>
      <c r="G342" s="42">
        <v>11327621</v>
      </c>
      <c r="I342" s="42">
        <v>0</v>
      </c>
      <c r="K342" s="42">
        <v>0</v>
      </c>
      <c r="M342" s="42">
        <v>66430</v>
      </c>
      <c r="O342" s="42">
        <v>2973925</v>
      </c>
      <c r="Q342" s="42">
        <v>0</v>
      </c>
      <c r="S342" s="5">
        <f t="shared" si="23"/>
        <v>14367976</v>
      </c>
      <c r="U342" s="42">
        <v>781922</v>
      </c>
      <c r="W342" s="42">
        <f>+'St of Net Pos - GA'!Q342-'Long Term Liab - GA'!U342</f>
        <v>0</v>
      </c>
    </row>
    <row r="343" spans="1:23">
      <c r="A343" s="9" t="s">
        <v>525</v>
      </c>
      <c r="B343" s="9"/>
      <c r="C343" s="9" t="s">
        <v>64</v>
      </c>
      <c r="D343" s="9"/>
      <c r="E343" s="23">
        <v>50153</v>
      </c>
      <c r="G343" s="42">
        <v>0</v>
      </c>
      <c r="I343" s="42">
        <v>0</v>
      </c>
      <c r="K343" s="42">
        <v>0</v>
      </c>
      <c r="M343" s="42">
        <v>0</v>
      </c>
      <c r="O343" s="42">
        <v>454510</v>
      </c>
      <c r="Q343" s="42">
        <v>0</v>
      </c>
      <c r="S343" s="5">
        <f t="shared" si="23"/>
        <v>454510</v>
      </c>
      <c r="U343" s="42">
        <v>222295</v>
      </c>
      <c r="W343" s="42">
        <f>+'St of Net Pos - GA'!Q343-'Long Term Liab - GA'!U343</f>
        <v>0</v>
      </c>
    </row>
    <row r="344" spans="1:23" hidden="1">
      <c r="A344" s="8" t="s">
        <v>865</v>
      </c>
      <c r="B344" s="9"/>
      <c r="C344" s="9" t="s">
        <v>114</v>
      </c>
      <c r="D344" s="9"/>
      <c r="E344" s="23">
        <v>44362</v>
      </c>
      <c r="G344" s="42">
        <v>0</v>
      </c>
      <c r="I344" s="42">
        <v>0</v>
      </c>
      <c r="K344" s="42">
        <v>0</v>
      </c>
      <c r="M344" s="42">
        <v>0</v>
      </c>
      <c r="O344" s="42">
        <v>0</v>
      </c>
      <c r="Q344" s="42">
        <v>0</v>
      </c>
      <c r="S344" s="5">
        <f t="shared" si="23"/>
        <v>0</v>
      </c>
      <c r="U344" s="42">
        <v>0</v>
      </c>
      <c r="W344" s="42">
        <f>+'St of Net Pos - GA'!Q344-'Long Term Liab - GA'!U344</f>
        <v>0</v>
      </c>
    </row>
    <row r="345" spans="1:23">
      <c r="A345" s="9" t="s">
        <v>717</v>
      </c>
      <c r="B345" s="9"/>
      <c r="C345" s="9" t="s">
        <v>20</v>
      </c>
      <c r="D345" s="9"/>
      <c r="E345" s="23">
        <v>44370</v>
      </c>
      <c r="G345" s="42">
        <f>2794824+38626579</f>
        <v>41421403</v>
      </c>
      <c r="I345" s="42">
        <v>566671</v>
      </c>
      <c r="K345" s="42">
        <v>0</v>
      </c>
      <c r="M345" s="42">
        <v>0</v>
      </c>
      <c r="O345" s="42">
        <v>3421736</v>
      </c>
      <c r="Q345" s="42">
        <v>50433</v>
      </c>
      <c r="S345" s="5">
        <f t="shared" si="23"/>
        <v>45460243</v>
      </c>
      <c r="U345" s="42">
        <v>2216102</v>
      </c>
      <c r="W345" s="42">
        <f>+'St of Net Pos - GA'!Q345-'Long Term Liab - GA'!U345</f>
        <v>0</v>
      </c>
    </row>
    <row r="346" spans="1:23">
      <c r="A346" s="9" t="s">
        <v>442</v>
      </c>
      <c r="B346" s="9"/>
      <c r="C346" s="9" t="s">
        <v>51</v>
      </c>
      <c r="D346" s="9"/>
      <c r="E346" s="23">
        <v>48850</v>
      </c>
      <c r="G346" s="42">
        <v>2628398</v>
      </c>
      <c r="I346" s="42">
        <v>0</v>
      </c>
      <c r="K346" s="42">
        <v>0</v>
      </c>
      <c r="M346" s="42">
        <v>1559719</v>
      </c>
      <c r="O346" s="42">
        <v>1293715</v>
      </c>
      <c r="Q346" s="42">
        <v>0</v>
      </c>
      <c r="S346" s="5">
        <f t="shared" si="23"/>
        <v>5481832</v>
      </c>
      <c r="U346" s="42">
        <v>614835</v>
      </c>
      <c r="W346" s="42">
        <f>+'St of Net Pos - GA'!Q346-'Long Term Liab - GA'!U346</f>
        <v>0</v>
      </c>
    </row>
    <row r="347" spans="1:23" hidden="1">
      <c r="A347" s="9" t="s">
        <v>800</v>
      </c>
      <c r="B347" s="9"/>
      <c r="C347" s="9" t="s">
        <v>33</v>
      </c>
      <c r="D347" s="9"/>
      <c r="E347" s="23">
        <v>47456</v>
      </c>
      <c r="G347" s="42">
        <v>0</v>
      </c>
      <c r="I347" s="42">
        <v>0</v>
      </c>
      <c r="K347" s="42">
        <v>0</v>
      </c>
      <c r="M347" s="42">
        <v>0</v>
      </c>
      <c r="O347" s="42">
        <v>0</v>
      </c>
      <c r="Q347" s="42">
        <v>0</v>
      </c>
      <c r="S347" s="5">
        <f t="shared" si="23"/>
        <v>0</v>
      </c>
      <c r="U347" s="42">
        <v>0</v>
      </c>
      <c r="W347" s="42">
        <f>+'St of Net Pos - GA'!Q347-'Long Term Liab - GA'!U347</f>
        <v>0</v>
      </c>
    </row>
    <row r="348" spans="1:23">
      <c r="A348" s="9" t="s">
        <v>633</v>
      </c>
      <c r="B348" s="9"/>
      <c r="C348" s="9" t="s">
        <v>64</v>
      </c>
      <c r="D348" s="9"/>
      <c r="E348" s="23">
        <v>50229</v>
      </c>
      <c r="G348" s="42">
        <v>1234297</v>
      </c>
      <c r="I348" s="42">
        <v>0</v>
      </c>
      <c r="K348" s="42">
        <v>0</v>
      </c>
      <c r="M348" s="42">
        <v>42802</v>
      </c>
      <c r="O348" s="42">
        <v>271534</v>
      </c>
      <c r="Q348" s="42">
        <v>29025</v>
      </c>
      <c r="S348" s="5">
        <f t="shared" si="23"/>
        <v>1577658</v>
      </c>
      <c r="U348" s="42">
        <v>197835</v>
      </c>
      <c r="W348" s="42">
        <f>+'St of Net Pos - GA'!Q348-'Long Term Liab - GA'!U348</f>
        <v>0</v>
      </c>
    </row>
    <row r="349" spans="1:23">
      <c r="A349" s="9" t="s">
        <v>762</v>
      </c>
      <c r="B349" s="9"/>
      <c r="C349" s="9" t="s">
        <v>227</v>
      </c>
      <c r="D349" s="9"/>
      <c r="E349" s="23">
        <v>45484</v>
      </c>
      <c r="G349" s="42">
        <f>8334230-481962</f>
        <v>7852268</v>
      </c>
      <c r="I349" s="42">
        <v>0</v>
      </c>
      <c r="K349" s="42">
        <v>0</v>
      </c>
      <c r="M349" s="42">
        <v>0</v>
      </c>
      <c r="O349" s="42">
        <v>481962</v>
      </c>
      <c r="Q349" s="42">
        <v>0</v>
      </c>
      <c r="S349" s="5">
        <f t="shared" si="23"/>
        <v>8334230</v>
      </c>
      <c r="U349" s="42">
        <v>458468</v>
      </c>
      <c r="W349" s="42">
        <f>+'St of Net Pos - GA'!Q349-'Long Term Liab - GA'!U349</f>
        <v>0</v>
      </c>
    </row>
    <row r="350" spans="1:23">
      <c r="A350" s="9" t="s">
        <v>415</v>
      </c>
      <c r="B350" s="9"/>
      <c r="C350" s="9" t="s">
        <v>47</v>
      </c>
      <c r="D350" s="9"/>
      <c r="E350" s="23">
        <v>44388</v>
      </c>
      <c r="G350" s="42">
        <f>25213123+65348362</f>
        <v>90561485</v>
      </c>
      <c r="I350" s="42">
        <v>0</v>
      </c>
      <c r="K350" s="42">
        <v>0</v>
      </c>
      <c r="M350" s="42">
        <v>390180</v>
      </c>
      <c r="O350" s="42">
        <v>6856316</v>
      </c>
      <c r="Q350" s="42">
        <v>0</v>
      </c>
      <c r="S350" s="5">
        <f t="shared" si="23"/>
        <v>97807981</v>
      </c>
      <c r="U350" s="42">
        <v>4776666</v>
      </c>
      <c r="W350" s="42">
        <f>+'St of Net Pos - GA'!Q350-'Long Term Liab - GA'!U350</f>
        <v>0</v>
      </c>
    </row>
    <row r="351" spans="1:23">
      <c r="A351" s="9" t="s">
        <v>418</v>
      </c>
      <c r="B351" s="9"/>
      <c r="C351" s="9" t="s">
        <v>417</v>
      </c>
      <c r="D351" s="9"/>
      <c r="E351" s="23">
        <v>48520</v>
      </c>
      <c r="G351" s="42">
        <f>630000+3180000+100461+171369+272540-213930</f>
        <v>4140440</v>
      </c>
      <c r="I351" s="42">
        <v>0</v>
      </c>
      <c r="K351" s="42">
        <f>37500+404468</f>
        <v>441968</v>
      </c>
      <c r="M351" s="42">
        <v>0</v>
      </c>
      <c r="O351" s="42">
        <v>0</v>
      </c>
      <c r="Q351" s="42">
        <v>805786</v>
      </c>
      <c r="S351" s="5">
        <f t="shared" si="23"/>
        <v>5388194</v>
      </c>
      <c r="U351" s="42">
        <v>518786</v>
      </c>
      <c r="W351" s="42">
        <f>+'St of Net Pos - GA'!Q351-'Long Term Liab - GA'!U351</f>
        <v>0</v>
      </c>
    </row>
    <row r="352" spans="1:23">
      <c r="A352" s="9" t="s">
        <v>763</v>
      </c>
      <c r="B352" s="9"/>
      <c r="C352" s="9" t="s">
        <v>41</v>
      </c>
      <c r="D352" s="9"/>
      <c r="E352" s="23">
        <v>45492</v>
      </c>
      <c r="G352" s="42">
        <v>475007</v>
      </c>
      <c r="I352" s="42">
        <v>0</v>
      </c>
      <c r="K352" s="42">
        <v>386667</v>
      </c>
      <c r="M352" s="42">
        <v>0</v>
      </c>
      <c r="O352" s="42">
        <v>5162945</v>
      </c>
      <c r="Q352" s="42">
        <v>984900</v>
      </c>
      <c r="S352" s="5">
        <f t="shared" si="23"/>
        <v>7009519</v>
      </c>
      <c r="U352" s="42">
        <v>1511491</v>
      </c>
      <c r="W352" s="42">
        <f>+'St of Net Pos - GA'!Q352-'Long Term Liab - GA'!U352</f>
        <v>0</v>
      </c>
    </row>
    <row r="353" spans="1:23">
      <c r="A353" s="9" t="s">
        <v>421</v>
      </c>
      <c r="B353" s="9"/>
      <c r="C353" s="9" t="s">
        <v>48</v>
      </c>
      <c r="D353" s="9"/>
      <c r="E353" s="23">
        <v>48629</v>
      </c>
      <c r="G353" s="42">
        <f>18521278-1258945</f>
        <v>17262333</v>
      </c>
      <c r="I353" s="42">
        <v>0</v>
      </c>
      <c r="K353" s="42">
        <v>0</v>
      </c>
      <c r="M353" s="42">
        <v>0</v>
      </c>
      <c r="O353" s="42">
        <v>1258945</v>
      </c>
      <c r="Q353" s="42">
        <v>0</v>
      </c>
      <c r="S353" s="5">
        <f t="shared" si="23"/>
        <v>18521278</v>
      </c>
      <c r="U353" s="42">
        <v>1068401</v>
      </c>
      <c r="W353" s="42">
        <f>+'St of Net Pos - GA'!Q353-'Long Term Liab - GA'!U353</f>
        <v>0</v>
      </c>
    </row>
    <row r="354" spans="1:23">
      <c r="A354" s="9" t="s">
        <v>295</v>
      </c>
      <c r="B354" s="9"/>
      <c r="C354" s="9" t="s">
        <v>26</v>
      </c>
      <c r="D354" s="9"/>
      <c r="E354" s="23">
        <v>46920</v>
      </c>
      <c r="G354" s="42">
        <v>26252771</v>
      </c>
      <c r="I354" s="42">
        <v>0</v>
      </c>
      <c r="K354" s="42">
        <v>0</v>
      </c>
      <c r="M354" s="42">
        <v>0</v>
      </c>
      <c r="O354" s="42">
        <v>986453</v>
      </c>
      <c r="Q354" s="42">
        <v>0</v>
      </c>
      <c r="S354" s="5">
        <f t="shared" si="23"/>
        <v>27239224</v>
      </c>
      <c r="U354" s="42">
        <v>954229</v>
      </c>
      <c r="W354" s="42">
        <f>+'St of Net Pos - GA'!Q354-'Long Term Liab - GA'!U354</f>
        <v>0</v>
      </c>
    </row>
    <row r="355" spans="1:23">
      <c r="A355" s="9" t="s">
        <v>429</v>
      </c>
      <c r="B355" s="9"/>
      <c r="C355" s="9" t="s">
        <v>50</v>
      </c>
      <c r="D355" s="9"/>
      <c r="E355" s="23">
        <v>44396</v>
      </c>
      <c r="G355" s="42">
        <v>83350573</v>
      </c>
      <c r="I355" s="42">
        <v>0</v>
      </c>
      <c r="K355" s="42">
        <v>0</v>
      </c>
      <c r="M355" s="42">
        <v>222278</v>
      </c>
      <c r="O355" s="42">
        <v>3839431</v>
      </c>
      <c r="Q355" s="42">
        <v>0</v>
      </c>
      <c r="S355" s="5">
        <f t="shared" si="23"/>
        <v>87412282</v>
      </c>
      <c r="U355" s="42">
        <v>2071717</v>
      </c>
      <c r="W355" s="42">
        <f>+'St of Net Pos - GA'!Q355-'Long Term Liab - GA'!U355</f>
        <v>0</v>
      </c>
    </row>
    <row r="356" spans="1:23" hidden="1">
      <c r="A356" s="9" t="s">
        <v>806</v>
      </c>
      <c r="B356" s="9"/>
      <c r="C356" s="9" t="s">
        <v>53</v>
      </c>
      <c r="D356" s="9"/>
      <c r="E356" s="23">
        <v>48959</v>
      </c>
      <c r="G356" s="42">
        <v>0</v>
      </c>
      <c r="I356" s="42">
        <v>0</v>
      </c>
      <c r="K356" s="42">
        <v>0</v>
      </c>
      <c r="M356" s="42">
        <v>0</v>
      </c>
      <c r="O356" s="42">
        <v>0</v>
      </c>
      <c r="Q356" s="42">
        <v>0</v>
      </c>
      <c r="S356" s="5">
        <f t="shared" ref="S356" si="26">SUM(G356:R356)</f>
        <v>0</v>
      </c>
      <c r="U356" s="42">
        <v>0</v>
      </c>
      <c r="W356" s="42">
        <f>+'St of Net Pos - GA'!Q356-'Long Term Liab - GA'!U356</f>
        <v>0</v>
      </c>
    </row>
    <row r="357" spans="1:23">
      <c r="A357" s="9" t="s">
        <v>224</v>
      </c>
      <c r="B357" s="9"/>
      <c r="C357" s="9" t="s">
        <v>220</v>
      </c>
      <c r="D357" s="9"/>
      <c r="E357" s="23">
        <v>44404</v>
      </c>
      <c r="G357" s="42">
        <f>2325000+53280000+3815625</f>
        <v>59420625</v>
      </c>
      <c r="I357" s="42">
        <v>0</v>
      </c>
      <c r="K357" s="42">
        <f>788738+338831</f>
        <v>1127569</v>
      </c>
      <c r="M357" s="42">
        <v>1005254</v>
      </c>
      <c r="O357" s="42">
        <v>1393042</v>
      </c>
      <c r="Q357" s="42">
        <v>1167889</v>
      </c>
      <c r="S357" s="5">
        <f t="shared" si="23"/>
        <v>64114379</v>
      </c>
      <c r="U357" s="42">
        <v>2417214</v>
      </c>
      <c r="W357" s="42">
        <f>+'St of Net Pos - GA'!Q357-'Long Term Liab - GA'!U357</f>
        <v>0</v>
      </c>
    </row>
    <row r="358" spans="1:23">
      <c r="A358" s="9" t="s">
        <v>384</v>
      </c>
      <c r="B358" s="9"/>
      <c r="C358" s="9" t="s">
        <v>44</v>
      </c>
      <c r="D358" s="9"/>
      <c r="E358" s="23">
        <v>48173</v>
      </c>
      <c r="G358" s="42">
        <f>26017375-1445155-279043-201000</f>
        <v>24092177</v>
      </c>
      <c r="I358" s="42">
        <v>0</v>
      </c>
      <c r="K358" s="42">
        <v>201000</v>
      </c>
      <c r="M358" s="42">
        <v>279043</v>
      </c>
      <c r="O358" s="42">
        <v>1445155</v>
      </c>
      <c r="Q358" s="42">
        <v>0</v>
      </c>
      <c r="S358" s="5">
        <f t="shared" si="23"/>
        <v>26017375</v>
      </c>
      <c r="U358" s="42">
        <v>854040</v>
      </c>
      <c r="W358" s="42">
        <f>+'St of Net Pos - GA'!Q358-'Long Term Liab - GA'!U358</f>
        <v>0</v>
      </c>
    </row>
    <row r="359" spans="1:23">
      <c r="A359" s="9" t="s">
        <v>764</v>
      </c>
      <c r="B359" s="9"/>
      <c r="C359" s="9" t="s">
        <v>112</v>
      </c>
      <c r="D359" s="9"/>
      <c r="E359" s="23">
        <v>45500</v>
      </c>
      <c r="G359" s="42">
        <f>69261543-153734-1781000</f>
        <v>67326809</v>
      </c>
      <c r="I359" s="42">
        <v>153734</v>
      </c>
      <c r="K359" s="42">
        <v>1781000</v>
      </c>
      <c r="M359" s="42">
        <v>0</v>
      </c>
      <c r="O359" s="42">
        <v>2091700</v>
      </c>
      <c r="Q359" s="42">
        <v>0</v>
      </c>
      <c r="S359" s="5">
        <f t="shared" si="23"/>
        <v>71353243</v>
      </c>
      <c r="U359" s="42">
        <v>2062640</v>
      </c>
      <c r="W359" s="42">
        <f>+'St of Net Pos - GA'!Q359-'Long Term Liab - GA'!U359</f>
        <v>0</v>
      </c>
    </row>
    <row r="360" spans="1:23" hidden="1">
      <c r="A360" s="9" t="s">
        <v>608</v>
      </c>
      <c r="B360" s="9"/>
      <c r="C360" s="9" t="s">
        <v>548</v>
      </c>
      <c r="D360" s="9"/>
      <c r="E360" s="23">
        <v>50633</v>
      </c>
      <c r="G360" s="42">
        <v>0</v>
      </c>
      <c r="I360" s="42">
        <v>0</v>
      </c>
      <c r="K360" s="42">
        <v>0</v>
      </c>
      <c r="M360" s="42">
        <v>0</v>
      </c>
      <c r="O360" s="42">
        <v>0</v>
      </c>
      <c r="Q360" s="42">
        <v>0</v>
      </c>
      <c r="S360" s="5">
        <f t="shared" si="23"/>
        <v>0</v>
      </c>
      <c r="U360" s="42">
        <v>0</v>
      </c>
      <c r="W360" s="42">
        <f>+'St of Net Pos - GA'!Q360-'Long Term Liab - GA'!U360</f>
        <v>0</v>
      </c>
    </row>
    <row r="361" spans="1:23" hidden="1">
      <c r="A361" s="9" t="s">
        <v>880</v>
      </c>
      <c r="B361" s="9"/>
      <c r="C361" s="9" t="s">
        <v>464</v>
      </c>
      <c r="D361" s="9"/>
      <c r="E361" s="23">
        <v>49361</v>
      </c>
      <c r="G361" s="42">
        <v>0</v>
      </c>
      <c r="I361" s="42">
        <v>0</v>
      </c>
      <c r="K361" s="42">
        <v>0</v>
      </c>
      <c r="M361" s="42">
        <v>0</v>
      </c>
      <c r="O361" s="42">
        <v>0</v>
      </c>
      <c r="Q361" s="42">
        <v>0</v>
      </c>
      <c r="S361" s="5">
        <f t="shared" si="23"/>
        <v>0</v>
      </c>
      <c r="U361" s="42">
        <v>0</v>
      </c>
      <c r="W361" s="42">
        <f>+'St of Net Pos - GA'!Q361-'Long Term Liab - GA'!U361</f>
        <v>0</v>
      </c>
    </row>
    <row r="362" spans="1:23" hidden="1">
      <c r="A362" s="9" t="s">
        <v>801</v>
      </c>
      <c r="B362" s="9"/>
      <c r="C362" s="9" t="s">
        <v>48</v>
      </c>
      <c r="D362" s="9"/>
      <c r="E362" s="23">
        <v>45518</v>
      </c>
      <c r="G362" s="42">
        <v>0</v>
      </c>
      <c r="I362" s="42">
        <v>0</v>
      </c>
      <c r="K362" s="42">
        <v>0</v>
      </c>
      <c r="M362" s="42">
        <v>0</v>
      </c>
      <c r="O362" s="42">
        <v>0</v>
      </c>
      <c r="Q362" s="42">
        <v>0</v>
      </c>
      <c r="S362" s="5">
        <f t="shared" si="23"/>
        <v>0</v>
      </c>
      <c r="U362" s="42">
        <v>0</v>
      </c>
      <c r="W362" s="42">
        <f>+'St of Net Pos - GA'!Q362-'Long Term Liab - GA'!U362</f>
        <v>0</v>
      </c>
    </row>
    <row r="363" spans="1:23">
      <c r="A363" s="9" t="s">
        <v>498</v>
      </c>
      <c r="B363" s="9"/>
      <c r="C363" s="9" t="s">
        <v>62</v>
      </c>
      <c r="D363" s="9"/>
      <c r="E363" s="23">
        <v>49890</v>
      </c>
      <c r="G363" s="42">
        <v>11566160</v>
      </c>
      <c r="I363" s="42">
        <v>0</v>
      </c>
      <c r="K363" s="42">
        <v>0</v>
      </c>
      <c r="M363" s="42">
        <v>425142</v>
      </c>
      <c r="O363" s="42">
        <v>867752</v>
      </c>
      <c r="Q363" s="42">
        <v>0</v>
      </c>
      <c r="S363" s="5">
        <f t="shared" si="23"/>
        <v>12859054</v>
      </c>
      <c r="U363" s="42">
        <v>735267</v>
      </c>
      <c r="W363" s="42">
        <f>+'St of Net Pos - GA'!Q363-'Long Term Liab - GA'!U363</f>
        <v>0</v>
      </c>
    </row>
    <row r="364" spans="1:23">
      <c r="A364" s="9" t="s">
        <v>479</v>
      </c>
      <c r="B364" s="9"/>
      <c r="C364" s="9" t="s">
        <v>59</v>
      </c>
      <c r="D364" s="9"/>
      <c r="E364" s="23">
        <v>49627</v>
      </c>
      <c r="G364" s="42">
        <f>225000+511800+755000+39701+50000+32571</f>
        <v>1614072</v>
      </c>
      <c r="I364" s="42">
        <v>0</v>
      </c>
      <c r="K364" s="42">
        <v>0</v>
      </c>
      <c r="M364" s="42">
        <v>696269</v>
      </c>
      <c r="O364" s="42">
        <v>901680</v>
      </c>
      <c r="Q364" s="42">
        <v>0</v>
      </c>
      <c r="S364" s="5">
        <f t="shared" si="23"/>
        <v>3212021</v>
      </c>
      <c r="U364" s="42">
        <v>439719</v>
      </c>
      <c r="W364" s="42">
        <f>+'St of Net Pos - GA'!Q364-'Long Term Liab - GA'!U364</f>
        <v>0</v>
      </c>
    </row>
    <row r="365" spans="1:23">
      <c r="A365" s="9" t="s">
        <v>212</v>
      </c>
      <c r="B365" s="9"/>
      <c r="C365" s="9" t="s">
        <v>14</v>
      </c>
      <c r="D365" s="9"/>
      <c r="E365" s="23">
        <v>45948</v>
      </c>
      <c r="G365" s="42">
        <v>11386586</v>
      </c>
      <c r="I365" s="42">
        <v>0</v>
      </c>
      <c r="K365" s="42">
        <v>0</v>
      </c>
      <c r="M365" s="42">
        <v>0</v>
      </c>
      <c r="O365" s="42">
        <v>474011</v>
      </c>
      <c r="Q365" s="42">
        <v>0</v>
      </c>
      <c r="S365" s="5">
        <f t="shared" si="23"/>
        <v>11860597</v>
      </c>
      <c r="U365" s="42">
        <v>105734</v>
      </c>
      <c r="W365" s="42">
        <f>+'St of Net Pos - GA'!Q365-'Long Term Liab - GA'!U365</f>
        <v>0</v>
      </c>
    </row>
    <row r="366" spans="1:23" hidden="1">
      <c r="A366" s="9" t="s">
        <v>635</v>
      </c>
      <c r="B366" s="9"/>
      <c r="C366" s="9" t="s">
        <v>21</v>
      </c>
      <c r="D366" s="9"/>
      <c r="E366" s="23">
        <v>46672</v>
      </c>
      <c r="G366" s="42">
        <v>0</v>
      </c>
      <c r="I366" s="42">
        <v>0</v>
      </c>
      <c r="K366" s="42">
        <v>0</v>
      </c>
      <c r="M366" s="42">
        <v>0</v>
      </c>
      <c r="O366" s="42">
        <v>0</v>
      </c>
      <c r="Q366" s="42">
        <v>0</v>
      </c>
      <c r="S366" s="5">
        <f t="shared" si="23"/>
        <v>0</v>
      </c>
      <c r="U366" s="42">
        <v>0</v>
      </c>
      <c r="W366" s="42">
        <f>+'St of Net Pos - GA'!Q366-'Long Term Liab - GA'!U366</f>
        <v>0</v>
      </c>
    </row>
    <row r="367" spans="1:23">
      <c r="A367" s="9" t="s">
        <v>506</v>
      </c>
      <c r="B367" s="9"/>
      <c r="C367" s="9" t="s">
        <v>63</v>
      </c>
      <c r="D367" s="9"/>
      <c r="E367" s="23">
        <v>50039</v>
      </c>
      <c r="G367" s="42">
        <f>8325000+294963+1780351</f>
        <v>10400314</v>
      </c>
      <c r="I367" s="42">
        <v>0</v>
      </c>
      <c r="K367" s="42">
        <v>0</v>
      </c>
      <c r="M367" s="42">
        <v>0</v>
      </c>
      <c r="O367" s="42">
        <v>573928</v>
      </c>
      <c r="Q367" s="42">
        <v>0</v>
      </c>
      <c r="S367" s="5">
        <f t="shared" si="23"/>
        <v>10974242</v>
      </c>
      <c r="U367" s="42">
        <v>311246</v>
      </c>
      <c r="W367" s="42">
        <f>+'St of Net Pos - GA'!Q367-'Long Term Liab - GA'!U367</f>
        <v>0</v>
      </c>
    </row>
    <row r="368" spans="1:23" hidden="1">
      <c r="A368" s="9" t="s">
        <v>616</v>
      </c>
      <c r="B368" s="9"/>
      <c r="C368" s="9" t="s">
        <v>553</v>
      </c>
      <c r="D368" s="9"/>
      <c r="E368" s="23">
        <v>50740</v>
      </c>
      <c r="G368" s="42">
        <v>0</v>
      </c>
      <c r="I368" s="42">
        <v>0</v>
      </c>
      <c r="K368" s="42">
        <v>0</v>
      </c>
      <c r="M368" s="42">
        <v>0</v>
      </c>
      <c r="O368" s="42">
        <v>0</v>
      </c>
      <c r="Q368" s="42">
        <v>0</v>
      </c>
      <c r="S368" s="5">
        <f t="shared" si="23"/>
        <v>0</v>
      </c>
      <c r="U368" s="42">
        <v>0</v>
      </c>
      <c r="W368" s="42">
        <f>+'St of Net Pos - GA'!Q368-'Long Term Liab - GA'!U368</f>
        <v>0</v>
      </c>
    </row>
    <row r="369" spans="1:23">
      <c r="A369" s="8" t="s">
        <v>905</v>
      </c>
      <c r="B369" s="9"/>
      <c r="C369" s="9" t="s">
        <v>220</v>
      </c>
      <c r="D369" s="9"/>
      <c r="E369" s="23">
        <v>139303</v>
      </c>
      <c r="G369" s="42">
        <f>26597954+240000+630000+5062+1529000</f>
        <v>29002016</v>
      </c>
      <c r="I369" s="42">
        <v>0</v>
      </c>
      <c r="K369" s="42">
        <v>0</v>
      </c>
      <c r="M369" s="42">
        <v>3619461</v>
      </c>
      <c r="O369" s="42">
        <v>666394</v>
      </c>
      <c r="Q369" s="42">
        <v>0</v>
      </c>
      <c r="S369" s="5">
        <f t="shared" ref="S369:S374" si="27">SUM(G369:R369)</f>
        <v>33287871</v>
      </c>
      <c r="U369" s="42">
        <v>1798869</v>
      </c>
      <c r="W369" s="42">
        <f>+'St of Net Pos - GA'!Q369-'Long Term Liab - GA'!U369</f>
        <v>0</v>
      </c>
    </row>
    <row r="370" spans="1:23" s="24" customFormat="1">
      <c r="A370" s="51" t="s">
        <v>354</v>
      </c>
      <c r="B370" s="51"/>
      <c r="C370" s="51" t="s">
        <v>37</v>
      </c>
      <c r="D370" s="51"/>
      <c r="E370" s="23">
        <v>47712</v>
      </c>
      <c r="G370" s="42">
        <f>676330+4195000+228227</f>
        <v>5099557</v>
      </c>
      <c r="H370" s="42"/>
      <c r="I370" s="42">
        <v>0</v>
      </c>
      <c r="J370" s="42"/>
      <c r="K370" s="42">
        <v>0</v>
      </c>
      <c r="L370" s="42"/>
      <c r="M370" s="42">
        <v>140277</v>
      </c>
      <c r="N370" s="42"/>
      <c r="O370" s="42">
        <v>389307</v>
      </c>
      <c r="P370" s="42"/>
      <c r="Q370" s="42">
        <v>0</v>
      </c>
      <c r="R370" s="42"/>
      <c r="S370" s="5">
        <f t="shared" si="27"/>
        <v>5629141</v>
      </c>
      <c r="T370" s="42"/>
      <c r="U370" s="42">
        <v>366375</v>
      </c>
      <c r="V370" s="42"/>
      <c r="W370" s="42">
        <f>+'St of Net Pos - GA'!Q370-'Long Term Liab - GA'!U370</f>
        <v>0</v>
      </c>
    </row>
    <row r="371" spans="1:23" hidden="1">
      <c r="A371" s="9" t="s">
        <v>802</v>
      </c>
      <c r="B371" s="9"/>
      <c r="C371" s="9" t="s">
        <v>548</v>
      </c>
      <c r="D371" s="9"/>
      <c r="E371" s="23">
        <v>45526</v>
      </c>
      <c r="G371" s="42">
        <v>0</v>
      </c>
      <c r="I371" s="42">
        <v>0</v>
      </c>
      <c r="K371" s="42">
        <v>0</v>
      </c>
      <c r="M371" s="42">
        <v>0</v>
      </c>
      <c r="O371" s="42">
        <v>0</v>
      </c>
      <c r="Q371" s="42">
        <v>0</v>
      </c>
      <c r="S371" s="5">
        <f t="shared" si="27"/>
        <v>0</v>
      </c>
      <c r="U371" s="42">
        <v>0</v>
      </c>
      <c r="W371" s="42">
        <f>+'St of Net Pos - GA'!Q371-'Long Term Liab - GA'!U371</f>
        <v>0</v>
      </c>
    </row>
    <row r="372" spans="1:23" s="24" customFormat="1">
      <c r="A372" s="51" t="s">
        <v>436</v>
      </c>
      <c r="B372" s="51"/>
      <c r="C372" s="51" t="s">
        <v>437</v>
      </c>
      <c r="D372" s="51"/>
      <c r="E372" s="51">
        <v>48777</v>
      </c>
      <c r="G372" s="24">
        <f>110000+80970+1126285+4123473+3259253</f>
        <v>8699981</v>
      </c>
      <c r="I372" s="24">
        <v>0</v>
      </c>
      <c r="K372" s="24">
        <v>0</v>
      </c>
      <c r="M372" s="24">
        <v>209498</v>
      </c>
      <c r="O372" s="24">
        <v>0</v>
      </c>
      <c r="Q372" s="24">
        <v>728941</v>
      </c>
      <c r="S372" s="64">
        <f t="shared" si="27"/>
        <v>9638420</v>
      </c>
      <c r="U372" s="24">
        <v>777265</v>
      </c>
      <c r="W372" s="24">
        <f>+'St of Net Pos - GA'!Q372-'Long Term Liab - GA'!U372</f>
        <v>0</v>
      </c>
    </row>
    <row r="373" spans="1:23">
      <c r="A373" s="9" t="s">
        <v>765</v>
      </c>
      <c r="B373" s="9"/>
      <c r="C373" s="9" t="s">
        <v>78</v>
      </c>
      <c r="D373" s="9"/>
      <c r="E373" s="23">
        <v>45534</v>
      </c>
      <c r="G373" s="42">
        <v>7299552</v>
      </c>
      <c r="I373" s="42">
        <v>0</v>
      </c>
      <c r="K373" s="42">
        <v>0</v>
      </c>
      <c r="M373" s="42">
        <v>1136000</v>
      </c>
      <c r="O373" s="42">
        <v>511931</v>
      </c>
      <c r="Q373" s="42">
        <v>0</v>
      </c>
      <c r="S373" s="5">
        <f t="shared" si="27"/>
        <v>8947483</v>
      </c>
      <c r="U373" s="42">
        <v>350670</v>
      </c>
      <c r="W373" s="42">
        <f>+'St of Net Pos - GA'!Q373-'Long Term Liab - GA'!U373</f>
        <v>0</v>
      </c>
    </row>
    <row r="374" spans="1:23" hidden="1">
      <c r="A374" s="8" t="s">
        <v>866</v>
      </c>
      <c r="B374" s="9"/>
      <c r="C374" s="9" t="s">
        <v>40</v>
      </c>
      <c r="D374" s="9"/>
      <c r="E374" s="23">
        <v>44420</v>
      </c>
      <c r="G374" s="42">
        <v>0</v>
      </c>
      <c r="I374" s="42">
        <v>0</v>
      </c>
      <c r="K374" s="42">
        <v>0</v>
      </c>
      <c r="M374" s="42">
        <v>0</v>
      </c>
      <c r="O374" s="42">
        <v>0</v>
      </c>
      <c r="Q374" s="42">
        <v>0</v>
      </c>
      <c r="S374" s="5">
        <f t="shared" si="27"/>
        <v>0</v>
      </c>
      <c r="U374" s="42">
        <v>0</v>
      </c>
      <c r="W374" s="42">
        <f>+'St of Net Pos - GA'!Q374-'Long Term Liab - GA'!U374</f>
        <v>0</v>
      </c>
    </row>
    <row r="375" spans="1:23">
      <c r="A375" s="9" t="s">
        <v>706</v>
      </c>
      <c r="B375" s="9"/>
      <c r="C375" s="9" t="s">
        <v>32</v>
      </c>
      <c r="D375" s="9"/>
      <c r="E375" s="23">
        <v>44412</v>
      </c>
      <c r="G375" s="42">
        <v>31590738</v>
      </c>
      <c r="I375" s="42">
        <v>0</v>
      </c>
      <c r="K375" s="42">
        <v>0</v>
      </c>
      <c r="M375" s="42">
        <v>0</v>
      </c>
      <c r="O375" s="42">
        <v>1720090</v>
      </c>
      <c r="Q375" s="42">
        <v>0</v>
      </c>
      <c r="S375" s="5">
        <f>SUM(G375:R375)</f>
        <v>33310828</v>
      </c>
      <c r="U375" s="42">
        <v>1158832</v>
      </c>
      <c r="W375" s="42">
        <f>+'St of Net Pos - GA'!Q375-'Long Term Liab - GA'!U375</f>
        <v>0</v>
      </c>
    </row>
    <row r="376" spans="1:23">
      <c r="A376" s="9" t="s">
        <v>344</v>
      </c>
      <c r="B376" s="9"/>
      <c r="C376" s="9" t="s">
        <v>34</v>
      </c>
      <c r="D376" s="9"/>
      <c r="E376" s="23">
        <v>44438</v>
      </c>
      <c r="G376" s="42">
        <f>30800000+1298455+1835000+77208</f>
        <v>34010663</v>
      </c>
      <c r="I376" s="42">
        <f>1257465+796166</f>
        <v>2053631</v>
      </c>
      <c r="K376" s="42">
        <v>0</v>
      </c>
      <c r="M376" s="42">
        <v>113667</v>
      </c>
      <c r="O376" s="42">
        <v>1277396</v>
      </c>
      <c r="Q376" s="42">
        <v>0</v>
      </c>
      <c r="S376" s="5">
        <f t="shared" ref="S376:S403" si="28">SUM(G376:R376)</f>
        <v>37455357</v>
      </c>
      <c r="U376" s="42">
        <v>898336</v>
      </c>
      <c r="W376" s="42">
        <f>+'St of Net Pos - GA'!Q376-'Long Term Liab - GA'!U376</f>
        <v>0</v>
      </c>
    </row>
    <row r="377" spans="1:23" hidden="1">
      <c r="A377" s="9" t="s">
        <v>759</v>
      </c>
      <c r="B377" s="9"/>
      <c r="C377" s="9" t="s">
        <v>57</v>
      </c>
      <c r="D377" s="9"/>
      <c r="E377" s="23">
        <v>49270</v>
      </c>
      <c r="G377" s="42">
        <v>0</v>
      </c>
      <c r="I377" s="42">
        <v>0</v>
      </c>
      <c r="K377" s="42">
        <v>0</v>
      </c>
      <c r="M377" s="42">
        <v>0</v>
      </c>
      <c r="O377" s="42">
        <v>0</v>
      </c>
      <c r="Q377" s="42">
        <v>0</v>
      </c>
      <c r="S377" s="5">
        <f t="shared" si="28"/>
        <v>0</v>
      </c>
      <c r="U377" s="42">
        <v>0</v>
      </c>
      <c r="W377" s="42">
        <f>+'St of Net Pos - GA'!Q377-'Long Term Liab - GA'!U377</f>
        <v>0</v>
      </c>
    </row>
    <row r="378" spans="1:23">
      <c r="A378" s="9" t="s">
        <v>210</v>
      </c>
      <c r="B378" s="9"/>
      <c r="C378" s="9" t="s">
        <v>13</v>
      </c>
      <c r="D378" s="9"/>
      <c r="E378" s="23">
        <v>44446</v>
      </c>
      <c r="G378" s="42">
        <f>5355000+57777</f>
        <v>5412777</v>
      </c>
      <c r="I378" s="42">
        <v>0</v>
      </c>
      <c r="K378" s="42">
        <v>0</v>
      </c>
      <c r="M378" s="42">
        <v>567000</v>
      </c>
      <c r="O378" s="42">
        <v>744468</v>
      </c>
      <c r="Q378" s="42">
        <v>0</v>
      </c>
      <c r="S378" s="5">
        <f t="shared" si="28"/>
        <v>6724245</v>
      </c>
      <c r="U378" s="42">
        <v>602955</v>
      </c>
      <c r="W378" s="42">
        <f>+'St of Net Pos - GA'!Q378-'Long Term Liab - GA'!U378</f>
        <v>0</v>
      </c>
    </row>
    <row r="379" spans="1:23">
      <c r="A379" s="9" t="s">
        <v>603</v>
      </c>
      <c r="B379" s="9"/>
      <c r="C379" s="9" t="s">
        <v>27</v>
      </c>
      <c r="D379" s="9"/>
      <c r="E379" s="23">
        <v>46995</v>
      </c>
      <c r="G379" s="42">
        <f>125439063-1435000</f>
        <v>124004063</v>
      </c>
      <c r="I379" s="42">
        <v>0</v>
      </c>
      <c r="K379" s="42">
        <v>1435000</v>
      </c>
      <c r="M379" s="42">
        <v>0</v>
      </c>
      <c r="O379" s="42">
        <v>2793972</v>
      </c>
      <c r="Q379" s="42">
        <v>0</v>
      </c>
      <c r="S379" s="5">
        <f t="shared" si="28"/>
        <v>128233035</v>
      </c>
      <c r="U379" s="42">
        <v>6857063</v>
      </c>
      <c r="W379" s="42">
        <f>+'St of Net Pos - GA'!Q379-'Long Term Liab - GA'!U379</f>
        <v>0</v>
      </c>
    </row>
    <row r="380" spans="1:23">
      <c r="A380" s="9" t="s">
        <v>480</v>
      </c>
      <c r="B380" s="9"/>
      <c r="C380" s="9" t="s">
        <v>59</v>
      </c>
      <c r="D380" s="9"/>
      <c r="E380" s="23">
        <v>44461</v>
      </c>
      <c r="G380" s="42">
        <f>3581775-186833</f>
        <v>3394942</v>
      </c>
      <c r="I380" s="42">
        <v>0</v>
      </c>
      <c r="K380" s="42">
        <v>0</v>
      </c>
      <c r="M380" s="42">
        <v>0</v>
      </c>
      <c r="O380" s="42">
        <v>186833</v>
      </c>
      <c r="Q380" s="42">
        <v>0</v>
      </c>
      <c r="S380" s="5">
        <f t="shared" si="28"/>
        <v>3581775</v>
      </c>
      <c r="U380" s="42">
        <v>99402</v>
      </c>
      <c r="W380" s="42">
        <f>+'St of Net Pos - GA'!Q380-'Long Term Liab - GA'!U380</f>
        <v>0</v>
      </c>
    </row>
    <row r="381" spans="1:23">
      <c r="A381" s="9" t="s">
        <v>213</v>
      </c>
      <c r="B381" s="9"/>
      <c r="C381" s="9" t="s">
        <v>14</v>
      </c>
      <c r="D381" s="9"/>
      <c r="E381" s="23">
        <v>45955</v>
      </c>
      <c r="G381" s="42">
        <v>4089802</v>
      </c>
      <c r="I381" s="42">
        <v>0</v>
      </c>
      <c r="K381" s="42">
        <v>0</v>
      </c>
      <c r="M381" s="42">
        <v>0</v>
      </c>
      <c r="O381" s="42">
        <v>484519</v>
      </c>
      <c r="Q381" s="42">
        <v>0</v>
      </c>
      <c r="S381" s="5">
        <f t="shared" si="28"/>
        <v>4574321</v>
      </c>
      <c r="U381" s="42">
        <v>163647</v>
      </c>
      <c r="W381" s="42">
        <f>+'St of Net Pos - GA'!Q381-'Long Term Liab - GA'!U381</f>
        <v>0</v>
      </c>
    </row>
    <row r="382" spans="1:23" hidden="1">
      <c r="A382" s="9" t="s">
        <v>700</v>
      </c>
      <c r="B382" s="9"/>
      <c r="C382" s="9" t="s">
        <v>14</v>
      </c>
      <c r="D382" s="9"/>
      <c r="E382" s="23">
        <v>45963</v>
      </c>
      <c r="G382" s="42">
        <v>0</v>
      </c>
      <c r="I382" s="42">
        <v>0</v>
      </c>
      <c r="K382" s="42">
        <v>0</v>
      </c>
      <c r="M382" s="42">
        <v>0</v>
      </c>
      <c r="O382" s="42">
        <v>0</v>
      </c>
      <c r="Q382" s="42">
        <v>0</v>
      </c>
      <c r="S382" s="5">
        <f t="shared" si="28"/>
        <v>0</v>
      </c>
      <c r="U382" s="42">
        <v>0</v>
      </c>
      <c r="W382" s="42">
        <f>+'St of Net Pos - GA'!Q382-'Long Term Liab - GA'!U382</f>
        <v>0</v>
      </c>
    </row>
    <row r="383" spans="1:23">
      <c r="A383" s="9" t="s">
        <v>430</v>
      </c>
      <c r="B383" s="9"/>
      <c r="C383" s="9" t="s">
        <v>50</v>
      </c>
      <c r="D383" s="9"/>
      <c r="E383" s="23">
        <v>48710</v>
      </c>
      <c r="G383" s="42">
        <v>2766697</v>
      </c>
      <c r="I383" s="42">
        <v>0</v>
      </c>
      <c r="K383" s="42">
        <v>0</v>
      </c>
      <c r="M383" s="42">
        <v>0</v>
      </c>
      <c r="O383" s="42">
        <v>521094</v>
      </c>
      <c r="Q383" s="42">
        <v>0</v>
      </c>
      <c r="S383" s="5">
        <f t="shared" si="28"/>
        <v>3287791</v>
      </c>
      <c r="U383" s="42">
        <v>250766</v>
      </c>
      <c r="W383" s="42">
        <f>+'St of Net Pos - GA'!Q383-'Long Term Liab - GA'!U383</f>
        <v>0</v>
      </c>
    </row>
    <row r="384" spans="1:23" hidden="1">
      <c r="A384" s="9" t="s">
        <v>803</v>
      </c>
      <c r="B384" s="9"/>
      <c r="C384" s="9" t="s">
        <v>448</v>
      </c>
      <c r="D384" s="9"/>
      <c r="E384" s="23">
        <v>44479</v>
      </c>
      <c r="G384" s="42">
        <v>0</v>
      </c>
      <c r="I384" s="42">
        <v>0</v>
      </c>
      <c r="K384" s="42">
        <v>0</v>
      </c>
      <c r="M384" s="42">
        <v>0</v>
      </c>
      <c r="O384" s="42">
        <v>0</v>
      </c>
      <c r="Q384" s="42">
        <v>0</v>
      </c>
      <c r="S384" s="5">
        <f t="shared" si="28"/>
        <v>0</v>
      </c>
      <c r="U384" s="42">
        <v>0</v>
      </c>
      <c r="W384" s="42">
        <f>+'St of Net Pos - GA'!Q384-'Long Term Liab - GA'!U384</f>
        <v>0</v>
      </c>
    </row>
    <row r="385" spans="1:23">
      <c r="A385" s="9" t="s">
        <v>355</v>
      </c>
      <c r="B385" s="9"/>
      <c r="C385" s="9" t="s">
        <v>37</v>
      </c>
      <c r="D385" s="9"/>
      <c r="E385" s="23">
        <v>47720</v>
      </c>
      <c r="G385" s="42">
        <v>2041577</v>
      </c>
      <c r="I385" s="42">
        <v>0</v>
      </c>
      <c r="K385" s="42">
        <v>0</v>
      </c>
      <c r="M385" s="42">
        <v>21726</v>
      </c>
      <c r="O385" s="42">
        <v>721472</v>
      </c>
      <c r="Q385" s="42">
        <v>0</v>
      </c>
      <c r="S385" s="5">
        <f t="shared" si="28"/>
        <v>2784775</v>
      </c>
      <c r="U385" s="42">
        <v>218971</v>
      </c>
      <c r="W385" s="42">
        <f>+'St of Net Pos - GA'!Q385-'Long Term Liab - GA'!U385</f>
        <v>0</v>
      </c>
    </row>
    <row r="386" spans="1:23">
      <c r="A386" s="9" t="s">
        <v>225</v>
      </c>
      <c r="B386" s="9"/>
      <c r="C386" s="9" t="s">
        <v>220</v>
      </c>
      <c r="D386" s="9"/>
      <c r="E386" s="23">
        <v>46136</v>
      </c>
      <c r="G386" s="42">
        <f>69888+1154997+89490-60775+218757</f>
        <v>1472357</v>
      </c>
      <c r="I386" s="42">
        <v>0</v>
      </c>
      <c r="K386" s="42">
        <v>0</v>
      </c>
      <c r="M386" s="42">
        <f>229000+65045</f>
        <v>294045</v>
      </c>
      <c r="O386" s="42">
        <v>211122</v>
      </c>
      <c r="Q386" s="42">
        <v>0</v>
      </c>
      <c r="S386" s="5">
        <f t="shared" si="28"/>
        <v>1977524</v>
      </c>
      <c r="U386" s="42">
        <v>150734</v>
      </c>
      <c r="W386" s="42">
        <f>+'St of Net Pos - GA'!Q386-'Long Term Liab - GA'!U386</f>
        <v>0</v>
      </c>
    </row>
    <row r="387" spans="1:23">
      <c r="A387" s="9" t="s">
        <v>533</v>
      </c>
      <c r="B387" s="9"/>
      <c r="C387" s="9" t="s">
        <v>65</v>
      </c>
      <c r="D387" s="9"/>
      <c r="E387" s="23">
        <v>44487</v>
      </c>
      <c r="G387" s="42">
        <f>2245000+256414+283586</f>
        <v>2785000</v>
      </c>
      <c r="I387" s="42">
        <v>0</v>
      </c>
      <c r="K387" s="42">
        <v>0</v>
      </c>
      <c r="M387" s="42">
        <v>873569</v>
      </c>
      <c r="O387" s="42">
        <v>2140755</v>
      </c>
      <c r="Q387" s="42">
        <v>0</v>
      </c>
      <c r="S387" s="5">
        <f t="shared" si="28"/>
        <v>5799324</v>
      </c>
      <c r="U387" s="42">
        <v>640312</v>
      </c>
      <c r="W387" s="42">
        <f>+'St of Net Pos - GA'!Q387-'Long Term Liab - GA'!U387</f>
        <v>0</v>
      </c>
    </row>
    <row r="388" spans="1:23">
      <c r="A388" s="9" t="s">
        <v>766</v>
      </c>
      <c r="B388" s="9"/>
      <c r="C388" s="9" t="s">
        <v>112</v>
      </c>
      <c r="D388" s="9"/>
      <c r="E388" s="23">
        <v>45559</v>
      </c>
      <c r="G388" s="42">
        <v>0</v>
      </c>
      <c r="I388" s="42">
        <v>0</v>
      </c>
      <c r="K388" s="42">
        <v>0</v>
      </c>
      <c r="M388" s="42">
        <v>0</v>
      </c>
      <c r="O388" s="42">
        <v>2812524</v>
      </c>
      <c r="Q388" s="42">
        <v>0</v>
      </c>
      <c r="S388" s="5">
        <f t="shared" si="28"/>
        <v>2812524</v>
      </c>
      <c r="U388" s="42">
        <v>281051</v>
      </c>
      <c r="W388" s="42">
        <f>+'St of Net Pos - GA'!Q388-'Long Term Liab - GA'!U388</f>
        <v>0</v>
      </c>
    </row>
    <row r="389" spans="1:23" hidden="1">
      <c r="A389" s="9" t="s">
        <v>804</v>
      </c>
      <c r="B389" s="9"/>
      <c r="C389" s="9" t="s">
        <v>60</v>
      </c>
      <c r="D389" s="9"/>
      <c r="E389" s="23">
        <v>49718</v>
      </c>
      <c r="G389" s="42">
        <v>0</v>
      </c>
      <c r="I389" s="42">
        <v>0</v>
      </c>
      <c r="K389" s="42">
        <v>0</v>
      </c>
      <c r="M389" s="42">
        <v>0</v>
      </c>
      <c r="O389" s="42">
        <v>0</v>
      </c>
      <c r="Q389" s="42">
        <v>0</v>
      </c>
      <c r="S389" s="5">
        <f t="shared" si="28"/>
        <v>0</v>
      </c>
      <c r="U389" s="42">
        <v>0</v>
      </c>
      <c r="W389" s="42">
        <f>+'St of Net Pos - GA'!Q389-'Long Term Liab - GA'!U389</f>
        <v>0</v>
      </c>
    </row>
    <row r="390" spans="1:23">
      <c r="A390" s="9" t="s">
        <v>374</v>
      </c>
      <c r="B390" s="9"/>
      <c r="C390" s="9" t="s">
        <v>42</v>
      </c>
      <c r="D390" s="9"/>
      <c r="E390" s="23">
        <v>44453</v>
      </c>
      <c r="G390" s="42">
        <f>61710000+2065727</f>
        <v>63775727</v>
      </c>
      <c r="I390" s="42">
        <v>0</v>
      </c>
      <c r="K390" s="42">
        <v>0</v>
      </c>
      <c r="M390" s="42">
        <v>328967</v>
      </c>
      <c r="O390" s="42">
        <v>2748679</v>
      </c>
      <c r="Q390" s="42">
        <v>0</v>
      </c>
      <c r="S390" s="5">
        <f t="shared" si="28"/>
        <v>66853373</v>
      </c>
      <c r="U390" s="42">
        <v>2745789</v>
      </c>
      <c r="W390" s="42">
        <f>+'St of Net Pos - GA'!Q390-'Long Term Liab - GA'!U390</f>
        <v>0</v>
      </c>
    </row>
    <row r="391" spans="1:23" hidden="1">
      <c r="A391" s="8" t="s">
        <v>867</v>
      </c>
      <c r="B391" s="9"/>
      <c r="C391" s="9" t="s">
        <v>30</v>
      </c>
      <c r="D391" s="9"/>
      <c r="E391" s="23">
        <v>47217</v>
      </c>
      <c r="G391" s="42">
        <v>0</v>
      </c>
      <c r="I391" s="42">
        <v>0</v>
      </c>
      <c r="K391" s="42">
        <v>0</v>
      </c>
      <c r="M391" s="42">
        <v>0</v>
      </c>
      <c r="O391" s="42">
        <v>0</v>
      </c>
      <c r="Q391" s="42">
        <v>0</v>
      </c>
      <c r="S391" s="5">
        <f t="shared" si="28"/>
        <v>0</v>
      </c>
      <c r="U391" s="42">
        <v>0</v>
      </c>
      <c r="W391" s="42">
        <f>+'St of Net Pos - GA'!Q391-'Long Term Liab - GA'!U391</f>
        <v>0</v>
      </c>
    </row>
    <row r="392" spans="1:23">
      <c r="A392" s="9" t="s">
        <v>767</v>
      </c>
      <c r="B392" s="9"/>
      <c r="C392" s="9" t="s">
        <v>65</v>
      </c>
      <c r="D392" s="9"/>
      <c r="E392" s="23">
        <v>45542</v>
      </c>
      <c r="G392" s="42">
        <f>1763293+112520</f>
        <v>1875813</v>
      </c>
      <c r="I392" s="42">
        <v>0</v>
      </c>
      <c r="K392" s="42">
        <v>0</v>
      </c>
      <c r="M392" s="42">
        <f>89919+244969</f>
        <v>334888</v>
      </c>
      <c r="O392" s="42">
        <v>357757</v>
      </c>
      <c r="Q392" s="42">
        <v>0</v>
      </c>
      <c r="S392" s="5">
        <f t="shared" si="28"/>
        <v>2568458</v>
      </c>
      <c r="U392" s="42">
        <v>371442</v>
      </c>
      <c r="W392" s="42">
        <f>+'St of Net Pos - GA'!Q392-'Long Term Liab - GA'!U392</f>
        <v>0</v>
      </c>
    </row>
    <row r="393" spans="1:23">
      <c r="A393" s="9" t="s">
        <v>768</v>
      </c>
      <c r="B393" s="9"/>
      <c r="C393" s="9" t="s">
        <v>64</v>
      </c>
      <c r="D393" s="9"/>
      <c r="E393" s="23">
        <v>45567</v>
      </c>
      <c r="G393" s="42">
        <v>2746303</v>
      </c>
      <c r="I393" s="42">
        <v>0</v>
      </c>
      <c r="K393" s="42">
        <v>0</v>
      </c>
      <c r="M393" s="42">
        <v>0</v>
      </c>
      <c r="O393" s="42">
        <v>547383</v>
      </c>
      <c r="Q393" s="42">
        <v>0</v>
      </c>
      <c r="S393" s="5">
        <f t="shared" si="28"/>
        <v>3293686</v>
      </c>
      <c r="U393" s="42">
        <v>292173</v>
      </c>
      <c r="W393" s="42">
        <f>+'St of Net Pos - GA'!Q393-'Long Term Liab - GA'!U393</f>
        <v>0</v>
      </c>
    </row>
    <row r="394" spans="1:23" hidden="1">
      <c r="A394" s="9" t="s">
        <v>805</v>
      </c>
      <c r="B394" s="9"/>
      <c r="C394" s="9" t="s">
        <v>48</v>
      </c>
      <c r="D394" s="9"/>
      <c r="E394" s="23">
        <v>48637</v>
      </c>
      <c r="G394" s="42">
        <v>0</v>
      </c>
      <c r="I394" s="42">
        <v>0</v>
      </c>
      <c r="K394" s="42">
        <v>0</v>
      </c>
      <c r="M394" s="42">
        <v>0</v>
      </c>
      <c r="O394" s="42">
        <v>0</v>
      </c>
      <c r="Q394" s="42">
        <v>0</v>
      </c>
      <c r="S394" s="5">
        <f t="shared" si="28"/>
        <v>0</v>
      </c>
      <c r="U394" s="42">
        <v>0</v>
      </c>
      <c r="W394" s="42">
        <f>+'St of Net Pos - GA'!Q394-'Long Term Liab - GA'!U394</f>
        <v>0</v>
      </c>
    </row>
    <row r="395" spans="1:23">
      <c r="A395" s="9" t="s">
        <v>601</v>
      </c>
      <c r="B395" s="9"/>
      <c r="C395" s="9" t="s">
        <v>64</v>
      </c>
      <c r="D395" s="9"/>
      <c r="E395" s="23">
        <v>44495</v>
      </c>
      <c r="G395" s="42">
        <f>20638000+136172+150958</f>
        <v>20925130</v>
      </c>
      <c r="I395" s="42">
        <v>0</v>
      </c>
      <c r="K395" s="42">
        <v>923900</v>
      </c>
      <c r="M395" s="42">
        <v>0</v>
      </c>
      <c r="O395" s="42">
        <v>984223</v>
      </c>
      <c r="Q395" s="42">
        <v>0</v>
      </c>
      <c r="S395" s="5">
        <f t="shared" si="28"/>
        <v>22833253</v>
      </c>
      <c r="U395" s="42">
        <v>760684</v>
      </c>
      <c r="W395" s="42">
        <f>+'St of Net Pos - GA'!Q395-'Long Term Liab - GA'!U395</f>
        <v>0</v>
      </c>
    </row>
    <row r="396" spans="1:23">
      <c r="A396" s="9" t="s">
        <v>446</v>
      </c>
      <c r="B396" s="9"/>
      <c r="C396" s="9" t="s">
        <v>52</v>
      </c>
      <c r="D396" s="9"/>
      <c r="E396" s="23">
        <v>48900</v>
      </c>
      <c r="G396" s="42">
        <v>745613</v>
      </c>
      <c r="I396" s="42">
        <v>0</v>
      </c>
      <c r="K396" s="42">
        <v>0</v>
      </c>
      <c r="M396" s="42">
        <v>22992</v>
      </c>
      <c r="O396" s="42">
        <v>0</v>
      </c>
      <c r="Q396" s="42">
        <v>510736</v>
      </c>
      <c r="S396" s="5">
        <f t="shared" si="28"/>
        <v>1279341</v>
      </c>
      <c r="U396" s="42">
        <v>110444</v>
      </c>
      <c r="W396" s="42">
        <f>+'St of Net Pos - GA'!Q396-'Long Term Liab - GA'!U396</f>
        <v>0</v>
      </c>
    </row>
    <row r="397" spans="1:23">
      <c r="A397" s="9" t="s">
        <v>507</v>
      </c>
      <c r="B397" s="9"/>
      <c r="C397" s="9" t="s">
        <v>63</v>
      </c>
      <c r="D397" s="9"/>
      <c r="E397" s="23">
        <v>50047</v>
      </c>
      <c r="G397" s="42">
        <v>33559133</v>
      </c>
      <c r="I397" s="42">
        <v>0</v>
      </c>
      <c r="K397" s="42">
        <v>0</v>
      </c>
      <c r="M397" s="42">
        <v>0</v>
      </c>
      <c r="O397" s="42">
        <v>2263842</v>
      </c>
      <c r="Q397" s="42">
        <v>344280</v>
      </c>
      <c r="S397" s="5">
        <f t="shared" si="28"/>
        <v>36167255</v>
      </c>
      <c r="U397" s="42">
        <v>2802545</v>
      </c>
      <c r="W397" s="42">
        <f>+'St of Net Pos - GA'!Q397-'Long Term Liab - GA'!U397</f>
        <v>0</v>
      </c>
    </row>
    <row r="398" spans="1:23">
      <c r="A398" s="9" t="s">
        <v>551</v>
      </c>
      <c r="B398" s="9"/>
      <c r="C398" s="9" t="s">
        <v>72</v>
      </c>
      <c r="D398" s="9"/>
      <c r="E398" s="23">
        <v>50708</v>
      </c>
      <c r="G398" s="42">
        <f>11838675-605316</f>
        <v>11233359</v>
      </c>
      <c r="I398" s="42">
        <v>0</v>
      </c>
      <c r="K398" s="42">
        <v>0</v>
      </c>
      <c r="M398" s="42">
        <v>0</v>
      </c>
      <c r="O398" s="42">
        <v>605316</v>
      </c>
      <c r="Q398" s="42">
        <v>0</v>
      </c>
      <c r="S398" s="5">
        <f t="shared" si="28"/>
        <v>11838675</v>
      </c>
      <c r="U398" s="42">
        <v>451733</v>
      </c>
      <c r="W398" s="42">
        <f>+'St of Net Pos - GA'!Q398-'Long Term Liab - GA'!U398</f>
        <v>0</v>
      </c>
    </row>
    <row r="399" spans="1:23" hidden="1">
      <c r="A399" s="9" t="s">
        <v>807</v>
      </c>
      <c r="B399" s="9"/>
      <c r="C399" s="9" t="s">
        <v>53</v>
      </c>
      <c r="D399" s="9"/>
      <c r="E399" s="23">
        <v>48967</v>
      </c>
      <c r="G399" s="42">
        <v>0</v>
      </c>
      <c r="I399" s="42">
        <v>0</v>
      </c>
      <c r="K399" s="42">
        <v>0</v>
      </c>
      <c r="M399" s="42">
        <v>0</v>
      </c>
      <c r="O399" s="42">
        <v>0</v>
      </c>
      <c r="Q399" s="42">
        <v>0</v>
      </c>
      <c r="S399" s="5">
        <f t="shared" si="28"/>
        <v>0</v>
      </c>
      <c r="U399" s="42">
        <v>0</v>
      </c>
      <c r="W399" s="42">
        <f>+'St of Net Pos - GA'!Q399-'Long Term Liab - GA'!U399</f>
        <v>0</v>
      </c>
    </row>
    <row r="400" spans="1:23">
      <c r="A400" s="9" t="s">
        <v>499</v>
      </c>
      <c r="B400" s="9"/>
      <c r="C400" s="9" t="s">
        <v>62</v>
      </c>
      <c r="D400" s="9"/>
      <c r="E400" s="23">
        <v>44503</v>
      </c>
      <c r="G400" s="42">
        <f>10350000+196812</f>
        <v>10546812</v>
      </c>
      <c r="I400" s="42">
        <v>1065000</v>
      </c>
      <c r="K400" s="42">
        <v>0</v>
      </c>
      <c r="M400" s="42">
        <v>492211</v>
      </c>
      <c r="O400" s="42">
        <v>2831908</v>
      </c>
      <c r="Q400" s="42">
        <v>0</v>
      </c>
      <c r="S400" s="5">
        <f t="shared" si="28"/>
        <v>14935931</v>
      </c>
      <c r="U400" s="42">
        <v>1945633</v>
      </c>
      <c r="W400" s="42">
        <f>+'St of Net Pos - GA'!Q400-'Long Term Liab - GA'!U400</f>
        <v>0</v>
      </c>
    </row>
    <row r="401" spans="1:23" hidden="1">
      <c r="A401" s="9" t="s">
        <v>808</v>
      </c>
      <c r="B401" s="9"/>
      <c r="C401" s="9" t="s">
        <v>548</v>
      </c>
      <c r="D401" s="9"/>
      <c r="E401" s="23">
        <v>50641</v>
      </c>
      <c r="G401" s="42">
        <v>0</v>
      </c>
      <c r="I401" s="42">
        <v>0</v>
      </c>
      <c r="K401" s="42">
        <v>0</v>
      </c>
      <c r="M401" s="42">
        <v>0</v>
      </c>
      <c r="O401" s="42">
        <v>0</v>
      </c>
      <c r="Q401" s="42">
        <v>0</v>
      </c>
      <c r="S401" s="5">
        <f t="shared" si="28"/>
        <v>0</v>
      </c>
      <c r="U401" s="42">
        <v>0</v>
      </c>
      <c r="W401" s="42">
        <f>+'St of Net Pos - GA'!Q401-'Long Term Liab - GA'!U401</f>
        <v>0</v>
      </c>
    </row>
    <row r="402" spans="1:23">
      <c r="A402" s="9" t="s">
        <v>703</v>
      </c>
      <c r="B402" s="9"/>
      <c r="C402" s="9" t="s">
        <v>32</v>
      </c>
      <c r="D402" s="9"/>
      <c r="E402" s="23">
        <v>44511</v>
      </c>
      <c r="G402" s="42">
        <f>15253204-1287021</f>
        <v>13966183</v>
      </c>
      <c r="I402" s="42">
        <v>0</v>
      </c>
      <c r="K402" s="42">
        <v>0</v>
      </c>
      <c r="M402" s="42">
        <v>0</v>
      </c>
      <c r="O402" s="42">
        <v>1287021</v>
      </c>
      <c r="Q402" s="42">
        <v>0</v>
      </c>
      <c r="S402" s="5">
        <f t="shared" si="28"/>
        <v>15253204</v>
      </c>
      <c r="U402" s="42">
        <v>580046</v>
      </c>
      <c r="W402" s="42">
        <f>+'St of Net Pos - GA'!Q402-'Long Term Liab - GA'!U402</f>
        <v>0</v>
      </c>
    </row>
    <row r="403" spans="1:23">
      <c r="A403" s="9" t="s">
        <v>375</v>
      </c>
      <c r="B403" s="9"/>
      <c r="C403" s="9" t="s">
        <v>42</v>
      </c>
      <c r="D403" s="9"/>
      <c r="E403" s="23">
        <v>48025</v>
      </c>
      <c r="G403" s="42">
        <f>8831658+461670</f>
        <v>9293328</v>
      </c>
      <c r="I403" s="42">
        <v>0</v>
      </c>
      <c r="K403" s="42">
        <v>0</v>
      </c>
      <c r="M403" s="42">
        <v>214836</v>
      </c>
      <c r="O403" s="42">
        <v>1006235</v>
      </c>
      <c r="Q403" s="42">
        <v>0</v>
      </c>
      <c r="S403" s="5">
        <f t="shared" si="28"/>
        <v>10514399</v>
      </c>
      <c r="U403" s="42">
        <v>802358</v>
      </c>
      <c r="W403" s="42">
        <f>+'St of Net Pos - GA'!Q403-'Long Term Liab - GA'!U403</f>
        <v>0</v>
      </c>
    </row>
    <row r="404" spans="1:23">
      <c r="A404" s="9" t="s">
        <v>269</v>
      </c>
      <c r="B404" s="9"/>
      <c r="C404" s="9" t="s">
        <v>20</v>
      </c>
      <c r="D404" s="9"/>
      <c r="E404" s="23">
        <v>44529</v>
      </c>
      <c r="G404" s="42">
        <f>170000+3315000</f>
        <v>3485000</v>
      </c>
      <c r="I404" s="42">
        <v>0</v>
      </c>
      <c r="K404" s="42">
        <v>0</v>
      </c>
      <c r="M404" s="42">
        <v>0</v>
      </c>
      <c r="O404" s="42">
        <v>3518447</v>
      </c>
      <c r="Q404" s="42">
        <v>0</v>
      </c>
      <c r="S404" s="5">
        <f t="shared" ref="S404:S444" si="29">SUM(G404:R404)</f>
        <v>7003447</v>
      </c>
      <c r="U404" s="42">
        <v>1118795</v>
      </c>
      <c r="W404" s="42">
        <f>+'St of Net Pos - GA'!Q404-'Long Term Liab - GA'!U404</f>
        <v>0</v>
      </c>
    </row>
    <row r="405" spans="1:23">
      <c r="A405" s="9" t="s">
        <v>385</v>
      </c>
      <c r="B405" s="9"/>
      <c r="C405" s="9" t="s">
        <v>44</v>
      </c>
      <c r="D405" s="9"/>
      <c r="E405" s="23">
        <v>44537</v>
      </c>
      <c r="G405" s="42">
        <v>1275000</v>
      </c>
      <c r="I405" s="42">
        <v>0</v>
      </c>
      <c r="K405" s="42">
        <v>0</v>
      </c>
      <c r="M405" s="42">
        <v>83104</v>
      </c>
      <c r="O405" s="42">
        <v>1470981</v>
      </c>
      <c r="Q405" s="42">
        <v>0</v>
      </c>
      <c r="S405" s="5">
        <f t="shared" si="29"/>
        <v>2829085</v>
      </c>
      <c r="U405" s="42">
        <v>698938</v>
      </c>
      <c r="W405" s="42">
        <f>+'St of Net Pos - GA'!Q405-'Long Term Liab - GA'!U405</f>
        <v>0</v>
      </c>
    </row>
    <row r="406" spans="1:23">
      <c r="A406" s="9" t="s">
        <v>270</v>
      </c>
      <c r="B406" s="9"/>
      <c r="C406" s="9" t="s">
        <v>20</v>
      </c>
      <c r="D406" s="9"/>
      <c r="E406" s="23">
        <v>44545</v>
      </c>
      <c r="G406" s="42">
        <v>15108747</v>
      </c>
      <c r="I406" s="42">
        <v>0</v>
      </c>
      <c r="K406" s="42">
        <v>0</v>
      </c>
      <c r="M406" s="42">
        <v>0</v>
      </c>
      <c r="O406" s="42">
        <v>3556253</v>
      </c>
      <c r="Q406" s="42">
        <v>0</v>
      </c>
      <c r="S406" s="5">
        <f t="shared" si="29"/>
        <v>18665000</v>
      </c>
      <c r="U406" s="42">
        <v>1732286</v>
      </c>
      <c r="W406" s="42">
        <f>+'St of Net Pos - GA'!Q406-'Long Term Liab - GA'!U406</f>
        <v>0</v>
      </c>
    </row>
    <row r="407" spans="1:23">
      <c r="A407" s="9" t="s">
        <v>536</v>
      </c>
      <c r="B407" s="9"/>
      <c r="C407" s="9" t="s">
        <v>66</v>
      </c>
      <c r="D407" s="9"/>
      <c r="E407" s="23">
        <v>50336</v>
      </c>
      <c r="G407" s="42">
        <v>8780738</v>
      </c>
      <c r="I407" s="42">
        <v>0</v>
      </c>
      <c r="K407" s="42">
        <v>0</v>
      </c>
      <c r="M407" s="42">
        <v>0</v>
      </c>
      <c r="O407" s="42">
        <v>649517</v>
      </c>
      <c r="Q407" s="42">
        <v>0</v>
      </c>
      <c r="S407" s="5">
        <f t="shared" si="29"/>
        <v>9430255</v>
      </c>
      <c r="U407" s="42">
        <v>660754</v>
      </c>
      <c r="W407" s="42">
        <f>+'St of Net Pos - GA'!Q407-'Long Term Liab - GA'!U407</f>
        <v>0</v>
      </c>
    </row>
    <row r="408" spans="1:23">
      <c r="A408" s="9" t="s">
        <v>231</v>
      </c>
      <c r="B408" s="9"/>
      <c r="C408" s="9" t="s">
        <v>17</v>
      </c>
      <c r="D408" s="9"/>
      <c r="E408" s="23">
        <v>46250</v>
      </c>
      <c r="G408" s="42">
        <v>2779909</v>
      </c>
      <c r="I408" s="42">
        <v>0</v>
      </c>
      <c r="K408" s="42">
        <v>0</v>
      </c>
      <c r="M408" s="42">
        <v>119895</v>
      </c>
      <c r="O408" s="42">
        <v>1468441</v>
      </c>
      <c r="Q408" s="42">
        <v>461523</v>
      </c>
      <c r="S408" s="5">
        <f t="shared" si="29"/>
        <v>4829768</v>
      </c>
      <c r="U408" s="42">
        <v>715531</v>
      </c>
      <c r="W408" s="42">
        <f>+'St of Net Pos - GA'!Q408-'Long Term Liab - GA'!U408</f>
        <v>0</v>
      </c>
    </row>
    <row r="409" spans="1:23" hidden="1">
      <c r="A409" s="9" t="s">
        <v>809</v>
      </c>
      <c r="B409" s="9"/>
      <c r="C409" s="9" t="s">
        <v>22</v>
      </c>
      <c r="D409" s="9"/>
      <c r="E409" s="23">
        <v>46722</v>
      </c>
      <c r="G409" s="42">
        <v>0</v>
      </c>
      <c r="I409" s="42">
        <v>0</v>
      </c>
      <c r="K409" s="42">
        <v>0</v>
      </c>
      <c r="M409" s="42">
        <v>0</v>
      </c>
      <c r="O409" s="42">
        <v>0</v>
      </c>
      <c r="Q409" s="42">
        <v>0</v>
      </c>
      <c r="S409" s="5">
        <f t="shared" si="29"/>
        <v>0</v>
      </c>
      <c r="U409" s="42">
        <v>0</v>
      </c>
      <c r="W409" s="42">
        <f>+'St of Net Pos - GA'!Q409-'Long Term Liab - GA'!U409</f>
        <v>0</v>
      </c>
    </row>
    <row r="410" spans="1:23" hidden="1">
      <c r="A410" s="9" t="s">
        <v>810</v>
      </c>
      <c r="B410" s="9"/>
      <c r="C410" s="9" t="s">
        <v>448</v>
      </c>
      <c r="D410" s="9"/>
      <c r="E410" s="23">
        <v>49056</v>
      </c>
      <c r="G410" s="42">
        <v>0</v>
      </c>
      <c r="I410" s="42">
        <v>0</v>
      </c>
      <c r="K410" s="42">
        <v>0</v>
      </c>
      <c r="M410" s="42">
        <v>0</v>
      </c>
      <c r="O410" s="42">
        <v>0</v>
      </c>
      <c r="Q410" s="42">
        <v>0</v>
      </c>
      <c r="S410" s="5">
        <f t="shared" si="29"/>
        <v>0</v>
      </c>
      <c r="U410" s="42">
        <v>0</v>
      </c>
      <c r="W410" s="42">
        <f>+'St of Net Pos - GA'!Q410-'Long Term Liab - GA'!U410</f>
        <v>0</v>
      </c>
    </row>
    <row r="411" spans="1:23">
      <c r="A411" s="9" t="s">
        <v>431</v>
      </c>
      <c r="B411" s="9"/>
      <c r="C411" s="9" t="s">
        <v>50</v>
      </c>
      <c r="D411" s="9"/>
      <c r="E411" s="23">
        <v>48728</v>
      </c>
      <c r="G411" s="42">
        <v>55142021</v>
      </c>
      <c r="I411" s="42">
        <v>0</v>
      </c>
      <c r="K411" s="42">
        <v>0</v>
      </c>
      <c r="M411" s="42">
        <v>294627</v>
      </c>
      <c r="O411" s="42">
        <v>2341533</v>
      </c>
      <c r="Q411" s="42">
        <v>0</v>
      </c>
      <c r="S411" s="5">
        <f t="shared" si="29"/>
        <v>57778181</v>
      </c>
      <c r="U411" s="42">
        <v>872585</v>
      </c>
      <c r="W411" s="42">
        <f>+'St of Net Pos - GA'!Q411-'Long Term Liab - GA'!U411</f>
        <v>0</v>
      </c>
    </row>
    <row r="412" spans="1:23">
      <c r="A412" s="9" t="s">
        <v>439</v>
      </c>
      <c r="B412" s="9"/>
      <c r="C412" s="9" t="s">
        <v>78</v>
      </c>
      <c r="D412" s="9"/>
      <c r="E412" s="23">
        <v>48819</v>
      </c>
      <c r="G412" s="42">
        <f>13764250+337569</f>
        <v>14101819</v>
      </c>
      <c r="I412" s="42">
        <v>0</v>
      </c>
      <c r="K412" s="42">
        <v>0</v>
      </c>
      <c r="M412" s="42">
        <v>0</v>
      </c>
      <c r="O412" s="42">
        <v>702610</v>
      </c>
      <c r="Q412" s="42">
        <v>0</v>
      </c>
      <c r="S412" s="5">
        <f t="shared" si="29"/>
        <v>14804429</v>
      </c>
      <c r="U412" s="42">
        <v>489700</v>
      </c>
      <c r="W412" s="42">
        <f>+'St of Net Pos - GA'!Q412-'Long Term Liab - GA'!U412</f>
        <v>0</v>
      </c>
    </row>
    <row r="413" spans="1:23">
      <c r="A413" s="9" t="s">
        <v>376</v>
      </c>
      <c r="B413" s="9"/>
      <c r="C413" s="9" t="s">
        <v>42</v>
      </c>
      <c r="D413" s="9"/>
      <c r="E413" s="23">
        <v>48033</v>
      </c>
      <c r="G413" s="42">
        <v>4387464</v>
      </c>
      <c r="I413" s="42">
        <v>0</v>
      </c>
      <c r="K413" s="42">
        <v>0</v>
      </c>
      <c r="M413" s="42">
        <v>85044</v>
      </c>
      <c r="O413" s="42">
        <v>536900</v>
      </c>
      <c r="Q413" s="42">
        <v>165882</v>
      </c>
      <c r="S413" s="5">
        <f t="shared" si="29"/>
        <v>5175290</v>
      </c>
      <c r="U413" s="42">
        <v>808757</v>
      </c>
      <c r="W413" s="42">
        <f>+'St of Net Pos - GA'!Q413-'Long Term Liab - GA'!U413</f>
        <v>0</v>
      </c>
    </row>
    <row r="414" spans="1:23">
      <c r="A414" s="9" t="s">
        <v>376</v>
      </c>
      <c r="B414" s="9"/>
      <c r="C414" s="9" t="s">
        <v>50</v>
      </c>
      <c r="D414" s="9"/>
      <c r="E414" s="23">
        <v>48736</v>
      </c>
      <c r="G414" s="42">
        <v>5786920</v>
      </c>
      <c r="I414" s="42">
        <v>0</v>
      </c>
      <c r="K414" s="42">
        <v>0</v>
      </c>
      <c r="M414" s="42">
        <v>4500000</v>
      </c>
      <c r="O414" s="42">
        <v>1421621</v>
      </c>
      <c r="Q414" s="42">
        <v>0</v>
      </c>
      <c r="S414" s="5">
        <f t="shared" si="29"/>
        <v>11708541</v>
      </c>
      <c r="U414" s="42">
        <v>518876</v>
      </c>
      <c r="W414" s="42">
        <f>+'St of Net Pos - GA'!Q414-'Long Term Liab - GA'!U414</f>
        <v>0</v>
      </c>
    </row>
    <row r="415" spans="1:23">
      <c r="A415" s="9" t="s">
        <v>325</v>
      </c>
      <c r="B415" s="9"/>
      <c r="C415" s="9" t="s">
        <v>32</v>
      </c>
      <c r="D415" s="9"/>
      <c r="E415" s="23">
        <v>47365</v>
      </c>
      <c r="G415" s="42">
        <v>28054619</v>
      </c>
      <c r="I415" s="42">
        <v>0</v>
      </c>
      <c r="K415" s="42">
        <v>0</v>
      </c>
      <c r="M415" s="42">
        <v>0</v>
      </c>
      <c r="O415" s="42">
        <v>3834675</v>
      </c>
      <c r="Q415" s="42">
        <v>0</v>
      </c>
      <c r="S415" s="5">
        <f t="shared" si="29"/>
        <v>31889294</v>
      </c>
      <c r="U415" s="42">
        <v>2801645</v>
      </c>
      <c r="W415" s="42">
        <f>+'St of Net Pos - GA'!Q415-'Long Term Liab - GA'!U415</f>
        <v>0</v>
      </c>
    </row>
    <row r="416" spans="1:23">
      <c r="A416" s="9" t="s">
        <v>592</v>
      </c>
      <c r="B416" s="9"/>
      <c r="C416" s="9" t="s">
        <v>59</v>
      </c>
      <c r="D416" s="9"/>
      <c r="E416" s="23">
        <v>49635</v>
      </c>
      <c r="G416" s="42">
        <f>161204+353369</f>
        <v>514573</v>
      </c>
      <c r="I416" s="42">
        <v>0</v>
      </c>
      <c r="K416" s="42">
        <v>0</v>
      </c>
      <c r="M416" s="42">
        <v>1400000</v>
      </c>
      <c r="O416" s="42">
        <v>1356189</v>
      </c>
      <c r="Q416" s="42">
        <v>0</v>
      </c>
      <c r="S416" s="5">
        <f t="shared" si="29"/>
        <v>3270762</v>
      </c>
      <c r="U416" s="42">
        <v>594070</v>
      </c>
      <c r="W416" s="42">
        <f>+'St of Net Pos - GA'!Q416-'Long Term Liab - GA'!U416</f>
        <v>0</v>
      </c>
    </row>
    <row r="417" spans="1:23">
      <c r="A417" s="9" t="s">
        <v>325</v>
      </c>
      <c r="B417" s="9"/>
      <c r="C417" s="9" t="s">
        <v>62</v>
      </c>
      <c r="D417" s="9"/>
      <c r="E417" s="23">
        <v>49908</v>
      </c>
      <c r="G417" s="42">
        <f>17258072+1292969</f>
        <v>18551041</v>
      </c>
      <c r="I417" s="42">
        <v>0</v>
      </c>
      <c r="K417" s="42">
        <v>1715000</v>
      </c>
      <c r="M417" s="42">
        <v>2561000</v>
      </c>
      <c r="O417" s="42">
        <v>1292410</v>
      </c>
      <c r="Q417" s="42">
        <v>0</v>
      </c>
      <c r="S417" s="5">
        <f t="shared" si="29"/>
        <v>24119451</v>
      </c>
      <c r="U417" s="42">
        <v>1100661</v>
      </c>
      <c r="W417" s="42">
        <f>+'St of Net Pos - GA'!Q417-'Long Term Liab - GA'!U417</f>
        <v>0</v>
      </c>
    </row>
    <row r="418" spans="1:23">
      <c r="A418" s="9" t="s">
        <v>232</v>
      </c>
      <c r="B418" s="9"/>
      <c r="C418" s="9" t="s">
        <v>17</v>
      </c>
      <c r="D418" s="9"/>
      <c r="E418" s="23">
        <v>46268</v>
      </c>
      <c r="G418" s="42">
        <f>16385000+12540000+363954</f>
        <v>29288954</v>
      </c>
      <c r="I418" s="42">
        <v>0</v>
      </c>
      <c r="K418" s="42">
        <v>0</v>
      </c>
      <c r="M418" s="42">
        <v>95000</v>
      </c>
      <c r="O418" s="42">
        <v>778459</v>
      </c>
      <c r="Q418" s="42">
        <v>0</v>
      </c>
      <c r="S418" s="5">
        <f t="shared" si="29"/>
        <v>30162413</v>
      </c>
      <c r="U418" s="42">
        <v>484536</v>
      </c>
      <c r="W418" s="42">
        <f>+'St of Net Pos - GA'!Q418-'Long Term Liab - GA'!U418</f>
        <v>0</v>
      </c>
    </row>
    <row r="419" spans="1:23" hidden="1">
      <c r="A419" s="9" t="s">
        <v>733</v>
      </c>
      <c r="B419" s="9"/>
      <c r="C419" s="9" t="s">
        <v>71</v>
      </c>
      <c r="D419" s="9"/>
      <c r="E419" s="23">
        <v>50575</v>
      </c>
      <c r="G419" s="42">
        <v>0</v>
      </c>
      <c r="I419" s="42">
        <v>0</v>
      </c>
      <c r="K419" s="42">
        <v>0</v>
      </c>
      <c r="M419" s="42">
        <v>0</v>
      </c>
      <c r="O419" s="42">
        <v>0</v>
      </c>
      <c r="Q419" s="42">
        <v>0</v>
      </c>
      <c r="S419" s="5"/>
      <c r="U419" s="42">
        <v>0</v>
      </c>
    </row>
    <row r="420" spans="1:23" hidden="1">
      <c r="A420" s="8" t="s">
        <v>868</v>
      </c>
      <c r="B420" s="9"/>
      <c r="C420" s="9" t="s">
        <v>72</v>
      </c>
      <c r="D420" s="9"/>
      <c r="E420" s="23">
        <v>50716</v>
      </c>
      <c r="G420" s="42">
        <v>0</v>
      </c>
      <c r="I420" s="42">
        <v>0</v>
      </c>
      <c r="K420" s="42">
        <v>0</v>
      </c>
      <c r="M420" s="42">
        <v>0</v>
      </c>
      <c r="O420" s="42">
        <v>0</v>
      </c>
      <c r="Q420" s="42">
        <v>0</v>
      </c>
      <c r="S420" s="5">
        <f t="shared" si="29"/>
        <v>0</v>
      </c>
      <c r="U420" s="42">
        <v>0</v>
      </c>
      <c r="W420" s="42">
        <f>+'St of Net Pos - GA'!Q420-'Long Term Liab - GA'!U420</f>
        <v>0</v>
      </c>
    </row>
    <row r="421" spans="1:23">
      <c r="A421" s="9" t="s">
        <v>508</v>
      </c>
      <c r="B421" s="9"/>
      <c r="C421" s="9" t="s">
        <v>63</v>
      </c>
      <c r="D421" s="9"/>
      <c r="E421" s="23">
        <v>44552</v>
      </c>
      <c r="G421" s="42">
        <v>0</v>
      </c>
      <c r="I421" s="42">
        <v>0</v>
      </c>
      <c r="K421" s="42">
        <v>0</v>
      </c>
      <c r="M421" s="42">
        <v>102908</v>
      </c>
      <c r="O421" s="42">
        <v>864795</v>
      </c>
      <c r="Q421" s="42">
        <v>0</v>
      </c>
      <c r="S421" s="5">
        <f t="shared" si="29"/>
        <v>967703</v>
      </c>
      <c r="U421" s="42">
        <v>129340</v>
      </c>
      <c r="W421" s="42">
        <f>+'St of Net Pos - GA'!Q421-'Long Term Liab - GA'!U421</f>
        <v>0</v>
      </c>
    </row>
    <row r="422" spans="1:23">
      <c r="A422" s="9" t="s">
        <v>356</v>
      </c>
      <c r="B422" s="9"/>
      <c r="C422" s="9" t="s">
        <v>37</v>
      </c>
      <c r="D422" s="9"/>
      <c r="E422" s="23">
        <v>44560</v>
      </c>
      <c r="G422" s="42">
        <v>10867334</v>
      </c>
      <c r="I422" s="42">
        <v>0</v>
      </c>
      <c r="K422" s="42">
        <v>0</v>
      </c>
      <c r="M422" s="42">
        <v>0</v>
      </c>
      <c r="O422" s="42">
        <v>2367852</v>
      </c>
      <c r="Q422" s="42">
        <v>0</v>
      </c>
      <c r="S422" s="5">
        <f t="shared" si="29"/>
        <v>13235186</v>
      </c>
      <c r="U422" s="42">
        <v>980082</v>
      </c>
      <c r="W422" s="42">
        <f>+'St of Net Pos - GA'!Q422-'Long Term Liab - GA'!U422</f>
        <v>0</v>
      </c>
    </row>
    <row r="423" spans="1:23" hidden="1">
      <c r="A423" s="9" t="s">
        <v>811</v>
      </c>
      <c r="B423" s="9"/>
      <c r="C423" s="9" t="s">
        <v>71</v>
      </c>
      <c r="D423" s="9"/>
      <c r="E423" s="23">
        <v>50567</v>
      </c>
      <c r="G423" s="42">
        <v>0</v>
      </c>
      <c r="I423" s="42">
        <v>0</v>
      </c>
      <c r="K423" s="42">
        <v>0</v>
      </c>
      <c r="M423" s="42">
        <v>0</v>
      </c>
      <c r="O423" s="42">
        <v>0</v>
      </c>
      <c r="Q423" s="42">
        <v>0</v>
      </c>
      <c r="S423" s="5">
        <f t="shared" ref="S423" si="30">SUM(G423:R423)</f>
        <v>0</v>
      </c>
      <c r="U423" s="42">
        <v>0</v>
      </c>
      <c r="W423" s="42">
        <f>+'St of Net Pos - GA'!Q423-'Long Term Liab - GA'!U423</f>
        <v>0</v>
      </c>
    </row>
    <row r="424" spans="1:23">
      <c r="A424" s="9" t="s">
        <v>626</v>
      </c>
      <c r="B424" s="9"/>
      <c r="C424" s="9" t="s">
        <v>32</v>
      </c>
      <c r="D424" s="9"/>
      <c r="E424" s="23">
        <v>44578</v>
      </c>
      <c r="G424" s="42">
        <v>0</v>
      </c>
      <c r="I424" s="42">
        <v>0</v>
      </c>
      <c r="K424" s="42">
        <v>0</v>
      </c>
      <c r="M424" s="42">
        <v>4093725</v>
      </c>
      <c r="O424" s="42">
        <v>1072320</v>
      </c>
      <c r="Q424" s="42">
        <v>0</v>
      </c>
      <c r="S424" s="5">
        <f t="shared" si="29"/>
        <v>5166045</v>
      </c>
      <c r="U424" s="42">
        <v>776930</v>
      </c>
      <c r="W424" s="42">
        <f>+'St of Net Pos - GA'!Q424-'Long Term Liab - GA'!U424</f>
        <v>0</v>
      </c>
    </row>
    <row r="425" spans="1:23" hidden="1">
      <c r="A425" s="9" t="s">
        <v>732</v>
      </c>
      <c r="B425" s="9"/>
      <c r="C425" s="9" t="s">
        <v>38</v>
      </c>
      <c r="D425" s="9"/>
      <c r="E425" s="23">
        <v>47761</v>
      </c>
      <c r="G425" s="42">
        <v>0</v>
      </c>
      <c r="I425" s="42">
        <v>0</v>
      </c>
      <c r="K425" s="42">
        <v>0</v>
      </c>
      <c r="M425" s="42">
        <v>0</v>
      </c>
      <c r="O425" s="42">
        <v>0</v>
      </c>
      <c r="Q425" s="42">
        <v>0</v>
      </c>
      <c r="S425" s="5"/>
      <c r="U425" s="42">
        <v>0</v>
      </c>
    </row>
    <row r="426" spans="1:23">
      <c r="A426" s="9" t="s">
        <v>326</v>
      </c>
      <c r="B426" s="9"/>
      <c r="C426" s="9" t="s">
        <v>32</v>
      </c>
      <c r="D426" s="9"/>
      <c r="E426" s="23">
        <v>47373</v>
      </c>
      <c r="G426" s="42">
        <v>37624983</v>
      </c>
      <c r="I426" s="42">
        <v>0</v>
      </c>
      <c r="K426" s="42">
        <v>0</v>
      </c>
      <c r="M426" s="42">
        <v>0</v>
      </c>
      <c r="O426" s="42">
        <v>3762236</v>
      </c>
      <c r="Q426" s="42">
        <v>0</v>
      </c>
      <c r="S426" s="5">
        <f t="shared" si="29"/>
        <v>41387219</v>
      </c>
      <c r="U426" s="42">
        <v>2365386</v>
      </c>
      <c r="W426" s="42">
        <f>+'St of Net Pos - GA'!Q426-'Long Term Liab - GA'!U426</f>
        <v>0</v>
      </c>
    </row>
    <row r="427" spans="1:23">
      <c r="A427" s="9" t="s">
        <v>432</v>
      </c>
      <c r="B427" s="9"/>
      <c r="C427" s="9" t="s">
        <v>50</v>
      </c>
      <c r="D427" s="9"/>
      <c r="E427" s="23">
        <v>44586</v>
      </c>
      <c r="G427" s="42">
        <f>1130000+8295000+6135000+95000+29247+1162823</f>
        <v>16847070</v>
      </c>
      <c r="I427" s="42">
        <v>0</v>
      </c>
      <c r="K427" s="42">
        <v>0</v>
      </c>
      <c r="M427" s="42">
        <v>267117</v>
      </c>
      <c r="O427" s="42">
        <v>1534318</v>
      </c>
      <c r="Q427" s="42">
        <v>0</v>
      </c>
      <c r="S427" s="5">
        <f t="shared" si="29"/>
        <v>18648505</v>
      </c>
      <c r="U427" s="42">
        <v>1003264</v>
      </c>
      <c r="W427" s="42">
        <f>+'St of Net Pos - GA'!Q427-'Long Term Liab - GA'!U427</f>
        <v>0</v>
      </c>
    </row>
    <row r="428" spans="1:23">
      <c r="A428" s="9" t="s">
        <v>386</v>
      </c>
      <c r="B428" s="9"/>
      <c r="C428" s="9" t="s">
        <v>44</v>
      </c>
      <c r="D428" s="9"/>
      <c r="E428" s="23">
        <v>44594</v>
      </c>
      <c r="G428" s="42">
        <v>0</v>
      </c>
      <c r="I428" s="42">
        <v>0</v>
      </c>
      <c r="K428" s="42">
        <v>0</v>
      </c>
      <c r="M428" s="42">
        <v>462227</v>
      </c>
      <c r="O428" s="42">
        <v>904161</v>
      </c>
      <c r="Q428" s="42">
        <v>0</v>
      </c>
      <c r="S428" s="5">
        <f t="shared" si="29"/>
        <v>1366388</v>
      </c>
      <c r="U428" s="42">
        <v>216504</v>
      </c>
      <c r="W428" s="42">
        <f>+'St of Net Pos - GA'!Q428-'Long Term Liab - GA'!U428</f>
        <v>0</v>
      </c>
    </row>
    <row r="429" spans="1:23" hidden="1">
      <c r="A429" s="9" t="s">
        <v>609</v>
      </c>
      <c r="B429" s="9"/>
      <c r="C429" s="9" t="s">
        <v>60</v>
      </c>
      <c r="D429" s="9"/>
      <c r="E429" s="23">
        <v>49726</v>
      </c>
      <c r="G429" s="42">
        <v>0</v>
      </c>
      <c r="I429" s="42">
        <v>0</v>
      </c>
      <c r="K429" s="42">
        <v>0</v>
      </c>
      <c r="M429" s="42">
        <v>0</v>
      </c>
      <c r="O429" s="42">
        <v>0</v>
      </c>
      <c r="Q429" s="42">
        <v>0</v>
      </c>
      <c r="S429" s="5">
        <f t="shared" si="29"/>
        <v>0</v>
      </c>
      <c r="U429" s="42">
        <v>0</v>
      </c>
      <c r="W429" s="42">
        <f>+'St of Net Pos - GA'!Q429-'Long Term Liab - GA'!U429</f>
        <v>0</v>
      </c>
    </row>
    <row r="430" spans="1:23">
      <c r="A430" s="9" t="s">
        <v>282</v>
      </c>
      <c r="B430" s="9"/>
      <c r="C430" s="9" t="s">
        <v>23</v>
      </c>
      <c r="D430" s="9"/>
      <c r="E430" s="23">
        <v>46763</v>
      </c>
      <c r="G430" s="42">
        <v>368240194</v>
      </c>
      <c r="I430" s="42">
        <v>0</v>
      </c>
      <c r="K430" s="42">
        <v>0</v>
      </c>
      <c r="M430" s="42">
        <v>502283</v>
      </c>
      <c r="O430" s="42">
        <v>7195231</v>
      </c>
      <c r="Q430" s="42">
        <v>0</v>
      </c>
      <c r="S430" s="5">
        <f t="shared" si="29"/>
        <v>375937708</v>
      </c>
      <c r="U430" s="42">
        <v>15181166</v>
      </c>
      <c r="W430" s="42">
        <f>+'St of Net Pos - GA'!Q430-'Long Term Liab - GA'!U430</f>
        <v>0</v>
      </c>
    </row>
    <row r="431" spans="1:23">
      <c r="A431" s="9" t="s">
        <v>271</v>
      </c>
      <c r="B431" s="9"/>
      <c r="C431" s="9" t="s">
        <v>20</v>
      </c>
      <c r="D431" s="9"/>
      <c r="E431" s="23">
        <v>46573</v>
      </c>
      <c r="G431" s="42">
        <f>18573518+700000</f>
        <v>19273518</v>
      </c>
      <c r="I431" s="42">
        <v>0</v>
      </c>
      <c r="K431" s="42">
        <v>0</v>
      </c>
      <c r="M431" s="42">
        <v>0</v>
      </c>
      <c r="O431" s="42">
        <v>3112219</v>
      </c>
      <c r="Q431" s="42">
        <v>208491</v>
      </c>
      <c r="S431" s="5">
        <f t="shared" si="29"/>
        <v>22594228</v>
      </c>
      <c r="U431" s="42">
        <v>920456</v>
      </c>
      <c r="W431" s="42">
        <f>+'St of Net Pos - GA'!Q431-'Long Term Liab - GA'!U431</f>
        <v>0</v>
      </c>
    </row>
    <row r="432" spans="1:23">
      <c r="A432" s="9" t="s">
        <v>467</v>
      </c>
      <c r="B432" s="9"/>
      <c r="C432" s="9" t="s">
        <v>109</v>
      </c>
      <c r="D432" s="9"/>
      <c r="E432" s="23">
        <v>49478</v>
      </c>
      <c r="G432" s="42">
        <f>585000+9300000+74996+411782+2415000+408025</f>
        <v>13194803</v>
      </c>
      <c r="I432" s="42">
        <v>0</v>
      </c>
      <c r="K432" s="42">
        <v>1171000</v>
      </c>
      <c r="M432" s="42">
        <v>33804</v>
      </c>
      <c r="O432" s="42">
        <v>1344994</v>
      </c>
      <c r="Q432" s="42">
        <v>0</v>
      </c>
      <c r="S432" s="5">
        <f t="shared" si="29"/>
        <v>15744601</v>
      </c>
      <c r="U432" s="42">
        <v>1327067</v>
      </c>
      <c r="W432" s="42">
        <f>+'St of Net Pos - GA'!Q432-'Long Term Liab - GA'!U432</f>
        <v>0</v>
      </c>
    </row>
    <row r="433" spans="1:23">
      <c r="A433" s="9" t="s">
        <v>272</v>
      </c>
      <c r="B433" s="9"/>
      <c r="C433" s="9" t="s">
        <v>20</v>
      </c>
      <c r="D433" s="9"/>
      <c r="E433" s="23">
        <v>46581</v>
      </c>
      <c r="G433" s="42">
        <f>24241607+636350+3000000</f>
        <v>27877957</v>
      </c>
      <c r="I433" s="42">
        <v>0</v>
      </c>
      <c r="K433" s="42">
        <v>0</v>
      </c>
      <c r="M433" s="42">
        <v>12218</v>
      </c>
      <c r="O433" s="42">
        <v>3073799</v>
      </c>
      <c r="Q433" s="42">
        <v>0</v>
      </c>
      <c r="S433" s="5">
        <f t="shared" si="29"/>
        <v>30963974</v>
      </c>
      <c r="U433" s="42">
        <v>2378717</v>
      </c>
      <c r="W433" s="42">
        <f>+'St of Net Pos - GA'!Q433-'Long Term Liab - GA'!U433</f>
        <v>0</v>
      </c>
    </row>
    <row r="434" spans="1:23">
      <c r="A434" s="9" t="s">
        <v>388</v>
      </c>
      <c r="B434" s="9"/>
      <c r="C434" s="9" t="s">
        <v>114</v>
      </c>
      <c r="D434" s="9"/>
      <c r="E434" s="23">
        <v>44602</v>
      </c>
      <c r="G434" s="42">
        <f>36340817+2407520+4375493</f>
        <v>43123830</v>
      </c>
      <c r="I434" s="42">
        <v>0</v>
      </c>
      <c r="K434" s="42">
        <v>0</v>
      </c>
      <c r="M434" s="42">
        <v>241866</v>
      </c>
      <c r="O434" s="42">
        <v>6445159</v>
      </c>
      <c r="Q434" s="42">
        <v>31733</v>
      </c>
      <c r="S434" s="5">
        <f t="shared" si="29"/>
        <v>49842588</v>
      </c>
      <c r="U434" s="42">
        <v>2792300</v>
      </c>
      <c r="W434" s="42">
        <f>+'St of Net Pos - GA'!Q434-'Long Term Liab - GA'!U434</f>
        <v>0</v>
      </c>
    </row>
    <row r="435" spans="1:23" hidden="1">
      <c r="A435" s="9" t="s">
        <v>812</v>
      </c>
      <c r="B435" s="9"/>
      <c r="C435" s="9" t="s">
        <v>71</v>
      </c>
      <c r="D435" s="9"/>
      <c r="E435" s="23">
        <v>44610</v>
      </c>
      <c r="G435" s="42">
        <v>0</v>
      </c>
      <c r="I435" s="42">
        <v>0</v>
      </c>
      <c r="K435" s="42">
        <v>0</v>
      </c>
      <c r="M435" s="42">
        <v>0</v>
      </c>
      <c r="O435" s="42">
        <v>0</v>
      </c>
      <c r="Q435" s="42">
        <v>0</v>
      </c>
      <c r="S435" s="5">
        <f t="shared" si="29"/>
        <v>0</v>
      </c>
      <c r="U435" s="42">
        <v>0</v>
      </c>
      <c r="W435" s="42">
        <f>+'St of Net Pos - GA'!Q435-'Long Term Liab - GA'!U435</f>
        <v>0</v>
      </c>
    </row>
    <row r="436" spans="1:23" hidden="1">
      <c r="A436" s="8" t="s">
        <v>869</v>
      </c>
      <c r="B436" s="9"/>
      <c r="C436" s="9" t="s">
        <v>62</v>
      </c>
      <c r="D436" s="9"/>
      <c r="E436" s="23">
        <v>49916</v>
      </c>
      <c r="G436" s="42">
        <v>0</v>
      </c>
      <c r="I436" s="42">
        <v>0</v>
      </c>
      <c r="K436" s="42">
        <v>0</v>
      </c>
      <c r="M436" s="42">
        <v>0</v>
      </c>
      <c r="O436" s="42">
        <v>0</v>
      </c>
      <c r="Q436" s="42">
        <v>0</v>
      </c>
      <c r="S436" s="5">
        <f t="shared" si="29"/>
        <v>0</v>
      </c>
      <c r="U436" s="42">
        <v>0</v>
      </c>
      <c r="W436" s="42">
        <f>+'St of Net Pos - GA'!Q436-'Long Term Liab - GA'!U436</f>
        <v>0</v>
      </c>
    </row>
    <row r="437" spans="1:23">
      <c r="A437" s="9" t="s">
        <v>552</v>
      </c>
      <c r="B437" s="9"/>
      <c r="C437" s="9" t="s">
        <v>72</v>
      </c>
      <c r="D437" s="9"/>
      <c r="E437" s="23">
        <v>50724</v>
      </c>
      <c r="G437" s="42">
        <v>20998857</v>
      </c>
      <c r="I437" s="42">
        <v>0</v>
      </c>
      <c r="K437" s="42">
        <v>0</v>
      </c>
      <c r="M437" s="42">
        <v>0</v>
      </c>
      <c r="O437" s="42">
        <v>681107</v>
      </c>
      <c r="Q437" s="42">
        <v>0</v>
      </c>
      <c r="S437" s="5">
        <f t="shared" si="29"/>
        <v>21679964</v>
      </c>
      <c r="U437" s="42">
        <v>918693</v>
      </c>
      <c r="W437" s="42">
        <f>+'St of Net Pos - GA'!Q437-'Long Term Liab - GA'!U437</f>
        <v>0</v>
      </c>
    </row>
    <row r="438" spans="1:23">
      <c r="A438" s="9" t="s">
        <v>389</v>
      </c>
      <c r="B438" s="9"/>
      <c r="C438" s="9" t="s">
        <v>114</v>
      </c>
      <c r="D438" s="9"/>
      <c r="E438" s="23">
        <v>48215</v>
      </c>
      <c r="G438" s="42">
        <v>1445000</v>
      </c>
      <c r="I438" s="42">
        <v>0</v>
      </c>
      <c r="K438" s="42">
        <v>0</v>
      </c>
      <c r="M438" s="42">
        <v>415277</v>
      </c>
      <c r="O438" s="42">
        <v>1432288</v>
      </c>
      <c r="Q438" s="42">
        <v>0</v>
      </c>
      <c r="S438" s="5">
        <f t="shared" si="29"/>
        <v>3292565</v>
      </c>
      <c r="U438" s="42">
        <v>779014</v>
      </c>
      <c r="W438" s="42">
        <f>+'St of Net Pos - GA'!Q438-'Long Term Liab - GA'!U438</f>
        <v>0</v>
      </c>
    </row>
    <row r="439" spans="1:23" hidden="1">
      <c r="A439" s="9" t="s">
        <v>704</v>
      </c>
      <c r="B439" s="9"/>
      <c r="C439" s="9" t="s">
        <v>464</v>
      </c>
      <c r="D439" s="9"/>
      <c r="E439" s="23">
        <v>49379</v>
      </c>
      <c r="G439" s="42">
        <v>0</v>
      </c>
      <c r="I439" s="42">
        <v>0</v>
      </c>
      <c r="K439" s="42">
        <v>0</v>
      </c>
      <c r="M439" s="42">
        <v>0</v>
      </c>
      <c r="O439" s="42">
        <v>0</v>
      </c>
      <c r="Q439" s="42">
        <v>0</v>
      </c>
      <c r="S439" s="5">
        <f t="shared" si="29"/>
        <v>0</v>
      </c>
      <c r="U439" s="42">
        <v>0</v>
      </c>
      <c r="W439" s="42">
        <f>+'St of Net Pos - GA'!Q439-'Long Term Liab - GA'!U439</f>
        <v>0</v>
      </c>
    </row>
    <row r="440" spans="1:23" hidden="1">
      <c r="A440" s="9" t="s">
        <v>813</v>
      </c>
      <c r="B440" s="9"/>
      <c r="C440" s="9" t="s">
        <v>464</v>
      </c>
      <c r="D440" s="9"/>
      <c r="E440" s="23">
        <v>49387</v>
      </c>
      <c r="G440" s="42">
        <v>0</v>
      </c>
      <c r="I440" s="42">
        <v>0</v>
      </c>
      <c r="K440" s="42">
        <v>0</v>
      </c>
      <c r="M440" s="42">
        <v>0</v>
      </c>
      <c r="O440" s="42">
        <v>0</v>
      </c>
      <c r="Q440" s="42">
        <v>0</v>
      </c>
      <c r="S440" s="5">
        <f t="shared" si="29"/>
        <v>0</v>
      </c>
      <c r="U440" s="42">
        <v>0</v>
      </c>
      <c r="W440" s="42">
        <f>+'St of Net Pos - GA'!Q440-'Long Term Liab - GA'!U440</f>
        <v>0</v>
      </c>
    </row>
    <row r="441" spans="1:23" hidden="1">
      <c r="A441" s="9" t="s">
        <v>814</v>
      </c>
      <c r="B441" s="9"/>
      <c r="C441" s="9" t="s">
        <v>41</v>
      </c>
      <c r="D441" s="9"/>
      <c r="E441" s="23">
        <v>44628</v>
      </c>
      <c r="G441" s="42">
        <v>0</v>
      </c>
      <c r="I441" s="42">
        <v>0</v>
      </c>
      <c r="K441" s="42">
        <v>0</v>
      </c>
      <c r="M441" s="42">
        <v>0</v>
      </c>
      <c r="O441" s="42">
        <v>0</v>
      </c>
      <c r="Q441" s="42">
        <v>0</v>
      </c>
      <c r="S441" s="5">
        <f t="shared" si="29"/>
        <v>0</v>
      </c>
      <c r="U441" s="42">
        <v>0</v>
      </c>
      <c r="W441" s="42">
        <f>+'St of Net Pos - GA'!Q441-'Long Term Liab - GA'!U441</f>
        <v>0</v>
      </c>
    </row>
    <row r="442" spans="1:23" hidden="1">
      <c r="A442" s="9" t="s">
        <v>778</v>
      </c>
      <c r="B442" s="9"/>
      <c r="C442" s="9" t="s">
        <v>41</v>
      </c>
      <c r="D442" s="9"/>
      <c r="E442" s="23">
        <v>47894</v>
      </c>
      <c r="G442" s="42">
        <v>0</v>
      </c>
      <c r="I442" s="42">
        <v>0</v>
      </c>
      <c r="K442" s="42">
        <v>0</v>
      </c>
      <c r="M442" s="42">
        <v>0</v>
      </c>
      <c r="O442" s="42">
        <v>0</v>
      </c>
      <c r="Q442" s="42">
        <v>0</v>
      </c>
      <c r="S442" s="5">
        <f t="shared" si="29"/>
        <v>0</v>
      </c>
      <c r="U442" s="42">
        <v>0</v>
      </c>
      <c r="W442" s="42">
        <f>+'St of Net Pos - GA'!Q442-'Long Term Liab - GA'!U442</f>
        <v>0</v>
      </c>
    </row>
    <row r="443" spans="1:23">
      <c r="A443" s="9" t="s">
        <v>472</v>
      </c>
      <c r="B443" s="9"/>
      <c r="C443" s="9" t="s">
        <v>58</v>
      </c>
      <c r="D443" s="9"/>
      <c r="E443" s="23">
        <v>49510</v>
      </c>
      <c r="G443" s="42">
        <f>845000+45000+24638+39648</f>
        <v>954286</v>
      </c>
      <c r="I443" s="42">
        <v>0</v>
      </c>
      <c r="K443" s="42">
        <v>0</v>
      </c>
      <c r="M443" s="42">
        <v>116928</v>
      </c>
      <c r="O443" s="42">
        <v>237003</v>
      </c>
      <c r="Q443" s="42">
        <v>0</v>
      </c>
      <c r="S443" s="5">
        <f t="shared" si="29"/>
        <v>1308217</v>
      </c>
      <c r="U443" s="42">
        <v>296663</v>
      </c>
      <c r="W443" s="42">
        <f>+'St of Net Pos - GA'!Q443-'Long Term Liab - GA'!U443</f>
        <v>0</v>
      </c>
    </row>
    <row r="444" spans="1:23" hidden="1">
      <c r="A444" s="9" t="s">
        <v>681</v>
      </c>
      <c r="B444" s="9"/>
      <c r="C444" s="9" t="s">
        <v>464</v>
      </c>
      <c r="D444" s="9"/>
      <c r="E444" s="23">
        <v>49395</v>
      </c>
      <c r="G444" s="42">
        <v>0</v>
      </c>
      <c r="I444" s="42">
        <v>0</v>
      </c>
      <c r="K444" s="42">
        <v>0</v>
      </c>
      <c r="M444" s="42">
        <v>0</v>
      </c>
      <c r="O444" s="42">
        <v>0</v>
      </c>
      <c r="Q444" s="42">
        <v>0</v>
      </c>
      <c r="S444" s="5">
        <f t="shared" si="29"/>
        <v>0</v>
      </c>
      <c r="U444" s="42">
        <v>0</v>
      </c>
      <c r="W444" s="42">
        <f>+'St of Net Pos - GA'!Q444-'Long Term Liab - GA'!U444</f>
        <v>0</v>
      </c>
    </row>
    <row r="445" spans="1:23" hidden="1">
      <c r="A445" s="9" t="s">
        <v>682</v>
      </c>
      <c r="B445" s="9"/>
      <c r="C445" s="9" t="s">
        <v>419</v>
      </c>
      <c r="D445" s="9"/>
      <c r="E445" s="23">
        <v>48579</v>
      </c>
      <c r="G445" s="42">
        <v>0</v>
      </c>
      <c r="I445" s="42">
        <v>0</v>
      </c>
      <c r="K445" s="42">
        <v>0</v>
      </c>
      <c r="M445" s="42">
        <v>0</v>
      </c>
      <c r="O445" s="42">
        <v>0</v>
      </c>
      <c r="Q445" s="42">
        <v>0</v>
      </c>
      <c r="S445" s="5">
        <f t="shared" ref="S445:S453" si="31">SUM(G445:R445)</f>
        <v>0</v>
      </c>
      <c r="U445" s="42">
        <v>0</v>
      </c>
      <c r="W445" s="42">
        <f>+'St of Net Pos - GA'!Q445-'Long Term Liab - GA'!U445</f>
        <v>0</v>
      </c>
    </row>
    <row r="446" spans="1:23">
      <c r="A446" s="9" t="s">
        <v>273</v>
      </c>
      <c r="B446" s="9"/>
      <c r="C446" s="9" t="s">
        <v>20</v>
      </c>
      <c r="D446" s="9"/>
      <c r="E446" s="23">
        <v>44636</v>
      </c>
      <c r="G446" s="42">
        <f>11455000-42006</f>
        <v>11412994</v>
      </c>
      <c r="I446" s="42">
        <f>787000+2331000+2624791+1373509+2118052+1769663</f>
        <v>11004015</v>
      </c>
      <c r="K446" s="42">
        <f>3755000+48098</f>
        <v>3803098</v>
      </c>
      <c r="M446" s="42">
        <v>823678</v>
      </c>
      <c r="O446" s="42">
        <v>7549382</v>
      </c>
      <c r="Q446" s="42">
        <v>0</v>
      </c>
      <c r="S446" s="5">
        <f t="shared" si="31"/>
        <v>34593167</v>
      </c>
      <c r="U446" s="42">
        <v>5424644</v>
      </c>
      <c r="W446" s="42">
        <f>+'St of Net Pos - GA'!Q446-'Long Term Liab - GA'!U446</f>
        <v>0</v>
      </c>
    </row>
    <row r="447" spans="1:23">
      <c r="A447" s="9" t="s">
        <v>345</v>
      </c>
      <c r="B447" s="9"/>
      <c r="C447" s="9" t="s">
        <v>34</v>
      </c>
      <c r="D447" s="9"/>
      <c r="E447" s="23">
        <v>47597</v>
      </c>
      <c r="G447" s="42">
        <f>45000+1740000+1630000+500000+505434-10144+212597</f>
        <v>4622887</v>
      </c>
      <c r="I447" s="42">
        <v>408000</v>
      </c>
      <c r="K447" s="42">
        <v>124000</v>
      </c>
      <c r="M447" s="42">
        <v>0</v>
      </c>
      <c r="O447" s="42">
        <v>645075</v>
      </c>
      <c r="Q447" s="42">
        <v>0</v>
      </c>
      <c r="S447" s="5">
        <f t="shared" si="31"/>
        <v>5799962</v>
      </c>
      <c r="U447" s="42">
        <v>151332</v>
      </c>
      <c r="W447" s="42">
        <f>+'St of Net Pos - GA'!Q447-'Long Term Liab - GA'!U447</f>
        <v>0</v>
      </c>
    </row>
    <row r="448" spans="1:23" hidden="1">
      <c r="A448" s="9" t="s">
        <v>769</v>
      </c>
      <c r="B448" s="9"/>
      <c r="C448" s="9" t="s">
        <v>447</v>
      </c>
      <c r="D448" s="9"/>
      <c r="E448" s="23">
        <v>45575</v>
      </c>
      <c r="G448" s="42">
        <v>0</v>
      </c>
      <c r="I448" s="42">
        <v>0</v>
      </c>
      <c r="K448" s="42">
        <v>0</v>
      </c>
      <c r="M448" s="42">
        <v>0</v>
      </c>
      <c r="O448" s="42">
        <v>0</v>
      </c>
      <c r="Q448" s="42">
        <v>0</v>
      </c>
      <c r="S448" s="5">
        <f t="shared" si="31"/>
        <v>0</v>
      </c>
      <c r="U448" s="42">
        <v>0</v>
      </c>
      <c r="W448" s="42">
        <f>+'St of Net Pos - GA'!Q448-'Long Term Liab - GA'!U448</f>
        <v>0</v>
      </c>
    </row>
    <row r="449" spans="1:23">
      <c r="A449" s="9" t="s">
        <v>287</v>
      </c>
      <c r="B449" s="9"/>
      <c r="C449" s="9" t="s">
        <v>24</v>
      </c>
      <c r="D449" s="9"/>
      <c r="E449" s="23">
        <v>46813</v>
      </c>
      <c r="G449" s="42">
        <v>0</v>
      </c>
      <c r="I449" s="42">
        <v>0</v>
      </c>
      <c r="K449" s="42">
        <v>0</v>
      </c>
      <c r="M449" s="42">
        <f>3168883+1077868+1266665</f>
        <v>5513416</v>
      </c>
      <c r="O449" s="42">
        <v>1381545</v>
      </c>
      <c r="Q449" s="42">
        <v>0</v>
      </c>
      <c r="S449" s="5">
        <f t="shared" si="31"/>
        <v>6894961</v>
      </c>
      <c r="U449" s="42">
        <v>1589943</v>
      </c>
      <c r="W449" s="42">
        <f>+'St of Net Pos - GA'!Q449-'Long Term Liab - GA'!U449</f>
        <v>0</v>
      </c>
    </row>
    <row r="450" spans="1:23" hidden="1">
      <c r="A450" s="9" t="s">
        <v>683</v>
      </c>
      <c r="B450" s="9"/>
      <c r="C450" s="9" t="s">
        <v>10</v>
      </c>
      <c r="D450" s="9"/>
      <c r="E450" s="23">
        <v>45781</v>
      </c>
      <c r="G450" s="42">
        <v>0</v>
      </c>
      <c r="I450" s="42">
        <v>0</v>
      </c>
      <c r="K450" s="42">
        <v>0</v>
      </c>
      <c r="M450" s="42">
        <v>0</v>
      </c>
      <c r="O450" s="42">
        <v>0</v>
      </c>
      <c r="Q450" s="42">
        <v>0</v>
      </c>
      <c r="S450" s="5">
        <f t="shared" si="31"/>
        <v>0</v>
      </c>
      <c r="U450" s="42">
        <v>0</v>
      </c>
      <c r="W450" s="42">
        <f>+'St of Net Pos - GA'!Q450-'Long Term Liab - GA'!U450</f>
        <v>0</v>
      </c>
    </row>
    <row r="451" spans="1:23">
      <c r="A451" s="9" t="s">
        <v>201</v>
      </c>
      <c r="B451" s="9"/>
      <c r="C451" s="9" t="s">
        <v>41</v>
      </c>
      <c r="D451" s="9"/>
      <c r="E451" s="23">
        <v>47902</v>
      </c>
      <c r="G451" s="42">
        <v>736068</v>
      </c>
      <c r="I451" s="42">
        <v>0</v>
      </c>
      <c r="K451" s="42">
        <v>0</v>
      </c>
      <c r="M451" s="42">
        <v>261664</v>
      </c>
      <c r="O451" s="42">
        <v>3762503</v>
      </c>
      <c r="Q451" s="42">
        <v>0</v>
      </c>
      <c r="S451" s="5">
        <f t="shared" si="31"/>
        <v>4760235</v>
      </c>
      <c r="U451" s="42">
        <v>918440</v>
      </c>
      <c r="W451" s="42">
        <f>+'St of Net Pos - GA'!Q451-'Long Term Liab - GA'!U451</f>
        <v>0</v>
      </c>
    </row>
    <row r="452" spans="1:23">
      <c r="A452" s="9" t="s">
        <v>201</v>
      </c>
      <c r="B452" s="9"/>
      <c r="C452" s="9" t="s">
        <v>62</v>
      </c>
      <c r="D452" s="9"/>
      <c r="E452" s="23">
        <v>49924</v>
      </c>
      <c r="G452" s="42">
        <v>4860000</v>
      </c>
      <c r="I452" s="42">
        <v>0</v>
      </c>
      <c r="K452" s="42">
        <v>0</v>
      </c>
      <c r="M452" s="42">
        <v>0</v>
      </c>
      <c r="O452" s="42">
        <v>3853856</v>
      </c>
      <c r="Q452" s="42">
        <v>0</v>
      </c>
      <c r="S452" s="5">
        <f t="shared" si="31"/>
        <v>8713856</v>
      </c>
      <c r="U452" s="42">
        <v>485484</v>
      </c>
      <c r="W452" s="42">
        <f>+'St of Net Pos - GA'!Q452-'Long Term Liab - GA'!U452</f>
        <v>0</v>
      </c>
    </row>
    <row r="453" spans="1:23">
      <c r="A453" s="9" t="s">
        <v>770</v>
      </c>
      <c r="B453" s="9"/>
      <c r="C453" s="9" t="s">
        <v>72</v>
      </c>
      <c r="D453" s="9"/>
      <c r="E453" s="23">
        <v>45583</v>
      </c>
      <c r="G453" s="42">
        <f>25842465+219113</f>
        <v>26061578</v>
      </c>
      <c r="I453" s="42">
        <v>0</v>
      </c>
      <c r="K453" s="42">
        <v>408000</v>
      </c>
      <c r="M453" s="42">
        <v>177154</v>
      </c>
      <c r="O453" s="42">
        <v>3345820</v>
      </c>
      <c r="Q453" s="42">
        <v>35014</v>
      </c>
      <c r="S453" s="5">
        <f t="shared" si="31"/>
        <v>30027566</v>
      </c>
      <c r="U453" s="42">
        <v>3053813</v>
      </c>
      <c r="W453" s="42">
        <f>+'St of Net Pos - GA'!Q453-'Long Term Liab - GA'!U453</f>
        <v>0</v>
      </c>
    </row>
    <row r="454" spans="1:23" hidden="1">
      <c r="A454" s="9" t="s">
        <v>884</v>
      </c>
      <c r="B454" s="9"/>
      <c r="C454" s="9" t="s">
        <v>28</v>
      </c>
      <c r="D454" s="9"/>
      <c r="E454" s="23">
        <v>47076</v>
      </c>
      <c r="G454" s="42">
        <v>0</v>
      </c>
      <c r="I454" s="42">
        <v>0</v>
      </c>
      <c r="K454" s="42">
        <v>0</v>
      </c>
      <c r="M454" s="42">
        <v>0</v>
      </c>
      <c r="O454" s="42">
        <v>0</v>
      </c>
      <c r="Q454" s="42">
        <v>0</v>
      </c>
      <c r="S454" s="5">
        <f t="shared" ref="S454:S489" si="32">SUM(G454:R454)</f>
        <v>0</v>
      </c>
      <c r="U454" s="42">
        <v>0</v>
      </c>
      <c r="W454" s="42">
        <f>+'St of Net Pos - GA'!Q454-'Long Term Liab - GA'!U454</f>
        <v>0</v>
      </c>
    </row>
    <row r="455" spans="1:23">
      <c r="A455" s="9" t="s">
        <v>294</v>
      </c>
      <c r="B455" s="9"/>
      <c r="C455" s="9" t="s">
        <v>25</v>
      </c>
      <c r="D455" s="9"/>
      <c r="E455" s="23">
        <v>46896</v>
      </c>
      <c r="G455" s="42">
        <f>140872141+3441849</f>
        <v>144313990</v>
      </c>
      <c r="I455" s="42">
        <v>0</v>
      </c>
      <c r="K455" s="42">
        <v>0</v>
      </c>
      <c r="M455" s="42">
        <v>1841453</v>
      </c>
      <c r="O455" s="42">
        <v>5223610</v>
      </c>
      <c r="Q455" s="42">
        <v>0</v>
      </c>
      <c r="S455" s="5">
        <f t="shared" si="32"/>
        <v>151379053</v>
      </c>
      <c r="U455" s="42">
        <v>10202079</v>
      </c>
      <c r="W455" s="42">
        <f>+'St of Net Pos - GA'!Q455-'Long Term Liab - GA'!U455</f>
        <v>0</v>
      </c>
    </row>
    <row r="456" spans="1:23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42">
        <v>0</v>
      </c>
      <c r="M456" s="42">
        <v>0</v>
      </c>
      <c r="O456" s="42">
        <v>0</v>
      </c>
      <c r="Q456" s="42">
        <v>0</v>
      </c>
      <c r="S456" s="5">
        <f t="shared" si="32"/>
        <v>0</v>
      </c>
      <c r="U456" s="42">
        <v>0</v>
      </c>
      <c r="W456" s="42">
        <f>+'St of Net Pos - GA'!Q456-'Long Term Liab - GA'!U456</f>
        <v>0</v>
      </c>
    </row>
    <row r="457" spans="1:23">
      <c r="A457" s="9" t="s">
        <v>422</v>
      </c>
      <c r="B457" s="9"/>
      <c r="C457" s="9" t="s">
        <v>48</v>
      </c>
      <c r="D457" s="9"/>
      <c r="E457" s="23">
        <v>44644</v>
      </c>
      <c r="G457" s="42">
        <f>35454737+3770000</f>
        <v>39224737</v>
      </c>
      <c r="I457" s="42">
        <v>0</v>
      </c>
      <c r="K457" s="42">
        <v>0</v>
      </c>
      <c r="M457" s="42">
        <v>0</v>
      </c>
      <c r="O457" s="42">
        <v>2275056</v>
      </c>
      <c r="Q457" s="42">
        <v>0</v>
      </c>
      <c r="S457" s="5">
        <f t="shared" si="32"/>
        <v>41499793</v>
      </c>
      <c r="U457" s="42">
        <v>1656785</v>
      </c>
      <c r="W457" s="42">
        <f>+'St of Net Pos - GA'!Q457-'Long Term Liab - GA'!U457</f>
        <v>0</v>
      </c>
    </row>
    <row r="458" spans="1:23">
      <c r="A458" s="9" t="s">
        <v>304</v>
      </c>
      <c r="B458" s="9"/>
      <c r="C458" s="9" t="s">
        <v>62</v>
      </c>
      <c r="D458" s="9"/>
      <c r="E458" s="23">
        <v>49932</v>
      </c>
      <c r="G458" s="42">
        <f>14515000+34345000+1950577</f>
        <v>50810577</v>
      </c>
      <c r="I458" s="42">
        <v>0</v>
      </c>
      <c r="K458" s="42">
        <v>0</v>
      </c>
      <c r="M458" s="42">
        <v>0</v>
      </c>
      <c r="O458" s="42">
        <v>3218954</v>
      </c>
      <c r="Q458" s="42">
        <v>0</v>
      </c>
      <c r="S458" s="5">
        <f t="shared" si="32"/>
        <v>54029531</v>
      </c>
      <c r="U458" s="42">
        <v>2615055</v>
      </c>
      <c r="W458" s="42">
        <f>+'St of Net Pos - GA'!Q458-'Long Term Liab - GA'!U458</f>
        <v>0</v>
      </c>
    </row>
    <row r="459" spans="1:23">
      <c r="A459" s="9" t="s">
        <v>408</v>
      </c>
      <c r="B459" s="9"/>
      <c r="C459" s="9" t="s">
        <v>46</v>
      </c>
      <c r="D459" s="9"/>
      <c r="E459" s="23">
        <v>48421</v>
      </c>
      <c r="G459" s="42">
        <f>1240000+8357</f>
        <v>1248357</v>
      </c>
      <c r="I459" s="42">
        <v>178896</v>
      </c>
      <c r="K459" s="42">
        <v>0</v>
      </c>
      <c r="M459" s="42">
        <v>44058</v>
      </c>
      <c r="O459" s="42">
        <v>693746</v>
      </c>
      <c r="Q459" s="42">
        <v>0</v>
      </c>
      <c r="S459" s="5">
        <f t="shared" si="32"/>
        <v>2165057</v>
      </c>
      <c r="U459" s="42">
        <v>331605</v>
      </c>
      <c r="W459" s="42">
        <f>+'St of Net Pos - GA'!Q459-'Long Term Liab - GA'!U459</f>
        <v>0</v>
      </c>
    </row>
    <row r="460" spans="1:23">
      <c r="A460" s="9" t="s">
        <v>468</v>
      </c>
      <c r="B460" s="9"/>
      <c r="C460" s="9" t="s">
        <v>109</v>
      </c>
      <c r="D460" s="9"/>
      <c r="E460" s="23">
        <v>49460</v>
      </c>
      <c r="G460" s="42">
        <f>345000+765000+70649</f>
        <v>1180649</v>
      </c>
      <c r="I460" s="42">
        <v>0</v>
      </c>
      <c r="K460" s="42">
        <v>0</v>
      </c>
      <c r="M460" s="42">
        <f>670000+126842</f>
        <v>796842</v>
      </c>
      <c r="O460" s="42">
        <v>436350</v>
      </c>
      <c r="Q460" s="42">
        <v>0</v>
      </c>
      <c r="S460" s="5">
        <f t="shared" si="32"/>
        <v>2413841</v>
      </c>
      <c r="U460" s="42">
        <v>216425</v>
      </c>
      <c r="W460" s="42">
        <f>+'St of Net Pos - GA'!Q460-'Long Term Liab - GA'!U460</f>
        <v>0</v>
      </c>
    </row>
    <row r="461" spans="1:23">
      <c r="A461" s="9" t="s">
        <v>718</v>
      </c>
      <c r="B461" s="9"/>
      <c r="C461" s="9" t="s">
        <v>45</v>
      </c>
      <c r="D461" s="9"/>
      <c r="E461" s="23">
        <v>48348</v>
      </c>
      <c r="G461" s="42">
        <f>2731667+179129</f>
        <v>2910796</v>
      </c>
      <c r="I461" s="42">
        <v>0</v>
      </c>
      <c r="K461" s="42">
        <v>0</v>
      </c>
      <c r="M461" s="42">
        <v>7974115</v>
      </c>
      <c r="O461" s="42">
        <v>1593693</v>
      </c>
      <c r="Q461" s="42">
        <v>0</v>
      </c>
      <c r="S461" s="5">
        <f t="shared" si="32"/>
        <v>12478604</v>
      </c>
      <c r="U461" s="42">
        <v>1286663</v>
      </c>
      <c r="W461" s="42">
        <f>+'St of Net Pos - GA'!Q461-'Long Term Liab - GA'!U461</f>
        <v>0</v>
      </c>
    </row>
    <row r="462" spans="1:23" hidden="1">
      <c r="A462" s="9" t="s">
        <v>816</v>
      </c>
      <c r="B462" s="9"/>
      <c r="C462" s="9" t="s">
        <v>53</v>
      </c>
      <c r="D462" s="9"/>
      <c r="E462" s="23">
        <v>44651</v>
      </c>
      <c r="G462" s="42">
        <v>0</v>
      </c>
      <c r="I462" s="42">
        <v>0</v>
      </c>
      <c r="K462" s="42">
        <v>0</v>
      </c>
      <c r="M462" s="42">
        <v>0</v>
      </c>
      <c r="O462" s="42">
        <v>0</v>
      </c>
      <c r="Q462" s="42">
        <v>0</v>
      </c>
      <c r="S462" s="5">
        <f t="shared" si="32"/>
        <v>0</v>
      </c>
      <c r="U462" s="42">
        <v>0</v>
      </c>
      <c r="W462" s="42">
        <f>+'St of Net Pos - GA'!Q462-'Long Term Liab - GA'!U462</f>
        <v>0</v>
      </c>
    </row>
    <row r="463" spans="1:23">
      <c r="A463" s="9" t="s">
        <v>481</v>
      </c>
      <c r="B463" s="9"/>
      <c r="C463" s="9" t="s">
        <v>59</v>
      </c>
      <c r="D463" s="9"/>
      <c r="E463" s="23">
        <v>44669</v>
      </c>
      <c r="G463" s="42">
        <v>13107836</v>
      </c>
      <c r="I463" s="42">
        <v>0</v>
      </c>
      <c r="K463" s="42">
        <v>0</v>
      </c>
      <c r="M463" s="42">
        <v>162668</v>
      </c>
      <c r="O463" s="42">
        <v>1433919</v>
      </c>
      <c r="Q463" s="42">
        <v>0</v>
      </c>
      <c r="S463" s="5">
        <f t="shared" si="32"/>
        <v>14704423</v>
      </c>
      <c r="U463" s="42">
        <v>1018390</v>
      </c>
      <c r="W463" s="42">
        <f>+'St of Net Pos - GA'!Q463-'Long Term Liab - GA'!U463</f>
        <v>0</v>
      </c>
    </row>
    <row r="464" spans="1:23" hidden="1">
      <c r="A464" s="9" t="s">
        <v>684</v>
      </c>
      <c r="B464" s="9"/>
      <c r="C464" s="9" t="s">
        <v>57</v>
      </c>
      <c r="D464" s="9"/>
      <c r="E464" s="23">
        <v>49288</v>
      </c>
      <c r="G464" s="42">
        <v>0</v>
      </c>
      <c r="I464" s="42">
        <v>0</v>
      </c>
      <c r="K464" s="42">
        <v>0</v>
      </c>
      <c r="M464" s="42">
        <v>0</v>
      </c>
      <c r="O464" s="42">
        <v>0</v>
      </c>
      <c r="Q464" s="42">
        <v>0</v>
      </c>
      <c r="S464" s="5">
        <f t="shared" si="32"/>
        <v>0</v>
      </c>
      <c r="U464" s="42">
        <v>0</v>
      </c>
      <c r="W464" s="42">
        <f>+'St of Net Pos - GA'!Q464-'Long Term Liab - GA'!U464</f>
        <v>0</v>
      </c>
    </row>
    <row r="465" spans="1:23">
      <c r="A465" s="9" t="s">
        <v>327</v>
      </c>
      <c r="B465" s="9"/>
      <c r="C465" s="9" t="s">
        <v>32</v>
      </c>
      <c r="D465" s="9"/>
      <c r="E465" s="23">
        <v>44677</v>
      </c>
      <c r="G465" s="42">
        <f>227567498-227540-3260000</f>
        <v>224079958</v>
      </c>
      <c r="I465" s="42">
        <v>3260000</v>
      </c>
      <c r="K465" s="42">
        <v>0</v>
      </c>
      <c r="M465" s="42">
        <v>227540</v>
      </c>
      <c r="O465" s="42">
        <v>2292927</v>
      </c>
      <c r="Q465" s="42">
        <v>0</v>
      </c>
      <c r="S465" s="5">
        <f t="shared" si="32"/>
        <v>229860425</v>
      </c>
      <c r="U465" s="42">
        <v>4961547</v>
      </c>
      <c r="W465" s="42">
        <f>+'St of Net Pos - GA'!Q465-'Long Term Liab - GA'!U465</f>
        <v>0</v>
      </c>
    </row>
    <row r="466" spans="1:23" hidden="1">
      <c r="A466" s="9" t="s">
        <v>817</v>
      </c>
      <c r="B466" s="9"/>
      <c r="C466" s="9" t="s">
        <v>53</v>
      </c>
      <c r="D466" s="9"/>
      <c r="E466" s="23">
        <v>48975</v>
      </c>
      <c r="G466" s="42">
        <v>0</v>
      </c>
      <c r="I466" s="42">
        <v>0</v>
      </c>
      <c r="K466" s="42">
        <v>0</v>
      </c>
      <c r="M466" s="42">
        <v>0</v>
      </c>
      <c r="O466" s="42">
        <v>0</v>
      </c>
      <c r="Q466" s="42">
        <v>0</v>
      </c>
      <c r="S466" s="5">
        <f t="shared" ref="S466" si="33">SUM(G466:R466)</f>
        <v>0</v>
      </c>
      <c r="U466" s="42">
        <v>0</v>
      </c>
      <c r="W466" s="42">
        <f>+'St of Net Pos - GA'!Q466-'Long Term Liab - GA'!U466</f>
        <v>0</v>
      </c>
    </row>
    <row r="467" spans="1:23" hidden="1">
      <c r="A467" s="9" t="s">
        <v>818</v>
      </c>
      <c r="B467" s="9"/>
      <c r="C467" s="9" t="s">
        <v>12</v>
      </c>
      <c r="D467" s="9"/>
      <c r="E467" s="23">
        <v>45880</v>
      </c>
      <c r="G467" s="42">
        <v>0</v>
      </c>
      <c r="I467" s="42">
        <v>0</v>
      </c>
      <c r="K467" s="42">
        <v>0</v>
      </c>
      <c r="M467" s="42">
        <v>0</v>
      </c>
      <c r="O467" s="42">
        <v>0</v>
      </c>
      <c r="Q467" s="42">
        <v>0</v>
      </c>
      <c r="S467" s="5">
        <f t="shared" si="32"/>
        <v>0</v>
      </c>
      <c r="U467" s="42">
        <v>0</v>
      </c>
      <c r="W467" s="42">
        <f>+'St of Net Pos - GA'!Q467-'Long Term Liab - GA'!U467</f>
        <v>0</v>
      </c>
    </row>
    <row r="468" spans="1:23" s="24" customFormat="1">
      <c r="A468" s="51" t="s">
        <v>627</v>
      </c>
      <c r="B468" s="51"/>
      <c r="C468" s="51" t="s">
        <v>56</v>
      </c>
      <c r="D468" s="51"/>
      <c r="E468" s="23">
        <v>44685</v>
      </c>
      <c r="G468" s="42">
        <v>17406937</v>
      </c>
      <c r="H468" s="42"/>
      <c r="I468" s="42">
        <v>0</v>
      </c>
      <c r="J468" s="42"/>
      <c r="K468" s="42">
        <v>1585000</v>
      </c>
      <c r="L468" s="42"/>
      <c r="M468" s="42">
        <v>2658697</v>
      </c>
      <c r="N468" s="42"/>
      <c r="O468" s="42">
        <v>2004226</v>
      </c>
      <c r="P468" s="42"/>
      <c r="Q468" s="42">
        <v>0</v>
      </c>
      <c r="R468" s="42"/>
      <c r="S468" s="5">
        <f t="shared" si="32"/>
        <v>23654860</v>
      </c>
      <c r="T468" s="42"/>
      <c r="U468" s="42">
        <v>1630012</v>
      </c>
      <c r="V468" s="42"/>
      <c r="W468" s="42">
        <f>+'St of Net Pos - GA'!Q468-'Long Term Liab - GA'!U468</f>
        <v>0</v>
      </c>
    </row>
    <row r="469" spans="1:23">
      <c r="A469" s="9" t="s">
        <v>328</v>
      </c>
      <c r="B469" s="9"/>
      <c r="C469" s="9" t="s">
        <v>32</v>
      </c>
      <c r="D469" s="9"/>
      <c r="E469" s="23">
        <v>44693</v>
      </c>
      <c r="G469" s="42">
        <v>2123000</v>
      </c>
      <c r="I469" s="42">
        <v>0</v>
      </c>
      <c r="K469" s="42">
        <v>0</v>
      </c>
      <c r="M469" s="42">
        <v>605924</v>
      </c>
      <c r="O469" s="42">
        <v>768310</v>
      </c>
      <c r="Q469" s="42">
        <v>0</v>
      </c>
      <c r="S469" s="5">
        <f t="shared" si="32"/>
        <v>3497234</v>
      </c>
      <c r="U469" s="42">
        <v>305086</v>
      </c>
      <c r="W469" s="42">
        <f>+'St of Net Pos - GA'!Q469-'Long Term Liab - GA'!U469</f>
        <v>0</v>
      </c>
    </row>
    <row r="470" spans="1:23">
      <c r="A470" s="9" t="s">
        <v>509</v>
      </c>
      <c r="B470" s="9"/>
      <c r="C470" s="9" t="s">
        <v>63</v>
      </c>
      <c r="D470" s="9"/>
      <c r="E470" s="23">
        <v>50054</v>
      </c>
      <c r="G470" s="42">
        <v>8511589</v>
      </c>
      <c r="I470" s="42">
        <v>0</v>
      </c>
      <c r="K470" s="42">
        <v>0</v>
      </c>
      <c r="M470" s="42">
        <v>0</v>
      </c>
      <c r="O470" s="42">
        <v>2160748</v>
      </c>
      <c r="Q470" s="42">
        <v>0</v>
      </c>
      <c r="S470" s="5">
        <f t="shared" si="32"/>
        <v>10672337</v>
      </c>
      <c r="U470" s="42">
        <v>1356018</v>
      </c>
      <c r="W470" s="42">
        <f>+'St of Net Pos - GA'!Q470-'Long Term Liab - GA'!U470</f>
        <v>0</v>
      </c>
    </row>
    <row r="471" spans="1:23" hidden="1">
      <c r="A471" s="9" t="s">
        <v>819</v>
      </c>
      <c r="B471" s="9"/>
      <c r="C471" s="9" t="s">
        <v>27</v>
      </c>
      <c r="D471" s="9"/>
      <c r="E471" s="23">
        <v>47001</v>
      </c>
      <c r="G471" s="42">
        <v>0</v>
      </c>
      <c r="I471" s="42">
        <v>0</v>
      </c>
      <c r="K471" s="42">
        <v>0</v>
      </c>
      <c r="M471" s="42">
        <v>0</v>
      </c>
      <c r="O471" s="42">
        <v>0</v>
      </c>
      <c r="Q471" s="42">
        <v>0</v>
      </c>
      <c r="S471" s="5">
        <f t="shared" si="32"/>
        <v>0</v>
      </c>
      <c r="U471" s="42">
        <v>0</v>
      </c>
      <c r="W471" s="42">
        <f>+'St of Net Pos - GA'!Q471-'Long Term Liab - GA'!U471</f>
        <v>0</v>
      </c>
    </row>
    <row r="472" spans="1:23">
      <c r="A472" s="9" t="s">
        <v>274</v>
      </c>
      <c r="B472" s="9"/>
      <c r="C472" s="9" t="s">
        <v>20</v>
      </c>
      <c r="D472" s="9"/>
      <c r="E472" s="23">
        <v>46599</v>
      </c>
      <c r="G472" s="42">
        <v>0</v>
      </c>
      <c r="I472" s="42">
        <v>0</v>
      </c>
      <c r="K472" s="42">
        <v>821261</v>
      </c>
      <c r="M472" s="42">
        <v>1558</v>
      </c>
      <c r="O472" s="42">
        <v>351285</v>
      </c>
      <c r="Q472" s="42">
        <v>0</v>
      </c>
      <c r="S472" s="5">
        <f t="shared" si="32"/>
        <v>1174104</v>
      </c>
      <c r="U472" s="42">
        <v>80562</v>
      </c>
      <c r="W472" s="42">
        <f>+'St of Net Pos - GA'!Q472-'Long Term Liab - GA'!U472</f>
        <v>0</v>
      </c>
    </row>
    <row r="473" spans="1:23" s="24" customFormat="1">
      <c r="A473" s="51" t="s">
        <v>409</v>
      </c>
      <c r="B473" s="51"/>
      <c r="C473" s="51" t="s">
        <v>46</v>
      </c>
      <c r="D473" s="51"/>
      <c r="E473" s="51">
        <v>48439</v>
      </c>
      <c r="G473" s="24">
        <v>0</v>
      </c>
      <c r="I473" s="24">
        <v>17492</v>
      </c>
      <c r="K473" s="24">
        <v>0</v>
      </c>
      <c r="M473" s="24">
        <v>159169</v>
      </c>
      <c r="O473" s="24">
        <v>288634</v>
      </c>
      <c r="Q473" s="24">
        <v>0</v>
      </c>
      <c r="S473" s="64">
        <f t="shared" si="32"/>
        <v>465295</v>
      </c>
      <c r="U473" s="24">
        <v>118600</v>
      </c>
      <c r="W473" s="24">
        <f>+'St of Net Pos - GA'!Q473-'Long Term Liab - GA'!U473</f>
        <v>0</v>
      </c>
    </row>
    <row r="474" spans="1:23" hidden="1">
      <c r="A474" s="9" t="s">
        <v>885</v>
      </c>
      <c r="B474" s="9"/>
      <c r="C474" s="9" t="s">
        <v>337</v>
      </c>
      <c r="D474" s="9"/>
      <c r="E474" s="23">
        <v>47506</v>
      </c>
      <c r="G474" s="42">
        <v>0</v>
      </c>
      <c r="I474" s="42">
        <v>0</v>
      </c>
      <c r="K474" s="42">
        <v>0</v>
      </c>
      <c r="M474" s="42">
        <v>0</v>
      </c>
      <c r="O474" s="42">
        <v>0</v>
      </c>
      <c r="Q474" s="42">
        <v>0</v>
      </c>
      <c r="S474" s="5">
        <f t="shared" si="32"/>
        <v>0</v>
      </c>
      <c r="U474" s="42">
        <v>0</v>
      </c>
      <c r="W474" s="42">
        <f>+'St of Net Pos - GA'!Q474-'Long Term Liab - GA'!U474</f>
        <v>0</v>
      </c>
    </row>
    <row r="475" spans="1:23">
      <c r="A475" s="9" t="s">
        <v>252</v>
      </c>
      <c r="B475" s="9"/>
      <c r="C475" s="9" t="s">
        <v>19</v>
      </c>
      <c r="D475" s="9"/>
      <c r="E475" s="23">
        <v>46474</v>
      </c>
      <c r="G475" s="42">
        <f>2363334+171450</f>
        <v>2534784</v>
      </c>
      <c r="I475" s="42">
        <v>0</v>
      </c>
      <c r="K475" s="42">
        <v>0</v>
      </c>
      <c r="M475" s="42">
        <v>223358</v>
      </c>
      <c r="O475" s="42">
        <v>809496</v>
      </c>
      <c r="Q475" s="42">
        <v>0</v>
      </c>
      <c r="S475" s="5">
        <f t="shared" si="32"/>
        <v>3567638</v>
      </c>
      <c r="U475" s="42">
        <v>282315</v>
      </c>
      <c r="W475" s="42">
        <f>+'St of Net Pos - GA'!Q475-'Long Term Liab - GA'!U475</f>
        <v>0</v>
      </c>
    </row>
    <row r="476" spans="1:23" hidden="1">
      <c r="A476" s="9" t="s">
        <v>820</v>
      </c>
      <c r="B476" s="9"/>
      <c r="C476" s="9" t="s">
        <v>77</v>
      </c>
      <c r="D476" s="9"/>
      <c r="E476" s="23">
        <v>46078</v>
      </c>
      <c r="G476" s="42">
        <v>0</v>
      </c>
      <c r="I476" s="42">
        <v>0</v>
      </c>
      <c r="K476" s="42">
        <v>0</v>
      </c>
      <c r="M476" s="42">
        <v>0</v>
      </c>
      <c r="O476" s="42">
        <v>0</v>
      </c>
      <c r="Q476" s="42">
        <v>0</v>
      </c>
      <c r="S476" s="5">
        <f t="shared" si="32"/>
        <v>0</v>
      </c>
      <c r="U476" s="42">
        <v>0</v>
      </c>
      <c r="W476" s="42">
        <f>+'St of Net Pos - GA'!Q476-'Long Term Liab - GA'!U476</f>
        <v>0</v>
      </c>
    </row>
    <row r="477" spans="1:23" hidden="1">
      <c r="A477" s="9" t="s">
        <v>821</v>
      </c>
      <c r="B477" s="9"/>
      <c r="C477" s="9" t="s">
        <v>71</v>
      </c>
      <c r="D477" s="9"/>
      <c r="E477" s="23">
        <v>45591</v>
      </c>
      <c r="G477" s="42">
        <v>0</v>
      </c>
      <c r="I477" s="42">
        <v>0</v>
      </c>
      <c r="K477" s="42">
        <v>0</v>
      </c>
      <c r="M477" s="42">
        <v>0</v>
      </c>
      <c r="O477" s="42">
        <v>0</v>
      </c>
      <c r="Q477" s="42">
        <v>0</v>
      </c>
      <c r="S477" s="5">
        <f t="shared" si="32"/>
        <v>0</v>
      </c>
      <c r="U477" s="42">
        <v>0</v>
      </c>
      <c r="W477" s="42">
        <f>+'St of Net Pos - GA'!Q477-'Long Term Liab - GA'!U477</f>
        <v>0</v>
      </c>
    </row>
    <row r="478" spans="1:23">
      <c r="A478" s="9" t="s">
        <v>410</v>
      </c>
      <c r="B478" s="9"/>
      <c r="C478" s="9" t="s">
        <v>46</v>
      </c>
      <c r="D478" s="9"/>
      <c r="E478" s="23">
        <v>48447</v>
      </c>
      <c r="G478" s="42">
        <v>12951402</v>
      </c>
      <c r="I478" s="42">
        <v>0</v>
      </c>
      <c r="K478" s="42">
        <v>0</v>
      </c>
      <c r="M478" s="42">
        <v>274060</v>
      </c>
      <c r="O478" s="42">
        <v>669208</v>
      </c>
      <c r="Q478" s="42">
        <v>0</v>
      </c>
      <c r="S478" s="5">
        <f t="shared" si="32"/>
        <v>13894670</v>
      </c>
      <c r="U478" s="42">
        <v>1189168</v>
      </c>
      <c r="W478" s="42">
        <f>+'St of Net Pos - GA'!Q478-'Long Term Liab - GA'!U478</f>
        <v>0</v>
      </c>
    </row>
    <row r="479" spans="1:23">
      <c r="A479" s="9" t="s">
        <v>253</v>
      </c>
      <c r="B479" s="9"/>
      <c r="C479" s="9" t="s">
        <v>19</v>
      </c>
      <c r="D479" s="9"/>
      <c r="E479" s="23">
        <v>46482</v>
      </c>
      <c r="G479" s="42">
        <v>963175</v>
      </c>
      <c r="I479" s="42">
        <v>0</v>
      </c>
      <c r="K479" s="42">
        <v>0</v>
      </c>
      <c r="M479" s="42">
        <v>51961</v>
      </c>
      <c r="O479" s="42">
        <v>725837</v>
      </c>
      <c r="Q479" s="42">
        <v>20000</v>
      </c>
      <c r="S479" s="5">
        <f t="shared" si="32"/>
        <v>1760973</v>
      </c>
      <c r="U479" s="42">
        <v>341374</v>
      </c>
      <c r="W479" s="42">
        <f>+'St of Net Pos - GA'!Q479-'Long Term Liab - GA'!U479</f>
        <v>0</v>
      </c>
    </row>
    <row r="480" spans="1:23" hidden="1">
      <c r="A480" s="9" t="s">
        <v>822</v>
      </c>
      <c r="B480" s="9"/>
      <c r="C480" s="9" t="s">
        <v>337</v>
      </c>
      <c r="D480" s="9"/>
      <c r="E480" s="23">
        <v>47514</v>
      </c>
      <c r="G480" s="42">
        <v>0</v>
      </c>
      <c r="I480" s="42">
        <v>0</v>
      </c>
      <c r="K480" s="42">
        <v>0</v>
      </c>
      <c r="M480" s="42">
        <v>0</v>
      </c>
      <c r="O480" s="42">
        <v>0</v>
      </c>
      <c r="Q480" s="42">
        <v>0</v>
      </c>
      <c r="S480" s="5">
        <f t="shared" si="32"/>
        <v>0</v>
      </c>
      <c r="U480" s="42">
        <v>0</v>
      </c>
      <c r="W480" s="42">
        <f>+'St of Net Pos - GA'!Q480-'Long Term Liab - GA'!U480</f>
        <v>0</v>
      </c>
    </row>
    <row r="481" spans="1:23">
      <c r="A481" s="9" t="s">
        <v>377</v>
      </c>
      <c r="B481" s="9"/>
      <c r="C481" s="9" t="s">
        <v>41</v>
      </c>
      <c r="D481" s="9"/>
      <c r="E481" s="23">
        <v>47894</v>
      </c>
      <c r="G481" s="42">
        <v>2498807</v>
      </c>
      <c r="I481" s="42">
        <v>0</v>
      </c>
      <c r="K481" s="42">
        <v>0</v>
      </c>
      <c r="M481" s="42">
        <v>2020863</v>
      </c>
      <c r="O481" s="42">
        <v>972239</v>
      </c>
      <c r="Q481" s="42">
        <v>0</v>
      </c>
      <c r="S481" s="5">
        <f t="shared" si="32"/>
        <v>5491909</v>
      </c>
      <c r="U481" s="42">
        <v>1450356</v>
      </c>
      <c r="W481" s="42">
        <f>+'St of Net Pos - GA'!Q481-'Long Term Liab - GA'!U481</f>
        <v>0</v>
      </c>
    </row>
    <row r="482" spans="1:23">
      <c r="A482" s="9" t="s">
        <v>377</v>
      </c>
      <c r="B482" s="9"/>
      <c r="C482" s="9" t="s">
        <v>43</v>
      </c>
      <c r="D482" s="9"/>
      <c r="E482" s="23">
        <v>48090</v>
      </c>
      <c r="G482" s="42">
        <f>1656382+140785</f>
        <v>1797167</v>
      </c>
      <c r="I482" s="42">
        <v>0</v>
      </c>
      <c r="K482" s="42">
        <v>0</v>
      </c>
      <c r="M482" s="42">
        <v>149314</v>
      </c>
      <c r="O482" s="42">
        <v>439527</v>
      </c>
      <c r="Q482" s="42">
        <v>0</v>
      </c>
      <c r="S482" s="5">
        <f t="shared" si="32"/>
        <v>2386008</v>
      </c>
      <c r="U482" s="42">
        <v>198488</v>
      </c>
      <c r="W482" s="42">
        <f>+'St of Net Pos - GA'!Q482-'Long Term Liab - GA'!U482</f>
        <v>0</v>
      </c>
    </row>
    <row r="483" spans="1:23">
      <c r="A483" s="9" t="s">
        <v>368</v>
      </c>
      <c r="B483" s="9"/>
      <c r="C483" s="9" t="s">
        <v>364</v>
      </c>
      <c r="D483" s="9"/>
      <c r="E483" s="23">
        <v>47944</v>
      </c>
      <c r="G483" s="42">
        <v>0</v>
      </c>
      <c r="I483" s="42">
        <v>0</v>
      </c>
      <c r="K483" s="42">
        <v>1100000</v>
      </c>
      <c r="M483" s="42">
        <v>1500000</v>
      </c>
      <c r="O483" s="42">
        <v>1086770</v>
      </c>
      <c r="Q483" s="42">
        <v>0</v>
      </c>
      <c r="S483" s="5">
        <f t="shared" si="32"/>
        <v>3686770</v>
      </c>
      <c r="U483" s="42">
        <v>386668</v>
      </c>
      <c r="W483" s="42">
        <f>+'St of Net Pos - GA'!Q483-'Long Term Liab - GA'!U483</f>
        <v>0</v>
      </c>
    </row>
    <row r="484" spans="1:23">
      <c r="A484" s="9" t="s">
        <v>707</v>
      </c>
      <c r="B484" s="9"/>
      <c r="C484" s="9" t="s">
        <v>20</v>
      </c>
      <c r="D484" s="9"/>
      <c r="E484" s="23">
        <v>44701</v>
      </c>
      <c r="G484" s="42">
        <f>51445937+407743</f>
        <v>51853680</v>
      </c>
      <c r="I484" s="42">
        <v>0</v>
      </c>
      <c r="K484" s="42">
        <v>0</v>
      </c>
      <c r="M484" s="42">
        <v>269946</v>
      </c>
      <c r="O484" s="42">
        <v>4680575</v>
      </c>
      <c r="Q484" s="42">
        <v>0</v>
      </c>
      <c r="S484" s="5">
        <f t="shared" si="32"/>
        <v>56804201</v>
      </c>
      <c r="U484" s="42">
        <v>2814026</v>
      </c>
      <c r="W484" s="42">
        <f>+'St of Net Pos - GA'!Q484-'Long Term Liab - GA'!U484</f>
        <v>0</v>
      </c>
    </row>
    <row r="485" spans="1:23">
      <c r="A485" s="9" t="s">
        <v>319</v>
      </c>
      <c r="B485" s="9"/>
      <c r="C485" s="9" t="s">
        <v>31</v>
      </c>
      <c r="D485" s="9"/>
      <c r="E485" s="23">
        <v>47308</v>
      </c>
      <c r="G485" s="42">
        <v>0</v>
      </c>
      <c r="I485" s="42">
        <v>0</v>
      </c>
      <c r="K485" s="42">
        <v>617409</v>
      </c>
      <c r="M485" s="42">
        <v>0</v>
      </c>
      <c r="O485" s="42">
        <v>836091</v>
      </c>
      <c r="Q485" s="42">
        <v>0</v>
      </c>
      <c r="S485" s="5">
        <f t="shared" si="32"/>
        <v>1453500</v>
      </c>
      <c r="U485" s="42">
        <v>115972</v>
      </c>
      <c r="W485" s="42">
        <f>+'St of Net Pos - GA'!Q485-'Long Term Liab - GA'!U485</f>
        <v>0</v>
      </c>
    </row>
    <row r="486" spans="1:23">
      <c r="A486" s="9" t="s">
        <v>459</v>
      </c>
      <c r="B486" s="9"/>
      <c r="C486" s="9" t="s">
        <v>56</v>
      </c>
      <c r="D486" s="9"/>
      <c r="E486" s="23">
        <v>49213</v>
      </c>
      <c r="G486" s="42">
        <v>0</v>
      </c>
      <c r="I486" s="42">
        <v>0</v>
      </c>
      <c r="K486" s="42">
        <v>200000</v>
      </c>
      <c r="M486" s="42">
        <v>0</v>
      </c>
      <c r="O486" s="42">
        <v>404419</v>
      </c>
      <c r="Q486" s="42">
        <v>0</v>
      </c>
      <c r="S486" s="5">
        <f t="shared" si="32"/>
        <v>604419</v>
      </c>
      <c r="U486" s="42">
        <v>87591</v>
      </c>
      <c r="W486" s="42">
        <f>+'St of Net Pos - GA'!Q486-'Long Term Liab - GA'!U486</f>
        <v>0</v>
      </c>
    </row>
    <row r="487" spans="1:23">
      <c r="A487" s="9" t="s">
        <v>708</v>
      </c>
      <c r="B487" s="9"/>
      <c r="C487" s="9" t="s">
        <v>220</v>
      </c>
      <c r="D487" s="9"/>
      <c r="E487" s="23">
        <v>46144</v>
      </c>
      <c r="G487" s="42">
        <f>19039515-398800-183661-728315</f>
        <v>17728739</v>
      </c>
      <c r="I487" s="42">
        <v>0</v>
      </c>
      <c r="K487" s="42">
        <v>0</v>
      </c>
      <c r="M487" s="42">
        <v>398800</v>
      </c>
      <c r="O487" s="42">
        <v>728315</v>
      </c>
      <c r="Q487" s="42">
        <v>183661</v>
      </c>
      <c r="S487" s="5">
        <f t="shared" si="32"/>
        <v>19039515</v>
      </c>
      <c r="U487" s="42">
        <v>1300119</v>
      </c>
      <c r="W487" s="42">
        <f>+'St of Net Pos - GA'!Q487-'Long Term Liab - GA'!U487</f>
        <v>0</v>
      </c>
    </row>
    <row r="488" spans="1:23">
      <c r="A488" s="9" t="s">
        <v>771</v>
      </c>
      <c r="B488" s="9"/>
      <c r="C488" s="9" t="s">
        <v>72</v>
      </c>
      <c r="D488" s="9"/>
      <c r="E488" s="23">
        <v>45609</v>
      </c>
      <c r="G488" s="42">
        <v>0</v>
      </c>
      <c r="I488" s="42">
        <v>0</v>
      </c>
      <c r="K488" s="42">
        <v>0</v>
      </c>
      <c r="M488" s="42">
        <v>0</v>
      </c>
      <c r="O488" s="42">
        <v>1753230</v>
      </c>
      <c r="Q488" s="42">
        <v>0</v>
      </c>
      <c r="S488" s="5">
        <f t="shared" si="32"/>
        <v>1753230</v>
      </c>
      <c r="U488" s="42">
        <v>100561</v>
      </c>
      <c r="W488" s="42">
        <f>+'St of Net Pos - GA'!Q488-'Long Term Liab - GA'!U488</f>
        <v>0</v>
      </c>
    </row>
    <row r="489" spans="1:23">
      <c r="A489" s="9" t="s">
        <v>488</v>
      </c>
      <c r="B489" s="9"/>
      <c r="C489" s="9" t="s">
        <v>61</v>
      </c>
      <c r="D489" s="9"/>
      <c r="E489" s="23">
        <v>49817</v>
      </c>
      <c r="G489" s="42">
        <f>5028887-99269+210334</f>
        <v>5139952</v>
      </c>
      <c r="I489" s="42">
        <v>0</v>
      </c>
      <c r="K489" s="42">
        <v>0</v>
      </c>
      <c r="M489" s="42">
        <v>0</v>
      </c>
      <c r="O489" s="42">
        <v>260849</v>
      </c>
      <c r="Q489" s="42">
        <v>0</v>
      </c>
      <c r="S489" s="5">
        <f t="shared" si="32"/>
        <v>5400801</v>
      </c>
      <c r="U489" s="42">
        <v>234800</v>
      </c>
      <c r="W489" s="42">
        <f>+'St of Net Pos - GA'!Q489-'Long Term Liab - GA'!U489</f>
        <v>0</v>
      </c>
    </row>
    <row r="490" spans="1:23">
      <c r="A490" s="9" t="s">
        <v>602</v>
      </c>
      <c r="B490" s="9"/>
      <c r="C490" s="9" t="s">
        <v>111</v>
      </c>
      <c r="D490" s="9"/>
      <c r="E490" s="23">
        <v>44735</v>
      </c>
      <c r="G490" s="42">
        <f>1510000+320000</f>
        <v>1830000</v>
      </c>
      <c r="I490" s="42">
        <v>0</v>
      </c>
      <c r="K490" s="42">
        <v>0</v>
      </c>
      <c r="M490" s="42">
        <v>129063</v>
      </c>
      <c r="O490" s="42">
        <v>1672795</v>
      </c>
      <c r="Q490" s="42">
        <v>0</v>
      </c>
      <c r="S490" s="5">
        <f t="shared" ref="S490:S525" si="34">SUM(G490:R490)</f>
        <v>3631858</v>
      </c>
      <c r="U490" s="42">
        <v>391602</v>
      </c>
      <c r="W490" s="42">
        <f>+'St of Net Pos - GA'!Q490-'Long Term Liab - GA'!U490</f>
        <v>0</v>
      </c>
    </row>
    <row r="491" spans="1:23">
      <c r="A491" s="9" t="s">
        <v>288</v>
      </c>
      <c r="B491" s="9"/>
      <c r="C491" s="9" t="s">
        <v>24</v>
      </c>
      <c r="D491" s="9"/>
      <c r="E491" s="23">
        <v>44743</v>
      </c>
      <c r="G491" s="42">
        <v>0</v>
      </c>
      <c r="I491" s="42">
        <v>0</v>
      </c>
      <c r="K491" s="42">
        <v>0</v>
      </c>
      <c r="M491" s="42">
        <v>629676</v>
      </c>
      <c r="O491" s="42">
        <v>3623695</v>
      </c>
      <c r="Q491" s="42">
        <v>0</v>
      </c>
      <c r="S491" s="5">
        <f t="shared" si="34"/>
        <v>4253371</v>
      </c>
      <c r="U491" s="42">
        <v>1186634</v>
      </c>
      <c r="W491" s="42">
        <f>+'St of Net Pos - GA'!Q491-'Long Term Liab - GA'!U491</f>
        <v>0</v>
      </c>
    </row>
    <row r="492" spans="1:23">
      <c r="A492" s="9" t="s">
        <v>500</v>
      </c>
      <c r="B492" s="9"/>
      <c r="C492" s="9" t="s">
        <v>62</v>
      </c>
      <c r="D492" s="9"/>
      <c r="E492" s="23">
        <v>49940</v>
      </c>
      <c r="G492" s="42">
        <f>13312518-296800-580262</f>
        <v>12435456</v>
      </c>
      <c r="I492" s="42">
        <v>0</v>
      </c>
      <c r="K492" s="42">
        <v>296800</v>
      </c>
      <c r="M492" s="42">
        <v>0</v>
      </c>
      <c r="O492" s="42">
        <v>580262</v>
      </c>
      <c r="Q492" s="42">
        <v>0</v>
      </c>
      <c r="S492" s="5">
        <f t="shared" si="34"/>
        <v>13312518</v>
      </c>
      <c r="U492" s="42">
        <v>728642</v>
      </c>
      <c r="W492" s="42">
        <f>+'St of Net Pos - GA'!Q492-'Long Term Liab - GA'!U492</f>
        <v>0</v>
      </c>
    </row>
    <row r="493" spans="1:23">
      <c r="A493" s="9" t="s">
        <v>453</v>
      </c>
      <c r="B493" s="9"/>
      <c r="C493" s="9" t="s">
        <v>55</v>
      </c>
      <c r="D493" s="9"/>
      <c r="E493" s="23">
        <v>49130</v>
      </c>
      <c r="G493" s="42">
        <v>600000</v>
      </c>
      <c r="I493" s="42">
        <v>0</v>
      </c>
      <c r="K493" s="42">
        <v>0</v>
      </c>
      <c r="M493" s="42">
        <v>864182</v>
      </c>
      <c r="O493" s="42">
        <v>658780</v>
      </c>
      <c r="Q493" s="42">
        <v>0</v>
      </c>
      <c r="S493" s="5">
        <f t="shared" si="34"/>
        <v>2122962</v>
      </c>
      <c r="U493" s="42">
        <v>230897</v>
      </c>
      <c r="W493" s="42">
        <f>+'St of Net Pos - GA'!Q493-'Long Term Liab - GA'!U493</f>
        <v>0</v>
      </c>
    </row>
    <row r="494" spans="1:23">
      <c r="A494" s="9" t="s">
        <v>402</v>
      </c>
      <c r="B494" s="9"/>
      <c r="C494" s="9" t="s">
        <v>45</v>
      </c>
      <c r="D494" s="9"/>
      <c r="E494" s="23">
        <v>48355</v>
      </c>
      <c r="G494" s="42">
        <v>900978</v>
      </c>
      <c r="I494" s="42">
        <v>0</v>
      </c>
      <c r="K494" s="42">
        <v>0</v>
      </c>
      <c r="M494" s="42">
        <v>0</v>
      </c>
      <c r="O494" s="42">
        <v>340107</v>
      </c>
      <c r="Q494" s="42">
        <v>0</v>
      </c>
      <c r="S494" s="5">
        <f t="shared" si="34"/>
        <v>1241085</v>
      </c>
      <c r="U494" s="42">
        <v>107337</v>
      </c>
      <c r="W494" s="42">
        <f>+'St of Net Pos - GA'!Q494-'Long Term Liab - GA'!U494</f>
        <v>0</v>
      </c>
    </row>
    <row r="495" spans="1:23">
      <c r="A495" s="9" t="s">
        <v>484</v>
      </c>
      <c r="B495" s="9"/>
      <c r="C495" s="9" t="s">
        <v>60</v>
      </c>
      <c r="D495" s="9"/>
      <c r="E495" s="23">
        <v>49684</v>
      </c>
      <c r="G495" s="42">
        <f>10015861+1027217</f>
        <v>11043078</v>
      </c>
      <c r="I495" s="42">
        <v>0</v>
      </c>
      <c r="K495" s="42">
        <v>0</v>
      </c>
      <c r="M495" s="42">
        <v>173883</v>
      </c>
      <c r="O495" s="42">
        <v>638100</v>
      </c>
      <c r="Q495" s="42">
        <v>6600</v>
      </c>
      <c r="S495" s="5">
        <f t="shared" si="34"/>
        <v>11861661</v>
      </c>
      <c r="U495" s="42">
        <v>482099</v>
      </c>
      <c r="W495" s="42">
        <f>+'St of Net Pos - GA'!Q495-'Long Term Liab - GA'!U495</f>
        <v>0</v>
      </c>
    </row>
    <row r="496" spans="1:23">
      <c r="A496" s="9" t="s">
        <v>216</v>
      </c>
      <c r="B496" s="9"/>
      <c r="C496" s="9" t="s">
        <v>15</v>
      </c>
      <c r="D496" s="9"/>
      <c r="E496" s="23">
        <v>46003</v>
      </c>
      <c r="G496" s="42">
        <v>0</v>
      </c>
      <c r="I496" s="42">
        <v>0</v>
      </c>
      <c r="K496" s="42">
        <v>12634</v>
      </c>
      <c r="M496" s="42">
        <v>45186</v>
      </c>
      <c r="O496" s="42">
        <v>539973</v>
      </c>
      <c r="Q496" s="42">
        <v>0</v>
      </c>
      <c r="S496" s="5">
        <f t="shared" si="34"/>
        <v>597793</v>
      </c>
      <c r="U496" s="42">
        <v>81918</v>
      </c>
      <c r="W496" s="42">
        <f>+'St of Net Pos - GA'!Q496-'Long Term Liab - GA'!U496</f>
        <v>0</v>
      </c>
    </row>
    <row r="497" spans="1:23">
      <c r="A497" s="9" t="s">
        <v>709</v>
      </c>
      <c r="B497" s="9"/>
      <c r="C497" s="9" t="s">
        <v>20</v>
      </c>
      <c r="D497" s="9"/>
      <c r="E497" s="23">
        <v>44750</v>
      </c>
      <c r="G497" s="42">
        <v>25060578</v>
      </c>
      <c r="I497" s="42">
        <v>0</v>
      </c>
      <c r="K497" s="42">
        <v>0</v>
      </c>
      <c r="M497" s="42">
        <v>0</v>
      </c>
      <c r="O497" s="42">
        <v>6061420</v>
      </c>
      <c r="Q497" s="42">
        <v>1588800</v>
      </c>
      <c r="S497" s="5">
        <f t="shared" si="34"/>
        <v>32710798</v>
      </c>
      <c r="U497" s="42">
        <v>3266173</v>
      </c>
      <c r="W497" s="42">
        <f>+'St of Net Pos - GA'!Q497-'Long Term Liab - GA'!U497</f>
        <v>0</v>
      </c>
    </row>
    <row r="498" spans="1:23" hidden="1">
      <c r="A498" s="9" t="s">
        <v>694</v>
      </c>
      <c r="B498" s="9"/>
      <c r="C498" s="9" t="s">
        <v>10</v>
      </c>
      <c r="D498" s="9"/>
      <c r="E498" s="23">
        <v>45779</v>
      </c>
      <c r="G498" s="42">
        <v>0</v>
      </c>
      <c r="I498" s="42">
        <v>0</v>
      </c>
      <c r="K498" s="42">
        <v>0</v>
      </c>
      <c r="M498" s="42">
        <v>0</v>
      </c>
      <c r="O498" s="42">
        <v>0</v>
      </c>
      <c r="Q498" s="42">
        <v>0</v>
      </c>
      <c r="S498" s="5">
        <f t="shared" si="34"/>
        <v>0</v>
      </c>
      <c r="U498" s="42">
        <v>0</v>
      </c>
      <c r="W498" s="42">
        <f>+'St of Net Pos - GA'!Q498-'Long Term Liab - GA'!U498</f>
        <v>0</v>
      </c>
    </row>
    <row r="499" spans="1:23">
      <c r="A499" s="9" t="s">
        <v>783</v>
      </c>
      <c r="B499" s="9"/>
      <c r="C499" s="9" t="s">
        <v>44</v>
      </c>
      <c r="D499" s="9"/>
      <c r="E499" s="23">
        <v>44768</v>
      </c>
      <c r="G499" s="42">
        <f>31049919+81378</f>
        <v>31131297</v>
      </c>
      <c r="I499" s="42">
        <v>0</v>
      </c>
      <c r="K499" s="42">
        <v>0</v>
      </c>
      <c r="M499" s="42">
        <v>74789</v>
      </c>
      <c r="O499" s="42">
        <v>797195</v>
      </c>
      <c r="Q499" s="42">
        <v>0</v>
      </c>
      <c r="S499" s="5">
        <f t="shared" si="34"/>
        <v>32003281</v>
      </c>
      <c r="U499" s="42">
        <v>662050</v>
      </c>
      <c r="W499" s="42">
        <f>+'St of Net Pos - GA'!Q499-'Long Term Liab - GA'!U499</f>
        <v>0</v>
      </c>
    </row>
    <row r="500" spans="1:23">
      <c r="A500" s="9" t="s">
        <v>469</v>
      </c>
      <c r="B500" s="9"/>
      <c r="C500" s="9" t="s">
        <v>109</v>
      </c>
      <c r="D500" s="9"/>
      <c r="E500" s="23">
        <v>44776</v>
      </c>
      <c r="G500" s="42">
        <f>16828413+665401</f>
        <v>17493814</v>
      </c>
      <c r="I500" s="42">
        <v>0</v>
      </c>
      <c r="K500" s="42">
        <v>0</v>
      </c>
      <c r="M500" s="42">
        <v>9067</v>
      </c>
      <c r="O500" s="42">
        <v>1589345</v>
      </c>
      <c r="Q500" s="42">
        <v>0</v>
      </c>
      <c r="S500" s="5">
        <f t="shared" si="34"/>
        <v>19092226</v>
      </c>
      <c r="U500" s="42">
        <v>609372</v>
      </c>
      <c r="W500" s="42">
        <f>+'St of Net Pos - GA'!Q500-'Long Term Liab - GA'!U500</f>
        <v>0</v>
      </c>
    </row>
    <row r="501" spans="1:23" hidden="1">
      <c r="A501" s="9" t="s">
        <v>827</v>
      </c>
      <c r="B501" s="9"/>
      <c r="C501" s="9" t="s">
        <v>61</v>
      </c>
      <c r="D501" s="9"/>
      <c r="E501" s="23">
        <v>44784</v>
      </c>
      <c r="G501" s="42">
        <v>0</v>
      </c>
      <c r="I501" s="42">
        <v>0</v>
      </c>
      <c r="K501" s="42">
        <v>0</v>
      </c>
      <c r="M501" s="42">
        <v>0</v>
      </c>
      <c r="O501" s="42">
        <v>0</v>
      </c>
      <c r="Q501" s="42">
        <v>0</v>
      </c>
      <c r="S501" s="5">
        <f>SUM(G501:R501)</f>
        <v>0</v>
      </c>
      <c r="U501" s="42">
        <v>0</v>
      </c>
      <c r="W501" s="42">
        <f>+'St of Net Pos - GA'!Q501-'Long Term Liab - GA'!U501</f>
        <v>0</v>
      </c>
    </row>
    <row r="502" spans="1:23">
      <c r="A502" s="9" t="s">
        <v>275</v>
      </c>
      <c r="B502" s="9"/>
      <c r="C502" s="9" t="s">
        <v>20</v>
      </c>
      <c r="D502" s="9"/>
      <c r="E502" s="23">
        <v>46607</v>
      </c>
      <c r="G502" s="42">
        <f>13360396+712654</f>
        <v>14073050</v>
      </c>
      <c r="I502" s="42">
        <v>0</v>
      </c>
      <c r="K502" s="42">
        <v>0</v>
      </c>
      <c r="M502" s="42">
        <v>66820</v>
      </c>
      <c r="O502" s="42">
        <v>11763136</v>
      </c>
      <c r="Q502" s="42">
        <v>0</v>
      </c>
      <c r="S502" s="5">
        <f t="shared" si="34"/>
        <v>25903006</v>
      </c>
      <c r="U502" s="42">
        <v>4947546</v>
      </c>
      <c r="W502" s="42">
        <f>+'St of Net Pos - GA'!Q502-'Long Term Liab - GA'!U502</f>
        <v>0</v>
      </c>
    </row>
    <row r="503" spans="1:23">
      <c r="A503" s="9" t="s">
        <v>628</v>
      </c>
      <c r="B503" s="9"/>
      <c r="C503" s="9" t="s">
        <v>37</v>
      </c>
      <c r="D503" s="9"/>
      <c r="E503" s="23">
        <v>47738</v>
      </c>
      <c r="G503" s="42">
        <f>765000+39008</f>
        <v>804008</v>
      </c>
      <c r="I503" s="42">
        <v>0</v>
      </c>
      <c r="K503" s="42">
        <v>0</v>
      </c>
      <c r="M503" s="42">
        <v>102528</v>
      </c>
      <c r="O503" s="42">
        <v>581337</v>
      </c>
      <c r="Q503" s="42">
        <v>0</v>
      </c>
      <c r="S503" s="5">
        <f t="shared" si="34"/>
        <v>1487873</v>
      </c>
      <c r="U503" s="42">
        <v>197163</v>
      </c>
      <c r="W503" s="42">
        <f>+'St of Net Pos - GA'!Q503-'Long Term Liab - GA'!U503</f>
        <v>0</v>
      </c>
    </row>
    <row r="504" spans="1:23">
      <c r="A504" s="9" t="s">
        <v>276</v>
      </c>
      <c r="B504" s="9"/>
      <c r="C504" s="9" t="s">
        <v>20</v>
      </c>
      <c r="D504" s="9"/>
      <c r="E504" s="23">
        <v>44792</v>
      </c>
      <c r="G504" s="42">
        <v>5232772</v>
      </c>
      <c r="I504" s="42">
        <v>0</v>
      </c>
      <c r="K504" s="42">
        <v>615000</v>
      </c>
      <c r="M504" s="42">
        <v>0</v>
      </c>
      <c r="O504" s="42">
        <v>3433845</v>
      </c>
      <c r="Q504" s="42">
        <v>0</v>
      </c>
      <c r="S504" s="5">
        <f t="shared" si="34"/>
        <v>9281617</v>
      </c>
      <c r="U504" s="42">
        <v>1514748</v>
      </c>
      <c r="W504" s="42">
        <f>+'St of Net Pos - GA'!Q504-'Long Term Liab - GA'!U504</f>
        <v>0</v>
      </c>
    </row>
    <row r="505" spans="1:23">
      <c r="A505" s="9" t="s">
        <v>369</v>
      </c>
      <c r="B505" s="9"/>
      <c r="C505" s="9" t="s">
        <v>364</v>
      </c>
      <c r="D505" s="9"/>
      <c r="E505" s="23">
        <v>47951</v>
      </c>
      <c r="G505" s="42">
        <f>12191325-520322-1621151</f>
        <v>10049852</v>
      </c>
      <c r="I505" s="42">
        <v>0</v>
      </c>
      <c r="K505" s="42">
        <v>0</v>
      </c>
      <c r="M505" s="42">
        <v>520322</v>
      </c>
      <c r="O505" s="42">
        <v>1621151</v>
      </c>
      <c r="Q505" s="42">
        <v>0</v>
      </c>
      <c r="S505" s="5">
        <f t="shared" si="34"/>
        <v>12191325</v>
      </c>
      <c r="U505" s="42">
        <v>1152479</v>
      </c>
      <c r="W505" s="42">
        <f>+'St of Net Pos - GA'!Q505-'Long Term Liab - GA'!U505</f>
        <v>0</v>
      </c>
    </row>
    <row r="506" spans="1:23">
      <c r="A506" s="9" t="s">
        <v>403</v>
      </c>
      <c r="B506" s="9"/>
      <c r="C506" s="9" t="s">
        <v>45</v>
      </c>
      <c r="D506" s="9"/>
      <c r="E506" s="23">
        <v>48363</v>
      </c>
      <c r="G506" s="42">
        <v>13481950</v>
      </c>
      <c r="I506" s="42">
        <v>0</v>
      </c>
      <c r="K506" s="42">
        <v>0</v>
      </c>
      <c r="M506" s="42">
        <v>0</v>
      </c>
      <c r="O506" s="42">
        <v>0</v>
      </c>
      <c r="Q506" s="42">
        <v>0</v>
      </c>
      <c r="S506" s="5">
        <f t="shared" si="34"/>
        <v>13481950</v>
      </c>
      <c r="U506" s="42">
        <v>665402</v>
      </c>
      <c r="W506" s="42">
        <f>+'St of Net Pos - GA'!Q506-'Long Term Liab - GA'!U506</f>
        <v>0</v>
      </c>
    </row>
    <row r="507" spans="1:23">
      <c r="A507" s="9" t="s">
        <v>460</v>
      </c>
      <c r="B507" s="9"/>
      <c r="C507" s="9" t="s">
        <v>56</v>
      </c>
      <c r="D507" s="9"/>
      <c r="E507" s="23">
        <v>49221</v>
      </c>
      <c r="G507" s="42">
        <v>4534245</v>
      </c>
      <c r="I507" s="42">
        <v>0</v>
      </c>
      <c r="K507" s="42">
        <v>0</v>
      </c>
      <c r="M507" s="42">
        <v>61732</v>
      </c>
      <c r="O507" s="42">
        <v>1177756</v>
      </c>
      <c r="Q507" s="42">
        <v>0</v>
      </c>
      <c r="S507" s="5">
        <f t="shared" si="34"/>
        <v>5773733</v>
      </c>
      <c r="U507" s="42">
        <v>444195</v>
      </c>
      <c r="W507" s="42">
        <f>+'St of Net Pos - GA'!Q507-'Long Term Liab - GA'!U507</f>
        <v>0</v>
      </c>
    </row>
    <row r="508" spans="1:23">
      <c r="A508" s="9" t="s">
        <v>460</v>
      </c>
      <c r="B508" s="9"/>
      <c r="C508" s="9" t="s">
        <v>71</v>
      </c>
      <c r="D508" s="9"/>
      <c r="E508" s="23">
        <v>50583</v>
      </c>
      <c r="G508" s="42">
        <v>0</v>
      </c>
      <c r="I508" s="42">
        <v>0</v>
      </c>
      <c r="K508" s="42">
        <v>0</v>
      </c>
      <c r="M508" s="42">
        <v>0</v>
      </c>
      <c r="O508" s="42">
        <v>675058</v>
      </c>
      <c r="Q508" s="42">
        <v>0</v>
      </c>
      <c r="S508" s="5">
        <f t="shared" si="34"/>
        <v>675058</v>
      </c>
      <c r="U508" s="42">
        <v>172531</v>
      </c>
      <c r="W508" s="42">
        <f>+'St of Net Pos - GA'!Q508-'Long Term Liab - GA'!U508</f>
        <v>0</v>
      </c>
    </row>
    <row r="509" spans="1:23">
      <c r="A509" s="9" t="s">
        <v>233</v>
      </c>
      <c r="B509" s="9"/>
      <c r="C509" s="9" t="s">
        <v>17</v>
      </c>
      <c r="D509" s="9"/>
      <c r="E509" s="23">
        <v>46276</v>
      </c>
      <c r="G509" s="42">
        <f>1606710-86184-403037</f>
        <v>1117489</v>
      </c>
      <c r="I509" s="42">
        <v>0</v>
      </c>
      <c r="K509" s="42">
        <v>0</v>
      </c>
      <c r="M509" s="42">
        <v>86184</v>
      </c>
      <c r="O509" s="42">
        <v>403037</v>
      </c>
      <c r="Q509" s="42">
        <v>0</v>
      </c>
      <c r="S509" s="5">
        <f t="shared" si="34"/>
        <v>1606710</v>
      </c>
      <c r="U509" s="42">
        <v>204222</v>
      </c>
      <c r="W509" s="42">
        <f>+'St of Net Pos - GA'!Q509-'Long Term Liab - GA'!U509</f>
        <v>0</v>
      </c>
    </row>
    <row r="510" spans="1:23">
      <c r="A510" s="9" t="s">
        <v>233</v>
      </c>
      <c r="B510" s="9"/>
      <c r="C510" s="9" t="s">
        <v>58</v>
      </c>
      <c r="D510" s="9"/>
      <c r="E510" s="23">
        <v>49528</v>
      </c>
      <c r="G510" s="42">
        <v>2824302</v>
      </c>
      <c r="I510" s="42">
        <v>0</v>
      </c>
      <c r="K510" s="42">
        <v>1237000</v>
      </c>
      <c r="M510" s="42">
        <v>0</v>
      </c>
      <c r="O510" s="42">
        <v>449821</v>
      </c>
      <c r="Q510" s="42">
        <v>0</v>
      </c>
      <c r="S510" s="5">
        <f t="shared" si="34"/>
        <v>4511123</v>
      </c>
      <c r="U510" s="42">
        <v>290909</v>
      </c>
      <c r="W510" s="42">
        <f>+'St of Net Pos - GA'!Q510-'Long Term Liab - GA'!U510</f>
        <v>0</v>
      </c>
    </row>
    <row r="511" spans="1:23">
      <c r="A511" s="9" t="s">
        <v>640</v>
      </c>
      <c r="B511" s="9"/>
      <c r="C511" s="9" t="s">
        <v>111</v>
      </c>
      <c r="D511" s="9"/>
      <c r="E511" s="23">
        <v>46441</v>
      </c>
      <c r="G511" s="42">
        <f>2168864+123524</f>
        <v>2292388</v>
      </c>
      <c r="I511" s="42">
        <v>0</v>
      </c>
      <c r="K511" s="42">
        <v>0</v>
      </c>
      <c r="M511" s="42">
        <f>11807+1086373</f>
        <v>1098180</v>
      </c>
      <c r="O511" s="42">
        <v>303446</v>
      </c>
      <c r="Q511" s="42">
        <v>0</v>
      </c>
      <c r="S511" s="5">
        <f>SUM(G511:R511)</f>
        <v>3694014</v>
      </c>
      <c r="U511" s="42">
        <v>275110</v>
      </c>
      <c r="W511" s="42">
        <f>+'St of Net Pos - GA'!Q511-'Long Term Liab - GA'!U511</f>
        <v>0</v>
      </c>
    </row>
    <row r="512" spans="1:23">
      <c r="A512" s="9" t="s">
        <v>248</v>
      </c>
      <c r="B512" s="9"/>
      <c r="C512" s="9" t="s">
        <v>417</v>
      </c>
      <c r="D512" s="9"/>
      <c r="E512" s="23">
        <v>48538</v>
      </c>
      <c r="G512" s="42">
        <f>6734446-123003-305248</f>
        <v>6306195</v>
      </c>
      <c r="I512" s="42">
        <v>123003</v>
      </c>
      <c r="K512" s="42">
        <v>0</v>
      </c>
      <c r="M512" s="42">
        <v>0</v>
      </c>
      <c r="O512" s="42">
        <v>305248</v>
      </c>
      <c r="Q512" s="42">
        <v>0</v>
      </c>
      <c r="S512" s="5">
        <f t="shared" si="34"/>
        <v>6734446</v>
      </c>
      <c r="U512" s="42">
        <v>328994</v>
      </c>
      <c r="W512" s="42">
        <f>+'St of Net Pos - GA'!Q512-'Long Term Liab - GA'!U512</f>
        <v>0</v>
      </c>
    </row>
    <row r="513" spans="1:23" hidden="1">
      <c r="A513" s="9" t="s">
        <v>695</v>
      </c>
      <c r="B513" s="9"/>
      <c r="C513" s="9" t="s">
        <v>448</v>
      </c>
      <c r="D513" s="9"/>
      <c r="E513" s="23">
        <v>49064</v>
      </c>
      <c r="G513" s="42">
        <v>0</v>
      </c>
      <c r="I513" s="42">
        <v>0</v>
      </c>
      <c r="K513" s="42">
        <v>0</v>
      </c>
      <c r="M513" s="42">
        <v>0</v>
      </c>
      <c r="O513" s="42">
        <v>0</v>
      </c>
      <c r="Q513" s="42">
        <v>0</v>
      </c>
      <c r="S513" s="5">
        <f t="shared" si="34"/>
        <v>0</v>
      </c>
      <c r="U513" s="42">
        <v>0</v>
      </c>
      <c r="W513" s="42">
        <f>+'St of Net Pos - GA'!Q513-'Long Term Liab - GA'!U513</f>
        <v>0</v>
      </c>
    </row>
    <row r="514" spans="1:23">
      <c r="A514" s="9" t="s">
        <v>526</v>
      </c>
      <c r="B514" s="9"/>
      <c r="C514" s="9" t="s">
        <v>64</v>
      </c>
      <c r="D514" s="9"/>
      <c r="E514" s="23">
        <v>50237</v>
      </c>
      <c r="G514" s="42">
        <v>7466964</v>
      </c>
      <c r="I514" s="42">
        <v>0</v>
      </c>
      <c r="K514" s="42">
        <v>0</v>
      </c>
      <c r="M514" s="42">
        <v>0</v>
      </c>
      <c r="O514" s="42">
        <v>222168</v>
      </c>
      <c r="Q514" s="42">
        <v>17500</v>
      </c>
      <c r="S514" s="5">
        <f t="shared" si="34"/>
        <v>7706632</v>
      </c>
      <c r="U514" s="42">
        <v>280429</v>
      </c>
      <c r="W514" s="42">
        <f>+'St of Net Pos - GA'!Q514-'Long Term Liab - GA'!U514</f>
        <v>0</v>
      </c>
    </row>
    <row r="515" spans="1:23" hidden="1">
      <c r="A515" s="9" t="s">
        <v>823</v>
      </c>
      <c r="B515" s="9"/>
      <c r="C515" s="9" t="s">
        <v>42</v>
      </c>
      <c r="D515" s="9"/>
      <c r="E515" s="23">
        <v>48041</v>
      </c>
      <c r="G515" s="42">
        <v>0</v>
      </c>
      <c r="I515" s="42">
        <v>0</v>
      </c>
      <c r="K515" s="42">
        <v>0</v>
      </c>
      <c r="M515" s="42">
        <v>0</v>
      </c>
      <c r="O515" s="42">
        <v>0</v>
      </c>
      <c r="Q515" s="42">
        <v>0</v>
      </c>
      <c r="S515" s="5">
        <f t="shared" si="34"/>
        <v>0</v>
      </c>
      <c r="U515" s="42">
        <v>0</v>
      </c>
      <c r="W515" s="42">
        <f>+'St of Net Pos - GA'!Q515-'Long Term Liab - GA'!U515</f>
        <v>0</v>
      </c>
    </row>
    <row r="516" spans="1:23">
      <c r="A516" s="9" t="s">
        <v>329</v>
      </c>
      <c r="B516" s="9"/>
      <c r="C516" s="9" t="s">
        <v>32</v>
      </c>
      <c r="D516" s="9"/>
      <c r="E516" s="23">
        <v>47381</v>
      </c>
      <c r="G516" s="42">
        <v>16709204</v>
      </c>
      <c r="I516" s="42">
        <v>0</v>
      </c>
      <c r="K516" s="42">
        <v>0</v>
      </c>
      <c r="M516" s="42">
        <v>0</v>
      </c>
      <c r="O516" s="42">
        <v>4930074</v>
      </c>
      <c r="Q516" s="42">
        <v>0</v>
      </c>
      <c r="S516" s="5">
        <f t="shared" si="34"/>
        <v>21639278</v>
      </c>
      <c r="U516" s="42">
        <v>1033042</v>
      </c>
      <c r="W516" s="42">
        <f>+'St of Net Pos - GA'!Q516-'Long Term Liab - GA'!U516</f>
        <v>0</v>
      </c>
    </row>
    <row r="517" spans="1:23">
      <c r="A517" s="9" t="s">
        <v>305</v>
      </c>
      <c r="B517" s="9"/>
      <c r="C517" s="9" t="s">
        <v>27</v>
      </c>
      <c r="D517" s="9"/>
      <c r="E517" s="23">
        <v>44800</v>
      </c>
      <c r="G517" s="42">
        <f>205731014+7590000</f>
        <v>213321014</v>
      </c>
      <c r="I517" s="42">
        <v>266664</v>
      </c>
      <c r="K517" s="42">
        <v>0</v>
      </c>
      <c r="M517" s="42">
        <v>0</v>
      </c>
      <c r="O517" s="42">
        <v>13111079</v>
      </c>
      <c r="Q517" s="42">
        <v>0</v>
      </c>
      <c r="S517" s="5">
        <f t="shared" si="34"/>
        <v>226698757</v>
      </c>
      <c r="U517" s="42">
        <v>10227663</v>
      </c>
      <c r="W517" s="42">
        <f>+'St of Net Pos - GA'!Q517-'Long Term Liab - GA'!U517</f>
        <v>0</v>
      </c>
    </row>
    <row r="518" spans="1:23" hidden="1">
      <c r="A518" s="9" t="s">
        <v>696</v>
      </c>
      <c r="B518" s="9"/>
      <c r="C518" s="9" t="s">
        <v>10</v>
      </c>
      <c r="D518" s="9"/>
      <c r="E518" s="23">
        <v>45807</v>
      </c>
      <c r="F518" s="7"/>
      <c r="G518" s="42">
        <v>0</v>
      </c>
      <c r="I518" s="42">
        <v>0</v>
      </c>
      <c r="K518" s="42">
        <v>0</v>
      </c>
      <c r="M518" s="42">
        <v>0</v>
      </c>
      <c r="O518" s="42">
        <v>0</v>
      </c>
      <c r="Q518" s="42">
        <v>0</v>
      </c>
      <c r="S518" s="5">
        <f t="shared" si="34"/>
        <v>0</v>
      </c>
      <c r="U518" s="42">
        <v>0</v>
      </c>
      <c r="W518" s="42">
        <f>+'St of Net Pos - GA'!Q518-'Long Term Liab - GA'!U518</f>
        <v>0</v>
      </c>
    </row>
    <row r="519" spans="1:23">
      <c r="A519" s="8" t="s">
        <v>838</v>
      </c>
      <c r="B519" s="9"/>
      <c r="C519" s="9" t="s">
        <v>69</v>
      </c>
      <c r="D519" s="9"/>
      <c r="E519" s="23">
        <v>50427</v>
      </c>
      <c r="G519" s="42">
        <f>17755000+3115000+64663+45315000+4878483+995000+21244</f>
        <v>72144390</v>
      </c>
      <c r="I519" s="42">
        <v>487000</v>
      </c>
      <c r="K519" s="42">
        <v>0</v>
      </c>
      <c r="M519" s="42">
        <v>13592835</v>
      </c>
      <c r="O519" s="42">
        <v>2053179</v>
      </c>
      <c r="Q519" s="42">
        <v>1770926</v>
      </c>
      <c r="S519" s="5">
        <f t="shared" si="34"/>
        <v>90048330</v>
      </c>
      <c r="U519" s="42">
        <v>5882259</v>
      </c>
      <c r="W519" s="42">
        <f>+'St of Net Pos - GA'!Q519-'Long Term Liab - GA'!U519</f>
        <v>0</v>
      </c>
    </row>
    <row r="520" spans="1:23">
      <c r="A520" s="9" t="s">
        <v>624</v>
      </c>
      <c r="B520" s="9"/>
      <c r="C520" s="9" t="s">
        <v>17</v>
      </c>
      <c r="D520" s="9"/>
      <c r="E520" s="23">
        <v>44818</v>
      </c>
      <c r="G520" s="42">
        <f>937996+2312502+71452+16630000+2014095+1622148+1066199+1875000+144000+113044+41758</f>
        <v>26828194</v>
      </c>
      <c r="I520" s="42">
        <v>0</v>
      </c>
      <c r="K520" s="42">
        <v>855000</v>
      </c>
      <c r="M520" s="42">
        <v>480930</v>
      </c>
      <c r="O520" s="42">
        <v>3882564</v>
      </c>
      <c r="Q520" s="42">
        <v>0</v>
      </c>
      <c r="S520" s="5">
        <f t="shared" si="34"/>
        <v>32046688</v>
      </c>
      <c r="U520" s="42">
        <v>3264225</v>
      </c>
      <c r="W520" s="42">
        <f>+'St of Net Pos - GA'!Q520-'Long Term Liab - GA'!U520</f>
        <v>0</v>
      </c>
    </row>
    <row r="521" spans="1:23">
      <c r="A521" s="9" t="s">
        <v>710</v>
      </c>
      <c r="B521" s="9"/>
      <c r="C521" s="9" t="s">
        <v>114</v>
      </c>
      <c r="D521" s="9"/>
      <c r="E521" s="23">
        <v>48223</v>
      </c>
      <c r="G521" s="42">
        <v>10945296</v>
      </c>
      <c r="I521" s="42">
        <v>0</v>
      </c>
      <c r="K521" s="42">
        <v>0</v>
      </c>
      <c r="M521" s="42">
        <v>0</v>
      </c>
      <c r="O521" s="42">
        <v>2257270</v>
      </c>
      <c r="Q521" s="42">
        <v>0</v>
      </c>
      <c r="S521" s="5">
        <f t="shared" si="34"/>
        <v>13202566</v>
      </c>
      <c r="U521" s="42">
        <v>2286316</v>
      </c>
      <c r="W521" s="42">
        <f>+'St of Net Pos - GA'!Q521-'Long Term Liab - GA'!U521</f>
        <v>0</v>
      </c>
    </row>
    <row r="522" spans="1:23">
      <c r="A522" s="9" t="s">
        <v>390</v>
      </c>
      <c r="B522" s="9"/>
      <c r="C522" s="9" t="s">
        <v>45</v>
      </c>
      <c r="D522" s="9"/>
      <c r="E522" s="23">
        <v>48371</v>
      </c>
      <c r="G522" s="42">
        <v>0</v>
      </c>
      <c r="I522" s="42">
        <v>0</v>
      </c>
      <c r="K522" s="42">
        <v>0</v>
      </c>
      <c r="M522" s="42">
        <v>3412363</v>
      </c>
      <c r="O522" s="42">
        <v>847227</v>
      </c>
      <c r="Q522" s="42">
        <v>0</v>
      </c>
      <c r="S522" s="5">
        <f t="shared" si="34"/>
        <v>4259590</v>
      </c>
      <c r="U522" s="42">
        <v>501083</v>
      </c>
      <c r="W522" s="42">
        <f>+'St of Net Pos - GA'!Q522-'Long Term Liab - GA'!U522</f>
        <v>0</v>
      </c>
    </row>
    <row r="523" spans="1:23">
      <c r="A523" s="9" t="s">
        <v>390</v>
      </c>
      <c r="B523" s="9"/>
      <c r="C523" s="9" t="s">
        <v>63</v>
      </c>
      <c r="D523" s="9"/>
      <c r="E523" s="23">
        <v>50062</v>
      </c>
      <c r="G523" s="42">
        <v>33764433</v>
      </c>
      <c r="I523" s="42">
        <v>223339</v>
      </c>
      <c r="K523" s="42">
        <v>183002</v>
      </c>
      <c r="M523" s="42">
        <v>49675</v>
      </c>
      <c r="O523" s="42">
        <v>1177458</v>
      </c>
      <c r="Q523" s="42">
        <v>0</v>
      </c>
      <c r="S523" s="5">
        <f t="shared" si="34"/>
        <v>35397907</v>
      </c>
      <c r="U523" s="42">
        <v>974259</v>
      </c>
      <c r="W523" s="42">
        <f>+'St of Net Pos - GA'!Q523-'Long Term Liab - GA'!U523</f>
        <v>0</v>
      </c>
    </row>
    <row r="524" spans="1:23">
      <c r="A524" s="9" t="s">
        <v>780</v>
      </c>
      <c r="B524" s="9"/>
      <c r="C524" s="9" t="s">
        <v>32</v>
      </c>
      <c r="D524" s="9"/>
      <c r="E524" s="23">
        <v>44719</v>
      </c>
      <c r="G524" s="42">
        <v>0</v>
      </c>
      <c r="I524" s="42">
        <v>0</v>
      </c>
      <c r="K524" s="42">
        <v>0</v>
      </c>
      <c r="M524" s="42">
        <v>871000</v>
      </c>
      <c r="O524" s="42">
        <v>1419487</v>
      </c>
      <c r="Q524" s="42">
        <v>0</v>
      </c>
      <c r="S524" s="5">
        <f t="shared" si="34"/>
        <v>2290487</v>
      </c>
      <c r="U524" s="42">
        <v>347948</v>
      </c>
      <c r="W524" s="42">
        <f>+'St of Net Pos - GA'!Q524-'Long Term Liab - GA'!U524</f>
        <v>0</v>
      </c>
    </row>
    <row r="525" spans="1:23">
      <c r="A525" s="9" t="s">
        <v>781</v>
      </c>
      <c r="B525" s="9"/>
      <c r="C525" s="9" t="s">
        <v>15</v>
      </c>
      <c r="D525" s="9"/>
      <c r="E525" s="23">
        <v>45997</v>
      </c>
      <c r="G525" s="42">
        <v>982557</v>
      </c>
      <c r="I525" s="42">
        <v>143565</v>
      </c>
      <c r="K525" s="42">
        <v>0</v>
      </c>
      <c r="M525" s="42">
        <v>97575</v>
      </c>
      <c r="O525" s="42">
        <v>639970</v>
      </c>
      <c r="Q525" s="42">
        <v>0</v>
      </c>
      <c r="S525" s="5">
        <f t="shared" si="34"/>
        <v>1863667</v>
      </c>
      <c r="U525" s="42">
        <v>1098463</v>
      </c>
      <c r="W525" s="42">
        <f>+'St of Net Pos - GA'!Q525-'Long Term Liab - GA'!U525</f>
        <v>0</v>
      </c>
    </row>
    <row r="526" spans="1:23" ht="12" hidden="1" customHeight="1">
      <c r="A526" s="9" t="s">
        <v>697</v>
      </c>
      <c r="B526" s="9"/>
      <c r="C526" s="9" t="s">
        <v>419</v>
      </c>
      <c r="D526" s="9"/>
      <c r="E526" s="23">
        <v>48587</v>
      </c>
      <c r="G526" s="42">
        <v>0</v>
      </c>
      <c r="I526" s="42">
        <v>0</v>
      </c>
      <c r="K526" s="42">
        <v>0</v>
      </c>
      <c r="M526" s="42">
        <v>0</v>
      </c>
      <c r="O526" s="42">
        <v>0</v>
      </c>
      <c r="Q526" s="42">
        <v>0</v>
      </c>
      <c r="S526" s="5">
        <f>SUM(G526:R526)</f>
        <v>0</v>
      </c>
      <c r="U526" s="42">
        <v>0</v>
      </c>
      <c r="W526" s="42">
        <f>+'St of Net Pos - GA'!Q526-'Long Term Liab - GA'!U526</f>
        <v>0</v>
      </c>
    </row>
    <row r="527" spans="1:23" hidden="1">
      <c r="A527" s="9" t="s">
        <v>698</v>
      </c>
      <c r="B527" s="9"/>
      <c r="C527" s="9" t="s">
        <v>14</v>
      </c>
      <c r="D527" s="9"/>
      <c r="E527" s="23">
        <v>44727</v>
      </c>
      <c r="G527" s="42">
        <v>0</v>
      </c>
      <c r="I527" s="42">
        <v>0</v>
      </c>
      <c r="K527" s="42">
        <v>0</v>
      </c>
      <c r="M527" s="42">
        <v>0</v>
      </c>
      <c r="O527" s="42">
        <v>0</v>
      </c>
      <c r="Q527" s="42">
        <v>0</v>
      </c>
      <c r="S527" s="5">
        <f>SUM(G527:R527)</f>
        <v>0</v>
      </c>
      <c r="U527" s="42">
        <v>0</v>
      </c>
      <c r="W527" s="42">
        <f>+'St of Net Pos - GA'!Q527-'Long Term Liab - GA'!U527</f>
        <v>0</v>
      </c>
    </row>
    <row r="528" spans="1:23">
      <c r="A528" s="9" t="s">
        <v>362</v>
      </c>
      <c r="B528" s="9"/>
      <c r="C528" s="9" t="s">
        <v>39</v>
      </c>
      <c r="D528" s="9"/>
      <c r="E528" s="23">
        <v>44826</v>
      </c>
      <c r="G528" s="42">
        <v>9624508</v>
      </c>
      <c r="I528" s="42">
        <v>0</v>
      </c>
      <c r="K528" s="42">
        <v>0</v>
      </c>
      <c r="M528" s="42">
        <v>0</v>
      </c>
      <c r="O528" s="42">
        <v>978625</v>
      </c>
      <c r="Q528" s="42">
        <v>0</v>
      </c>
      <c r="S528" s="5">
        <f>SUM(G528:R528)</f>
        <v>10603133</v>
      </c>
      <c r="U528" s="42">
        <v>1025907</v>
      </c>
      <c r="W528" s="42">
        <f>+'St of Net Pos - GA'!Q528-'Long Term Liab - GA'!U528</f>
        <v>0</v>
      </c>
    </row>
    <row r="529" spans="1:23">
      <c r="A529" s="9" t="s">
        <v>510</v>
      </c>
      <c r="B529" s="9"/>
      <c r="C529" s="9" t="s">
        <v>63</v>
      </c>
      <c r="D529" s="9"/>
      <c r="E529" s="23">
        <v>44834</v>
      </c>
      <c r="G529" s="42">
        <f>2375000+54548</f>
        <v>2429548</v>
      </c>
      <c r="I529" s="42">
        <v>0</v>
      </c>
      <c r="K529" s="42">
        <v>0</v>
      </c>
      <c r="M529" s="42">
        <v>0</v>
      </c>
      <c r="O529" s="42">
        <v>3845426</v>
      </c>
      <c r="Q529" s="42">
        <v>0</v>
      </c>
      <c r="S529" s="5">
        <f t="shared" ref="S529:S539" si="35">SUM(G529:R529)</f>
        <v>6274974</v>
      </c>
      <c r="U529" s="42">
        <v>819182</v>
      </c>
      <c r="W529" s="42">
        <f>+'St of Net Pos - GA'!Q529-'Long Term Liab - GA'!U529</f>
        <v>0</v>
      </c>
    </row>
    <row r="530" spans="1:23" ht="12" hidden="1" customHeight="1">
      <c r="A530" s="9" t="s">
        <v>699</v>
      </c>
      <c r="B530" s="9"/>
      <c r="C530" s="9" t="s">
        <v>65</v>
      </c>
      <c r="D530" s="9"/>
      <c r="E530" s="23">
        <v>50294</v>
      </c>
      <c r="G530" s="42">
        <v>0</v>
      </c>
      <c r="I530" s="42">
        <v>0</v>
      </c>
      <c r="K530" s="42">
        <v>0</v>
      </c>
      <c r="M530" s="42">
        <v>0</v>
      </c>
      <c r="O530" s="42">
        <v>0</v>
      </c>
      <c r="Q530" s="42">
        <v>0</v>
      </c>
      <c r="S530" s="5">
        <f t="shared" si="35"/>
        <v>0</v>
      </c>
      <c r="U530" s="42">
        <v>0</v>
      </c>
      <c r="W530" s="42">
        <f>+'St of Net Pos - GA'!Q530-'Long Term Liab - GA'!U530</f>
        <v>0</v>
      </c>
    </row>
    <row r="531" spans="1:23">
      <c r="A531" s="9" t="s">
        <v>461</v>
      </c>
      <c r="B531" s="9"/>
      <c r="C531" s="9" t="s">
        <v>56</v>
      </c>
      <c r="D531" s="9"/>
      <c r="E531" s="23">
        <v>49239</v>
      </c>
      <c r="G531" s="42">
        <v>10517232</v>
      </c>
      <c r="I531" s="42">
        <v>0</v>
      </c>
      <c r="K531" s="42">
        <v>845000</v>
      </c>
      <c r="M531" s="42">
        <v>0</v>
      </c>
      <c r="O531" s="42">
        <v>933241</v>
      </c>
      <c r="Q531" s="42">
        <v>0</v>
      </c>
      <c r="S531" s="5">
        <f t="shared" si="35"/>
        <v>12295473</v>
      </c>
      <c r="U531" s="42">
        <v>889207</v>
      </c>
      <c r="W531" s="42">
        <f>+'St of Net Pos - GA'!Q531-'Long Term Liab - GA'!U531</f>
        <v>0</v>
      </c>
    </row>
    <row r="532" spans="1:23">
      <c r="A532" s="9" t="s">
        <v>277</v>
      </c>
      <c r="B532" s="9"/>
      <c r="C532" s="9" t="s">
        <v>20</v>
      </c>
      <c r="D532" s="9"/>
      <c r="E532" s="23">
        <v>44842</v>
      </c>
      <c r="G532" s="42">
        <f>86179504+3578702</f>
        <v>89758206</v>
      </c>
      <c r="I532" s="42">
        <v>0</v>
      </c>
      <c r="K532" s="42">
        <v>4273334</v>
      </c>
      <c r="M532" s="42">
        <v>0</v>
      </c>
      <c r="O532" s="42">
        <v>7237711</v>
      </c>
      <c r="Q532" s="42">
        <v>0</v>
      </c>
      <c r="S532" s="5">
        <f t="shared" si="35"/>
        <v>101269251</v>
      </c>
      <c r="U532" s="42">
        <v>4835410</v>
      </c>
      <c r="W532" s="42">
        <f>+'St of Net Pos - GA'!Q532-'Long Term Liab - GA'!U532</f>
        <v>0</v>
      </c>
    </row>
    <row r="533" spans="1:23">
      <c r="A533" s="9" t="s">
        <v>404</v>
      </c>
      <c r="B533" s="9"/>
      <c r="C533" s="9" t="s">
        <v>45</v>
      </c>
      <c r="D533" s="9"/>
      <c r="E533" s="23">
        <v>44859</v>
      </c>
      <c r="G533" s="42">
        <f>3215865</f>
        <v>3215865</v>
      </c>
      <c r="I533" s="42">
        <v>0</v>
      </c>
      <c r="K533" s="42">
        <v>35400</v>
      </c>
      <c r="M533" s="42">
        <v>0</v>
      </c>
      <c r="O533" s="42">
        <v>1381812</v>
      </c>
      <c r="Q533" s="42">
        <v>0</v>
      </c>
      <c r="S533" s="5">
        <f t="shared" si="35"/>
        <v>4633077</v>
      </c>
      <c r="U533" s="42">
        <v>736890</v>
      </c>
      <c r="W533" s="42">
        <f>+'St of Net Pos - GA'!Q533-'Long Term Liab - GA'!U533</f>
        <v>0</v>
      </c>
    </row>
    <row r="534" spans="1:23" hidden="1">
      <c r="A534" s="9" t="s">
        <v>906</v>
      </c>
      <c r="B534" s="9"/>
      <c r="C534" s="9" t="s">
        <v>548</v>
      </c>
      <c r="D534" s="9"/>
      <c r="E534" s="23">
        <v>50658</v>
      </c>
      <c r="G534" s="42">
        <v>0</v>
      </c>
      <c r="I534" s="42">
        <v>0</v>
      </c>
      <c r="K534" s="42">
        <v>0</v>
      </c>
      <c r="M534" s="42">
        <v>0</v>
      </c>
      <c r="O534" s="42">
        <v>0</v>
      </c>
      <c r="Q534" s="42">
        <v>0</v>
      </c>
      <c r="S534" s="5">
        <f t="shared" si="35"/>
        <v>0</v>
      </c>
      <c r="U534" s="42">
        <v>0</v>
      </c>
      <c r="W534" s="42">
        <f>+'St of Net Pos - GA'!Q534-'Long Term Liab - GA'!U534</f>
        <v>0</v>
      </c>
    </row>
    <row r="535" spans="1:23">
      <c r="A535" s="9" t="s">
        <v>310</v>
      </c>
      <c r="B535" s="9"/>
      <c r="C535" s="9" t="s">
        <v>28</v>
      </c>
      <c r="D535" s="9"/>
      <c r="E535" s="23">
        <v>47092</v>
      </c>
      <c r="G535" s="42">
        <v>10581515</v>
      </c>
      <c r="I535" s="42">
        <v>0</v>
      </c>
      <c r="K535" s="42">
        <v>0</v>
      </c>
      <c r="M535" s="42">
        <v>0</v>
      </c>
      <c r="O535" s="42">
        <v>386202</v>
      </c>
      <c r="Q535" s="42">
        <v>0</v>
      </c>
      <c r="S535" s="5">
        <f t="shared" si="35"/>
        <v>10967717</v>
      </c>
      <c r="U535" s="42">
        <v>333669</v>
      </c>
      <c r="W535" s="42">
        <f>+'St of Net Pos - GA'!Q535-'Long Term Liab - GA'!U535</f>
        <v>0</v>
      </c>
    </row>
    <row r="536" spans="1:23">
      <c r="A536" s="9" t="s">
        <v>623</v>
      </c>
      <c r="B536" s="9"/>
      <c r="C536" s="9" t="s">
        <v>49</v>
      </c>
      <c r="D536" s="9"/>
      <c r="E536" s="23">
        <v>48652</v>
      </c>
      <c r="G536" s="42">
        <f>9717237+25078695</f>
        <v>34795932</v>
      </c>
      <c r="I536" s="42">
        <v>0</v>
      </c>
      <c r="K536" s="42">
        <v>0</v>
      </c>
      <c r="M536" s="42">
        <v>21114</v>
      </c>
      <c r="O536" s="42">
        <v>1202716</v>
      </c>
      <c r="Q536" s="42">
        <v>0</v>
      </c>
      <c r="S536" s="5">
        <f t="shared" si="35"/>
        <v>36019762</v>
      </c>
      <c r="U536" s="42">
        <v>961932</v>
      </c>
      <c r="W536" s="42">
        <f>+'St of Net Pos - GA'!Q536-'Long Term Liab - GA'!U536</f>
        <v>0</v>
      </c>
    </row>
    <row r="537" spans="1:23">
      <c r="A537" s="8" t="s">
        <v>828</v>
      </c>
      <c r="B537" s="9"/>
      <c r="C537" s="9" t="s">
        <v>32</v>
      </c>
      <c r="D537" s="9"/>
      <c r="E537" s="23">
        <v>44867</v>
      </c>
      <c r="G537" s="42">
        <v>52773226</v>
      </c>
      <c r="I537" s="42">
        <v>0</v>
      </c>
      <c r="K537" s="42">
        <v>0</v>
      </c>
      <c r="M537" s="42">
        <v>9366300</v>
      </c>
      <c r="O537" s="42">
        <v>8488755</v>
      </c>
      <c r="Q537" s="42">
        <v>0</v>
      </c>
      <c r="S537" s="5">
        <f t="shared" si="35"/>
        <v>70628281</v>
      </c>
      <c r="U537" s="42">
        <v>4539318</v>
      </c>
      <c r="W537" s="42">
        <f>+'St of Net Pos - GA'!Q537-'Long Term Liab - GA'!U537</f>
        <v>0</v>
      </c>
    </row>
    <row r="538" spans="1:23">
      <c r="A538" s="9" t="s">
        <v>391</v>
      </c>
      <c r="B538" s="9"/>
      <c r="C538" s="9" t="s">
        <v>114</v>
      </c>
      <c r="D538" s="9"/>
      <c r="E538" s="23">
        <v>44875</v>
      </c>
      <c r="G538" s="42">
        <f>94124109+2120074</f>
        <v>96244183</v>
      </c>
      <c r="I538" s="42">
        <v>0</v>
      </c>
      <c r="K538" s="42">
        <v>0</v>
      </c>
      <c r="M538" s="42">
        <v>25509</v>
      </c>
      <c r="O538" s="42">
        <v>10105157</v>
      </c>
      <c r="Q538" s="42">
        <v>0</v>
      </c>
      <c r="S538" s="5">
        <f t="shared" si="35"/>
        <v>106374849</v>
      </c>
      <c r="U538" s="42">
        <v>5360962</v>
      </c>
      <c r="W538" s="42">
        <f>+'St of Net Pos - GA'!Q538-'Long Term Liab - GA'!U538</f>
        <v>0</v>
      </c>
    </row>
    <row r="539" spans="1:23">
      <c r="A539" s="9" t="s">
        <v>370</v>
      </c>
      <c r="B539" s="9"/>
      <c r="C539" s="9" t="s">
        <v>364</v>
      </c>
      <c r="D539" s="9"/>
      <c r="E539" s="23">
        <v>47969</v>
      </c>
      <c r="G539" s="42">
        <v>161856</v>
      </c>
      <c r="I539" s="42">
        <v>0</v>
      </c>
      <c r="K539" s="42">
        <v>0</v>
      </c>
      <c r="M539" s="42">
        <v>0</v>
      </c>
      <c r="O539" s="42">
        <v>438233</v>
      </c>
      <c r="Q539" s="42">
        <v>0</v>
      </c>
      <c r="S539" s="5">
        <f t="shared" si="35"/>
        <v>600089</v>
      </c>
      <c r="U539" s="42">
        <v>227578</v>
      </c>
      <c r="W539" s="42">
        <f>+'St of Net Pos - GA'!Q539-'Long Term Liab - GA'!U539</f>
        <v>0</v>
      </c>
    </row>
    <row r="540" spans="1:23">
      <c r="A540" s="9" t="s">
        <v>711</v>
      </c>
      <c r="B540" s="9"/>
      <c r="C540" s="9" t="s">
        <v>220</v>
      </c>
      <c r="D540" s="9"/>
      <c r="E540" s="23">
        <v>46151</v>
      </c>
      <c r="G540" s="42">
        <f>265000+20900+5190000+55000+130460+40050000+796319+1490000+111460</f>
        <v>48109139</v>
      </c>
      <c r="I540" s="42">
        <v>0</v>
      </c>
      <c r="K540" s="42">
        <v>0</v>
      </c>
      <c r="M540" s="42">
        <v>2063000</v>
      </c>
      <c r="O540" s="42">
        <v>1880444</v>
      </c>
      <c r="Q540" s="42">
        <v>0</v>
      </c>
      <c r="S540" s="5">
        <f t="shared" ref="S540:S577" si="36">SUM(G540:R540)</f>
        <v>52052583</v>
      </c>
      <c r="U540" s="42">
        <v>2370977</v>
      </c>
      <c r="W540" s="42">
        <f>+'St of Net Pos - GA'!Q540-'Long Term Liab - GA'!U540</f>
        <v>0</v>
      </c>
    </row>
    <row r="541" spans="1:23">
      <c r="A541" s="9" t="s">
        <v>511</v>
      </c>
      <c r="B541" s="9"/>
      <c r="C541" s="9" t="s">
        <v>63</v>
      </c>
      <c r="D541" s="9"/>
      <c r="E541" s="23">
        <v>44883</v>
      </c>
      <c r="G541" s="42">
        <v>25344688</v>
      </c>
      <c r="I541" s="42">
        <v>0</v>
      </c>
      <c r="K541" s="42">
        <v>0</v>
      </c>
      <c r="M541" s="42">
        <v>0</v>
      </c>
      <c r="O541" s="42">
        <v>2879331</v>
      </c>
      <c r="Q541" s="42">
        <v>0</v>
      </c>
      <c r="S541" s="5">
        <f t="shared" si="36"/>
        <v>28224019</v>
      </c>
      <c r="U541" s="42">
        <v>958291</v>
      </c>
      <c r="W541" s="42">
        <f>+'St of Net Pos - GA'!Q541-'Long Term Liab - GA'!U541</f>
        <v>0</v>
      </c>
    </row>
    <row r="542" spans="1:23">
      <c r="A542" s="9" t="s">
        <v>451</v>
      </c>
      <c r="B542" s="9"/>
      <c r="C542" s="9" t="s">
        <v>54</v>
      </c>
      <c r="D542" s="9"/>
      <c r="E542" s="23">
        <v>49098</v>
      </c>
      <c r="G542" s="42">
        <f>35637724+1308402</f>
        <v>36946126</v>
      </c>
      <c r="I542" s="42">
        <v>0</v>
      </c>
      <c r="K542" s="42">
        <v>355000</v>
      </c>
      <c r="M542" s="42">
        <v>288586</v>
      </c>
      <c r="O542" s="42">
        <v>2249244</v>
      </c>
      <c r="Q542" s="42">
        <v>0</v>
      </c>
      <c r="S542" s="5">
        <f t="shared" si="36"/>
        <v>39838956</v>
      </c>
      <c r="U542" s="42">
        <v>1994030</v>
      </c>
      <c r="W542" s="42">
        <f>+'St of Net Pos - GA'!Q542-'Long Term Liab - GA'!U542</f>
        <v>0</v>
      </c>
    </row>
    <row r="543" spans="1:23">
      <c r="A543" s="9" t="s">
        <v>234</v>
      </c>
      <c r="B543" s="9"/>
      <c r="C543" s="9" t="s">
        <v>17</v>
      </c>
      <c r="D543" s="9"/>
      <c r="E543" s="23">
        <v>46243</v>
      </c>
      <c r="G543" s="42">
        <f>2419019+8819991+6044997+1638947</f>
        <v>18922954</v>
      </c>
      <c r="I543" s="42">
        <v>0</v>
      </c>
      <c r="K543" s="42">
        <v>0</v>
      </c>
      <c r="M543" s="42">
        <v>0</v>
      </c>
      <c r="O543" s="42">
        <v>2078844</v>
      </c>
      <c r="Q543" s="42">
        <v>0</v>
      </c>
      <c r="S543" s="5">
        <f t="shared" si="36"/>
        <v>21001798</v>
      </c>
      <c r="U543" s="42">
        <v>850498</v>
      </c>
      <c r="W543" s="42">
        <f>+'St of Net Pos - GA'!Q543-'Long Term Liab - GA'!U543</f>
        <v>0</v>
      </c>
    </row>
    <row r="544" spans="1:23">
      <c r="A544" s="9" t="s">
        <v>719</v>
      </c>
      <c r="B544" s="9"/>
      <c r="C544" s="9" t="s">
        <v>32</v>
      </c>
      <c r="D544" s="9"/>
      <c r="E544" s="23">
        <v>47399</v>
      </c>
      <c r="G544" s="42">
        <v>39103026</v>
      </c>
      <c r="I544" s="42">
        <v>0</v>
      </c>
      <c r="K544" s="42">
        <v>0</v>
      </c>
      <c r="M544" s="42">
        <v>0</v>
      </c>
      <c r="O544" s="42">
        <v>2027280</v>
      </c>
      <c r="Q544" s="42">
        <v>0</v>
      </c>
      <c r="S544" s="5">
        <f t="shared" si="36"/>
        <v>41130306</v>
      </c>
      <c r="U544" s="42">
        <v>1314891</v>
      </c>
      <c r="W544" s="42">
        <f>+'St of Net Pos - GA'!Q544-'Long Term Liab - GA'!U544</f>
        <v>0</v>
      </c>
    </row>
    <row r="545" spans="1:23">
      <c r="A545" s="9" t="s">
        <v>485</v>
      </c>
      <c r="B545" s="9"/>
      <c r="C545" s="9" t="s">
        <v>60</v>
      </c>
      <c r="D545" s="9"/>
      <c r="E545" s="23">
        <v>44891</v>
      </c>
      <c r="G545" s="42">
        <f>455000+5951355+372092</f>
        <v>6778447</v>
      </c>
      <c r="I545" s="42">
        <v>0</v>
      </c>
      <c r="K545" s="42">
        <v>0</v>
      </c>
      <c r="M545" s="42">
        <v>252781</v>
      </c>
      <c r="O545" s="42">
        <v>1238647</v>
      </c>
      <c r="Q545" s="42">
        <v>0</v>
      </c>
      <c r="S545" s="5">
        <f t="shared" si="36"/>
        <v>8269875</v>
      </c>
      <c r="U545" s="42">
        <v>946593</v>
      </c>
      <c r="W545" s="42">
        <f>+'St of Net Pos - GA'!Q545-'Long Term Liab - GA'!U545</f>
        <v>0</v>
      </c>
    </row>
    <row r="546" spans="1:23">
      <c r="A546" s="9" t="s">
        <v>772</v>
      </c>
      <c r="B546" s="9"/>
      <c r="C546" s="9" t="s">
        <v>48</v>
      </c>
      <c r="D546" s="9"/>
      <c r="E546" s="23">
        <v>45617</v>
      </c>
      <c r="G546" s="42">
        <v>16026154</v>
      </c>
      <c r="I546" s="42">
        <v>0</v>
      </c>
      <c r="K546" s="42">
        <v>971180</v>
      </c>
      <c r="M546" s="42">
        <v>478427</v>
      </c>
      <c r="O546" s="42">
        <v>1713419</v>
      </c>
      <c r="Q546" s="42">
        <v>0</v>
      </c>
      <c r="S546" s="5">
        <f t="shared" si="36"/>
        <v>19189180</v>
      </c>
      <c r="U546" s="42">
        <v>1769153</v>
      </c>
      <c r="W546" s="42">
        <f>+'St of Net Pos - GA'!Q546-'Long Term Liab - GA'!U546</f>
        <v>0</v>
      </c>
    </row>
    <row r="547" spans="1:23">
      <c r="A547" s="9" t="s">
        <v>392</v>
      </c>
      <c r="B547" s="9"/>
      <c r="C547" s="9" t="s">
        <v>114</v>
      </c>
      <c r="D547" s="9"/>
      <c r="E547" s="23">
        <v>44909</v>
      </c>
      <c r="G547" s="42">
        <v>164920184</v>
      </c>
      <c r="I547" s="42">
        <v>0</v>
      </c>
      <c r="K547" s="42">
        <v>0</v>
      </c>
      <c r="M547" s="42">
        <v>0</v>
      </c>
      <c r="O547" s="42">
        <v>21952431</v>
      </c>
      <c r="Q547" s="42">
        <v>0</v>
      </c>
      <c r="S547" s="5">
        <f t="shared" si="36"/>
        <v>186872615</v>
      </c>
      <c r="U547" s="42">
        <v>6301652</v>
      </c>
      <c r="W547" s="42">
        <f>+'St of Net Pos - GA'!Q547-'Long Term Liab - GA'!U547</f>
        <v>0</v>
      </c>
    </row>
    <row r="548" spans="1:23" hidden="1">
      <c r="A548" s="9" t="s">
        <v>882</v>
      </c>
      <c r="B548" s="9"/>
      <c r="C548" s="9" t="s">
        <v>114</v>
      </c>
      <c r="D548" s="9"/>
      <c r="E548" s="23"/>
      <c r="G548" s="42">
        <v>0</v>
      </c>
      <c r="I548" s="42">
        <v>0</v>
      </c>
      <c r="K548" s="42">
        <v>0</v>
      </c>
      <c r="M548" s="42">
        <v>0</v>
      </c>
      <c r="O548" s="42">
        <v>0</v>
      </c>
      <c r="Q548" s="42">
        <v>0</v>
      </c>
      <c r="S548" s="5">
        <f t="shared" si="36"/>
        <v>0</v>
      </c>
      <c r="U548" s="42">
        <v>0</v>
      </c>
      <c r="W548" s="42">
        <f>+'St of Net Pos - GA'!Q548-'Long Term Liab - GA'!U548</f>
        <v>0</v>
      </c>
    </row>
    <row r="549" spans="1:23">
      <c r="A549" s="9" t="s">
        <v>720</v>
      </c>
      <c r="B549" s="9"/>
      <c r="C549" s="9" t="s">
        <v>39</v>
      </c>
      <c r="D549" s="9"/>
      <c r="E549" s="23">
        <v>44917</v>
      </c>
      <c r="G549" s="42">
        <v>8732064</v>
      </c>
      <c r="I549" s="42">
        <v>0</v>
      </c>
      <c r="K549" s="42">
        <v>0</v>
      </c>
      <c r="M549" s="42">
        <v>10660</v>
      </c>
      <c r="O549" s="42">
        <v>349413</v>
      </c>
      <c r="Q549" s="42">
        <v>0</v>
      </c>
      <c r="S549" s="5">
        <f t="shared" si="36"/>
        <v>9092137</v>
      </c>
      <c r="U549" s="42">
        <v>116051</v>
      </c>
      <c r="W549" s="42">
        <f>+'St of Net Pos - GA'!Q549-'Long Term Liab - GA'!U549</f>
        <v>0</v>
      </c>
    </row>
    <row r="550" spans="1:23">
      <c r="A550" s="9" t="s">
        <v>228</v>
      </c>
      <c r="B550" s="9"/>
      <c r="C550" s="9" t="s">
        <v>227</v>
      </c>
      <c r="D550" s="9"/>
      <c r="E550" s="23">
        <v>46201</v>
      </c>
      <c r="G550" s="42">
        <f>2000000+129371</f>
        <v>2129371</v>
      </c>
      <c r="I550" s="42">
        <v>0</v>
      </c>
      <c r="K550" s="42">
        <f>695000-5554</f>
        <v>689446</v>
      </c>
      <c r="M550" s="42">
        <f>168003+1885000</f>
        <v>2053003</v>
      </c>
      <c r="O550" s="42">
        <v>415244</v>
      </c>
      <c r="Q550" s="42">
        <v>0</v>
      </c>
      <c r="S550" s="5">
        <f>SUM(G550:R550)</f>
        <v>5287064</v>
      </c>
      <c r="U550" s="42">
        <v>361687</v>
      </c>
      <c r="W550" s="42">
        <f>+'St of Net Pos - GA'!Q550-'Long Term Liab - GA'!U550</f>
        <v>0</v>
      </c>
    </row>
    <row r="551" spans="1:23" s="24" customFormat="1">
      <c r="A551" s="51" t="s">
        <v>463</v>
      </c>
      <c r="B551" s="51"/>
      <c r="C551" s="51" t="s">
        <v>57</v>
      </c>
      <c r="D551" s="51"/>
      <c r="E551" s="23">
        <v>91397</v>
      </c>
      <c r="G551" s="42">
        <v>0</v>
      </c>
      <c r="H551" s="42"/>
      <c r="I551" s="42">
        <v>0</v>
      </c>
      <c r="J551" s="42"/>
      <c r="K551" s="42">
        <v>0</v>
      </c>
      <c r="L551" s="42"/>
      <c r="M551" s="42">
        <v>0</v>
      </c>
      <c r="N551" s="42"/>
      <c r="O551" s="42">
        <v>355168</v>
      </c>
      <c r="P551" s="42"/>
      <c r="Q551" s="42">
        <v>0</v>
      </c>
      <c r="R551" s="42"/>
      <c r="S551" s="5">
        <f t="shared" si="36"/>
        <v>355168</v>
      </c>
      <c r="T551" s="42"/>
      <c r="U551" s="42">
        <v>8125</v>
      </c>
      <c r="V551" s="42"/>
      <c r="W551" s="42">
        <f>+'St of Net Pos - GA'!Q551-'Long Term Liab - GA'!U551</f>
        <v>0</v>
      </c>
    </row>
    <row r="552" spans="1:23">
      <c r="A552" s="9" t="s">
        <v>211</v>
      </c>
      <c r="B552" s="9"/>
      <c r="C552" s="9" t="s">
        <v>13</v>
      </c>
      <c r="D552" s="9"/>
      <c r="E552" s="23">
        <v>45922</v>
      </c>
      <c r="G552" s="42">
        <v>553070</v>
      </c>
      <c r="I552" s="42">
        <v>0</v>
      </c>
      <c r="K552" s="42">
        <v>0</v>
      </c>
      <c r="M552" s="42">
        <v>31627</v>
      </c>
      <c r="O552" s="42">
        <v>590234</v>
      </c>
      <c r="Q552" s="42">
        <v>0</v>
      </c>
      <c r="S552" s="5">
        <f t="shared" si="36"/>
        <v>1174931</v>
      </c>
      <c r="U552" s="42">
        <v>67572</v>
      </c>
      <c r="W552" s="42">
        <f>+'St of Net Pos - GA'!Q552-'Long Term Liab - GA'!U552</f>
        <v>0</v>
      </c>
    </row>
    <row r="553" spans="1:23">
      <c r="A553" s="9" t="s">
        <v>443</v>
      </c>
      <c r="B553" s="9"/>
      <c r="C553" s="9" t="s">
        <v>51</v>
      </c>
      <c r="D553" s="9"/>
      <c r="E553" s="23">
        <v>48876</v>
      </c>
      <c r="G553" s="42">
        <v>15430849</v>
      </c>
      <c r="I553" s="42">
        <v>0</v>
      </c>
      <c r="K553" s="42">
        <v>0</v>
      </c>
      <c r="M553" s="42">
        <v>0</v>
      </c>
      <c r="O553" s="42">
        <v>1495041</v>
      </c>
      <c r="Q553" s="42">
        <v>0</v>
      </c>
      <c r="S553" s="5">
        <f t="shared" si="36"/>
        <v>16925890</v>
      </c>
      <c r="U553" s="42">
        <v>669303</v>
      </c>
      <c r="W553" s="42">
        <f>+'St of Net Pos - GA'!Q553-'Long Term Liab - GA'!U553</f>
        <v>0</v>
      </c>
    </row>
    <row r="554" spans="1:23" hidden="1">
      <c r="A554" s="9" t="s">
        <v>685</v>
      </c>
      <c r="B554" s="9"/>
      <c r="C554" s="9" t="s">
        <v>21</v>
      </c>
      <c r="D554" s="9"/>
      <c r="E554" s="23">
        <v>46680</v>
      </c>
      <c r="G554" s="42">
        <v>0</v>
      </c>
      <c r="I554" s="42">
        <v>0</v>
      </c>
      <c r="K554" s="42">
        <v>0</v>
      </c>
      <c r="M554" s="42">
        <v>0</v>
      </c>
      <c r="O554" s="42">
        <v>0</v>
      </c>
      <c r="Q554" s="42">
        <v>0</v>
      </c>
      <c r="S554" s="5">
        <f t="shared" si="36"/>
        <v>0</v>
      </c>
      <c r="U554" s="42">
        <v>0</v>
      </c>
      <c r="W554" s="42">
        <f>+'St of Net Pos - GA'!Q554-'Long Term Liab - GA'!U554</f>
        <v>0</v>
      </c>
    </row>
    <row r="555" spans="1:23" hidden="1">
      <c r="A555" s="8" t="s">
        <v>829</v>
      </c>
      <c r="B555" s="9"/>
      <c r="C555" s="9" t="s">
        <v>71</v>
      </c>
      <c r="D555" s="9"/>
      <c r="E555" s="23">
        <v>50591</v>
      </c>
      <c r="G555" s="42">
        <v>0</v>
      </c>
      <c r="I555" s="42">
        <v>0</v>
      </c>
      <c r="K555" s="42">
        <v>0</v>
      </c>
      <c r="M555" s="42">
        <v>0</v>
      </c>
      <c r="O555" s="42">
        <v>0</v>
      </c>
      <c r="Q555" s="42">
        <v>0</v>
      </c>
      <c r="S555" s="5">
        <f t="shared" si="36"/>
        <v>0</v>
      </c>
      <c r="U555" s="42">
        <v>0</v>
      </c>
      <c r="W555" s="42">
        <f>+'St of Net Pos - GA'!Q555-'Long Term Liab - GA'!U555</f>
        <v>0</v>
      </c>
    </row>
    <row r="556" spans="1:23">
      <c r="A556" s="9" t="s">
        <v>433</v>
      </c>
      <c r="B556" s="9"/>
      <c r="C556" s="9" t="s">
        <v>50</v>
      </c>
      <c r="D556" s="9"/>
      <c r="E556" s="23">
        <v>48694</v>
      </c>
      <c r="G556" s="42">
        <v>41872253</v>
      </c>
      <c r="I556" s="42">
        <v>0</v>
      </c>
      <c r="K556" s="42">
        <v>0</v>
      </c>
      <c r="M556" s="42">
        <v>0</v>
      </c>
      <c r="O556" s="42">
        <v>961266</v>
      </c>
      <c r="Q556" s="42">
        <v>0</v>
      </c>
      <c r="S556" s="5">
        <f t="shared" si="36"/>
        <v>42833519</v>
      </c>
      <c r="U556" s="42">
        <v>1584144</v>
      </c>
      <c r="W556" s="42">
        <f>+'St of Net Pos - GA'!Q556-'Long Term Liab - GA'!U556</f>
        <v>0</v>
      </c>
    </row>
    <row r="557" spans="1:23" s="24" customFormat="1">
      <c r="A557" s="51" t="s">
        <v>423</v>
      </c>
      <c r="B557" s="51"/>
      <c r="C557" s="51" t="s">
        <v>48</v>
      </c>
      <c r="D557" s="51"/>
      <c r="E557" s="51">
        <v>44925</v>
      </c>
      <c r="G557" s="24">
        <f>1595000+8020000+6040000+1320000+333658+1819802+873590</f>
        <v>20002050</v>
      </c>
      <c r="I557" s="24">
        <v>0</v>
      </c>
      <c r="K557" s="24">
        <v>0</v>
      </c>
      <c r="M557" s="24">
        <v>0</v>
      </c>
      <c r="O557" s="24">
        <v>3496597</v>
      </c>
      <c r="Q557" s="24">
        <v>1398052</v>
      </c>
      <c r="S557" s="64">
        <f t="shared" si="36"/>
        <v>24896699</v>
      </c>
      <c r="U557" s="24">
        <v>2163538</v>
      </c>
      <c r="W557" s="24">
        <f>+'St of Net Pos - GA'!Q557-'Long Term Liab - GA'!U557</f>
        <v>0</v>
      </c>
    </row>
    <row r="558" spans="1:23">
      <c r="A558" s="9" t="s">
        <v>534</v>
      </c>
      <c r="B558" s="9"/>
      <c r="C558" s="9" t="s">
        <v>65</v>
      </c>
      <c r="D558" s="9"/>
      <c r="E558" s="23">
        <v>50302</v>
      </c>
      <c r="G558" s="42">
        <f>3484481+385000</f>
        <v>3869481</v>
      </c>
      <c r="I558" s="42">
        <v>0</v>
      </c>
      <c r="K558" s="42">
        <v>0</v>
      </c>
      <c r="M558" s="42">
        <v>497400</v>
      </c>
      <c r="O558" s="42">
        <v>656409</v>
      </c>
      <c r="Q558" s="42">
        <v>0</v>
      </c>
      <c r="S558" s="5">
        <f t="shared" si="36"/>
        <v>5023290</v>
      </c>
      <c r="U558" s="42">
        <v>793754</v>
      </c>
      <c r="W558" s="42">
        <f>+'St of Net Pos - GA'!Q558-'Long Term Liab - GA'!U558</f>
        <v>0</v>
      </c>
    </row>
    <row r="559" spans="1:23">
      <c r="A559" s="9" t="s">
        <v>501</v>
      </c>
      <c r="B559" s="9"/>
      <c r="C559" s="9" t="s">
        <v>62</v>
      </c>
      <c r="D559" s="9"/>
      <c r="E559" s="23">
        <v>49957</v>
      </c>
      <c r="G559" s="42">
        <f>729166+9925111+2650416</f>
        <v>13304693</v>
      </c>
      <c r="I559" s="42">
        <v>0</v>
      </c>
      <c r="K559" s="42">
        <v>0</v>
      </c>
      <c r="M559" s="42">
        <v>0</v>
      </c>
      <c r="O559" s="42">
        <v>784383</v>
      </c>
      <c r="Q559" s="42">
        <v>0</v>
      </c>
      <c r="S559" s="5">
        <f t="shared" si="36"/>
        <v>14089076</v>
      </c>
      <c r="U559" s="42">
        <v>715396</v>
      </c>
      <c r="W559" s="42">
        <f>+'St of Net Pos - GA'!Q559-'Long Term Liab - GA'!U559</f>
        <v>0</v>
      </c>
    </row>
    <row r="560" spans="1:23" hidden="1">
      <c r="A560" s="9" t="s">
        <v>689</v>
      </c>
      <c r="B560" s="9"/>
      <c r="C560" s="9" t="s">
        <v>57</v>
      </c>
      <c r="D560" s="9"/>
      <c r="E560" s="23">
        <v>49296</v>
      </c>
      <c r="G560" s="42">
        <v>0</v>
      </c>
      <c r="I560" s="42">
        <v>0</v>
      </c>
      <c r="K560" s="42">
        <v>0</v>
      </c>
      <c r="M560" s="42">
        <v>0</v>
      </c>
      <c r="O560" s="42">
        <v>0</v>
      </c>
      <c r="Q560" s="42">
        <v>0</v>
      </c>
      <c r="S560" s="5">
        <f t="shared" si="36"/>
        <v>0</v>
      </c>
      <c r="U560" s="42">
        <v>0</v>
      </c>
      <c r="W560" s="42">
        <f>+'St of Net Pos - GA'!Q560-'Long Term Liab - GA'!U560</f>
        <v>0</v>
      </c>
    </row>
    <row r="561" spans="1:23">
      <c r="A561" s="9" t="s">
        <v>512</v>
      </c>
      <c r="B561" s="9"/>
      <c r="C561" s="9" t="s">
        <v>63</v>
      </c>
      <c r="D561" s="9"/>
      <c r="E561" s="23">
        <v>50070</v>
      </c>
      <c r="G561" s="42">
        <v>21204884</v>
      </c>
      <c r="I561" s="42">
        <v>0</v>
      </c>
      <c r="K561" s="42">
        <v>0</v>
      </c>
      <c r="M561" s="42">
        <v>147375</v>
      </c>
      <c r="O561" s="42">
        <v>2526215</v>
      </c>
      <c r="Q561" s="42">
        <v>0</v>
      </c>
      <c r="S561" s="5">
        <f t="shared" si="36"/>
        <v>23878474</v>
      </c>
      <c r="U561" s="42">
        <v>2495595</v>
      </c>
      <c r="W561" s="42">
        <f>+'St of Net Pos - GA'!Q561-'Long Term Liab - GA'!U561</f>
        <v>0</v>
      </c>
    </row>
    <row r="562" spans="1:23">
      <c r="A562" s="8" t="s">
        <v>907</v>
      </c>
      <c r="B562" s="9"/>
      <c r="C562" s="9" t="s">
        <v>15</v>
      </c>
      <c r="D562" s="9"/>
      <c r="E562" s="23">
        <v>46011</v>
      </c>
      <c r="G562" s="42">
        <v>1655899</v>
      </c>
      <c r="I562" s="42">
        <v>0</v>
      </c>
      <c r="K562" s="42">
        <v>0</v>
      </c>
      <c r="M562" s="42">
        <v>433240</v>
      </c>
      <c r="O562" s="42">
        <v>537205</v>
      </c>
      <c r="Q562" s="42">
        <v>0</v>
      </c>
      <c r="S562" s="5">
        <f t="shared" si="36"/>
        <v>2626344</v>
      </c>
      <c r="U562" s="42">
        <v>423329</v>
      </c>
      <c r="W562" s="42">
        <f>+'St of Net Pos - GA'!Q562-'Long Term Liab - GA'!U562</f>
        <v>0</v>
      </c>
    </row>
    <row r="563" spans="1:23">
      <c r="A563" s="9" t="s">
        <v>473</v>
      </c>
      <c r="B563" s="9"/>
      <c r="C563" s="9" t="s">
        <v>58</v>
      </c>
      <c r="D563" s="9"/>
      <c r="E563" s="23">
        <v>49536</v>
      </c>
      <c r="G563" s="42">
        <v>2689134</v>
      </c>
      <c r="I563" s="42">
        <v>0</v>
      </c>
      <c r="K563" s="42">
        <v>0</v>
      </c>
      <c r="M563" s="42">
        <v>3327917</v>
      </c>
      <c r="O563" s="42">
        <v>2298304</v>
      </c>
      <c r="Q563" s="42">
        <v>0</v>
      </c>
      <c r="S563" s="5">
        <f t="shared" si="36"/>
        <v>8315355</v>
      </c>
      <c r="U563" s="42">
        <v>885991</v>
      </c>
      <c r="W563" s="42">
        <f>+'St of Net Pos - GA'!Q563-'Long Term Liab - GA'!U563</f>
        <v>0</v>
      </c>
    </row>
    <row r="564" spans="1:23">
      <c r="A564" s="9" t="s">
        <v>249</v>
      </c>
      <c r="B564" s="9"/>
      <c r="C564" s="9" t="s">
        <v>111</v>
      </c>
      <c r="D564" s="9"/>
      <c r="E564" s="23">
        <v>46458</v>
      </c>
      <c r="G564" s="42">
        <v>0</v>
      </c>
      <c r="I564" s="42">
        <v>0</v>
      </c>
      <c r="K564" s="42">
        <v>0</v>
      </c>
      <c r="M564" s="42">
        <v>80188</v>
      </c>
      <c r="O564" s="42">
        <v>1248971</v>
      </c>
      <c r="Q564" s="42">
        <v>0</v>
      </c>
      <c r="S564" s="5">
        <f t="shared" si="36"/>
        <v>1329159</v>
      </c>
      <c r="U564" s="42">
        <v>202136</v>
      </c>
      <c r="W564" s="42">
        <f>+'St of Net Pos - GA'!Q564-'Long Term Liab - GA'!U564</f>
        <v>0</v>
      </c>
    </row>
    <row r="565" spans="1:23">
      <c r="A565" s="9" t="s">
        <v>306</v>
      </c>
      <c r="B565" s="9"/>
      <c r="C565" s="9" t="s">
        <v>27</v>
      </c>
      <c r="D565" s="9"/>
      <c r="E565" s="23">
        <v>44933</v>
      </c>
      <c r="G565" s="42">
        <f>27923686</f>
        <v>27923686</v>
      </c>
      <c r="I565" s="42">
        <v>0</v>
      </c>
      <c r="K565" s="42">
        <v>1583691</v>
      </c>
      <c r="M565" s="42">
        <v>0</v>
      </c>
      <c r="O565" s="42">
        <v>6497144</v>
      </c>
      <c r="Q565" s="42">
        <v>0</v>
      </c>
      <c r="S565" s="5">
        <f t="shared" si="36"/>
        <v>36004521</v>
      </c>
      <c r="U565" s="42">
        <v>3288701</v>
      </c>
      <c r="W565" s="42">
        <f>+'St of Net Pos - GA'!Q565-'Long Term Liab - GA'!U565</f>
        <v>0</v>
      </c>
    </row>
    <row r="566" spans="1:23" hidden="1">
      <c r="A566" s="9" t="s">
        <v>773</v>
      </c>
      <c r="B566" s="9"/>
      <c r="C566" s="9" t="s">
        <v>553</v>
      </c>
      <c r="D566" s="9"/>
      <c r="E566" s="23">
        <v>45625</v>
      </c>
      <c r="G566" s="42">
        <v>0</v>
      </c>
      <c r="I566" s="42">
        <v>0</v>
      </c>
      <c r="K566" s="42">
        <v>0</v>
      </c>
      <c r="M566" s="42">
        <v>0</v>
      </c>
      <c r="O566" s="42">
        <v>0</v>
      </c>
      <c r="Q566" s="42">
        <v>0</v>
      </c>
      <c r="S566" s="5">
        <f t="shared" si="36"/>
        <v>0</v>
      </c>
      <c r="U566" s="42">
        <v>0</v>
      </c>
      <c r="W566" s="42">
        <f>+'St of Net Pos - GA'!Q566-'Long Term Liab - GA'!U566</f>
        <v>0</v>
      </c>
    </row>
    <row r="567" spans="1:23" hidden="1">
      <c r="A567" s="9" t="s">
        <v>690</v>
      </c>
      <c r="B567" s="9"/>
      <c r="C567" s="9" t="s">
        <v>337</v>
      </c>
      <c r="D567" s="9"/>
      <c r="E567" s="23">
        <v>47522</v>
      </c>
      <c r="G567" s="42">
        <v>0</v>
      </c>
      <c r="I567" s="42">
        <v>0</v>
      </c>
      <c r="K567" s="42">
        <v>0</v>
      </c>
      <c r="M567" s="42">
        <v>0</v>
      </c>
      <c r="O567" s="42">
        <v>0</v>
      </c>
      <c r="Q567" s="42">
        <v>0</v>
      </c>
      <c r="S567" s="5">
        <f t="shared" si="36"/>
        <v>0</v>
      </c>
      <c r="U567" s="42">
        <v>0</v>
      </c>
      <c r="W567" s="42">
        <f>+'St of Net Pos - GA'!Q567-'Long Term Liab - GA'!U567</f>
        <v>0</v>
      </c>
    </row>
    <row r="568" spans="1:23" hidden="1">
      <c r="A568" s="9" t="s">
        <v>883</v>
      </c>
      <c r="B568" s="9"/>
      <c r="C568" s="9" t="s">
        <v>227</v>
      </c>
      <c r="D568" s="9"/>
      <c r="E568" s="23">
        <v>44941</v>
      </c>
      <c r="G568" s="42">
        <v>0</v>
      </c>
      <c r="I568" s="42">
        <v>0</v>
      </c>
      <c r="K568" s="42">
        <v>0</v>
      </c>
      <c r="M568" s="42">
        <v>0</v>
      </c>
      <c r="O568" s="42">
        <v>0</v>
      </c>
      <c r="Q568" s="42">
        <v>0</v>
      </c>
      <c r="S568" s="5">
        <f t="shared" si="36"/>
        <v>0</v>
      </c>
      <c r="U568" s="42">
        <v>0</v>
      </c>
      <c r="W568" s="42">
        <f>+'St of Net Pos - GA'!Q568-'Long Term Liab - GA'!U568</f>
        <v>0</v>
      </c>
    </row>
    <row r="569" spans="1:23" hidden="1">
      <c r="A569" s="9" t="s">
        <v>691</v>
      </c>
      <c r="B569" s="9"/>
      <c r="C569" s="9" t="s">
        <v>59</v>
      </c>
      <c r="D569" s="9"/>
      <c r="E569" s="23">
        <v>49643</v>
      </c>
      <c r="G569" s="42">
        <v>0</v>
      </c>
      <c r="I569" s="42">
        <v>0</v>
      </c>
      <c r="K569" s="42">
        <v>0</v>
      </c>
      <c r="M569" s="42">
        <v>0</v>
      </c>
      <c r="O569" s="42">
        <v>0</v>
      </c>
      <c r="Q569" s="42">
        <v>0</v>
      </c>
      <c r="S569" s="5">
        <f t="shared" si="36"/>
        <v>0</v>
      </c>
      <c r="U569" s="42">
        <v>0</v>
      </c>
      <c r="W569" s="42">
        <f>+'St of Net Pos - GA'!Q569-'Long Term Liab - GA'!U569</f>
        <v>0</v>
      </c>
    </row>
    <row r="570" spans="1:23">
      <c r="A570" s="9" t="s">
        <v>434</v>
      </c>
      <c r="B570" s="9"/>
      <c r="C570" s="9" t="s">
        <v>50</v>
      </c>
      <c r="D570" s="9"/>
      <c r="E570" s="23">
        <v>48744</v>
      </c>
      <c r="G570" s="42">
        <v>31955</v>
      </c>
      <c r="I570" s="42">
        <v>0</v>
      </c>
      <c r="K570" s="42">
        <v>0</v>
      </c>
      <c r="M570" s="42">
        <v>354557</v>
      </c>
      <c r="O570" s="42">
        <v>1037190</v>
      </c>
      <c r="Q570" s="42">
        <v>0</v>
      </c>
      <c r="S570" s="5">
        <f t="shared" si="36"/>
        <v>1423702</v>
      </c>
      <c r="U570" s="42">
        <v>323499</v>
      </c>
      <c r="W570" s="42">
        <f>+'St of Net Pos - GA'!Q570-'Long Term Liab - GA'!U570</f>
        <v>0</v>
      </c>
    </row>
    <row r="571" spans="1:23">
      <c r="A571" s="9" t="s">
        <v>336</v>
      </c>
      <c r="B571" s="9"/>
      <c r="C571" s="9" t="s">
        <v>33</v>
      </c>
      <c r="D571" s="9"/>
      <c r="E571" s="23">
        <v>47464</v>
      </c>
      <c r="G571" s="42">
        <v>6318011</v>
      </c>
      <c r="I571" s="42">
        <v>0</v>
      </c>
      <c r="K571" s="42">
        <v>0</v>
      </c>
      <c r="M571" s="42">
        <v>0</v>
      </c>
      <c r="O571" s="42">
        <v>609495</v>
      </c>
      <c r="Q571" s="42">
        <v>0</v>
      </c>
      <c r="S571" s="5">
        <f t="shared" si="36"/>
        <v>6927506</v>
      </c>
      <c r="U571" s="42">
        <v>955972</v>
      </c>
      <c r="W571" s="42">
        <f>+'St of Net Pos - GA'!Q571-'Long Term Liab - GA'!U571</f>
        <v>0</v>
      </c>
    </row>
    <row r="572" spans="1:23" hidden="1">
      <c r="A572" s="9" t="s">
        <v>824</v>
      </c>
      <c r="B572" s="9"/>
      <c r="C572" s="9" t="s">
        <v>67</v>
      </c>
      <c r="D572" s="9"/>
      <c r="E572" s="23">
        <v>44966</v>
      </c>
      <c r="G572" s="42">
        <v>0</v>
      </c>
      <c r="I572" s="42">
        <v>0</v>
      </c>
      <c r="K572" s="42">
        <v>0</v>
      </c>
      <c r="M572" s="42">
        <v>0</v>
      </c>
      <c r="O572" s="42">
        <v>0</v>
      </c>
      <c r="Q572" s="42">
        <v>0</v>
      </c>
      <c r="S572" s="5">
        <f t="shared" si="36"/>
        <v>0</v>
      </c>
      <c r="U572" s="42">
        <v>0</v>
      </c>
      <c r="W572" s="42">
        <f>+'St of Net Pos - GA'!Q572-'Long Term Liab - GA'!U572</f>
        <v>0</v>
      </c>
    </row>
    <row r="573" spans="1:23">
      <c r="A573" s="9" t="s">
        <v>435</v>
      </c>
      <c r="B573" s="9"/>
      <c r="C573" s="9" t="s">
        <v>50</v>
      </c>
      <c r="D573" s="9"/>
      <c r="E573" s="23">
        <v>44958</v>
      </c>
      <c r="G573" s="42">
        <f>24460000+641990+189991+327807+23515000+501632+114318+100153+785000+19237+17592+14273+2640000+53549+13120+9419+910000+34222+29833+6275</f>
        <v>54383411</v>
      </c>
      <c r="I573" s="42">
        <v>0</v>
      </c>
      <c r="K573" s="42">
        <v>0</v>
      </c>
      <c r="M573" s="42">
        <v>382424</v>
      </c>
      <c r="O573" s="42">
        <v>2622485</v>
      </c>
      <c r="Q573" s="42">
        <v>425768</v>
      </c>
      <c r="S573" s="5">
        <f t="shared" si="36"/>
        <v>57814088</v>
      </c>
      <c r="U573" s="42">
        <v>2280160</v>
      </c>
      <c r="W573" s="42">
        <f>+'St of Net Pos - GA'!Q573-'Long Term Liab - GA'!U573</f>
        <v>0</v>
      </c>
    </row>
    <row r="574" spans="1:23" hidden="1">
      <c r="A574" s="9" t="s">
        <v>692</v>
      </c>
      <c r="B574" s="9"/>
      <c r="C574" s="9" t="s">
        <v>33</v>
      </c>
      <c r="D574" s="9"/>
      <c r="E574" s="23">
        <v>47472</v>
      </c>
      <c r="G574" s="42">
        <v>0</v>
      </c>
      <c r="I574" s="42">
        <v>0</v>
      </c>
      <c r="K574" s="42">
        <v>0</v>
      </c>
      <c r="M574" s="42">
        <v>0</v>
      </c>
      <c r="O574" s="42">
        <v>0</v>
      </c>
      <c r="Q574" s="42">
        <v>0</v>
      </c>
      <c r="S574" s="5">
        <f t="shared" si="36"/>
        <v>0</v>
      </c>
      <c r="U574" s="42">
        <v>0</v>
      </c>
      <c r="W574" s="42">
        <f>+'St of Net Pos - GA'!Q574-'Long Term Liab - GA'!U574</f>
        <v>0</v>
      </c>
    </row>
    <row r="575" spans="1:23">
      <c r="A575" s="9" t="s">
        <v>289</v>
      </c>
      <c r="B575" s="9"/>
      <c r="C575" s="9" t="s">
        <v>24</v>
      </c>
      <c r="D575" s="9"/>
      <c r="E575" s="23">
        <v>46821</v>
      </c>
      <c r="G575" s="42">
        <f>26243764-58342</f>
        <v>26185422</v>
      </c>
      <c r="I575" s="42">
        <v>0</v>
      </c>
      <c r="K575" s="42">
        <v>0</v>
      </c>
      <c r="M575" s="42">
        <v>58342</v>
      </c>
      <c r="O575" s="42">
        <v>1416626</v>
      </c>
      <c r="Q575" s="42">
        <v>0</v>
      </c>
      <c r="S575" s="5">
        <f t="shared" si="36"/>
        <v>27660390</v>
      </c>
      <c r="U575" s="42">
        <v>843633</v>
      </c>
      <c r="W575" s="42">
        <f>+'St of Net Pos - GA'!Q575-'Long Term Liab - GA'!U575</f>
        <v>0</v>
      </c>
    </row>
    <row r="576" spans="1:23" hidden="1">
      <c r="A576" s="9" t="s">
        <v>693</v>
      </c>
      <c r="B576" s="9"/>
      <c r="C576" s="9" t="s">
        <v>21</v>
      </c>
      <c r="D576" s="9"/>
      <c r="E576" s="23">
        <v>45633</v>
      </c>
      <c r="G576" s="42">
        <v>0</v>
      </c>
      <c r="I576" s="42">
        <v>0</v>
      </c>
      <c r="K576" s="42">
        <v>0</v>
      </c>
      <c r="M576" s="42">
        <v>0</v>
      </c>
      <c r="O576" s="42">
        <v>0</v>
      </c>
      <c r="Q576" s="42">
        <v>0</v>
      </c>
      <c r="S576" s="5">
        <f t="shared" si="36"/>
        <v>0</v>
      </c>
      <c r="U576" s="42">
        <v>0</v>
      </c>
      <c r="W576" s="42">
        <f>+'St of Net Pos - GA'!Q576-'Long Term Liab - GA'!U576</f>
        <v>0</v>
      </c>
    </row>
    <row r="577" spans="1:23">
      <c r="A577" s="9" t="s">
        <v>538</v>
      </c>
      <c r="B577" s="9"/>
      <c r="C577" s="9" t="s">
        <v>68</v>
      </c>
      <c r="D577" s="9"/>
      <c r="E577" s="23">
        <v>50393</v>
      </c>
      <c r="G577" s="42">
        <v>6014269</v>
      </c>
      <c r="I577" s="42">
        <v>0</v>
      </c>
      <c r="K577" s="42">
        <v>0</v>
      </c>
      <c r="M577" s="42">
        <v>439766</v>
      </c>
      <c r="O577" s="42">
        <v>701384</v>
      </c>
      <c r="Q577" s="42">
        <v>130000</v>
      </c>
      <c r="S577" s="5">
        <f t="shared" si="36"/>
        <v>7285419</v>
      </c>
      <c r="U577" s="42">
        <v>732330</v>
      </c>
      <c r="W577" s="42">
        <f>+'St of Net Pos - GA'!Q577-'Long Term Liab - GA'!U577</f>
        <v>0</v>
      </c>
    </row>
    <row r="578" spans="1:23">
      <c r="A578" s="9" t="s">
        <v>416</v>
      </c>
      <c r="B578" s="9"/>
      <c r="C578" s="9" t="s">
        <v>47</v>
      </c>
      <c r="D578" s="9"/>
      <c r="E578" s="23">
        <v>44974</v>
      </c>
      <c r="G578" s="42">
        <v>88335223</v>
      </c>
      <c r="I578" s="42">
        <v>0</v>
      </c>
      <c r="K578" s="42">
        <v>0</v>
      </c>
      <c r="M578" s="42">
        <v>12765000</v>
      </c>
      <c r="O578" s="42">
        <v>4825778</v>
      </c>
      <c r="Q578" s="42">
        <v>0</v>
      </c>
      <c r="S578" s="5">
        <f t="shared" ref="S578:S602" si="37">SUM(G578:R578)</f>
        <v>105926001</v>
      </c>
      <c r="U578" s="42">
        <v>4398359</v>
      </c>
      <c r="W578" s="42">
        <f>+'St of Net Pos - GA'!Q578-'Long Term Liab - GA'!U578</f>
        <v>0</v>
      </c>
    </row>
    <row r="579" spans="1:23" hidden="1">
      <c r="A579" s="9" t="s">
        <v>862</v>
      </c>
      <c r="B579" s="9"/>
      <c r="C579" s="9" t="s">
        <v>25</v>
      </c>
      <c r="D579" s="9"/>
      <c r="E579" s="23">
        <v>46904</v>
      </c>
      <c r="G579" s="42">
        <v>0</v>
      </c>
      <c r="I579" s="42">
        <v>0</v>
      </c>
      <c r="K579" s="42">
        <v>0</v>
      </c>
      <c r="M579" s="42">
        <v>0</v>
      </c>
      <c r="O579" s="42">
        <v>0</v>
      </c>
      <c r="Q579" s="42">
        <v>0</v>
      </c>
      <c r="S579" s="5">
        <f t="shared" ref="S579:S581" si="38">SUM(G579:R579)</f>
        <v>0</v>
      </c>
      <c r="U579" s="42">
        <v>0</v>
      </c>
      <c r="W579" s="42">
        <f>+'St of Net Pos - GA'!Q579-'Long Term Liab - GA'!U579</f>
        <v>0</v>
      </c>
    </row>
    <row r="580" spans="1:23" hidden="1">
      <c r="A580" s="9" t="s">
        <v>863</v>
      </c>
      <c r="B580" s="9"/>
      <c r="C580" s="9" t="s">
        <v>14</v>
      </c>
      <c r="D580" s="9"/>
      <c r="E580" s="23">
        <v>44982</v>
      </c>
      <c r="G580" s="42">
        <v>0</v>
      </c>
      <c r="I580" s="42">
        <v>0</v>
      </c>
      <c r="K580" s="42">
        <v>0</v>
      </c>
      <c r="M580" s="42">
        <v>0</v>
      </c>
      <c r="O580" s="42">
        <v>0</v>
      </c>
      <c r="Q580" s="42">
        <v>0</v>
      </c>
      <c r="S580" s="5">
        <f t="shared" si="38"/>
        <v>0</v>
      </c>
      <c r="U580" s="42">
        <v>0</v>
      </c>
      <c r="W580" s="42">
        <f>+'St of Net Pos - GA'!Q580-'Long Term Liab - GA'!U580</f>
        <v>0</v>
      </c>
    </row>
    <row r="581" spans="1:23" hidden="1">
      <c r="A581" s="8" t="s">
        <v>864</v>
      </c>
      <c r="B581" s="8"/>
      <c r="C581" s="8" t="s">
        <v>63</v>
      </c>
      <c r="D581" s="9"/>
      <c r="E581" s="23"/>
      <c r="G581" s="42">
        <v>0</v>
      </c>
      <c r="I581" s="42">
        <v>0</v>
      </c>
      <c r="K581" s="42">
        <v>0</v>
      </c>
      <c r="M581" s="42">
        <v>0</v>
      </c>
      <c r="O581" s="42">
        <v>0</v>
      </c>
      <c r="Q581" s="42">
        <v>0</v>
      </c>
      <c r="S581" s="5">
        <f t="shared" si="38"/>
        <v>0</v>
      </c>
      <c r="U581" s="42">
        <v>0</v>
      </c>
      <c r="W581" s="42">
        <f>+'St of Net Pos - GA'!Q581-'Long Term Liab - GA'!U581</f>
        <v>0</v>
      </c>
    </row>
    <row r="582" spans="1:23">
      <c r="A582" s="9" t="s">
        <v>527</v>
      </c>
      <c r="B582" s="9"/>
      <c r="C582" s="9" t="s">
        <v>64</v>
      </c>
      <c r="D582" s="9"/>
      <c r="E582" s="23">
        <v>44990</v>
      </c>
      <c r="G582" s="42">
        <f>31857878+2359967</f>
        <v>34217845</v>
      </c>
      <c r="I582" s="42">
        <v>0</v>
      </c>
      <c r="K582" s="42">
        <v>568750</v>
      </c>
      <c r="M582" s="42">
        <v>127288</v>
      </c>
      <c r="O582" s="42">
        <v>3239101</v>
      </c>
      <c r="Q582" s="42">
        <v>0</v>
      </c>
      <c r="S582" s="5">
        <f t="shared" si="37"/>
        <v>38152984</v>
      </c>
      <c r="U582" s="42">
        <v>2113404</v>
      </c>
      <c r="W582" s="42">
        <f>+'St of Net Pos - GA'!Q582-'Long Term Liab - GA'!U582</f>
        <v>0</v>
      </c>
    </row>
    <row r="583" spans="1:23">
      <c r="A583" s="9" t="s">
        <v>545</v>
      </c>
      <c r="B583" s="9"/>
      <c r="C583" s="9" t="s">
        <v>70</v>
      </c>
      <c r="D583" s="9"/>
      <c r="E583" s="23">
        <v>50500</v>
      </c>
      <c r="G583" s="42">
        <v>0</v>
      </c>
      <c r="I583" s="42">
        <v>0</v>
      </c>
      <c r="K583" s="42">
        <v>0</v>
      </c>
      <c r="M583" s="42">
        <v>0</v>
      </c>
      <c r="O583" s="42">
        <v>1866158</v>
      </c>
      <c r="Q583" s="42">
        <v>0</v>
      </c>
      <c r="S583" s="5">
        <f t="shared" si="37"/>
        <v>1866158</v>
      </c>
      <c r="U583" s="42">
        <v>64832</v>
      </c>
      <c r="W583" s="42">
        <f>+'St of Net Pos - GA'!Q583-'Long Term Liab - GA'!U583</f>
        <v>0</v>
      </c>
    </row>
    <row r="584" spans="1:23">
      <c r="A584" s="9" t="s">
        <v>278</v>
      </c>
      <c r="B584" s="9"/>
      <c r="C584" s="9" t="s">
        <v>20</v>
      </c>
      <c r="D584" s="9"/>
      <c r="E584" s="23">
        <v>45005</v>
      </c>
      <c r="G584" s="42">
        <v>18628938</v>
      </c>
      <c r="I584" s="42">
        <v>0</v>
      </c>
      <c r="K584" s="42">
        <v>0</v>
      </c>
      <c r="M584" s="42">
        <v>0</v>
      </c>
      <c r="O584" s="42">
        <v>1414630</v>
      </c>
      <c r="Q584" s="42">
        <v>0</v>
      </c>
      <c r="S584" s="5">
        <f t="shared" si="37"/>
        <v>20043568</v>
      </c>
      <c r="U584" s="42">
        <v>1514919</v>
      </c>
      <c r="W584" s="42">
        <f>+'St of Net Pos - GA'!Q584-'Long Term Liab - GA'!U584</f>
        <v>0</v>
      </c>
    </row>
    <row r="585" spans="1:23">
      <c r="A585" s="9" t="s">
        <v>296</v>
      </c>
      <c r="B585" s="9"/>
      <c r="C585" s="9" t="s">
        <v>26</v>
      </c>
      <c r="D585" s="9"/>
      <c r="E585" s="23">
        <v>45013</v>
      </c>
      <c r="G585" s="42">
        <f>15755000+1640000+1020000+1155954+208895</f>
        <v>19779849</v>
      </c>
      <c r="I585" s="42">
        <v>0</v>
      </c>
      <c r="K585" s="42">
        <v>0</v>
      </c>
      <c r="M585" s="42">
        <v>122705</v>
      </c>
      <c r="O585" s="42">
        <v>1773168</v>
      </c>
      <c r="Q585" s="42">
        <v>0</v>
      </c>
      <c r="S585" s="5">
        <f t="shared" si="37"/>
        <v>21675722</v>
      </c>
      <c r="U585" s="42">
        <v>676558</v>
      </c>
      <c r="W585" s="42">
        <f>+'St of Net Pos - GA'!Q585-'Long Term Liab - GA'!U585</f>
        <v>0</v>
      </c>
    </row>
    <row r="586" spans="1:23">
      <c r="A586" s="9" t="s">
        <v>393</v>
      </c>
      <c r="B586" s="9"/>
      <c r="C586" s="9" t="s">
        <v>114</v>
      </c>
      <c r="D586" s="9"/>
      <c r="E586" s="23">
        <v>48231</v>
      </c>
      <c r="G586" s="42">
        <f>10000000+186571</f>
        <v>10186571</v>
      </c>
      <c r="I586" s="42">
        <v>0</v>
      </c>
      <c r="K586" s="42">
        <v>0</v>
      </c>
      <c r="M586" s="42">
        <v>0</v>
      </c>
      <c r="O586" s="42">
        <v>4166644</v>
      </c>
      <c r="Q586" s="42">
        <v>0</v>
      </c>
      <c r="S586" s="5">
        <f t="shared" si="37"/>
        <v>14353215</v>
      </c>
      <c r="U586" s="42">
        <v>726088</v>
      </c>
      <c r="W586" s="42">
        <f>+'St of Net Pos - GA'!Q586-'Long Term Liab - GA'!U586</f>
        <v>0</v>
      </c>
    </row>
    <row r="587" spans="1:23">
      <c r="A587" s="9" t="s">
        <v>482</v>
      </c>
      <c r="B587" s="9"/>
      <c r="C587" s="9" t="s">
        <v>59</v>
      </c>
      <c r="D587" s="9"/>
      <c r="E587" s="23">
        <v>49650</v>
      </c>
      <c r="G587" s="42">
        <v>1245000</v>
      </c>
      <c r="I587" s="42">
        <v>0</v>
      </c>
      <c r="K587" s="42">
        <v>0</v>
      </c>
      <c r="M587" s="42">
        <v>0</v>
      </c>
      <c r="O587" s="42">
        <v>231719</v>
      </c>
      <c r="Q587" s="42">
        <v>0</v>
      </c>
      <c r="S587" s="5">
        <f t="shared" si="37"/>
        <v>1476719</v>
      </c>
      <c r="U587" s="42">
        <v>335241</v>
      </c>
      <c r="W587" s="42">
        <f>+'St of Net Pos - GA'!Q587-'Long Term Liab - GA'!U587</f>
        <v>0</v>
      </c>
    </row>
    <row r="588" spans="1:23">
      <c r="A588" s="9" t="s">
        <v>462</v>
      </c>
      <c r="B588" s="9"/>
      <c r="C588" s="9" t="s">
        <v>56</v>
      </c>
      <c r="D588" s="9"/>
      <c r="E588" s="23">
        <v>49247</v>
      </c>
      <c r="G588" s="42">
        <f>6835000+70953+455248+471034</f>
        <v>7832235</v>
      </c>
      <c r="I588" s="42">
        <v>0</v>
      </c>
      <c r="K588" s="42">
        <f>1096000-15031</f>
        <v>1080969</v>
      </c>
      <c r="M588" s="42">
        <v>0</v>
      </c>
      <c r="O588" s="42">
        <v>606316</v>
      </c>
      <c r="Q588" s="42">
        <v>0</v>
      </c>
      <c r="S588" s="5">
        <f t="shared" si="37"/>
        <v>9519520</v>
      </c>
      <c r="U588" s="42">
        <v>658805</v>
      </c>
      <c r="W588" s="42">
        <f>+'St of Net Pos - GA'!Q588-'Long Term Liab - GA'!U588</f>
        <v>0</v>
      </c>
    </row>
    <row r="589" spans="1:23">
      <c r="A589" s="9" t="s">
        <v>774</v>
      </c>
      <c r="B589" s="9"/>
      <c r="C589" s="9" t="s">
        <v>28</v>
      </c>
      <c r="D589" s="9"/>
      <c r="E589" s="23">
        <v>45641</v>
      </c>
      <c r="G589" s="42">
        <f>23178990+551088</f>
        <v>23730078</v>
      </c>
      <c r="I589" s="42">
        <v>0</v>
      </c>
      <c r="K589" s="42">
        <v>0</v>
      </c>
      <c r="M589" s="42">
        <v>0</v>
      </c>
      <c r="O589" s="42">
        <v>1265302</v>
      </c>
      <c r="Q589" s="42">
        <v>0</v>
      </c>
      <c r="S589" s="5">
        <f t="shared" si="37"/>
        <v>24995380</v>
      </c>
      <c r="U589" s="42">
        <v>1160292</v>
      </c>
      <c r="W589" s="42">
        <f>+'St of Net Pos - GA'!Q589-'Long Term Liab - GA'!U589</f>
        <v>0</v>
      </c>
    </row>
    <row r="590" spans="1:23">
      <c r="A590" s="9" t="s">
        <v>454</v>
      </c>
      <c r="B590" s="9"/>
      <c r="C590" s="9" t="s">
        <v>55</v>
      </c>
      <c r="D590" s="9"/>
      <c r="E590" s="23">
        <v>49148</v>
      </c>
      <c r="G590" s="42">
        <f>5100000+168015+228905+240830</f>
        <v>5737750</v>
      </c>
      <c r="I590" s="42">
        <v>0</v>
      </c>
      <c r="K590" s="42">
        <v>1354629</v>
      </c>
      <c r="M590" s="42">
        <v>1287640</v>
      </c>
      <c r="O590" s="42">
        <v>777830</v>
      </c>
      <c r="Q590" s="42">
        <v>0</v>
      </c>
      <c r="S590" s="5">
        <f t="shared" si="37"/>
        <v>9157849</v>
      </c>
      <c r="U590" s="42">
        <v>972393</v>
      </c>
      <c r="W590" s="42">
        <f>+'St of Net Pos - GA'!Q590-'Long Term Liab - GA'!U590</f>
        <v>0</v>
      </c>
    </row>
    <row r="591" spans="1:23" hidden="1">
      <c r="A591" s="9" t="s">
        <v>702</v>
      </c>
      <c r="B591" s="9"/>
      <c r="C591" s="9" t="s">
        <v>69</v>
      </c>
      <c r="D591" s="9"/>
      <c r="E591" s="23">
        <v>50468</v>
      </c>
      <c r="G591" s="42">
        <v>0</v>
      </c>
      <c r="I591" s="42">
        <v>0</v>
      </c>
      <c r="K591" s="42">
        <v>0</v>
      </c>
      <c r="M591" s="42">
        <v>0</v>
      </c>
      <c r="O591" s="42">
        <v>0</v>
      </c>
      <c r="Q591" s="42">
        <v>0</v>
      </c>
      <c r="S591" s="5">
        <f t="shared" si="37"/>
        <v>0</v>
      </c>
      <c r="U591" s="42">
        <v>0</v>
      </c>
      <c r="W591" s="42">
        <f>+'St of Net Pos - GA'!Q591-'Long Term Liab - GA'!U591</f>
        <v>0</v>
      </c>
    </row>
    <row r="592" spans="1:23" hidden="1">
      <c r="A592" s="9" t="s">
        <v>797</v>
      </c>
      <c r="B592" s="9"/>
      <c r="C592" s="9" t="s">
        <v>447</v>
      </c>
      <c r="D592" s="9"/>
      <c r="E592" s="23">
        <v>49031</v>
      </c>
      <c r="G592" s="42">
        <v>0</v>
      </c>
      <c r="I592" s="42">
        <v>0</v>
      </c>
      <c r="K592" s="42">
        <v>0</v>
      </c>
      <c r="M592" s="42">
        <v>0</v>
      </c>
      <c r="O592" s="42">
        <v>0</v>
      </c>
      <c r="Q592" s="42">
        <v>0</v>
      </c>
      <c r="S592" s="5">
        <f t="shared" si="37"/>
        <v>0</v>
      </c>
      <c r="U592" s="42">
        <v>0</v>
      </c>
      <c r="W592" s="42">
        <f>+'St of Net Pos - GA'!Q592-'Long Term Liab - GA'!U592</f>
        <v>0</v>
      </c>
    </row>
    <row r="593" spans="1:23" hidden="1">
      <c r="A593" s="9" t="s">
        <v>641</v>
      </c>
      <c r="B593" s="9"/>
      <c r="C593" s="9" t="s">
        <v>14</v>
      </c>
      <c r="D593" s="9"/>
      <c r="E593" s="23">
        <v>45971</v>
      </c>
      <c r="G593" s="42">
        <v>0</v>
      </c>
      <c r="I593" s="42">
        <v>0</v>
      </c>
      <c r="K593" s="42">
        <v>0</v>
      </c>
      <c r="M593" s="42">
        <v>0</v>
      </c>
      <c r="O593" s="42">
        <v>0</v>
      </c>
      <c r="Q593" s="42">
        <v>0</v>
      </c>
      <c r="S593" s="5">
        <f t="shared" si="37"/>
        <v>0</v>
      </c>
      <c r="U593" s="42">
        <v>0</v>
      </c>
      <c r="W593" s="42">
        <f>+'St of Net Pos - GA'!Q593-'Long Term Liab - GA'!U593</f>
        <v>0</v>
      </c>
    </row>
    <row r="594" spans="1:23">
      <c r="A594" s="9" t="s">
        <v>528</v>
      </c>
      <c r="B594" s="9"/>
      <c r="C594" s="9" t="s">
        <v>64</v>
      </c>
      <c r="D594" s="9"/>
      <c r="E594" s="23">
        <v>50252</v>
      </c>
      <c r="G594" s="42">
        <f>76772+855000+79999+3140+8605000+451936+26980+225512</f>
        <v>10324339</v>
      </c>
      <c r="I594" s="42">
        <v>0</v>
      </c>
      <c r="K594" s="42">
        <v>0</v>
      </c>
      <c r="M594" s="42">
        <v>422324</v>
      </c>
      <c r="O594" s="42">
        <v>481427</v>
      </c>
      <c r="Q594" s="42">
        <v>0</v>
      </c>
      <c r="S594" s="5">
        <f t="shared" si="37"/>
        <v>11228090</v>
      </c>
      <c r="U594" s="42">
        <v>413595</v>
      </c>
      <c r="W594" s="42">
        <f>+'St of Net Pos - GA'!Q594-'Long Term Liab - GA'!U594</f>
        <v>0</v>
      </c>
    </row>
    <row r="595" spans="1:23">
      <c r="A595" s="9" t="s">
        <v>775</v>
      </c>
      <c r="B595" s="9"/>
      <c r="C595" s="9" t="s">
        <v>44</v>
      </c>
      <c r="D595" s="9"/>
      <c r="E595" s="23">
        <v>45658</v>
      </c>
      <c r="G595" s="42">
        <v>12763933</v>
      </c>
      <c r="I595" s="42">
        <v>0</v>
      </c>
      <c r="K595" s="42">
        <v>0</v>
      </c>
      <c r="M595" s="42">
        <v>88844</v>
      </c>
      <c r="O595" s="42">
        <v>786406</v>
      </c>
      <c r="Q595" s="42">
        <v>0</v>
      </c>
      <c r="S595" s="5">
        <f t="shared" si="37"/>
        <v>13639183</v>
      </c>
      <c r="U595" s="42">
        <v>625705</v>
      </c>
      <c r="W595" s="42">
        <f>+'St of Net Pos - GA'!Q595-'Long Term Liab - GA'!U595</f>
        <v>0</v>
      </c>
    </row>
    <row r="596" spans="1:23">
      <c r="A596" s="9" t="s">
        <v>359</v>
      </c>
      <c r="B596" s="9"/>
      <c r="C596" s="9" t="s">
        <v>38</v>
      </c>
      <c r="D596" s="9"/>
      <c r="E596" s="23">
        <v>45021</v>
      </c>
      <c r="G596" s="42">
        <v>4025403</v>
      </c>
      <c r="I596" s="42">
        <v>0</v>
      </c>
      <c r="K596" s="42">
        <v>0</v>
      </c>
      <c r="M596" s="42">
        <v>0</v>
      </c>
      <c r="O596" s="42">
        <v>593058</v>
      </c>
      <c r="Q596" s="42">
        <v>0</v>
      </c>
      <c r="S596" s="5">
        <f t="shared" si="37"/>
        <v>4618461</v>
      </c>
      <c r="U596" s="42">
        <v>416338</v>
      </c>
      <c r="W596" s="42">
        <f>+'St of Net Pos - GA'!Q596-'Long Term Liab - GA'!U596</f>
        <v>0</v>
      </c>
    </row>
    <row r="597" spans="1:23">
      <c r="A597" s="9" t="s">
        <v>250</v>
      </c>
      <c r="B597" s="9"/>
      <c r="C597" s="9" t="s">
        <v>111</v>
      </c>
      <c r="D597" s="9"/>
      <c r="E597" s="23">
        <v>45039</v>
      </c>
      <c r="G597" s="42">
        <f>839692+46110</f>
        <v>885802</v>
      </c>
      <c r="I597" s="42">
        <v>160000</v>
      </c>
      <c r="K597" s="42">
        <v>0</v>
      </c>
      <c r="M597" s="42">
        <v>0</v>
      </c>
      <c r="O597" s="42">
        <v>431664</v>
      </c>
      <c r="Q597" s="42">
        <v>0</v>
      </c>
      <c r="S597" s="5">
        <f t="shared" si="37"/>
        <v>1477466</v>
      </c>
      <c r="U597" s="42">
        <v>172545</v>
      </c>
      <c r="W597" s="42">
        <f>+'St of Net Pos - GA'!Q597-'Long Term Liab - GA'!U597</f>
        <v>0</v>
      </c>
    </row>
    <row r="598" spans="1:23">
      <c r="A598" s="9" t="s">
        <v>405</v>
      </c>
      <c r="B598" s="9"/>
      <c r="C598" s="9" t="s">
        <v>45</v>
      </c>
      <c r="D598" s="9"/>
      <c r="E598" s="23">
        <v>48389</v>
      </c>
      <c r="G598" s="42">
        <f>5552833+1296708+310629</f>
        <v>7160170</v>
      </c>
      <c r="I598" s="42">
        <v>0</v>
      </c>
      <c r="K598" s="42">
        <v>0</v>
      </c>
      <c r="M598" s="42">
        <v>0</v>
      </c>
      <c r="O598" s="42">
        <v>712655</v>
      </c>
      <c r="Q598" s="42">
        <v>0</v>
      </c>
      <c r="S598" s="5">
        <f t="shared" si="37"/>
        <v>7872825</v>
      </c>
      <c r="U598" s="42">
        <v>712811</v>
      </c>
      <c r="W598" s="42">
        <f>+'St of Net Pos - GA'!Q598-'Long Term Liab - GA'!U598</f>
        <v>0</v>
      </c>
    </row>
    <row r="599" spans="1:23">
      <c r="A599" s="9" t="s">
        <v>701</v>
      </c>
      <c r="B599" s="9"/>
      <c r="C599" s="9" t="s">
        <v>50</v>
      </c>
      <c r="D599" s="9"/>
      <c r="E599" s="23">
        <v>45054</v>
      </c>
      <c r="G599" s="42">
        <v>1680000</v>
      </c>
      <c r="I599" s="42">
        <v>0</v>
      </c>
      <c r="K599" s="42">
        <v>0</v>
      </c>
      <c r="M599" s="42">
        <v>0</v>
      </c>
      <c r="O599" s="42">
        <v>1616191</v>
      </c>
      <c r="Q599" s="42">
        <v>0</v>
      </c>
      <c r="S599" s="5">
        <f t="shared" si="37"/>
        <v>3296191</v>
      </c>
      <c r="U599" s="42">
        <v>627650</v>
      </c>
      <c r="W599" s="42">
        <f>+'St of Net Pos - GA'!Q599-'Long Term Liab - GA'!U599</f>
        <v>0</v>
      </c>
    </row>
    <row r="600" spans="1:23">
      <c r="A600" s="9" t="s">
        <v>239</v>
      </c>
      <c r="B600" s="9"/>
      <c r="C600" s="9" t="s">
        <v>112</v>
      </c>
      <c r="D600" s="9"/>
      <c r="E600" s="23">
        <v>46359</v>
      </c>
      <c r="G600" s="42">
        <v>32646117</v>
      </c>
      <c r="I600" s="42">
        <v>0</v>
      </c>
      <c r="K600" s="42">
        <v>0</v>
      </c>
      <c r="M600" s="42">
        <v>3475179</v>
      </c>
      <c r="O600" s="42">
        <v>2435263</v>
      </c>
      <c r="Q600" s="42">
        <v>0</v>
      </c>
      <c r="S600" s="5">
        <f>SUM(G600:R600)</f>
        <v>38556559</v>
      </c>
      <c r="U600" s="42">
        <v>2772699</v>
      </c>
      <c r="W600" s="42">
        <f>+'St of Net Pos - GA'!Q600-'Long Term Liab - GA'!U600</f>
        <v>0</v>
      </c>
    </row>
    <row r="601" spans="1:23">
      <c r="A601" s="9" t="s">
        <v>314</v>
      </c>
      <c r="B601" s="9"/>
      <c r="C601" s="9" t="s">
        <v>30</v>
      </c>
      <c r="D601" s="9"/>
      <c r="E601" s="23">
        <v>47225</v>
      </c>
      <c r="G601" s="42">
        <v>1070000</v>
      </c>
      <c r="I601" s="42">
        <v>0</v>
      </c>
      <c r="K601" s="42">
        <v>0</v>
      </c>
      <c r="M601" s="42">
        <v>0</v>
      </c>
      <c r="O601" s="42">
        <v>1836307</v>
      </c>
      <c r="Q601" s="42">
        <v>0</v>
      </c>
      <c r="S601" s="5">
        <f t="shared" si="37"/>
        <v>2906307</v>
      </c>
      <c r="U601" s="42">
        <v>352767</v>
      </c>
      <c r="W601" s="42">
        <f>+'St of Net Pos - GA'!Q601-'Long Term Liab - GA'!U601</f>
        <v>0</v>
      </c>
    </row>
    <row r="602" spans="1:23">
      <c r="A602" s="9" t="s">
        <v>352</v>
      </c>
      <c r="B602" s="9"/>
      <c r="C602" s="9" t="s">
        <v>36</v>
      </c>
      <c r="D602" s="9"/>
      <c r="E602" s="23">
        <v>47696</v>
      </c>
      <c r="G602" s="42">
        <f>9900000+573975-456913</f>
        <v>10017062</v>
      </c>
      <c r="I602" s="42">
        <v>0</v>
      </c>
      <c r="K602" s="42">
        <v>0</v>
      </c>
      <c r="M602" s="42">
        <v>0</v>
      </c>
      <c r="O602" s="42">
        <v>1572213</v>
      </c>
      <c r="Q602" s="42">
        <v>0</v>
      </c>
      <c r="S602" s="5">
        <f t="shared" si="37"/>
        <v>11589275</v>
      </c>
      <c r="U602" s="42">
        <v>765000</v>
      </c>
      <c r="W602" s="42">
        <f>+'St of Net Pos - GA'!Q602-'Long Term Liab - GA'!U602</f>
        <v>0</v>
      </c>
    </row>
    <row r="603" spans="1:23" hidden="1">
      <c r="A603" s="8" t="s">
        <v>908</v>
      </c>
      <c r="B603" s="9"/>
      <c r="C603" s="9" t="s">
        <v>227</v>
      </c>
      <c r="D603" s="9"/>
      <c r="E603" s="23">
        <v>46219</v>
      </c>
      <c r="G603" s="42">
        <v>0</v>
      </c>
      <c r="I603" s="42">
        <v>0</v>
      </c>
      <c r="K603" s="42">
        <v>0</v>
      </c>
      <c r="M603" s="42">
        <v>0</v>
      </c>
      <c r="O603" s="42">
        <v>0</v>
      </c>
      <c r="Q603" s="42">
        <v>0</v>
      </c>
      <c r="S603" s="5">
        <f>SUM(G603:R603)</f>
        <v>0</v>
      </c>
      <c r="U603" s="42">
        <v>0</v>
      </c>
      <c r="W603" s="42">
        <f>+'St of Net Pos - GA'!Q603-'Long Term Liab - GA'!U603</f>
        <v>0</v>
      </c>
    </row>
    <row r="604" spans="1:23">
      <c r="A604" s="9" t="s">
        <v>444</v>
      </c>
      <c r="B604" s="9"/>
      <c r="C604" s="9" t="s">
        <v>51</v>
      </c>
      <c r="D604" s="9"/>
      <c r="E604" s="23">
        <v>48884</v>
      </c>
      <c r="G604" s="42">
        <v>20813376</v>
      </c>
      <c r="I604" s="42">
        <v>0</v>
      </c>
      <c r="K604" s="42">
        <v>0</v>
      </c>
      <c r="M604" s="42">
        <v>1550332</v>
      </c>
      <c r="O604" s="42">
        <v>618011</v>
      </c>
      <c r="Q604" s="42">
        <v>0</v>
      </c>
      <c r="S604" s="5">
        <f t="shared" ref="S604:S632" si="39">SUM(G604:R604)</f>
        <v>22981719</v>
      </c>
      <c r="U604" s="42">
        <v>942890</v>
      </c>
      <c r="W604" s="42">
        <f>+'St of Net Pos - GA'!Q604-'Long Term Liab - GA'!U604</f>
        <v>0</v>
      </c>
    </row>
    <row r="605" spans="1:23">
      <c r="A605" s="9" t="s">
        <v>219</v>
      </c>
      <c r="B605" s="9"/>
      <c r="C605" s="9" t="s">
        <v>77</v>
      </c>
      <c r="D605" s="9"/>
      <c r="E605" s="23">
        <v>46060</v>
      </c>
      <c r="G605" s="42">
        <f>770000+2650000+275000+101792+48311</f>
        <v>3845103</v>
      </c>
      <c r="I605" s="42">
        <v>0</v>
      </c>
      <c r="K605" s="42">
        <v>0</v>
      </c>
      <c r="M605" s="42">
        <v>664000</v>
      </c>
      <c r="O605" s="42">
        <v>1704120</v>
      </c>
      <c r="Q605" s="42">
        <v>0</v>
      </c>
      <c r="S605" s="5">
        <f t="shared" si="39"/>
        <v>6213223</v>
      </c>
      <c r="U605" s="42">
        <v>737570</v>
      </c>
      <c r="W605" s="42">
        <f>+'St of Net Pos - GA'!Q605-'Long Term Liab - GA'!U605</f>
        <v>0</v>
      </c>
    </row>
    <row r="606" spans="1:23">
      <c r="A606" s="9" t="s">
        <v>455</v>
      </c>
      <c r="B606" s="9"/>
      <c r="C606" s="9" t="s">
        <v>55</v>
      </c>
      <c r="D606" s="9"/>
      <c r="E606" s="23">
        <v>49155</v>
      </c>
      <c r="G606" s="42">
        <f>410000+500000</f>
        <v>910000</v>
      </c>
      <c r="I606" s="42">
        <v>0</v>
      </c>
      <c r="K606" s="42">
        <v>0</v>
      </c>
      <c r="M606" s="42">
        <v>0</v>
      </c>
      <c r="O606" s="42">
        <v>170658</v>
      </c>
      <c r="Q606" s="42">
        <v>0</v>
      </c>
      <c r="S606" s="5">
        <f t="shared" si="39"/>
        <v>1080658</v>
      </c>
      <c r="U606" s="42">
        <v>112416</v>
      </c>
      <c r="W606" s="42">
        <f>+'St of Net Pos - GA'!Q606-'Long Term Liab - GA'!U606</f>
        <v>0</v>
      </c>
    </row>
    <row r="607" spans="1:23" ht="12" customHeight="1">
      <c r="A607" s="9" t="s">
        <v>357</v>
      </c>
      <c r="B607" s="9"/>
      <c r="C607" s="9" t="s">
        <v>37</v>
      </c>
      <c r="D607" s="9"/>
      <c r="E607" s="23">
        <v>47746</v>
      </c>
      <c r="G607" s="42">
        <f>2215068+161392</f>
        <v>2376460</v>
      </c>
      <c r="I607" s="42">
        <v>0</v>
      </c>
      <c r="K607" s="42">
        <v>0</v>
      </c>
      <c r="M607" s="42">
        <v>105269</v>
      </c>
      <c r="O607" s="42">
        <v>488509</v>
      </c>
      <c r="Q607" s="42">
        <v>0</v>
      </c>
      <c r="S607" s="5">
        <f t="shared" si="39"/>
        <v>2970238</v>
      </c>
      <c r="U607" s="42">
        <v>290675</v>
      </c>
      <c r="W607" s="42">
        <f>+'St of Net Pos - GA'!Q607-'Long Term Liab - GA'!U607</f>
        <v>0</v>
      </c>
    </row>
    <row r="608" spans="1:23" ht="12" customHeight="1">
      <c r="A608" s="9" t="s">
        <v>357</v>
      </c>
      <c r="B608" s="9"/>
      <c r="C608" s="9" t="s">
        <v>45</v>
      </c>
      <c r="D608" s="9"/>
      <c r="E608" s="23">
        <v>48397</v>
      </c>
      <c r="G608" s="42">
        <v>10573173</v>
      </c>
      <c r="I608" s="42">
        <v>49853</v>
      </c>
      <c r="K608" s="42">
        <v>0</v>
      </c>
      <c r="M608" s="42">
        <v>0</v>
      </c>
      <c r="O608" s="42">
        <v>617167</v>
      </c>
      <c r="Q608" s="42">
        <v>0</v>
      </c>
      <c r="S608" s="5">
        <f t="shared" si="39"/>
        <v>11240193</v>
      </c>
      <c r="U608" s="42">
        <v>426369</v>
      </c>
      <c r="W608" s="42">
        <f>+'St of Net Pos - GA'!Q608-'Long Term Liab - GA'!U608</f>
        <v>0</v>
      </c>
    </row>
    <row r="609" spans="1:23" ht="12" customHeight="1">
      <c r="A609" s="9" t="s">
        <v>307</v>
      </c>
      <c r="B609" s="9"/>
      <c r="C609" s="9" t="s">
        <v>27</v>
      </c>
      <c r="D609" s="9"/>
      <c r="E609" s="23">
        <v>45047</v>
      </c>
      <c r="G609" s="42">
        <f>101764434+6903048</f>
        <v>108667482</v>
      </c>
      <c r="I609" s="42">
        <v>0</v>
      </c>
      <c r="K609" s="42">
        <v>0</v>
      </c>
      <c r="M609" s="42">
        <v>0</v>
      </c>
      <c r="O609" s="42">
        <v>11301859</v>
      </c>
      <c r="Q609" s="42">
        <v>0</v>
      </c>
      <c r="S609" s="5">
        <f t="shared" si="39"/>
        <v>119969341</v>
      </c>
      <c r="U609" s="42">
        <v>8497116</v>
      </c>
      <c r="W609" s="42">
        <f>+'St of Net Pos - GA'!Q609-'Long Term Liab - GA'!U609</f>
        <v>0</v>
      </c>
    </row>
    <row r="610" spans="1:23" ht="12" customHeight="1">
      <c r="A610" s="9" t="s">
        <v>452</v>
      </c>
      <c r="B610" s="9"/>
      <c r="C610" s="9" t="s">
        <v>54</v>
      </c>
      <c r="D610" s="9"/>
      <c r="E610" s="23">
        <v>49106</v>
      </c>
      <c r="G610" s="42">
        <f>4180000+366578</f>
        <v>4546578</v>
      </c>
      <c r="I610" s="42">
        <v>0</v>
      </c>
      <c r="K610" s="42">
        <v>0</v>
      </c>
      <c r="M610" s="42">
        <v>375000</v>
      </c>
      <c r="O610" s="42">
        <v>660936</v>
      </c>
      <c r="Q610" s="42">
        <v>0</v>
      </c>
      <c r="S610" s="5">
        <f t="shared" si="39"/>
        <v>5582514</v>
      </c>
      <c r="U610" s="42">
        <v>452753</v>
      </c>
      <c r="W610" s="42">
        <f>+'St of Net Pos - GA'!Q610-'Long Term Liab - GA'!U610</f>
        <v>0</v>
      </c>
    </row>
    <row r="611" spans="1:23" ht="12" customHeight="1">
      <c r="A611" s="9" t="s">
        <v>279</v>
      </c>
      <c r="B611" s="9"/>
      <c r="C611" s="9" t="s">
        <v>20</v>
      </c>
      <c r="D611" s="9"/>
      <c r="E611" s="23">
        <v>45062</v>
      </c>
      <c r="G611" s="42">
        <v>98150611</v>
      </c>
      <c r="I611" s="42">
        <v>0</v>
      </c>
      <c r="K611" s="42">
        <v>0</v>
      </c>
      <c r="M611" s="42">
        <v>81118</v>
      </c>
      <c r="O611" s="42">
        <v>4088103</v>
      </c>
      <c r="Q611" s="42">
        <v>225000</v>
      </c>
      <c r="S611" s="5">
        <f t="shared" si="39"/>
        <v>102544832</v>
      </c>
      <c r="U611" s="42">
        <v>5491500</v>
      </c>
      <c r="W611" s="42">
        <f>+'St of Net Pos - GA'!Q611-'Long Term Liab - GA'!U611</f>
        <v>0</v>
      </c>
    </row>
    <row r="612" spans="1:23" ht="12" customHeight="1">
      <c r="A612" s="9" t="s">
        <v>483</v>
      </c>
      <c r="B612" s="9"/>
      <c r="C612" s="9" t="s">
        <v>59</v>
      </c>
      <c r="D612" s="9"/>
      <c r="E612" s="23">
        <v>49668</v>
      </c>
      <c r="G612" s="42">
        <f>1100000+32568+4710000+2205000+1024466+90000+38356</f>
        <v>9200390</v>
      </c>
      <c r="I612" s="42">
        <v>0</v>
      </c>
      <c r="K612" s="42">
        <v>0</v>
      </c>
      <c r="M612" s="42">
        <f>318000+2321428+13182</f>
        <v>2652610</v>
      </c>
      <c r="O612" s="42">
        <v>710596</v>
      </c>
      <c r="Q612" s="42">
        <v>0</v>
      </c>
      <c r="S612" s="5">
        <f t="shared" si="39"/>
        <v>12563596</v>
      </c>
      <c r="U612" s="42">
        <v>661448</v>
      </c>
      <c r="W612" s="42">
        <f>+'St of Net Pos - GA'!Q612-'Long Term Liab - GA'!U612</f>
        <v>0</v>
      </c>
    </row>
    <row r="613" spans="1:23">
      <c r="A613" s="9" t="s">
        <v>308</v>
      </c>
      <c r="B613" s="9"/>
      <c r="C613" s="9" t="s">
        <v>27</v>
      </c>
      <c r="D613" s="9"/>
      <c r="E613" s="23">
        <v>45070</v>
      </c>
      <c r="G613" s="42">
        <f>28590611+36093+851333-105668</f>
        <v>29372369</v>
      </c>
      <c r="I613" s="42">
        <v>0</v>
      </c>
      <c r="K613" s="42">
        <v>0</v>
      </c>
      <c r="M613" s="42">
        <v>3064</v>
      </c>
      <c r="O613" s="42">
        <v>1115624</v>
      </c>
      <c r="Q613" s="42">
        <v>0</v>
      </c>
      <c r="S613" s="5">
        <f t="shared" si="39"/>
        <v>30491057</v>
      </c>
      <c r="U613" s="42">
        <v>1453675</v>
      </c>
      <c r="W613" s="42">
        <f>+'St of Net Pos - GA'!Q613-'Long Term Liab - GA'!U613</f>
        <v>0</v>
      </c>
    </row>
    <row r="614" spans="1:23" hidden="1">
      <c r="A614" s="9" t="s">
        <v>617</v>
      </c>
      <c r="B614" s="9"/>
      <c r="C614" s="9" t="s">
        <v>41</v>
      </c>
      <c r="D614" s="9"/>
      <c r="E614" s="23">
        <v>45088</v>
      </c>
      <c r="G614" s="42">
        <v>0</v>
      </c>
      <c r="I614" s="42">
        <v>0</v>
      </c>
      <c r="K614" s="42">
        <v>0</v>
      </c>
      <c r="M614" s="42">
        <v>0</v>
      </c>
      <c r="O614" s="42">
        <v>0</v>
      </c>
      <c r="Q614" s="42">
        <v>0</v>
      </c>
      <c r="S614" s="5">
        <f t="shared" si="39"/>
        <v>0</v>
      </c>
      <c r="U614" s="42">
        <v>0</v>
      </c>
      <c r="W614" s="42">
        <f>+'St of Net Pos - GA'!Q614-'Long Term Liab - GA'!U614</f>
        <v>0</v>
      </c>
    </row>
    <row r="615" spans="1:23">
      <c r="A615" s="9" t="s">
        <v>358</v>
      </c>
      <c r="B615" s="9"/>
      <c r="C615" s="9" t="s">
        <v>37</v>
      </c>
      <c r="D615" s="9"/>
      <c r="E615" s="23">
        <v>45096</v>
      </c>
      <c r="G615" s="42">
        <f>22740052+1021864</f>
        <v>23761916</v>
      </c>
      <c r="I615" s="42">
        <v>478360</v>
      </c>
      <c r="K615" s="42">
        <v>0</v>
      </c>
      <c r="M615" s="42">
        <v>211424</v>
      </c>
      <c r="O615" s="42">
        <v>1081552</v>
      </c>
      <c r="Q615" s="42">
        <v>0</v>
      </c>
      <c r="S615" s="5">
        <f t="shared" si="39"/>
        <v>25533252</v>
      </c>
      <c r="U615" s="42">
        <v>884772</v>
      </c>
      <c r="W615" s="42">
        <f>+'St of Net Pos - GA'!Q615-'Long Term Liab - GA'!U615</f>
        <v>0</v>
      </c>
    </row>
    <row r="616" spans="1:23" hidden="1">
      <c r="A616" s="9" t="s">
        <v>881</v>
      </c>
      <c r="B616" s="9"/>
      <c r="C616" s="9" t="s">
        <v>112</v>
      </c>
      <c r="D616" s="9"/>
      <c r="E616" s="23">
        <v>46367</v>
      </c>
      <c r="G616" s="42">
        <v>0</v>
      </c>
      <c r="I616" s="42">
        <v>0</v>
      </c>
      <c r="K616" s="42">
        <v>0</v>
      </c>
      <c r="M616" s="42">
        <v>0</v>
      </c>
      <c r="O616" s="42">
        <v>0</v>
      </c>
      <c r="Q616" s="42">
        <v>0</v>
      </c>
      <c r="S616" s="5">
        <f t="shared" si="39"/>
        <v>0</v>
      </c>
      <c r="U616" s="42">
        <v>0</v>
      </c>
      <c r="W616" s="42">
        <f>+'St of Net Pos - GA'!Q616-'Long Term Liab - GA'!U616</f>
        <v>0</v>
      </c>
    </row>
    <row r="617" spans="1:23">
      <c r="A617" s="9" t="s">
        <v>363</v>
      </c>
      <c r="B617" s="9"/>
      <c r="C617" s="9" t="s">
        <v>41</v>
      </c>
      <c r="D617" s="9"/>
      <c r="E617" s="23">
        <v>45104</v>
      </c>
      <c r="G617" s="42">
        <f>9785000+8589000</f>
        <v>18374000</v>
      </c>
      <c r="I617" s="42">
        <v>0</v>
      </c>
      <c r="K617" s="42">
        <f>8625000+4320000</f>
        <v>12945000</v>
      </c>
      <c r="M617" s="42">
        <v>0</v>
      </c>
      <c r="O617" s="42">
        <v>8431169</v>
      </c>
      <c r="Q617" s="42">
        <f>5096874+2115994</f>
        <v>7212868</v>
      </c>
      <c r="S617" s="5">
        <f t="shared" si="39"/>
        <v>46963037</v>
      </c>
      <c r="U617" s="42">
        <v>2969512</v>
      </c>
      <c r="W617" s="42">
        <f>+'St of Net Pos - GA'!Q617-'Long Term Liab - GA'!U617</f>
        <v>0</v>
      </c>
    </row>
    <row r="618" spans="1:23">
      <c r="A618" s="9" t="s">
        <v>243</v>
      </c>
      <c r="B618" s="9"/>
      <c r="C618" s="9" t="s">
        <v>18</v>
      </c>
      <c r="D618" s="9"/>
      <c r="E618" s="23">
        <v>45112</v>
      </c>
      <c r="G618" s="42">
        <v>4569717</v>
      </c>
      <c r="I618" s="42">
        <v>0</v>
      </c>
      <c r="K618" s="42">
        <v>0</v>
      </c>
      <c r="M618" s="42">
        <v>1240000</v>
      </c>
      <c r="O618" s="42">
        <v>953222</v>
      </c>
      <c r="Q618" s="42">
        <v>0</v>
      </c>
      <c r="S618" s="5">
        <f t="shared" si="39"/>
        <v>6762939</v>
      </c>
      <c r="U618" s="42">
        <v>1024531</v>
      </c>
      <c r="W618" s="42">
        <f>+'St of Net Pos - GA'!Q618-'Long Term Liab - GA'!U618</f>
        <v>0</v>
      </c>
    </row>
    <row r="619" spans="1:23">
      <c r="A619" s="9" t="s">
        <v>776</v>
      </c>
      <c r="B619" s="9"/>
      <c r="C619" s="9" t="s">
        <v>56</v>
      </c>
      <c r="D619" s="9"/>
      <c r="E619" s="23">
        <v>45666</v>
      </c>
      <c r="G619" s="42">
        <v>465527</v>
      </c>
      <c r="I619" s="42">
        <v>0</v>
      </c>
      <c r="K619" s="42">
        <v>0</v>
      </c>
      <c r="M619" s="42">
        <v>36264</v>
      </c>
      <c r="O619" s="42">
        <v>537954</v>
      </c>
      <c r="Q619" s="42">
        <v>0</v>
      </c>
      <c r="S619" s="5">
        <f t="shared" si="39"/>
        <v>1039745</v>
      </c>
      <c r="U619" s="42">
        <v>179984</v>
      </c>
      <c r="W619" s="42">
        <f>+'St of Net Pos - GA'!Q619-'Long Term Liab - GA'!U619</f>
        <v>0</v>
      </c>
    </row>
    <row r="620" spans="1:23">
      <c r="A620" s="9" t="s">
        <v>330</v>
      </c>
      <c r="B620" s="9"/>
      <c r="C620" s="9" t="s">
        <v>32</v>
      </c>
      <c r="D620" s="9"/>
      <c r="E620" s="23">
        <v>44081</v>
      </c>
      <c r="G620" s="42">
        <v>0</v>
      </c>
      <c r="I620" s="42">
        <v>0</v>
      </c>
      <c r="K620" s="42">
        <v>0</v>
      </c>
      <c r="M620" s="42">
        <v>2992434</v>
      </c>
      <c r="O620" s="42">
        <v>2400425</v>
      </c>
      <c r="Q620" s="42">
        <v>0</v>
      </c>
      <c r="S620" s="5">
        <f t="shared" si="39"/>
        <v>5392859</v>
      </c>
      <c r="U620" s="42">
        <v>945447</v>
      </c>
      <c r="W620" s="42">
        <f>+'St of Net Pos - GA'!Q620-'Long Term Liab - GA'!U620</f>
        <v>0</v>
      </c>
    </row>
    <row r="621" spans="1:23">
      <c r="A621" s="9" t="s">
        <v>546</v>
      </c>
      <c r="B621" s="9"/>
      <c r="C621" s="9" t="s">
        <v>70</v>
      </c>
      <c r="D621" s="9"/>
      <c r="E621" s="23">
        <v>50518</v>
      </c>
      <c r="G621" s="42">
        <f>1084565+4905000</f>
        <v>5989565</v>
      </c>
      <c r="I621" s="42">
        <v>0</v>
      </c>
      <c r="K621" s="42">
        <v>0</v>
      </c>
      <c r="M621" s="42">
        <v>0</v>
      </c>
      <c r="O621" s="42">
        <v>340938</v>
      </c>
      <c r="Q621" s="42">
        <v>0</v>
      </c>
      <c r="S621" s="5">
        <f t="shared" si="39"/>
        <v>6330503</v>
      </c>
      <c r="U621" s="42">
        <v>235000</v>
      </c>
      <c r="W621" s="42">
        <f>+'St of Net Pos - GA'!Q621-'Long Term Liab - GA'!U621</f>
        <v>0</v>
      </c>
    </row>
    <row r="622" spans="1:23">
      <c r="A622" s="9" t="s">
        <v>475</v>
      </c>
      <c r="B622" s="9"/>
      <c r="C622" s="9" t="s">
        <v>79</v>
      </c>
      <c r="D622" s="9"/>
      <c r="E622" s="23">
        <v>49577</v>
      </c>
      <c r="G622" s="42">
        <v>15743389</v>
      </c>
      <c r="I622" s="42">
        <v>0</v>
      </c>
      <c r="K622" s="42">
        <v>0</v>
      </c>
      <c r="M622" s="42">
        <v>68149</v>
      </c>
      <c r="O622" s="42">
        <v>752054</v>
      </c>
      <c r="Q622" s="42">
        <v>0</v>
      </c>
      <c r="S622" s="5">
        <f t="shared" si="39"/>
        <v>16563592</v>
      </c>
      <c r="U622" s="42">
        <v>306715</v>
      </c>
      <c r="W622" s="42">
        <f>+'St of Net Pos - GA'!Q622-'Long Term Liab - GA'!U622</f>
        <v>0</v>
      </c>
    </row>
    <row r="623" spans="1:23">
      <c r="A623" s="9" t="s">
        <v>513</v>
      </c>
      <c r="B623" s="9"/>
      <c r="C623" s="9" t="s">
        <v>63</v>
      </c>
      <c r="D623" s="9"/>
      <c r="E623" s="23">
        <v>49973</v>
      </c>
      <c r="G623" s="42">
        <v>9017952</v>
      </c>
      <c r="I623" s="42">
        <v>0</v>
      </c>
      <c r="K623" s="42">
        <v>0</v>
      </c>
      <c r="M623" s="42">
        <f>33186+53061</f>
        <v>86247</v>
      </c>
      <c r="O623" s="42">
        <v>969197</v>
      </c>
      <c r="Q623" s="42">
        <v>0</v>
      </c>
      <c r="S623" s="5">
        <f t="shared" si="39"/>
        <v>10073396</v>
      </c>
      <c r="U623" s="42">
        <v>1473792</v>
      </c>
      <c r="W623" s="42">
        <f>+'St of Net Pos - GA'!Q623-'Long Term Liab - GA'!U623</f>
        <v>0</v>
      </c>
    </row>
    <row r="624" spans="1:23">
      <c r="A624" s="9" t="s">
        <v>618</v>
      </c>
      <c r="B624" s="9"/>
      <c r="C624" s="9" t="s">
        <v>71</v>
      </c>
      <c r="D624" s="9"/>
      <c r="E624" s="23">
        <v>45120</v>
      </c>
      <c r="G624" s="42">
        <f>15650874-1122000</f>
        <v>14528874</v>
      </c>
      <c r="I624" s="42">
        <v>0</v>
      </c>
      <c r="K624" s="42">
        <v>1122000</v>
      </c>
      <c r="M624" s="42">
        <v>0</v>
      </c>
      <c r="O624" s="42">
        <v>4098092</v>
      </c>
      <c r="Q624" s="42">
        <v>0</v>
      </c>
      <c r="S624" s="5">
        <f t="shared" si="39"/>
        <v>19748966</v>
      </c>
      <c r="U624" s="42">
        <v>3371771</v>
      </c>
      <c r="W624" s="42">
        <f>+'St of Net Pos - GA'!Q624-'Long Term Liab - GA'!U624</f>
        <v>0</v>
      </c>
    </row>
    <row r="625" spans="1:23">
      <c r="A625" s="9" t="s">
        <v>309</v>
      </c>
      <c r="B625" s="9"/>
      <c r="C625" s="9" t="s">
        <v>27</v>
      </c>
      <c r="D625" s="9"/>
      <c r="E625" s="23">
        <v>45138</v>
      </c>
      <c r="G625" s="42">
        <f>4459622+82263970</f>
        <v>86723592</v>
      </c>
      <c r="I625" s="42">
        <v>0</v>
      </c>
      <c r="K625" s="42">
        <v>1676000</v>
      </c>
      <c r="M625" s="42">
        <v>0</v>
      </c>
      <c r="O625" s="42">
        <v>9566571</v>
      </c>
      <c r="Q625" s="42">
        <v>262027</v>
      </c>
      <c r="S625" s="5">
        <f t="shared" si="39"/>
        <v>98228190</v>
      </c>
      <c r="U625" s="42">
        <v>5740653</v>
      </c>
      <c r="W625" s="42">
        <f>+'St of Net Pos - GA'!Q625-'Long Term Liab - GA'!U625</f>
        <v>0</v>
      </c>
    </row>
    <row r="626" spans="1:23">
      <c r="A626" s="9" t="s">
        <v>258</v>
      </c>
      <c r="B626" s="9"/>
      <c r="C626" s="9" t="s">
        <v>110</v>
      </c>
      <c r="D626" s="9"/>
      <c r="E626" s="23">
        <v>46524</v>
      </c>
      <c r="G626" s="42">
        <f>4956841+181944</f>
        <v>5138785</v>
      </c>
      <c r="I626" s="42">
        <v>0</v>
      </c>
      <c r="K626" s="42">
        <v>0</v>
      </c>
      <c r="M626" s="42">
        <v>12417</v>
      </c>
      <c r="O626" s="42">
        <v>551202</v>
      </c>
      <c r="Q626" s="42">
        <v>0</v>
      </c>
      <c r="S626" s="5">
        <f t="shared" si="39"/>
        <v>5702404</v>
      </c>
      <c r="U626" s="42">
        <v>506746</v>
      </c>
      <c r="W626" s="42">
        <f>+'St of Net Pos - GA'!Q626-'Long Term Liab - GA'!U626</f>
        <v>0</v>
      </c>
    </row>
    <row r="627" spans="1:23">
      <c r="A627" s="9" t="s">
        <v>331</v>
      </c>
      <c r="B627" s="9"/>
      <c r="C627" s="9" t="s">
        <v>32</v>
      </c>
      <c r="D627" s="9"/>
      <c r="E627" s="23">
        <v>45146</v>
      </c>
      <c r="G627" s="42">
        <v>44422774</v>
      </c>
      <c r="I627" s="42">
        <v>0</v>
      </c>
      <c r="K627" s="42">
        <v>0</v>
      </c>
      <c r="M627" s="42">
        <v>2111600</v>
      </c>
      <c r="O627" s="42">
        <v>967966</v>
      </c>
      <c r="Q627" s="42">
        <v>0</v>
      </c>
      <c r="S627" s="5">
        <f t="shared" si="39"/>
        <v>47502340</v>
      </c>
      <c r="U627" s="42">
        <v>1422798</v>
      </c>
      <c r="W627" s="42">
        <f>+'St of Net Pos - GA'!Q627-'Long Term Liab - GA'!U627</f>
        <v>0</v>
      </c>
    </row>
    <row r="628" spans="1:23">
      <c r="A628" s="8" t="s">
        <v>872</v>
      </c>
      <c r="B628" s="8"/>
      <c r="C628" s="8" t="s">
        <v>113</v>
      </c>
      <c r="D628" s="8"/>
      <c r="E628" s="23">
        <v>45153</v>
      </c>
      <c r="G628" s="42">
        <f>14160000+189982+1125807+20305000+3146270</f>
        <v>38927059</v>
      </c>
      <c r="I628" s="42">
        <v>0</v>
      </c>
      <c r="K628" s="42">
        <f>1700000+22449+640000+914+170000+2530+201867</f>
        <v>2737760</v>
      </c>
      <c r="M628" s="42">
        <v>466784</v>
      </c>
      <c r="O628" s="42">
        <v>1998993</v>
      </c>
      <c r="Q628" s="42">
        <v>0</v>
      </c>
      <c r="S628" s="5">
        <f t="shared" ref="S628" si="40">SUM(G628:R628)</f>
        <v>44130596</v>
      </c>
      <c r="U628" s="42">
        <v>1473745</v>
      </c>
      <c r="W628" s="42">
        <f>+'St of Net Pos - GA'!Q628-'Long Term Liab - GA'!U628</f>
        <v>0</v>
      </c>
    </row>
    <row r="629" spans="1:23">
      <c r="A629" s="9" t="s">
        <v>777</v>
      </c>
      <c r="B629" s="9"/>
      <c r="C629" s="9" t="s">
        <v>113</v>
      </c>
      <c r="D629" s="9"/>
      <c r="E629" s="23">
        <v>45674</v>
      </c>
      <c r="G629" s="42">
        <f>85000+238478+2909999+39572+267488</f>
        <v>3540537</v>
      </c>
      <c r="I629" s="42">
        <v>0</v>
      </c>
      <c r="K629" s="42">
        <v>607300</v>
      </c>
      <c r="M629" s="42">
        <v>27726</v>
      </c>
      <c r="O629" s="42">
        <v>628410</v>
      </c>
      <c r="Q629" s="42">
        <v>0</v>
      </c>
      <c r="S629" s="5">
        <f t="shared" si="39"/>
        <v>4803973</v>
      </c>
      <c r="U629" s="42">
        <v>322357</v>
      </c>
      <c r="W629" s="42">
        <f>+'St of Net Pos - GA'!Q629-'Long Term Liab - GA'!U629</f>
        <v>0</v>
      </c>
    </row>
    <row r="630" spans="1:23">
      <c r="A630" s="9" t="s">
        <v>406</v>
      </c>
      <c r="B630" s="9"/>
      <c r="C630" s="9" t="s">
        <v>45</v>
      </c>
      <c r="D630" s="9"/>
      <c r="E630" s="23">
        <v>45161</v>
      </c>
      <c r="G630" s="42">
        <v>29185233</v>
      </c>
      <c r="I630" s="42">
        <v>0</v>
      </c>
      <c r="K630" s="42">
        <v>0</v>
      </c>
      <c r="M630" s="42">
        <v>5050000</v>
      </c>
      <c r="O630" s="42">
        <v>6803068</v>
      </c>
      <c r="Q630" s="42">
        <v>340660</v>
      </c>
      <c r="S630" s="5">
        <f t="shared" si="39"/>
        <v>41378961</v>
      </c>
      <c r="U630" s="42">
        <v>2568614</v>
      </c>
      <c r="W630" s="42">
        <f>+'St of Net Pos - GA'!Q630-'Long Term Liab - GA'!U630</f>
        <v>0</v>
      </c>
    </row>
    <row r="631" spans="1:23">
      <c r="A631" s="9" t="s">
        <v>474</v>
      </c>
      <c r="B631" s="9"/>
      <c r="C631" s="9" t="s">
        <v>58</v>
      </c>
      <c r="D631" s="9"/>
      <c r="E631" s="23">
        <v>49544</v>
      </c>
      <c r="G631" s="42">
        <f>2130000+2379000</f>
        <v>4509000</v>
      </c>
      <c r="I631" s="42">
        <v>0</v>
      </c>
      <c r="K631" s="42">
        <v>0</v>
      </c>
      <c r="M631" s="42">
        <v>1832</v>
      </c>
      <c r="O631" s="42">
        <v>594264</v>
      </c>
      <c r="Q631" s="42">
        <v>0</v>
      </c>
      <c r="S631" s="5">
        <f t="shared" si="39"/>
        <v>5105096</v>
      </c>
      <c r="U631" s="42">
        <v>501623</v>
      </c>
      <c r="W631" s="42">
        <f>+'St of Net Pos - GA'!Q631-'Long Term Liab - GA'!U631</f>
        <v>0</v>
      </c>
    </row>
    <row r="632" spans="1:23">
      <c r="A632" s="9" t="s">
        <v>445</v>
      </c>
      <c r="B632" s="9"/>
      <c r="C632" s="9" t="s">
        <v>51</v>
      </c>
      <c r="D632" s="9"/>
      <c r="E632" s="23">
        <v>45179</v>
      </c>
      <c r="G632" s="42">
        <v>30686576</v>
      </c>
      <c r="I632" s="42">
        <v>0</v>
      </c>
      <c r="K632" s="42">
        <v>0</v>
      </c>
      <c r="M632" s="42">
        <v>16361</v>
      </c>
      <c r="O632" s="42">
        <v>1582285</v>
      </c>
      <c r="Q632" s="42">
        <v>0</v>
      </c>
      <c r="S632" s="5">
        <f t="shared" si="39"/>
        <v>32285222</v>
      </c>
      <c r="U632" s="42">
        <v>785755</v>
      </c>
      <c r="W632" s="42">
        <f>+'St of Net Pos - GA'!Q632-'Long Term Liab - GA'!U632</f>
        <v>0</v>
      </c>
    </row>
    <row r="633" spans="1:23">
      <c r="A633" s="9"/>
      <c r="B633" s="9"/>
      <c r="C633" s="9"/>
      <c r="D633" s="9"/>
    </row>
  </sheetData>
  <phoneticPr fontId="3" type="noConversion"/>
  <pageMargins left="0.75" right="0.5" top="0.5" bottom="0.5" header="0.25" footer="0.25"/>
  <pageSetup scale="76" firstPageNumber="210" pageOrder="overThenDown" orientation="portrait" useFirstPageNumber="1" r:id="rId1"/>
  <headerFooter scaleWithDoc="0" alignWithMargins="0"/>
  <rowBreaks count="6" manualBreakCount="6">
    <brk id="100" max="20" man="1"/>
    <brk id="192" max="20" man="1"/>
    <brk id="282" max="20" man="1"/>
    <brk id="371" max="20" man="1"/>
    <brk id="472" max="20" man="1"/>
    <brk id="556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7"/>
  <sheetViews>
    <sheetView zoomScaleNormal="100" zoomScaleSheetLayoutView="100" workbookViewId="0">
      <pane xSplit="6" ySplit="11" topLeftCell="G12" activePane="bottomRight" state="frozen"/>
      <selection pane="topRight" activeCell="G1" sqref="G1"/>
      <selection pane="bottomLeft" activeCell="A10" sqref="A10"/>
      <selection pane="bottomRight" activeCell="K4" sqref="K4"/>
    </sheetView>
  </sheetViews>
  <sheetFormatPr defaultColWidth="9.140625" defaultRowHeight="12"/>
  <cols>
    <col min="1" max="1" width="33.7109375" style="6" customWidth="1"/>
    <col min="2" max="2" width="1.7109375" style="6" customWidth="1"/>
    <col min="3" max="3" width="11.7109375" style="6" customWidth="1"/>
    <col min="4" max="4" width="1.7109375" style="6" hidden="1" customWidth="1"/>
    <col min="5" max="5" width="11.7109375" style="22" hidden="1" customWidth="1"/>
    <col min="6" max="6" width="1.7109375" style="6" customWidth="1"/>
    <col min="7" max="7" width="9.28515625" style="42" bestFit="1" customWidth="1"/>
    <col min="8" max="8" width="1.7109375" style="42" customWidth="1"/>
    <col min="9" max="9" width="10.5703125" style="42" bestFit="1" customWidth="1"/>
    <col min="10" max="10" width="1.7109375" style="42" customWidth="1"/>
    <col min="11" max="11" width="10.7109375" style="42" customWidth="1"/>
    <col min="12" max="12" width="1.7109375" style="42" customWidth="1"/>
    <col min="13" max="13" width="11.7109375" style="42" customWidth="1"/>
    <col min="14" max="14" width="1.7109375" style="42" customWidth="1"/>
    <col min="15" max="15" width="11.7109375" style="42" customWidth="1"/>
    <col min="16" max="16" width="1.7109375" style="42" customWidth="1"/>
    <col min="17" max="17" width="9.28515625" style="42" bestFit="1" customWidth="1"/>
    <col min="18" max="18" width="1.7109375" style="42" customWidth="1"/>
    <col min="19" max="19" width="11.7109375" style="42" customWidth="1"/>
    <col min="20" max="20" width="2.140625" style="42" customWidth="1"/>
    <col min="21" max="21" width="11.7109375" style="42" customWidth="1"/>
    <col min="22" max="22" width="1.7109375" style="42" customWidth="1"/>
    <col min="23" max="23" width="11.7109375" style="42" customWidth="1"/>
    <col min="24" max="24" width="1.7109375" style="42" customWidth="1"/>
    <col min="25" max="25" width="11.7109375" style="42" customWidth="1"/>
    <col min="26" max="26" width="1.7109375" style="42" customWidth="1"/>
    <col min="27" max="27" width="11.7109375" style="42" customWidth="1"/>
    <col min="28" max="28" width="1.7109375" style="36" customWidth="1"/>
    <col min="29" max="29" width="10.7109375" style="42" customWidth="1"/>
    <col min="30" max="30" width="1.7109375" style="42" customWidth="1"/>
    <col min="31" max="31" width="11.7109375" style="42" customWidth="1"/>
    <col min="32" max="32" width="1.7109375" style="42" customWidth="1"/>
    <col min="33" max="33" width="11.7109375" style="42" customWidth="1"/>
    <col min="34" max="34" width="1.85546875" style="6" customWidth="1"/>
    <col min="35" max="35" width="11.7109375" style="42" customWidth="1"/>
    <col min="36" max="36" width="1.7109375" style="6" customWidth="1"/>
    <col min="37" max="16384" width="9.140625" style="6"/>
  </cols>
  <sheetData>
    <row r="1" spans="1:35" ht="12" customHeight="1">
      <c r="A1" s="25" t="s">
        <v>128</v>
      </c>
      <c r="B1" s="25"/>
      <c r="C1" s="25"/>
      <c r="D1" s="25"/>
      <c r="E1" s="31"/>
    </row>
    <row r="2" spans="1:35" ht="12" customHeight="1">
      <c r="A2" s="25" t="s">
        <v>899</v>
      </c>
      <c r="B2" s="25"/>
      <c r="C2" s="25"/>
      <c r="D2" s="25"/>
      <c r="E2" s="31"/>
    </row>
    <row r="3" spans="1:35" ht="12" customHeight="1">
      <c r="A3" s="25"/>
      <c r="AI3" s="47"/>
    </row>
    <row r="4" spans="1:35" ht="12" customHeight="1">
      <c r="A4" s="25" t="s">
        <v>167</v>
      </c>
      <c r="B4" s="25"/>
      <c r="C4" s="25"/>
      <c r="D4" s="25"/>
      <c r="E4" s="31"/>
      <c r="O4" s="7"/>
      <c r="P4" s="7"/>
      <c r="Q4" s="7"/>
      <c r="S4" s="7"/>
      <c r="T4" s="7"/>
      <c r="U4" s="7"/>
      <c r="V4" s="7"/>
      <c r="W4" s="7"/>
      <c r="X4" s="7"/>
      <c r="Y4" s="7"/>
      <c r="Z4" s="7"/>
      <c r="AA4" s="7"/>
      <c r="AI4" s="47"/>
    </row>
    <row r="5" spans="1:35" ht="12" customHeight="1">
      <c r="A5" s="25"/>
      <c r="B5" s="25"/>
      <c r="C5" s="25"/>
      <c r="D5" s="25"/>
      <c r="E5" s="31"/>
      <c r="O5" s="50"/>
      <c r="P5" s="50"/>
      <c r="Q5" s="50"/>
      <c r="S5" s="50"/>
      <c r="T5" s="50"/>
      <c r="U5" s="50"/>
      <c r="V5" s="50"/>
      <c r="W5" s="50"/>
      <c r="X5" s="50"/>
      <c r="Y5" s="50"/>
      <c r="Z5" s="50"/>
      <c r="AA5" s="50"/>
      <c r="AI5" s="47" t="s">
        <v>3</v>
      </c>
    </row>
    <row r="6" spans="1:35" ht="12" customHeight="1">
      <c r="A6" s="38" t="s">
        <v>721</v>
      </c>
      <c r="B6" s="25"/>
      <c r="C6" s="25"/>
      <c r="D6" s="25"/>
      <c r="E6" s="31"/>
      <c r="O6" s="75" t="s">
        <v>830</v>
      </c>
      <c r="P6" s="75"/>
      <c r="Q6" s="75"/>
      <c r="S6" s="75" t="s">
        <v>830</v>
      </c>
      <c r="T6" s="75"/>
      <c r="U6" s="75"/>
      <c r="V6" s="75"/>
      <c r="W6" s="75"/>
      <c r="X6" s="75"/>
      <c r="Y6" s="75"/>
      <c r="Z6" s="75"/>
      <c r="AA6" s="75"/>
      <c r="AI6" s="47" t="s">
        <v>139</v>
      </c>
    </row>
    <row r="7" spans="1:35" ht="12" customHeight="1">
      <c r="A7" s="25"/>
      <c r="G7" s="13" t="s">
        <v>103</v>
      </c>
      <c r="H7" s="13"/>
      <c r="I7" s="13"/>
      <c r="J7" s="13"/>
      <c r="K7" s="13"/>
      <c r="L7" s="17" t="s">
        <v>127</v>
      </c>
      <c r="M7" s="17"/>
      <c r="O7" s="74" t="s">
        <v>831</v>
      </c>
      <c r="P7" s="74"/>
      <c r="Q7" s="74"/>
      <c r="R7" s="7"/>
      <c r="S7" s="74" t="s">
        <v>910</v>
      </c>
      <c r="T7" s="74"/>
      <c r="U7" s="74"/>
      <c r="V7" s="74"/>
      <c r="W7" s="74"/>
      <c r="X7" s="74"/>
      <c r="Y7" s="74"/>
      <c r="Z7" s="74"/>
      <c r="AA7" s="74"/>
      <c r="AG7" s="47" t="s">
        <v>3</v>
      </c>
      <c r="AI7" s="50" t="s">
        <v>81</v>
      </c>
    </row>
    <row r="8" spans="1:35" ht="12" customHeight="1">
      <c r="A8" s="38"/>
      <c r="B8" s="42"/>
      <c r="C8" s="42"/>
      <c r="D8" s="42"/>
      <c r="F8" s="42"/>
      <c r="O8" s="7"/>
      <c r="P8" s="7"/>
      <c r="AC8" s="7"/>
      <c r="AG8" s="47" t="s">
        <v>81</v>
      </c>
      <c r="AI8" s="50" t="s">
        <v>595</v>
      </c>
    </row>
    <row r="9" spans="1:35" ht="12" customHeight="1">
      <c r="A9" s="14"/>
      <c r="I9" s="47" t="s">
        <v>122</v>
      </c>
      <c r="M9" s="47" t="s">
        <v>3</v>
      </c>
      <c r="O9" s="14"/>
      <c r="P9" s="14"/>
      <c r="Q9" s="14"/>
      <c r="R9" s="14"/>
      <c r="S9" s="14" t="s">
        <v>102</v>
      </c>
      <c r="T9" s="14"/>
      <c r="U9" s="14"/>
      <c r="V9" s="14"/>
      <c r="W9" s="14" t="s">
        <v>137</v>
      </c>
      <c r="X9" s="14"/>
      <c r="Y9" s="3" t="s">
        <v>108</v>
      </c>
      <c r="Z9" s="14"/>
      <c r="AA9" s="14"/>
      <c r="AC9" s="6"/>
      <c r="AD9" s="17"/>
      <c r="AF9" s="17"/>
      <c r="AG9" s="50" t="s">
        <v>9</v>
      </c>
      <c r="AI9" s="47" t="s">
        <v>619</v>
      </c>
    </row>
    <row r="10" spans="1:35" ht="12" customHeight="1">
      <c r="A10" s="3"/>
      <c r="B10" s="3"/>
      <c r="C10" s="3"/>
      <c r="D10" s="3"/>
      <c r="E10" s="29"/>
      <c r="F10" s="3"/>
      <c r="G10" s="47" t="s">
        <v>0</v>
      </c>
      <c r="H10" s="47"/>
      <c r="I10" s="47" t="s">
        <v>108</v>
      </c>
      <c r="J10" s="47"/>
      <c r="K10" s="47" t="s">
        <v>73</v>
      </c>
      <c r="L10" s="47"/>
      <c r="M10" s="47" t="s">
        <v>134</v>
      </c>
      <c r="O10" s="50" t="s">
        <v>104</v>
      </c>
      <c r="P10" s="50"/>
      <c r="Q10" s="50" t="s">
        <v>568</v>
      </c>
      <c r="R10" s="50"/>
      <c r="S10" s="50" t="s">
        <v>135</v>
      </c>
      <c r="T10" s="50"/>
      <c r="U10" s="47" t="s">
        <v>105</v>
      </c>
      <c r="V10" s="47"/>
      <c r="W10" s="50" t="s">
        <v>138</v>
      </c>
      <c r="X10" s="50"/>
      <c r="Y10" s="3" t="s">
        <v>175</v>
      </c>
      <c r="Z10" s="50"/>
      <c r="AA10" s="47"/>
      <c r="AC10" s="50" t="s">
        <v>160</v>
      </c>
      <c r="AD10" s="47"/>
      <c r="AE10" s="50" t="s">
        <v>850</v>
      </c>
      <c r="AF10" s="47"/>
      <c r="AG10" s="50" t="s">
        <v>570</v>
      </c>
      <c r="AI10" s="50" t="s">
        <v>850</v>
      </c>
    </row>
    <row r="11" spans="1:35" ht="12" customHeight="1">
      <c r="A11" s="33" t="s">
        <v>198</v>
      </c>
      <c r="B11" s="14"/>
      <c r="C11" s="33" t="s">
        <v>4</v>
      </c>
      <c r="D11" s="14"/>
      <c r="E11" s="30" t="s">
        <v>197</v>
      </c>
      <c r="F11" s="3"/>
      <c r="G11" s="48" t="s">
        <v>6</v>
      </c>
      <c r="I11" s="48" t="s">
        <v>119</v>
      </c>
      <c r="K11" s="48" t="s">
        <v>106</v>
      </c>
      <c r="L11" s="50"/>
      <c r="M11" s="48" t="s">
        <v>9</v>
      </c>
      <c r="O11" s="48" t="s">
        <v>5</v>
      </c>
      <c r="P11" s="47"/>
      <c r="Q11" s="48" t="s">
        <v>5</v>
      </c>
      <c r="R11" s="47"/>
      <c r="S11" s="48" t="s">
        <v>136</v>
      </c>
      <c r="T11" s="48"/>
      <c r="U11" s="48" t="s">
        <v>107</v>
      </c>
      <c r="V11" s="50"/>
      <c r="W11" s="48" t="s">
        <v>5</v>
      </c>
      <c r="X11" s="50"/>
      <c r="Y11" s="4" t="s">
        <v>176</v>
      </c>
      <c r="Z11" s="47"/>
      <c r="AA11" s="48" t="s">
        <v>572</v>
      </c>
      <c r="AC11" s="48" t="s">
        <v>587</v>
      </c>
      <c r="AE11" s="48" t="s">
        <v>585</v>
      </c>
      <c r="AG11" s="48" t="s">
        <v>571</v>
      </c>
      <c r="AI11" s="48" t="s">
        <v>585</v>
      </c>
    </row>
    <row r="12" spans="1:35" ht="12" customHeight="1">
      <c r="A12" s="8"/>
      <c r="B12" s="8"/>
      <c r="C12" s="8"/>
      <c r="D12" s="8"/>
      <c r="E12" s="23"/>
      <c r="F12" s="3"/>
      <c r="G12" s="50"/>
      <c r="I12" s="50"/>
      <c r="K12" s="50"/>
      <c r="L12" s="50"/>
      <c r="M12" s="50"/>
      <c r="O12" s="50"/>
      <c r="S12" s="50"/>
      <c r="T12" s="50"/>
      <c r="U12" s="50"/>
      <c r="V12" s="50"/>
      <c r="W12" s="50"/>
      <c r="X12" s="50"/>
      <c r="Y12" s="50"/>
      <c r="AA12" s="50"/>
      <c r="AC12" s="50"/>
      <c r="AG12" s="50"/>
    </row>
    <row r="13" spans="1:35" ht="12" hidden="1" customHeight="1">
      <c r="A13" s="9" t="s">
        <v>851</v>
      </c>
      <c r="B13" s="9"/>
      <c r="C13" s="9" t="s">
        <v>337</v>
      </c>
      <c r="D13" s="8"/>
      <c r="E13" s="23">
        <v>45187</v>
      </c>
      <c r="G13" s="42">
        <v>0</v>
      </c>
      <c r="I13" s="42">
        <v>0</v>
      </c>
      <c r="K13" s="42">
        <v>0</v>
      </c>
      <c r="M13" s="42">
        <f t="shared" ref="M13" si="0">SUM(G13:L13)</f>
        <v>0</v>
      </c>
      <c r="O13" s="42">
        <v>0</v>
      </c>
      <c r="Q13" s="42">
        <v>0</v>
      </c>
      <c r="S13" s="42">
        <v>0</v>
      </c>
      <c r="U13" s="42">
        <v>0</v>
      </c>
      <c r="W13" s="42">
        <v>0</v>
      </c>
      <c r="Y13" s="42">
        <v>0</v>
      </c>
      <c r="AA13" s="42">
        <v>0</v>
      </c>
      <c r="AB13" s="37"/>
      <c r="AC13" s="42">
        <v>0</v>
      </c>
      <c r="AE13" s="42">
        <v>0</v>
      </c>
      <c r="AG13" s="42">
        <f t="shared" ref="AG13" si="1">SUM(O13:AE13)</f>
        <v>0</v>
      </c>
      <c r="AH13" s="42"/>
      <c r="AI13" s="42">
        <f t="shared" ref="AI13" si="2">+AG13+M13</f>
        <v>0</v>
      </c>
    </row>
    <row r="14" spans="1:35" s="24" customFormat="1">
      <c r="A14" s="51" t="s">
        <v>782</v>
      </c>
      <c r="B14" s="51"/>
      <c r="C14" s="51" t="s">
        <v>199</v>
      </c>
      <c r="D14" s="51"/>
      <c r="E14" s="23">
        <v>61903</v>
      </c>
      <c r="F14" s="52"/>
      <c r="G14" s="24">
        <v>2212196</v>
      </c>
      <c r="I14" s="24">
        <v>8955493</v>
      </c>
      <c r="K14" s="24">
        <v>126200</v>
      </c>
      <c r="M14" s="24">
        <f>SUM(G14:L14)</f>
        <v>11293889</v>
      </c>
      <c r="O14" s="24">
        <f>5981236+127342+2199933+137814</f>
        <v>8446325</v>
      </c>
      <c r="Q14" s="24">
        <v>0</v>
      </c>
      <c r="S14" s="24">
        <v>24193390</v>
      </c>
      <c r="U14" s="24">
        <v>12895</v>
      </c>
      <c r="W14" s="24">
        <v>0</v>
      </c>
      <c r="Y14" s="24">
        <v>14879</v>
      </c>
      <c r="AA14" s="24">
        <v>554319</v>
      </c>
      <c r="AB14" s="58"/>
      <c r="AC14" s="24">
        <v>0</v>
      </c>
      <c r="AE14" s="24">
        <v>0</v>
      </c>
      <c r="AG14" s="24">
        <f>SUM(O14:AE14)</f>
        <v>33221808</v>
      </c>
      <c r="AI14" s="24">
        <f>+AG14+M14</f>
        <v>44515697</v>
      </c>
    </row>
    <row r="15" spans="1:35" ht="12" customHeight="1">
      <c r="A15" s="9" t="s">
        <v>582</v>
      </c>
      <c r="B15" s="8"/>
      <c r="C15" s="8" t="s">
        <v>58</v>
      </c>
      <c r="D15" s="8"/>
      <c r="E15" s="23">
        <v>49494</v>
      </c>
      <c r="G15" s="42">
        <v>1126941</v>
      </c>
      <c r="I15" s="42">
        <v>1253123</v>
      </c>
      <c r="K15" s="42">
        <v>0</v>
      </c>
      <c r="M15" s="42">
        <f t="shared" ref="M15:M84" si="3">SUM(G15:L15)</f>
        <v>2380064</v>
      </c>
      <c r="O15" s="42">
        <f>2068230+35989+219922</f>
        <v>2324141</v>
      </c>
      <c r="Q15" s="42">
        <v>141694</v>
      </c>
      <c r="S15" s="42">
        <v>6975536</v>
      </c>
      <c r="U15" s="42">
        <v>9166</v>
      </c>
      <c r="W15" s="42">
        <v>0</v>
      </c>
      <c r="Y15" s="42">
        <v>6313</v>
      </c>
      <c r="AA15" s="42">
        <v>72682</v>
      </c>
      <c r="AB15" s="37"/>
      <c r="AC15" s="42">
        <v>0</v>
      </c>
      <c r="AE15" s="42">
        <v>2000000</v>
      </c>
      <c r="AG15" s="42">
        <f t="shared" ref="AG15:AG84" si="4">SUM(O15:AE15)</f>
        <v>11529532</v>
      </c>
      <c r="AH15" s="42"/>
      <c r="AI15" s="42">
        <f t="shared" ref="AI15:AI85" si="5">+AG15+M15</f>
        <v>13909596</v>
      </c>
    </row>
    <row r="16" spans="1:35" ht="12" customHeight="1">
      <c r="A16" s="8" t="s">
        <v>502</v>
      </c>
      <c r="B16" s="8"/>
      <c r="C16" s="8" t="s">
        <v>63</v>
      </c>
      <c r="D16" s="8"/>
      <c r="E16" s="23">
        <v>43489</v>
      </c>
      <c r="G16" s="42">
        <v>11685003</v>
      </c>
      <c r="I16" s="42">
        <v>57398664</v>
      </c>
      <c r="K16" s="42">
        <v>9879467</v>
      </c>
      <c r="M16" s="42">
        <f t="shared" si="3"/>
        <v>78963134</v>
      </c>
      <c r="O16" s="42">
        <f>96169625+3030202</f>
        <v>99199827</v>
      </c>
      <c r="Q16" s="42">
        <v>0</v>
      </c>
      <c r="S16" s="42">
        <v>168788394</v>
      </c>
      <c r="U16" s="42">
        <v>137688</v>
      </c>
      <c r="W16" s="42">
        <v>0</v>
      </c>
      <c r="Y16" s="42">
        <v>0</v>
      </c>
      <c r="AA16" s="42">
        <f>598693+2572926</f>
        <v>3171619</v>
      </c>
      <c r="AB16" s="37"/>
      <c r="AC16" s="42">
        <v>0</v>
      </c>
      <c r="AE16" s="42">
        <v>0</v>
      </c>
      <c r="AG16" s="42">
        <f t="shared" si="4"/>
        <v>271297528</v>
      </c>
      <c r="AH16" s="42"/>
      <c r="AI16" s="42">
        <f t="shared" si="5"/>
        <v>350260662</v>
      </c>
    </row>
    <row r="17" spans="1:35" ht="12" hidden="1" customHeight="1">
      <c r="A17" s="9" t="s">
        <v>612</v>
      </c>
      <c r="B17" s="8"/>
      <c r="C17" s="8" t="s">
        <v>13</v>
      </c>
      <c r="D17" s="8"/>
      <c r="E17" s="23">
        <v>45906</v>
      </c>
      <c r="F17" s="59"/>
      <c r="G17" s="42">
        <v>0</v>
      </c>
      <c r="I17" s="42">
        <v>0</v>
      </c>
      <c r="K17" s="42">
        <v>0</v>
      </c>
      <c r="M17" s="42">
        <f t="shared" si="3"/>
        <v>0</v>
      </c>
      <c r="O17" s="42">
        <v>0</v>
      </c>
      <c r="Q17" s="42">
        <v>0</v>
      </c>
      <c r="S17" s="42">
        <v>0</v>
      </c>
      <c r="U17" s="42">
        <v>0</v>
      </c>
      <c r="W17" s="42">
        <v>0</v>
      </c>
      <c r="Y17" s="42">
        <v>0</v>
      </c>
      <c r="AA17" s="42">
        <v>0</v>
      </c>
      <c r="AB17" s="37"/>
      <c r="AC17" s="42">
        <v>0</v>
      </c>
      <c r="AE17" s="42">
        <v>0</v>
      </c>
      <c r="AG17" s="42">
        <f t="shared" si="4"/>
        <v>0</v>
      </c>
      <c r="AH17" s="42"/>
      <c r="AI17" s="42">
        <f t="shared" si="5"/>
        <v>0</v>
      </c>
    </row>
    <row r="18" spans="1:35" ht="12" hidden="1" customHeight="1">
      <c r="A18" s="9" t="s">
        <v>852</v>
      </c>
      <c r="B18" s="9"/>
      <c r="C18" s="9" t="s">
        <v>10</v>
      </c>
      <c r="D18" s="9"/>
      <c r="E18" s="23">
        <v>45757</v>
      </c>
      <c r="G18" s="42">
        <v>0</v>
      </c>
      <c r="I18" s="42">
        <v>0</v>
      </c>
      <c r="K18" s="42">
        <v>0</v>
      </c>
      <c r="M18" s="42">
        <f t="shared" ref="M18" si="6">SUM(G18:L18)</f>
        <v>0</v>
      </c>
      <c r="O18" s="42">
        <v>0</v>
      </c>
      <c r="Q18" s="42">
        <v>0</v>
      </c>
      <c r="S18" s="42">
        <v>0</v>
      </c>
      <c r="U18" s="42">
        <v>0</v>
      </c>
      <c r="W18" s="42">
        <v>0</v>
      </c>
      <c r="Y18" s="42">
        <v>0</v>
      </c>
      <c r="AA18" s="42">
        <v>0</v>
      </c>
      <c r="AB18" s="37"/>
      <c r="AC18" s="42">
        <v>0</v>
      </c>
      <c r="AE18" s="42">
        <v>0</v>
      </c>
      <c r="AG18" s="42">
        <f t="shared" ref="AG18" si="7">SUM(O18:AE18)</f>
        <v>0</v>
      </c>
      <c r="AH18" s="42"/>
      <c r="AI18" s="42">
        <f t="shared" ref="AI18" si="8">+AG18+M18</f>
        <v>0</v>
      </c>
    </row>
    <row r="19" spans="1:35" ht="12" customHeight="1">
      <c r="A19" s="8" t="s">
        <v>489</v>
      </c>
      <c r="B19" s="8"/>
      <c r="C19" s="8" t="s">
        <v>62</v>
      </c>
      <c r="D19" s="8"/>
      <c r="E19" s="23">
        <v>43497</v>
      </c>
      <c r="G19" s="42">
        <v>2005779</v>
      </c>
      <c r="I19" s="42">
        <v>5882442</v>
      </c>
      <c r="K19" s="42">
        <v>2909</v>
      </c>
      <c r="M19" s="42">
        <f t="shared" si="3"/>
        <v>7891130</v>
      </c>
      <c r="O19" s="42">
        <f>6468025+703953+219970+124213</f>
        <v>7516161</v>
      </c>
      <c r="Q19" s="42">
        <v>0</v>
      </c>
      <c r="S19" s="42">
        <v>19623580</v>
      </c>
      <c r="U19" s="42">
        <v>40441</v>
      </c>
      <c r="W19" s="42">
        <v>0</v>
      </c>
      <c r="Y19" s="42">
        <v>0</v>
      </c>
      <c r="AA19" s="42">
        <v>178329</v>
      </c>
      <c r="AB19" s="37"/>
      <c r="AC19" s="42">
        <v>0</v>
      </c>
      <c r="AE19" s="42">
        <v>0</v>
      </c>
      <c r="AG19" s="42">
        <f t="shared" si="4"/>
        <v>27358511</v>
      </c>
      <c r="AH19" s="42"/>
      <c r="AI19" s="42">
        <f t="shared" si="5"/>
        <v>35249641</v>
      </c>
    </row>
    <row r="20" spans="1:35" ht="12" customHeight="1">
      <c r="A20" s="8" t="s">
        <v>290</v>
      </c>
      <c r="B20" s="8"/>
      <c r="C20" s="8" t="s">
        <v>25</v>
      </c>
      <c r="D20" s="8"/>
      <c r="E20" s="23">
        <v>46847</v>
      </c>
      <c r="G20" s="42">
        <v>1565771</v>
      </c>
      <c r="I20" s="42">
        <v>2056406</v>
      </c>
      <c r="K20" s="42">
        <v>0</v>
      </c>
      <c r="M20" s="42">
        <f t="shared" si="3"/>
        <v>3622177</v>
      </c>
      <c r="O20" s="42">
        <f>2823912+315184+47575</f>
        <v>3186671</v>
      </c>
      <c r="Q20" s="42">
        <v>1967350</v>
      </c>
      <c r="S20" s="42">
        <v>8815957</v>
      </c>
      <c r="U20" s="42">
        <v>22277</v>
      </c>
      <c r="W20" s="42">
        <v>0</v>
      </c>
      <c r="Y20" s="42">
        <v>0</v>
      </c>
      <c r="AA20" s="42">
        <v>152652</v>
      </c>
      <c r="AB20" s="37"/>
      <c r="AC20" s="42">
        <v>0</v>
      </c>
      <c r="AE20" s="42">
        <v>0</v>
      </c>
      <c r="AG20" s="42">
        <f t="shared" si="4"/>
        <v>14144907</v>
      </c>
      <c r="AH20" s="42"/>
      <c r="AI20" s="42">
        <f t="shared" si="5"/>
        <v>17767084</v>
      </c>
    </row>
    <row r="21" spans="1:35" s="42" customFormat="1" ht="12" customHeight="1">
      <c r="A21" s="9" t="s">
        <v>743</v>
      </c>
      <c r="B21" s="9"/>
      <c r="C21" s="9" t="s">
        <v>44</v>
      </c>
      <c r="D21" s="9"/>
      <c r="E21" s="23">
        <v>45195</v>
      </c>
      <c r="F21" s="50"/>
      <c r="G21" s="42">
        <v>2990040</v>
      </c>
      <c r="I21" s="42">
        <v>2016289</v>
      </c>
      <c r="K21" s="42">
        <v>0</v>
      </c>
      <c r="M21" s="42">
        <f>SUM(G21:L21)</f>
        <v>5006329</v>
      </c>
      <c r="O21" s="42">
        <f>16162507+1877918+572821+44206</f>
        <v>18657452</v>
      </c>
      <c r="Q21" s="42">
        <v>0</v>
      </c>
      <c r="S21" s="42">
        <v>17587775</v>
      </c>
      <c r="U21" s="42">
        <v>12042</v>
      </c>
      <c r="W21" s="42">
        <v>63015</v>
      </c>
      <c r="Y21" s="42">
        <v>18641</v>
      </c>
      <c r="AA21" s="42">
        <v>233871</v>
      </c>
      <c r="AB21" s="37"/>
      <c r="AC21" s="42">
        <v>0</v>
      </c>
      <c r="AE21" s="42">
        <v>0</v>
      </c>
      <c r="AG21" s="42">
        <f>SUM(O21:AE21)</f>
        <v>36572796</v>
      </c>
      <c r="AI21" s="42">
        <f>+AG21+M21</f>
        <v>41579125</v>
      </c>
    </row>
    <row r="22" spans="1:35" ht="12" customHeight="1">
      <c r="A22" s="9" t="s">
        <v>798</v>
      </c>
      <c r="B22" s="8"/>
      <c r="C22" s="8" t="s">
        <v>61</v>
      </c>
      <c r="D22" s="8"/>
      <c r="E22" s="23">
        <v>49759</v>
      </c>
      <c r="G22" s="42">
        <v>1297710</v>
      </c>
      <c r="I22" s="42">
        <v>603979</v>
      </c>
      <c r="K22" s="42">
        <v>33142</v>
      </c>
      <c r="M22" s="42">
        <f t="shared" si="3"/>
        <v>1934831</v>
      </c>
      <c r="O22" s="42">
        <f>2953873+176139+69174</f>
        <v>3199186</v>
      </c>
      <c r="Q22" s="42">
        <v>1835525</v>
      </c>
      <c r="S22" s="42">
        <v>5354474</v>
      </c>
      <c r="U22" s="42">
        <v>39487</v>
      </c>
      <c r="W22" s="42">
        <v>1250</v>
      </c>
      <c r="Y22" s="42">
        <v>32190</v>
      </c>
      <c r="AA22" s="42">
        <f>4515+85819-54973</f>
        <v>35361</v>
      </c>
      <c r="AB22" s="37"/>
      <c r="AC22" s="42">
        <v>0</v>
      </c>
      <c r="AE22" s="42">
        <v>0</v>
      </c>
      <c r="AG22" s="42">
        <f t="shared" si="4"/>
        <v>10497473</v>
      </c>
      <c r="AH22" s="42"/>
      <c r="AI22" s="42">
        <f t="shared" si="5"/>
        <v>12432304</v>
      </c>
    </row>
    <row r="23" spans="1:35" ht="12" hidden="1" customHeight="1">
      <c r="A23" s="9" t="s">
        <v>686</v>
      </c>
      <c r="B23" s="9"/>
      <c r="C23" s="9" t="s">
        <v>598</v>
      </c>
      <c r="D23" s="8"/>
      <c r="E23" s="23">
        <v>46623</v>
      </c>
      <c r="G23" s="42">
        <v>0</v>
      </c>
      <c r="I23" s="42">
        <v>0</v>
      </c>
      <c r="K23" s="42">
        <v>0</v>
      </c>
      <c r="M23" s="42">
        <f t="shared" si="3"/>
        <v>0</v>
      </c>
      <c r="O23" s="42">
        <v>0</v>
      </c>
      <c r="Q23" s="42">
        <v>0</v>
      </c>
      <c r="S23" s="42">
        <v>0</v>
      </c>
      <c r="U23" s="42">
        <v>0</v>
      </c>
      <c r="W23" s="42">
        <v>0</v>
      </c>
      <c r="Y23" s="42">
        <v>0</v>
      </c>
      <c r="AA23" s="42">
        <v>0</v>
      </c>
      <c r="AB23" s="37"/>
      <c r="AC23" s="42">
        <v>0</v>
      </c>
      <c r="AE23" s="42">
        <v>0</v>
      </c>
      <c r="AG23" s="42">
        <f t="shared" si="4"/>
        <v>0</v>
      </c>
      <c r="AH23" s="42"/>
      <c r="AI23" s="42">
        <f t="shared" si="5"/>
        <v>0</v>
      </c>
    </row>
    <row r="24" spans="1:35" ht="12" customHeight="1">
      <c r="A24" s="8" t="s">
        <v>387</v>
      </c>
      <c r="B24" s="8"/>
      <c r="C24" s="8" t="s">
        <v>114</v>
      </c>
      <c r="D24" s="8"/>
      <c r="E24" s="23">
        <v>48207</v>
      </c>
      <c r="G24" s="42">
        <v>2210277</v>
      </c>
      <c r="I24" s="42">
        <v>1867909</v>
      </c>
      <c r="K24" s="42">
        <v>0</v>
      </c>
      <c r="M24" s="42">
        <f t="shared" si="3"/>
        <v>4078186</v>
      </c>
      <c r="O24" s="42">
        <f>20046798+1860550+1602047</f>
        <v>23509395</v>
      </c>
      <c r="Q24" s="42">
        <v>0</v>
      </c>
      <c r="S24" s="42">
        <v>10988471</v>
      </c>
      <c r="U24" s="42">
        <v>8324</v>
      </c>
      <c r="W24" s="42">
        <v>902077</v>
      </c>
      <c r="Y24" s="42">
        <v>0</v>
      </c>
      <c r="AA24" s="42">
        <v>122768</v>
      </c>
      <c r="AB24" s="37"/>
      <c r="AC24" s="42">
        <v>0</v>
      </c>
      <c r="AE24" s="42">
        <v>0</v>
      </c>
      <c r="AG24" s="42">
        <f t="shared" si="4"/>
        <v>35531035</v>
      </c>
      <c r="AH24" s="42"/>
      <c r="AI24" s="42">
        <f t="shared" si="5"/>
        <v>39609221</v>
      </c>
    </row>
    <row r="25" spans="1:35" ht="12" hidden="1" customHeight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42">
        <v>0</v>
      </c>
      <c r="M25" s="42">
        <f t="shared" ref="M25" si="9">SUM(G25:L25)</f>
        <v>0</v>
      </c>
      <c r="O25" s="42">
        <v>0</v>
      </c>
      <c r="Q25" s="42">
        <v>0</v>
      </c>
      <c r="S25" s="42">
        <v>0</v>
      </c>
      <c r="U25" s="42">
        <v>0</v>
      </c>
      <c r="W25" s="42">
        <v>0</v>
      </c>
      <c r="Y25" s="42">
        <v>0</v>
      </c>
      <c r="AA25" s="42">
        <v>0</v>
      </c>
      <c r="AB25" s="37"/>
      <c r="AC25" s="42">
        <v>0</v>
      </c>
      <c r="AE25" s="42">
        <v>0</v>
      </c>
      <c r="AG25" s="42">
        <f t="shared" ref="AG25" si="10">SUM(O25:AE25)</f>
        <v>0</v>
      </c>
      <c r="AH25" s="42"/>
      <c r="AI25" s="42">
        <f t="shared" ref="AI25" si="11">+AG25+M25</f>
        <v>0</v>
      </c>
    </row>
    <row r="26" spans="1:35" ht="12" customHeight="1">
      <c r="A26" s="8" t="s">
        <v>332</v>
      </c>
      <c r="B26" s="8"/>
      <c r="C26" s="8" t="s">
        <v>33</v>
      </c>
      <c r="D26" s="8"/>
      <c r="E26" s="23">
        <v>47415</v>
      </c>
      <c r="G26" s="42">
        <v>1036934</v>
      </c>
      <c r="I26" s="42">
        <v>470909</v>
      </c>
      <c r="K26" s="42">
        <v>99919</v>
      </c>
      <c r="M26" s="42">
        <f t="shared" si="3"/>
        <v>1607762</v>
      </c>
      <c r="O26" s="42">
        <v>2185000</v>
      </c>
      <c r="Q26" s="42">
        <v>727995</v>
      </c>
      <c r="S26" s="42">
        <v>1982872</v>
      </c>
      <c r="U26" s="42">
        <v>9373</v>
      </c>
      <c r="W26" s="42">
        <v>0</v>
      </c>
      <c r="Y26" s="42">
        <v>8356</v>
      </c>
      <c r="AA26" s="42">
        <v>18674</v>
      </c>
      <c r="AB26" s="37"/>
      <c r="AC26" s="42">
        <v>0</v>
      </c>
      <c r="AE26" s="42">
        <v>0</v>
      </c>
      <c r="AG26" s="42">
        <f t="shared" si="4"/>
        <v>4932270</v>
      </c>
      <c r="AH26" s="42"/>
      <c r="AI26" s="42">
        <f t="shared" si="5"/>
        <v>6540032</v>
      </c>
    </row>
    <row r="27" spans="1:35" ht="12" hidden="1" customHeight="1">
      <c r="A27" s="9" t="s">
        <v>665</v>
      </c>
      <c r="B27" s="8"/>
      <c r="C27" s="8" t="s">
        <v>21</v>
      </c>
      <c r="D27" s="8"/>
      <c r="E27" s="23">
        <v>46631</v>
      </c>
      <c r="G27" s="42">
        <v>0</v>
      </c>
      <c r="I27" s="42">
        <v>0</v>
      </c>
      <c r="K27" s="42">
        <v>0</v>
      </c>
      <c r="M27" s="42">
        <f t="shared" si="3"/>
        <v>0</v>
      </c>
      <c r="O27" s="42">
        <v>0</v>
      </c>
      <c r="Q27" s="42">
        <v>0</v>
      </c>
      <c r="S27" s="42">
        <v>0</v>
      </c>
      <c r="U27" s="42">
        <v>0</v>
      </c>
      <c r="W27" s="42">
        <v>0</v>
      </c>
      <c r="Y27" s="42">
        <v>0</v>
      </c>
      <c r="AA27" s="42">
        <v>0</v>
      </c>
      <c r="AB27" s="37"/>
      <c r="AC27" s="42">
        <v>0</v>
      </c>
      <c r="AE27" s="42">
        <v>0</v>
      </c>
      <c r="AG27" s="42">
        <f t="shared" si="4"/>
        <v>0</v>
      </c>
      <c r="AH27" s="42"/>
      <c r="AI27" s="42">
        <f t="shared" si="5"/>
        <v>0</v>
      </c>
    </row>
    <row r="28" spans="1:35" ht="12" customHeight="1">
      <c r="A28" s="9" t="s">
        <v>854</v>
      </c>
      <c r="B28" s="8"/>
      <c r="C28" s="8" t="s">
        <v>28</v>
      </c>
      <c r="D28" s="8"/>
      <c r="E28" s="23">
        <v>47043</v>
      </c>
      <c r="G28" s="42">
        <v>877528</v>
      </c>
      <c r="I28" s="42">
        <v>768449</v>
      </c>
      <c r="K28" s="42">
        <v>0</v>
      </c>
      <c r="M28" s="42">
        <f t="shared" si="3"/>
        <v>1645977</v>
      </c>
      <c r="O28" s="42">
        <f>5305531+320835+521179</f>
        <v>6147545</v>
      </c>
      <c r="Q28" s="42">
        <v>0</v>
      </c>
      <c r="S28" s="42">
        <v>6351984</v>
      </c>
      <c r="U28" s="42">
        <v>14997</v>
      </c>
      <c r="W28" s="42">
        <v>0</v>
      </c>
      <c r="Y28" s="42">
        <v>830</v>
      </c>
      <c r="AA28" s="42">
        <v>135952</v>
      </c>
      <c r="AB28" s="37"/>
      <c r="AC28" s="42">
        <v>0</v>
      </c>
      <c r="AE28" s="42">
        <v>0</v>
      </c>
      <c r="AG28" s="42">
        <f t="shared" si="4"/>
        <v>12651308</v>
      </c>
      <c r="AH28" s="42"/>
      <c r="AI28" s="42">
        <f t="shared" si="5"/>
        <v>14297285</v>
      </c>
    </row>
    <row r="29" spans="1:35" ht="12" customHeight="1">
      <c r="A29" s="8" t="s">
        <v>333</v>
      </c>
      <c r="B29" s="8"/>
      <c r="C29" s="8" t="s">
        <v>33</v>
      </c>
      <c r="D29" s="8"/>
      <c r="E29" s="23">
        <v>47423</v>
      </c>
      <c r="G29" s="42">
        <v>568583</v>
      </c>
      <c r="I29" s="42">
        <v>845420</v>
      </c>
      <c r="K29" s="42">
        <v>0</v>
      </c>
      <c r="M29" s="42">
        <f t="shared" si="3"/>
        <v>1414003</v>
      </c>
      <c r="O29" s="42">
        <f>1257520+85145</f>
        <v>1342665</v>
      </c>
      <c r="Q29" s="42">
        <v>1090918</v>
      </c>
      <c r="S29" s="42">
        <v>2660066</v>
      </c>
      <c r="U29" s="42">
        <v>5137</v>
      </c>
      <c r="W29" s="42">
        <v>0</v>
      </c>
      <c r="Y29" s="42">
        <v>2109</v>
      </c>
      <c r="AA29" s="42">
        <v>59309</v>
      </c>
      <c r="AB29" s="37"/>
      <c r="AC29" s="42">
        <v>0</v>
      </c>
      <c r="AE29" s="42">
        <v>0</v>
      </c>
      <c r="AG29" s="42">
        <f t="shared" si="4"/>
        <v>5160204</v>
      </c>
      <c r="AH29" s="42"/>
      <c r="AI29" s="42">
        <f t="shared" si="5"/>
        <v>6574207</v>
      </c>
    </row>
    <row r="30" spans="1:35" ht="12" customHeight="1">
      <c r="A30" s="8" t="s">
        <v>202</v>
      </c>
      <c r="B30" s="8"/>
      <c r="C30" s="8" t="s">
        <v>11</v>
      </c>
      <c r="D30" s="8"/>
      <c r="E30" s="23">
        <v>43505</v>
      </c>
      <c r="F30" s="59"/>
      <c r="G30" s="42">
        <v>1446665</v>
      </c>
      <c r="I30" s="42">
        <v>3848130</v>
      </c>
      <c r="K30" s="42">
        <v>849390</v>
      </c>
      <c r="M30" s="42">
        <f t="shared" si="3"/>
        <v>6144185</v>
      </c>
      <c r="O30" s="42">
        <f>14121515+1042035+454743+124731</f>
        <v>15743024</v>
      </c>
      <c r="Q30" s="42">
        <v>0</v>
      </c>
      <c r="S30" s="42">
        <v>14017960</v>
      </c>
      <c r="U30" s="42">
        <f>20722+1231</f>
        <v>21953</v>
      </c>
      <c r="W30" s="42">
        <v>0</v>
      </c>
      <c r="Y30" s="42">
        <v>0</v>
      </c>
      <c r="AA30" s="42">
        <f>382965+15796045</f>
        <v>16179010</v>
      </c>
      <c r="AB30" s="37"/>
      <c r="AC30" s="42">
        <v>0</v>
      </c>
      <c r="AE30" s="42">
        <v>0</v>
      </c>
      <c r="AG30" s="42">
        <f t="shared" si="4"/>
        <v>45961947</v>
      </c>
      <c r="AH30" s="42"/>
      <c r="AI30" s="42">
        <f t="shared" si="5"/>
        <v>52106132</v>
      </c>
    </row>
    <row r="31" spans="1:35" ht="12" customHeight="1">
      <c r="A31" s="9" t="s">
        <v>664</v>
      </c>
      <c r="B31" s="9"/>
      <c r="C31" s="9" t="s">
        <v>12</v>
      </c>
      <c r="D31" s="9"/>
      <c r="E31" s="23">
        <v>43513</v>
      </c>
      <c r="F31" s="59"/>
      <c r="G31" s="42">
        <v>737043</v>
      </c>
      <c r="I31" s="42">
        <v>5951549</v>
      </c>
      <c r="K31" s="42">
        <v>0</v>
      </c>
      <c r="M31" s="42">
        <f t="shared" si="3"/>
        <v>6688592</v>
      </c>
      <c r="O31" s="42">
        <f>6780611+1606764+852756+138940</f>
        <v>9379071</v>
      </c>
      <c r="Q31" s="42">
        <v>0</v>
      </c>
      <c r="S31" s="42">
        <v>25922420</v>
      </c>
      <c r="U31" s="42">
        <v>27905</v>
      </c>
      <c r="W31" s="42">
        <v>0</v>
      </c>
      <c r="Y31" s="42">
        <v>0</v>
      </c>
      <c r="AA31" s="42">
        <f>382171+285362+61372</f>
        <v>728905</v>
      </c>
      <c r="AB31" s="37"/>
      <c r="AC31" s="42">
        <v>0</v>
      </c>
      <c r="AE31" s="42">
        <v>0</v>
      </c>
      <c r="AG31" s="42">
        <f t="shared" si="4"/>
        <v>36058301</v>
      </c>
      <c r="AH31" s="42"/>
      <c r="AI31" s="42">
        <f t="shared" si="5"/>
        <v>42746893</v>
      </c>
    </row>
    <row r="32" spans="1:35" ht="12" customHeight="1">
      <c r="A32" s="8" t="s">
        <v>209</v>
      </c>
      <c r="B32" s="8"/>
      <c r="C32" s="8" t="s">
        <v>13</v>
      </c>
      <c r="D32" s="8"/>
      <c r="E32" s="23">
        <v>43521</v>
      </c>
      <c r="F32" s="59"/>
      <c r="G32" s="42">
        <v>2897214</v>
      </c>
      <c r="I32" s="42">
        <v>2713844</v>
      </c>
      <c r="K32" s="42">
        <v>103250</v>
      </c>
      <c r="M32" s="42">
        <f t="shared" si="3"/>
        <v>5714308</v>
      </c>
      <c r="O32" s="42">
        <f>13519257+1204329+1356453</f>
        <v>16080039</v>
      </c>
      <c r="Q32" s="42">
        <v>3534523</v>
      </c>
      <c r="S32" s="42">
        <v>8886339</v>
      </c>
      <c r="U32" s="42">
        <v>59974</v>
      </c>
      <c r="W32" s="42">
        <v>256784</v>
      </c>
      <c r="Y32" s="42">
        <v>0</v>
      </c>
      <c r="AA32" s="42">
        <v>179225</v>
      </c>
      <c r="AB32" s="37"/>
      <c r="AC32" s="42">
        <v>0</v>
      </c>
      <c r="AE32" s="42">
        <v>345819</v>
      </c>
      <c r="AG32" s="42">
        <f t="shared" si="4"/>
        <v>29342703</v>
      </c>
      <c r="AH32" s="42"/>
      <c r="AI32" s="42">
        <f t="shared" si="5"/>
        <v>35057011</v>
      </c>
    </row>
    <row r="33" spans="1:35" ht="12" customHeight="1">
      <c r="A33" s="8" t="s">
        <v>456</v>
      </c>
      <c r="B33" s="8"/>
      <c r="C33" s="8" t="s">
        <v>56</v>
      </c>
      <c r="D33" s="8"/>
      <c r="E33" s="23">
        <v>49171</v>
      </c>
      <c r="G33" s="42">
        <v>1467461</v>
      </c>
      <c r="I33" s="42">
        <v>1240136</v>
      </c>
      <c r="K33" s="42">
        <v>0</v>
      </c>
      <c r="M33" s="42">
        <f t="shared" si="3"/>
        <v>2707597</v>
      </c>
      <c r="O33" s="42">
        <f>20110088+3527806+609071</f>
        <v>24246965</v>
      </c>
      <c r="Q33" s="42">
        <v>0</v>
      </c>
      <c r="S33" s="42">
        <v>8155425</v>
      </c>
      <c r="U33" s="42">
        <v>4846</v>
      </c>
      <c r="W33" s="42">
        <v>0</v>
      </c>
      <c r="Y33" s="42">
        <v>0</v>
      </c>
      <c r="AA33" s="42">
        <v>70306</v>
      </c>
      <c r="AB33" s="37"/>
      <c r="AC33" s="42">
        <v>0</v>
      </c>
      <c r="AE33" s="42">
        <v>0</v>
      </c>
      <c r="AG33" s="42">
        <f t="shared" si="4"/>
        <v>32477542</v>
      </c>
      <c r="AH33" s="42"/>
      <c r="AI33" s="42">
        <f t="shared" si="5"/>
        <v>35185139</v>
      </c>
    </row>
    <row r="34" spans="1:35" ht="12" customHeight="1">
      <c r="A34" s="8" t="s">
        <v>398</v>
      </c>
      <c r="B34" s="8"/>
      <c r="C34" s="8" t="s">
        <v>45</v>
      </c>
      <c r="D34" s="8"/>
      <c r="E34" s="23">
        <v>48298</v>
      </c>
      <c r="G34" s="42">
        <v>5130741</v>
      </c>
      <c r="I34" s="42">
        <v>5744308</v>
      </c>
      <c r="K34" s="42">
        <v>376037</v>
      </c>
      <c r="M34" s="42">
        <f t="shared" si="3"/>
        <v>11251086</v>
      </c>
      <c r="O34" s="42">
        <f>15557798+2737581+244149</f>
        <v>18539528</v>
      </c>
      <c r="Q34" s="42">
        <v>0</v>
      </c>
      <c r="S34" s="42">
        <v>20008694</v>
      </c>
      <c r="U34" s="42">
        <v>28692</v>
      </c>
      <c r="W34" s="42">
        <v>0</v>
      </c>
      <c r="Y34" s="42">
        <v>0</v>
      </c>
      <c r="AA34" s="42">
        <v>281099</v>
      </c>
      <c r="AB34" s="37"/>
      <c r="AC34" s="42">
        <v>-20000</v>
      </c>
      <c r="AE34" s="42">
        <v>0</v>
      </c>
      <c r="AG34" s="42">
        <f t="shared" si="4"/>
        <v>38838013</v>
      </c>
      <c r="AH34" s="42"/>
      <c r="AI34" s="42">
        <f t="shared" si="5"/>
        <v>50089099</v>
      </c>
    </row>
    <row r="35" spans="1:35" ht="12" customHeight="1">
      <c r="A35" s="8" t="s">
        <v>378</v>
      </c>
      <c r="B35" s="8"/>
      <c r="C35" s="8" t="s">
        <v>44</v>
      </c>
      <c r="D35" s="8"/>
      <c r="E35" s="23">
        <v>48124</v>
      </c>
      <c r="G35" s="42">
        <v>2169417</v>
      </c>
      <c r="I35" s="42">
        <v>1604613</v>
      </c>
      <c r="K35" s="42">
        <v>0</v>
      </c>
      <c r="M35" s="42">
        <f t="shared" si="3"/>
        <v>3774030</v>
      </c>
      <c r="O35" s="42">
        <f>27718418+4682640+627991</f>
        <v>33029049</v>
      </c>
      <c r="Q35" s="42">
        <v>0</v>
      </c>
      <c r="S35" s="42">
        <v>9341447</v>
      </c>
      <c r="U35" s="42">
        <v>55891</v>
      </c>
      <c r="W35" s="42">
        <v>0</v>
      </c>
      <c r="Y35" s="42">
        <v>0</v>
      </c>
      <c r="AA35" s="42">
        <v>505421</v>
      </c>
      <c r="AB35" s="37"/>
      <c r="AC35" s="42">
        <v>0</v>
      </c>
      <c r="AE35" s="42">
        <v>0</v>
      </c>
      <c r="AG35" s="42">
        <f t="shared" si="4"/>
        <v>42931808</v>
      </c>
      <c r="AH35" s="42"/>
      <c r="AI35" s="42">
        <f t="shared" si="5"/>
        <v>46705838</v>
      </c>
    </row>
    <row r="36" spans="1:35" ht="12" customHeight="1">
      <c r="A36" s="8" t="s">
        <v>379</v>
      </c>
      <c r="B36" s="8"/>
      <c r="C36" s="8" t="s">
        <v>44</v>
      </c>
      <c r="D36" s="8"/>
      <c r="E36" s="23">
        <v>48116</v>
      </c>
      <c r="G36" s="42">
        <v>1703420</v>
      </c>
      <c r="I36" s="42">
        <v>1890872</v>
      </c>
      <c r="K36" s="42">
        <v>15000</v>
      </c>
      <c r="M36" s="42">
        <f t="shared" si="3"/>
        <v>3609292</v>
      </c>
      <c r="O36" s="42">
        <f>22956080+3342107+691871</f>
        <v>26990058</v>
      </c>
      <c r="Q36" s="42">
        <v>0</v>
      </c>
      <c r="S36" s="42">
        <v>7199988</v>
      </c>
      <c r="U36" s="42">
        <v>301493</v>
      </c>
      <c r="W36" s="42">
        <v>0</v>
      </c>
      <c r="Y36" s="42">
        <v>0</v>
      </c>
      <c r="AA36" s="42">
        <v>1982662</v>
      </c>
      <c r="AB36" s="37"/>
      <c r="AC36" s="42">
        <v>0</v>
      </c>
      <c r="AE36" s="42">
        <v>0</v>
      </c>
      <c r="AG36" s="42">
        <f t="shared" si="4"/>
        <v>36474201</v>
      </c>
      <c r="AH36" s="42"/>
      <c r="AI36" s="42">
        <f t="shared" si="5"/>
        <v>40083493</v>
      </c>
    </row>
    <row r="37" spans="1:35" ht="12" customHeight="1">
      <c r="A37" s="8" t="s">
        <v>281</v>
      </c>
      <c r="B37" s="8"/>
      <c r="C37" s="8" t="s">
        <v>22</v>
      </c>
      <c r="D37" s="8"/>
      <c r="E37" s="23">
        <v>46706</v>
      </c>
      <c r="G37" s="42">
        <v>1590949</v>
      </c>
      <c r="I37" s="42">
        <v>571955</v>
      </c>
      <c r="K37" s="42">
        <v>0</v>
      </c>
      <c r="M37" s="42">
        <f t="shared" si="3"/>
        <v>2162904</v>
      </c>
      <c r="O37" s="42">
        <f>2234283+78536+96105</f>
        <v>2408924</v>
      </c>
      <c r="Q37" s="42">
        <v>845876</v>
      </c>
      <c r="S37" s="42">
        <v>3001926</v>
      </c>
      <c r="U37" s="42">
        <v>4682</v>
      </c>
      <c r="W37" s="42">
        <v>0</v>
      </c>
      <c r="Y37" s="42">
        <v>0</v>
      </c>
      <c r="AA37" s="42">
        <v>3862</v>
      </c>
      <c r="AB37" s="37"/>
      <c r="AC37" s="42">
        <v>0</v>
      </c>
      <c r="AE37" s="42">
        <v>0</v>
      </c>
      <c r="AG37" s="42">
        <f t="shared" si="4"/>
        <v>6265270</v>
      </c>
      <c r="AH37" s="42"/>
      <c r="AI37" s="42">
        <f t="shared" si="5"/>
        <v>8428174</v>
      </c>
    </row>
    <row r="38" spans="1:35" ht="12" customHeight="1">
      <c r="A38" s="8" t="s">
        <v>503</v>
      </c>
      <c r="B38" s="8"/>
      <c r="C38" s="8" t="s">
        <v>63</v>
      </c>
      <c r="D38" s="8"/>
      <c r="E38" s="23">
        <v>43539</v>
      </c>
      <c r="G38" s="42">
        <v>3463625</v>
      </c>
      <c r="I38" s="42">
        <v>11037341</v>
      </c>
      <c r="K38" s="42">
        <v>0</v>
      </c>
      <c r="M38" s="42">
        <f t="shared" si="3"/>
        <v>14500966</v>
      </c>
      <c r="O38" s="42">
        <f>9547051+1735065+250439</f>
        <v>11532555</v>
      </c>
      <c r="Q38" s="42">
        <v>0</v>
      </c>
      <c r="S38" s="42">
        <v>21614455</v>
      </c>
      <c r="U38" s="42">
        <v>7766</v>
      </c>
      <c r="W38" s="42">
        <v>0</v>
      </c>
      <c r="Y38" s="42">
        <v>0</v>
      </c>
      <c r="AA38" s="42">
        <v>226355</v>
      </c>
      <c r="AB38" s="37"/>
      <c r="AC38" s="42">
        <v>0</v>
      </c>
      <c r="AE38" s="42">
        <v>0</v>
      </c>
      <c r="AG38" s="42">
        <f t="shared" si="4"/>
        <v>33381131</v>
      </c>
      <c r="AH38" s="42"/>
      <c r="AI38" s="42">
        <f t="shared" si="5"/>
        <v>47882097</v>
      </c>
    </row>
    <row r="39" spans="1:35" ht="12" customHeight="1">
      <c r="A39" s="9" t="s">
        <v>744</v>
      </c>
      <c r="B39" s="8"/>
      <c r="C39" s="8" t="s">
        <v>15</v>
      </c>
      <c r="D39" s="8"/>
      <c r="E39" s="23">
        <v>45203</v>
      </c>
      <c r="G39" s="42">
        <v>1285212</v>
      </c>
      <c r="I39" s="42">
        <v>1474680</v>
      </c>
      <c r="K39" s="42">
        <v>0</v>
      </c>
      <c r="M39" s="42">
        <f t="shared" si="3"/>
        <v>2759892</v>
      </c>
      <c r="O39" s="42">
        <f>3694553+56914+341290</f>
        <v>4092757</v>
      </c>
      <c r="Q39" s="42">
        <v>0</v>
      </c>
      <c r="S39" s="42">
        <v>6316598</v>
      </c>
      <c r="U39" s="42">
        <v>10313</v>
      </c>
      <c r="W39" s="42">
        <v>0</v>
      </c>
      <c r="Y39" s="42">
        <v>43299</v>
      </c>
      <c r="AA39" s="42">
        <v>69829</v>
      </c>
      <c r="AB39" s="37"/>
      <c r="AC39" s="42">
        <v>0</v>
      </c>
      <c r="AE39" s="42">
        <v>0</v>
      </c>
      <c r="AG39" s="42">
        <f t="shared" si="4"/>
        <v>10532796</v>
      </c>
      <c r="AH39" s="42"/>
      <c r="AI39" s="42">
        <f t="shared" si="5"/>
        <v>13292688</v>
      </c>
    </row>
    <row r="40" spans="1:35" ht="12" customHeight="1">
      <c r="A40" s="8" t="s">
        <v>235</v>
      </c>
      <c r="B40" s="8"/>
      <c r="C40" s="8" t="s">
        <v>112</v>
      </c>
      <c r="D40" s="8"/>
      <c r="E40" s="23">
        <v>46300</v>
      </c>
      <c r="F40" s="59"/>
      <c r="G40" s="42">
        <v>1178251</v>
      </c>
      <c r="I40" s="42">
        <v>1720819</v>
      </c>
      <c r="K40" s="42">
        <v>0</v>
      </c>
      <c r="M40" s="42">
        <f t="shared" si="3"/>
        <v>2899070</v>
      </c>
      <c r="O40" s="42">
        <f>6268294+893105+71011</f>
        <v>7232410</v>
      </c>
      <c r="Q40" s="42">
        <v>0</v>
      </c>
      <c r="S40" s="42">
        <v>9143122</v>
      </c>
      <c r="U40" s="42">
        <v>-40785</v>
      </c>
      <c r="W40" s="42">
        <v>965298</v>
      </c>
      <c r="Y40" s="42">
        <v>0</v>
      </c>
      <c r="AA40" s="42">
        <v>382349</v>
      </c>
      <c r="AB40" s="37"/>
      <c r="AC40" s="42">
        <v>0</v>
      </c>
      <c r="AE40" s="42">
        <v>0</v>
      </c>
      <c r="AG40" s="42">
        <f t="shared" si="4"/>
        <v>17682394</v>
      </c>
      <c r="AH40" s="42"/>
      <c r="AI40" s="42">
        <f t="shared" si="5"/>
        <v>20581464</v>
      </c>
    </row>
    <row r="41" spans="1:35" ht="12" hidden="1" customHeight="1">
      <c r="A41" s="9" t="s">
        <v>666</v>
      </c>
      <c r="B41" s="8"/>
      <c r="C41" s="8" t="s">
        <v>10</v>
      </c>
      <c r="D41" s="8"/>
      <c r="E41" s="23">
        <v>45765</v>
      </c>
      <c r="F41" s="59"/>
      <c r="G41" s="42">
        <v>0</v>
      </c>
      <c r="I41" s="42">
        <v>0</v>
      </c>
      <c r="K41" s="42">
        <v>0</v>
      </c>
      <c r="M41" s="42">
        <f t="shared" si="3"/>
        <v>0</v>
      </c>
      <c r="O41" s="42">
        <v>0</v>
      </c>
      <c r="Q41" s="42">
        <v>0</v>
      </c>
      <c r="S41" s="42">
        <v>0</v>
      </c>
      <c r="U41" s="42">
        <v>0</v>
      </c>
      <c r="W41" s="42">
        <v>0</v>
      </c>
      <c r="Y41" s="42">
        <v>0</v>
      </c>
      <c r="AA41" s="42">
        <v>0</v>
      </c>
      <c r="AB41" s="37"/>
      <c r="AC41" s="42">
        <v>0</v>
      </c>
      <c r="AE41" s="42">
        <v>0</v>
      </c>
      <c r="AG41" s="42">
        <f t="shared" si="4"/>
        <v>0</v>
      </c>
      <c r="AH41" s="42"/>
      <c r="AI41" s="42">
        <f t="shared" si="5"/>
        <v>0</v>
      </c>
    </row>
    <row r="42" spans="1:35">
      <c r="A42" s="9" t="s">
        <v>629</v>
      </c>
      <c r="B42" s="8"/>
      <c r="C42" s="8" t="s">
        <v>20</v>
      </c>
      <c r="D42" s="8"/>
      <c r="E42" s="23">
        <v>43547</v>
      </c>
      <c r="G42" s="42">
        <v>2450371</v>
      </c>
      <c r="I42" s="42">
        <v>1439451</v>
      </c>
      <c r="K42" s="42">
        <v>17200</v>
      </c>
      <c r="M42" s="42">
        <f t="shared" si="3"/>
        <v>3907022</v>
      </c>
      <c r="O42" s="42">
        <f>21924559+1834339</f>
        <v>23758898</v>
      </c>
      <c r="Q42" s="42">
        <v>0</v>
      </c>
      <c r="S42" s="42">
        <v>7894423</v>
      </c>
      <c r="U42" s="42">
        <v>172900</v>
      </c>
      <c r="W42" s="42">
        <v>0</v>
      </c>
      <c r="Y42" s="42">
        <v>0</v>
      </c>
      <c r="AA42" s="42">
        <v>228504</v>
      </c>
      <c r="AB42" s="37"/>
      <c r="AC42" s="42">
        <v>0</v>
      </c>
      <c r="AE42" s="42">
        <v>0</v>
      </c>
      <c r="AG42" s="42">
        <f t="shared" si="4"/>
        <v>32054725</v>
      </c>
      <c r="AH42" s="42"/>
      <c r="AI42" s="42">
        <f t="shared" si="5"/>
        <v>35961747</v>
      </c>
    </row>
    <row r="43" spans="1:35" ht="12" customHeight="1">
      <c r="A43" s="8" t="s">
        <v>259</v>
      </c>
      <c r="B43" s="8"/>
      <c r="C43" s="8" t="s">
        <v>20</v>
      </c>
      <c r="D43" s="8"/>
      <c r="E43" s="23">
        <v>43554</v>
      </c>
      <c r="G43" s="42">
        <v>4346756</v>
      </c>
      <c r="I43" s="42">
        <v>3026362</v>
      </c>
      <c r="K43" s="42">
        <v>0</v>
      </c>
      <c r="M43" s="42">
        <f t="shared" si="3"/>
        <v>7373118</v>
      </c>
      <c r="O43" s="42">
        <v>27450186</v>
      </c>
      <c r="Q43" s="42">
        <v>0</v>
      </c>
      <c r="S43" s="42">
        <v>5647472</v>
      </c>
      <c r="U43" s="42">
        <v>73323</v>
      </c>
      <c r="W43" s="42">
        <v>0</v>
      </c>
      <c r="Y43" s="42">
        <v>0</v>
      </c>
      <c r="AA43" s="42">
        <v>5436826</v>
      </c>
      <c r="AB43" s="37"/>
      <c r="AC43" s="42">
        <v>0</v>
      </c>
      <c r="AE43" s="42">
        <v>0</v>
      </c>
      <c r="AG43" s="42">
        <f t="shared" si="4"/>
        <v>38607807</v>
      </c>
      <c r="AH43" s="42"/>
      <c r="AI43" s="42">
        <f>+AG43+M43</f>
        <v>45980925</v>
      </c>
    </row>
    <row r="44" spans="1:35" ht="12" customHeight="1">
      <c r="A44" s="8" t="s">
        <v>244</v>
      </c>
      <c r="B44" s="8"/>
      <c r="C44" s="8" t="s">
        <v>111</v>
      </c>
      <c r="D44" s="8"/>
      <c r="E44" s="23">
        <v>46425</v>
      </c>
      <c r="F44" s="59"/>
      <c r="G44" s="42">
        <v>2001875</v>
      </c>
      <c r="I44" s="42">
        <v>1510581</v>
      </c>
      <c r="K44" s="42">
        <v>0</v>
      </c>
      <c r="M44" s="42">
        <f t="shared" si="3"/>
        <v>3512456</v>
      </c>
      <c r="O44" s="42">
        <f>5384744+760096+71229</f>
        <v>6216069</v>
      </c>
      <c r="Q44" s="42">
        <v>0</v>
      </c>
      <c r="S44" s="42">
        <v>13754358</v>
      </c>
      <c r="U44" s="42">
        <v>4447</v>
      </c>
      <c r="W44" s="42">
        <v>0</v>
      </c>
      <c r="Y44" s="42">
        <v>0</v>
      </c>
      <c r="AA44" s="42">
        <f>67570+1977</f>
        <v>69547</v>
      </c>
      <c r="AB44" s="37"/>
      <c r="AC44" s="42">
        <v>0</v>
      </c>
      <c r="AE44" s="42">
        <v>0</v>
      </c>
      <c r="AG44" s="42">
        <f t="shared" si="4"/>
        <v>20044421</v>
      </c>
      <c r="AH44" s="42"/>
      <c r="AI44" s="42">
        <f>+AG44+M44</f>
        <v>23556877</v>
      </c>
    </row>
    <row r="45" spans="1:35" ht="12" customHeight="1">
      <c r="A45" s="8" t="s">
        <v>315</v>
      </c>
      <c r="B45" s="8"/>
      <c r="C45" s="8" t="s">
        <v>113</v>
      </c>
      <c r="D45" s="8"/>
      <c r="E45" s="23">
        <v>47241</v>
      </c>
      <c r="G45" s="42">
        <v>4508167</v>
      </c>
      <c r="I45" s="42">
        <v>4460191</v>
      </c>
      <c r="K45" s="42">
        <v>0</v>
      </c>
      <c r="M45" s="42">
        <f t="shared" si="3"/>
        <v>8968358</v>
      </c>
      <c r="O45" s="42">
        <f>47326659+7585534+2187677</f>
        <v>57099870</v>
      </c>
      <c r="Q45" s="42">
        <v>0</v>
      </c>
      <c r="S45" s="42">
        <v>17951269</v>
      </c>
      <c r="U45" s="42">
        <v>256353</v>
      </c>
      <c r="W45" s="42">
        <v>0</v>
      </c>
      <c r="Y45" s="42">
        <v>0</v>
      </c>
      <c r="AA45" s="42">
        <v>280292</v>
      </c>
      <c r="AB45" s="37"/>
      <c r="AC45" s="42">
        <v>0</v>
      </c>
      <c r="AE45" s="42">
        <v>0</v>
      </c>
      <c r="AG45" s="42">
        <f t="shared" si="4"/>
        <v>75587784</v>
      </c>
      <c r="AH45" s="42"/>
      <c r="AI45" s="42">
        <f t="shared" si="5"/>
        <v>84556142</v>
      </c>
    </row>
    <row r="46" spans="1:35" ht="12" customHeight="1">
      <c r="A46" s="8" t="s">
        <v>260</v>
      </c>
      <c r="B46" s="8"/>
      <c r="C46" s="8" t="s">
        <v>20</v>
      </c>
      <c r="D46" s="8"/>
      <c r="E46" s="23">
        <v>43562</v>
      </c>
      <c r="G46" s="42">
        <v>2384705</v>
      </c>
      <c r="I46" s="42">
        <v>4108365</v>
      </c>
      <c r="K46" s="42">
        <v>123363</v>
      </c>
      <c r="M46" s="42">
        <f t="shared" si="3"/>
        <v>6616433</v>
      </c>
      <c r="O46" s="42">
        <f>25978460+271534+410456</f>
        <v>26660450</v>
      </c>
      <c r="Q46" s="42">
        <v>0</v>
      </c>
      <c r="S46" s="42">
        <v>15373844</v>
      </c>
      <c r="U46" s="42">
        <v>17847</v>
      </c>
      <c r="W46" s="42">
        <v>0</v>
      </c>
      <c r="Y46" s="42">
        <v>0</v>
      </c>
      <c r="AA46" s="42">
        <v>223307</v>
      </c>
      <c r="AB46" s="37"/>
      <c r="AC46" s="42">
        <v>0</v>
      </c>
      <c r="AE46" s="42">
        <v>0</v>
      </c>
      <c r="AG46" s="42">
        <f t="shared" si="4"/>
        <v>42275448</v>
      </c>
      <c r="AH46" s="42"/>
      <c r="AI46" s="42">
        <f t="shared" si="5"/>
        <v>48891881</v>
      </c>
    </row>
    <row r="47" spans="1:35" ht="12" customHeight="1">
      <c r="A47" s="8" t="s">
        <v>214</v>
      </c>
      <c r="B47" s="8"/>
      <c r="C47" s="8" t="s">
        <v>15</v>
      </c>
      <c r="D47" s="8"/>
      <c r="E47" s="23">
        <v>43570</v>
      </c>
      <c r="F47" s="59"/>
      <c r="G47" s="42">
        <v>1366136</v>
      </c>
      <c r="I47" s="42">
        <v>3134657</v>
      </c>
      <c r="K47" s="42">
        <v>9310</v>
      </c>
      <c r="M47" s="42">
        <f t="shared" si="3"/>
        <v>4510103</v>
      </c>
      <c r="O47" s="42">
        <f>2010408+187660+336541+39679</f>
        <v>2574288</v>
      </c>
      <c r="Q47" s="42">
        <v>0</v>
      </c>
      <c r="S47" s="42">
        <v>9628488</v>
      </c>
      <c r="U47" s="42">
        <v>16044</v>
      </c>
      <c r="W47" s="42">
        <v>0</v>
      </c>
      <c r="Y47" s="42">
        <v>11843</v>
      </c>
      <c r="AA47" s="42">
        <v>46918</v>
      </c>
      <c r="AB47" s="37"/>
      <c r="AC47" s="42">
        <v>0</v>
      </c>
      <c r="AE47" s="42">
        <v>0</v>
      </c>
      <c r="AG47" s="42">
        <f t="shared" si="4"/>
        <v>12277581</v>
      </c>
      <c r="AH47" s="42"/>
      <c r="AI47" s="42">
        <f t="shared" si="5"/>
        <v>16787684</v>
      </c>
    </row>
    <row r="48" spans="1:35" ht="12" customHeight="1">
      <c r="A48" s="8" t="s">
        <v>729</v>
      </c>
      <c r="B48" s="8"/>
      <c r="C48" s="8" t="s">
        <v>113</v>
      </c>
      <c r="D48" s="8"/>
      <c r="E48" s="23">
        <v>47274</v>
      </c>
      <c r="F48" s="59"/>
      <c r="G48" s="42">
        <v>1690981</v>
      </c>
      <c r="I48" s="42">
        <v>1227723</v>
      </c>
      <c r="K48" s="42">
        <v>158992</v>
      </c>
      <c r="M48" s="42">
        <f t="shared" si="3"/>
        <v>3077696</v>
      </c>
      <c r="O48" s="42">
        <f>14703406+2757384+654084</f>
        <v>18114874</v>
      </c>
      <c r="Q48" s="42">
        <v>0</v>
      </c>
      <c r="S48" s="42">
        <v>8188231</v>
      </c>
      <c r="U48" s="42">
        <v>878</v>
      </c>
      <c r="W48" s="42">
        <v>0</v>
      </c>
      <c r="Y48" s="42">
        <v>0</v>
      </c>
      <c r="AA48" s="42">
        <v>641858</v>
      </c>
      <c r="AB48" s="37"/>
      <c r="AC48" s="42">
        <v>0</v>
      </c>
      <c r="AE48" s="42">
        <v>0</v>
      </c>
      <c r="AG48" s="42">
        <f t="shared" si="4"/>
        <v>26945841</v>
      </c>
      <c r="AH48" s="42"/>
      <c r="AI48" s="42">
        <f t="shared" si="5"/>
        <v>30023537</v>
      </c>
    </row>
    <row r="49" spans="1:35" ht="12" hidden="1" customHeight="1">
      <c r="A49" s="9" t="s">
        <v>873</v>
      </c>
      <c r="B49" s="9"/>
      <c r="C49" s="9" t="s">
        <v>43</v>
      </c>
      <c r="D49" s="9"/>
      <c r="E49" s="23">
        <v>43588</v>
      </c>
      <c r="F49" s="59"/>
      <c r="G49" s="42">
        <v>0</v>
      </c>
      <c r="I49" s="42">
        <v>0</v>
      </c>
      <c r="K49" s="42">
        <v>0</v>
      </c>
      <c r="M49" s="42">
        <f t="shared" ref="M49" si="12">SUM(G49:L49)</f>
        <v>0</v>
      </c>
      <c r="O49" s="42">
        <v>0</v>
      </c>
      <c r="Q49" s="42">
        <v>0</v>
      </c>
      <c r="S49" s="42">
        <v>0</v>
      </c>
      <c r="U49" s="42">
        <v>0</v>
      </c>
      <c r="W49" s="42">
        <v>0</v>
      </c>
      <c r="Y49" s="42">
        <v>0</v>
      </c>
      <c r="AA49" s="42">
        <v>0</v>
      </c>
      <c r="AB49" s="37"/>
      <c r="AC49" s="42">
        <v>0</v>
      </c>
      <c r="AE49" s="42">
        <v>0</v>
      </c>
      <c r="AG49" s="42">
        <f t="shared" ref="AG49" si="13">SUM(O49:AE49)</f>
        <v>0</v>
      </c>
      <c r="AH49" s="42"/>
      <c r="AI49" s="42">
        <f t="shared" ref="AI49" si="14">+AG49+M49</f>
        <v>0</v>
      </c>
    </row>
    <row r="50" spans="1:35" ht="12" customHeight="1">
      <c r="A50" s="8" t="s">
        <v>353</v>
      </c>
      <c r="B50" s="8"/>
      <c r="C50" s="8" t="s">
        <v>37</v>
      </c>
      <c r="D50" s="8"/>
      <c r="E50" s="23">
        <v>43596</v>
      </c>
      <c r="G50" s="42">
        <v>1269638</v>
      </c>
      <c r="I50" s="42">
        <v>2963052</v>
      </c>
      <c r="K50" s="42">
        <v>0</v>
      </c>
      <c r="M50" s="42">
        <f t="shared" si="3"/>
        <v>4232690</v>
      </c>
      <c r="O50" s="42">
        <f>6669432+127304+1135691+358777</f>
        <v>8291204</v>
      </c>
      <c r="Q50" s="42">
        <v>1328225</v>
      </c>
      <c r="S50" s="42">
        <v>9551938</v>
      </c>
      <c r="U50" s="42">
        <f>37210-17127</f>
        <v>20083</v>
      </c>
      <c r="W50" s="42">
        <v>0</v>
      </c>
      <c r="Y50" s="42">
        <v>0</v>
      </c>
      <c r="AA50" s="42">
        <v>114752</v>
      </c>
      <c r="AB50" s="37"/>
      <c r="AC50" s="42">
        <v>0</v>
      </c>
      <c r="AE50" s="42">
        <v>0</v>
      </c>
      <c r="AG50" s="42">
        <f t="shared" si="4"/>
        <v>19306202</v>
      </c>
      <c r="AH50" s="42"/>
      <c r="AI50" s="42">
        <f t="shared" si="5"/>
        <v>23538892</v>
      </c>
    </row>
    <row r="51" spans="1:35" ht="12" customHeight="1">
      <c r="A51" s="8" t="s">
        <v>543</v>
      </c>
      <c r="B51" s="8"/>
      <c r="C51" s="8" t="s">
        <v>70</v>
      </c>
      <c r="D51" s="8"/>
      <c r="E51" s="23">
        <v>43604</v>
      </c>
      <c r="G51" s="42">
        <v>714482</v>
      </c>
      <c r="I51" s="42">
        <v>1758415</v>
      </c>
      <c r="K51" s="42">
        <v>0</v>
      </c>
      <c r="M51" s="42">
        <f t="shared" si="3"/>
        <v>2472897</v>
      </c>
      <c r="O51" s="42">
        <v>3370007</v>
      </c>
      <c r="Q51" s="42">
        <v>0</v>
      </c>
      <c r="S51" s="42">
        <v>4975219</v>
      </c>
      <c r="U51" s="42">
        <v>38542</v>
      </c>
      <c r="W51" s="42">
        <v>0</v>
      </c>
      <c r="Y51" s="42">
        <v>0</v>
      </c>
      <c r="AA51" s="42">
        <v>42679</v>
      </c>
      <c r="AB51" s="37"/>
      <c r="AC51" s="42">
        <v>0</v>
      </c>
      <c r="AE51" s="42">
        <v>0</v>
      </c>
      <c r="AG51" s="42">
        <f t="shared" si="4"/>
        <v>8426447</v>
      </c>
      <c r="AH51" s="42"/>
      <c r="AI51" s="42">
        <f t="shared" si="5"/>
        <v>10899344</v>
      </c>
    </row>
    <row r="52" spans="1:35" ht="12" hidden="1" customHeight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42">
        <v>0</v>
      </c>
      <c r="M52" s="42">
        <f t="shared" ref="M52" si="15">SUM(G52:L52)</f>
        <v>0</v>
      </c>
      <c r="O52" s="42">
        <v>0</v>
      </c>
      <c r="Q52" s="42">
        <v>0</v>
      </c>
      <c r="S52" s="42">
        <v>0</v>
      </c>
      <c r="U52" s="42">
        <v>0</v>
      </c>
      <c r="W52" s="42">
        <v>0</v>
      </c>
      <c r="Y52" s="42">
        <v>0</v>
      </c>
      <c r="AA52" s="42">
        <v>0</v>
      </c>
      <c r="AB52" s="37"/>
      <c r="AC52" s="42">
        <v>0</v>
      </c>
      <c r="AE52" s="42">
        <v>0</v>
      </c>
      <c r="AG52" s="42">
        <f t="shared" ref="AG52" si="16">SUM(O52:AE52)</f>
        <v>0</v>
      </c>
      <c r="AH52" s="42"/>
      <c r="AI52" s="42">
        <f t="shared" ref="AI52" si="17">+AG52+M52</f>
        <v>0</v>
      </c>
    </row>
    <row r="53" spans="1:35" ht="12" hidden="1" customHeight="1">
      <c r="A53" s="9" t="s">
        <v>857</v>
      </c>
      <c r="B53" s="8"/>
      <c r="C53" s="8" t="s">
        <v>53</v>
      </c>
      <c r="D53" s="8"/>
      <c r="E53" s="23">
        <v>48926</v>
      </c>
      <c r="G53" s="42">
        <v>0</v>
      </c>
      <c r="I53" s="42">
        <v>0</v>
      </c>
      <c r="K53" s="42">
        <v>0</v>
      </c>
      <c r="M53" s="42">
        <f t="shared" si="3"/>
        <v>0</v>
      </c>
      <c r="O53" s="42">
        <v>0</v>
      </c>
      <c r="Q53" s="42">
        <v>0</v>
      </c>
      <c r="S53" s="42">
        <v>0</v>
      </c>
      <c r="U53" s="42">
        <v>0</v>
      </c>
      <c r="W53" s="42">
        <v>0</v>
      </c>
      <c r="Y53" s="42">
        <v>0</v>
      </c>
      <c r="AA53" s="42">
        <v>0</v>
      </c>
      <c r="AB53" s="37"/>
      <c r="AC53" s="42">
        <v>0</v>
      </c>
      <c r="AE53" s="42">
        <v>0</v>
      </c>
      <c r="AG53" s="42">
        <f t="shared" si="4"/>
        <v>0</v>
      </c>
      <c r="AH53" s="42"/>
      <c r="AI53" s="42">
        <f t="shared" si="5"/>
        <v>0</v>
      </c>
    </row>
    <row r="54" spans="1:35" ht="12" customHeight="1">
      <c r="A54" s="8" t="s">
        <v>261</v>
      </c>
      <c r="B54" s="8"/>
      <c r="C54" s="8" t="s">
        <v>20</v>
      </c>
      <c r="D54" s="8"/>
      <c r="E54" s="23">
        <v>43612</v>
      </c>
      <c r="G54" s="42">
        <v>6035387</v>
      </c>
      <c r="I54" s="42">
        <v>4787260</v>
      </c>
      <c r="K54" s="42">
        <v>214379</v>
      </c>
      <c r="M54" s="42">
        <f t="shared" si="3"/>
        <v>11037026</v>
      </c>
      <c r="O54" s="42">
        <f>52931241+1077944+1280245</f>
        <v>55289430</v>
      </c>
      <c r="Q54" s="42">
        <v>0</v>
      </c>
      <c r="S54" s="42">
        <v>22622495</v>
      </c>
      <c r="U54" s="42">
        <v>20181</v>
      </c>
      <c r="W54" s="42">
        <v>0</v>
      </c>
      <c r="Y54" s="42">
        <v>51316</v>
      </c>
      <c r="AA54" s="42">
        <v>965240</v>
      </c>
      <c r="AB54" s="37"/>
      <c r="AC54" s="42">
        <v>0</v>
      </c>
      <c r="AE54" s="42">
        <v>0</v>
      </c>
      <c r="AG54" s="42">
        <f t="shared" si="4"/>
        <v>78948662</v>
      </c>
      <c r="AH54" s="42"/>
      <c r="AI54" s="42">
        <f t="shared" si="5"/>
        <v>89985688</v>
      </c>
    </row>
    <row r="55" spans="1:35" ht="12" customHeight="1">
      <c r="A55" s="9" t="s">
        <v>634</v>
      </c>
      <c r="B55" s="8"/>
      <c r="C55" s="8" t="s">
        <v>30</v>
      </c>
      <c r="D55" s="8"/>
      <c r="E55" s="23">
        <v>47167</v>
      </c>
      <c r="G55" s="42">
        <v>758194</v>
      </c>
      <c r="I55" s="42">
        <v>621700</v>
      </c>
      <c r="K55" s="42">
        <v>0</v>
      </c>
      <c r="M55" s="42">
        <f t="shared" si="3"/>
        <v>1379894</v>
      </c>
      <c r="O55" s="42">
        <f>4112813+216669</f>
        <v>4329482</v>
      </c>
      <c r="Q55" s="42">
        <v>1932690</v>
      </c>
      <c r="S55" s="42">
        <v>4037322</v>
      </c>
      <c r="U55" s="42">
        <v>4079</v>
      </c>
      <c r="W55" s="42">
        <v>0</v>
      </c>
      <c r="Y55" s="42">
        <v>0</v>
      </c>
      <c r="AA55" s="42">
        <v>43260</v>
      </c>
      <c r="AB55" s="37"/>
      <c r="AC55" s="42">
        <v>0</v>
      </c>
      <c r="AE55" s="42">
        <v>0</v>
      </c>
      <c r="AG55" s="42">
        <f t="shared" si="4"/>
        <v>10346833</v>
      </c>
      <c r="AH55" s="42"/>
      <c r="AI55" s="42">
        <f t="shared" si="5"/>
        <v>11726727</v>
      </c>
    </row>
    <row r="56" spans="1:35" ht="12" hidden="1" customHeight="1">
      <c r="A56" s="8" t="s">
        <v>283</v>
      </c>
      <c r="B56" s="8"/>
      <c r="C56" s="8" t="s">
        <v>24</v>
      </c>
      <c r="D56" s="8"/>
      <c r="E56" s="23">
        <v>46789</v>
      </c>
      <c r="G56" s="42">
        <v>0</v>
      </c>
      <c r="I56" s="42">
        <v>0</v>
      </c>
      <c r="K56" s="42">
        <v>0</v>
      </c>
      <c r="M56" s="42">
        <f t="shared" si="3"/>
        <v>0</v>
      </c>
      <c r="O56" s="42">
        <v>0</v>
      </c>
      <c r="Q56" s="42">
        <v>0</v>
      </c>
      <c r="S56" s="42">
        <v>0</v>
      </c>
      <c r="U56" s="42">
        <v>0</v>
      </c>
      <c r="W56" s="42">
        <v>0</v>
      </c>
      <c r="Y56" s="42">
        <v>0</v>
      </c>
      <c r="AA56" s="42">
        <v>0</v>
      </c>
      <c r="AB56" s="37"/>
      <c r="AC56" s="42">
        <v>0</v>
      </c>
      <c r="AE56" s="42">
        <v>0</v>
      </c>
      <c r="AG56" s="42">
        <f t="shared" si="4"/>
        <v>0</v>
      </c>
      <c r="AH56" s="42"/>
      <c r="AI56" s="42">
        <f t="shared" si="5"/>
        <v>0</v>
      </c>
    </row>
    <row r="57" spans="1:35" ht="12" hidden="1" customHeight="1">
      <c r="A57" s="9" t="s">
        <v>786</v>
      </c>
      <c r="B57" s="8"/>
      <c r="C57" s="8" t="s">
        <v>25</v>
      </c>
      <c r="D57" s="8"/>
      <c r="E57" s="23">
        <v>46854</v>
      </c>
      <c r="G57" s="42">
        <v>0</v>
      </c>
      <c r="I57" s="42">
        <v>0</v>
      </c>
      <c r="K57" s="42">
        <v>0</v>
      </c>
      <c r="M57" s="42">
        <f t="shared" si="3"/>
        <v>0</v>
      </c>
      <c r="O57" s="42">
        <v>0</v>
      </c>
      <c r="Q57" s="42">
        <v>0</v>
      </c>
      <c r="S57" s="42">
        <v>0</v>
      </c>
      <c r="U57" s="42">
        <v>0</v>
      </c>
      <c r="W57" s="42">
        <v>0</v>
      </c>
      <c r="Y57" s="42">
        <v>0</v>
      </c>
      <c r="AA57" s="42">
        <v>0</v>
      </c>
      <c r="AB57" s="37"/>
      <c r="AC57" s="42">
        <v>0</v>
      </c>
      <c r="AE57" s="42">
        <v>0</v>
      </c>
      <c r="AG57" s="42">
        <f t="shared" si="4"/>
        <v>0</v>
      </c>
      <c r="AH57" s="42"/>
      <c r="AI57" s="42">
        <f t="shared" si="5"/>
        <v>0</v>
      </c>
    </row>
    <row r="58" spans="1:35" ht="12" customHeight="1">
      <c r="A58" s="8" t="s">
        <v>420</v>
      </c>
      <c r="B58" s="8"/>
      <c r="C58" s="8" t="s">
        <v>48</v>
      </c>
      <c r="D58" s="8"/>
      <c r="E58" s="23">
        <v>48611</v>
      </c>
      <c r="G58" s="42">
        <v>1195044</v>
      </c>
      <c r="I58" s="42">
        <v>383639</v>
      </c>
      <c r="K58" s="42">
        <v>0</v>
      </c>
      <c r="M58" s="42">
        <f t="shared" ref="M58" si="18">SUM(G58:L58)</f>
        <v>1578683</v>
      </c>
      <c r="O58" s="42">
        <f>3535124+472179</f>
        <v>4007303</v>
      </c>
      <c r="Q58" s="42">
        <v>818568</v>
      </c>
      <c r="S58" s="42">
        <v>3232163</v>
      </c>
      <c r="U58" s="42">
        <v>42944</v>
      </c>
      <c r="W58" s="42">
        <v>0</v>
      </c>
      <c r="Y58" s="42">
        <v>0</v>
      </c>
      <c r="AA58" s="42">
        <v>198861</v>
      </c>
      <c r="AB58" s="37"/>
      <c r="AC58" s="42">
        <v>0</v>
      </c>
      <c r="AE58" s="42">
        <v>0</v>
      </c>
      <c r="AG58" s="42">
        <f t="shared" ref="AG58" si="19">SUM(O58:AE58)</f>
        <v>8299839</v>
      </c>
      <c r="AH58" s="42"/>
      <c r="AI58" s="42">
        <f t="shared" ref="AI58" si="20">+AG58+M58</f>
        <v>9878522</v>
      </c>
    </row>
    <row r="59" spans="1:35" ht="12" customHeight="1">
      <c r="A59" s="8" t="s">
        <v>236</v>
      </c>
      <c r="B59" s="8"/>
      <c r="C59" s="8" t="s">
        <v>112</v>
      </c>
      <c r="D59" s="8"/>
      <c r="E59" s="23">
        <v>46318</v>
      </c>
      <c r="F59" s="59"/>
      <c r="G59" s="42">
        <v>1692755</v>
      </c>
      <c r="I59" s="42">
        <v>1336743</v>
      </c>
      <c r="K59" s="42">
        <v>0</v>
      </c>
      <c r="M59" s="42">
        <f t="shared" si="3"/>
        <v>3029498</v>
      </c>
      <c r="O59" s="42">
        <f>2976282+55757+408693</f>
        <v>3440732</v>
      </c>
      <c r="Q59" s="42">
        <v>0</v>
      </c>
      <c r="S59" s="42">
        <v>9702419</v>
      </c>
      <c r="U59" s="42">
        <v>3429</v>
      </c>
      <c r="W59" s="42">
        <v>0</v>
      </c>
      <c r="Y59" s="42">
        <v>10926</v>
      </c>
      <c r="AA59" s="42">
        <f>45745+3565</f>
        <v>49310</v>
      </c>
      <c r="AB59" s="37"/>
      <c r="AC59" s="42">
        <v>0</v>
      </c>
      <c r="AE59" s="42">
        <v>0</v>
      </c>
      <c r="AG59" s="42">
        <f t="shared" si="4"/>
        <v>13206816</v>
      </c>
      <c r="AH59" s="42"/>
      <c r="AI59" s="42">
        <f t="shared" si="5"/>
        <v>16236314</v>
      </c>
    </row>
    <row r="60" spans="1:35" ht="12" hidden="1" customHeight="1">
      <c r="A60" s="9" t="s">
        <v>667</v>
      </c>
      <c r="B60" s="8"/>
      <c r="C60" s="8" t="s">
        <v>60</v>
      </c>
      <c r="D60" s="8"/>
      <c r="E60" s="23">
        <v>49692</v>
      </c>
      <c r="G60" s="42">
        <v>0</v>
      </c>
      <c r="I60" s="42">
        <v>0</v>
      </c>
      <c r="K60" s="42">
        <v>0</v>
      </c>
      <c r="M60" s="42">
        <f>SUM(G60:L60)</f>
        <v>0</v>
      </c>
      <c r="O60" s="42">
        <v>0</v>
      </c>
      <c r="Q60" s="42">
        <v>0</v>
      </c>
      <c r="S60" s="42">
        <v>0</v>
      </c>
      <c r="U60" s="42">
        <v>0</v>
      </c>
      <c r="W60" s="42">
        <v>0</v>
      </c>
      <c r="Y60" s="42">
        <v>0</v>
      </c>
      <c r="AA60" s="42">
        <v>0</v>
      </c>
      <c r="AB60" s="37"/>
      <c r="AC60" s="42">
        <v>0</v>
      </c>
      <c r="AE60" s="42">
        <v>0</v>
      </c>
      <c r="AG60" s="42">
        <f>SUM(O60:AE60)</f>
        <v>0</v>
      </c>
      <c r="AH60" s="42"/>
      <c r="AI60" s="42">
        <f>+AG60+M60</f>
        <v>0</v>
      </c>
    </row>
    <row r="61" spans="1:35" ht="12" customHeight="1">
      <c r="A61" s="8" t="s">
        <v>297</v>
      </c>
      <c r="B61" s="8"/>
      <c r="C61" s="8" t="s">
        <v>27</v>
      </c>
      <c r="D61" s="8"/>
      <c r="E61" s="23">
        <v>43620</v>
      </c>
      <c r="G61" s="42">
        <v>668037</v>
      </c>
      <c r="I61" s="42">
        <v>1681936</v>
      </c>
      <c r="K61" s="42">
        <v>0</v>
      </c>
      <c r="M61" s="42">
        <f>SUM(G61:L61)</f>
        <v>2349973</v>
      </c>
      <c r="O61" s="42">
        <v>21940591</v>
      </c>
      <c r="Q61" s="42">
        <v>7211761</v>
      </c>
      <c r="S61" s="42">
        <v>7024905</v>
      </c>
      <c r="U61" s="42">
        <v>61799</v>
      </c>
      <c r="W61" s="42">
        <v>0</v>
      </c>
      <c r="Y61" s="42">
        <v>0</v>
      </c>
      <c r="AA61" s="42">
        <v>414796</v>
      </c>
      <c r="AB61" s="37"/>
      <c r="AC61" s="42">
        <v>0</v>
      </c>
      <c r="AE61" s="42">
        <v>0</v>
      </c>
      <c r="AG61" s="42">
        <f>SUM(O61:AE61)</f>
        <v>36653852</v>
      </c>
      <c r="AH61" s="42"/>
      <c r="AI61" s="42">
        <f>+AG61+M61</f>
        <v>39003825</v>
      </c>
    </row>
    <row r="62" spans="1:35" ht="12" customHeight="1">
      <c r="A62" s="9" t="s">
        <v>630</v>
      </c>
      <c r="B62" s="8"/>
      <c r="C62" s="8" t="s">
        <v>23</v>
      </c>
      <c r="D62" s="8"/>
      <c r="E62" s="23">
        <v>46748</v>
      </c>
      <c r="G62" s="42">
        <v>1311653</v>
      </c>
      <c r="I62" s="42">
        <v>1610049</v>
      </c>
      <c r="K62" s="42">
        <v>0</v>
      </c>
      <c r="M62" s="42">
        <f>SUM(G62:L62)</f>
        <v>2921702</v>
      </c>
      <c r="O62" s="42">
        <f>17147308+3248085</f>
        <v>20395393</v>
      </c>
      <c r="Q62" s="42">
        <v>5070968</v>
      </c>
      <c r="S62" s="42">
        <v>7298985</v>
      </c>
      <c r="U62" s="42">
        <v>20785</v>
      </c>
      <c r="W62" s="42">
        <v>0</v>
      </c>
      <c r="Y62" s="42">
        <v>151797</v>
      </c>
      <c r="AA62" s="42">
        <v>473171</v>
      </c>
      <c r="AB62" s="37"/>
      <c r="AC62" s="42">
        <v>0</v>
      </c>
      <c r="AE62" s="42">
        <v>0</v>
      </c>
      <c r="AG62" s="42">
        <f t="shared" si="4"/>
        <v>33411099</v>
      </c>
      <c r="AH62" s="42"/>
      <c r="AI62" s="42">
        <f>+AG62+M62</f>
        <v>36332801</v>
      </c>
    </row>
    <row r="63" spans="1:35" ht="12" customHeight="1">
      <c r="A63" s="8" t="s">
        <v>411</v>
      </c>
      <c r="B63" s="8"/>
      <c r="C63" s="8" t="s">
        <v>47</v>
      </c>
      <c r="D63" s="8"/>
      <c r="E63" s="23">
        <v>48462</v>
      </c>
      <c r="G63" s="42">
        <v>882083</v>
      </c>
      <c r="I63" s="42">
        <v>1656643</v>
      </c>
      <c r="K63" s="42">
        <v>0</v>
      </c>
      <c r="M63" s="42">
        <f>SUM(G63:L63)</f>
        <v>2538726</v>
      </c>
      <c r="O63" s="42">
        <f>3566050+392274</f>
        <v>3958324</v>
      </c>
      <c r="Q63" s="42">
        <v>0</v>
      </c>
      <c r="S63" s="42">
        <v>7182360</v>
      </c>
      <c r="U63" s="42">
        <v>18519</v>
      </c>
      <c r="W63" s="42">
        <v>0</v>
      </c>
      <c r="Y63" s="42">
        <v>0</v>
      </c>
      <c r="AA63" s="42">
        <f>234668+10915</f>
        <v>245583</v>
      </c>
      <c r="AB63" s="37"/>
      <c r="AC63" s="42">
        <v>0</v>
      </c>
      <c r="AE63" s="42">
        <v>0</v>
      </c>
      <c r="AG63" s="42">
        <f t="shared" si="4"/>
        <v>11404786</v>
      </c>
      <c r="AH63" s="42"/>
      <c r="AI63" s="42">
        <f>+AG63+M63</f>
        <v>13943512</v>
      </c>
    </row>
    <row r="64" spans="1:35" ht="12" customHeight="1">
      <c r="A64" s="8" t="s">
        <v>240</v>
      </c>
      <c r="B64" s="8"/>
      <c r="C64" s="8" t="s">
        <v>18</v>
      </c>
      <c r="D64" s="8"/>
      <c r="E64" s="23">
        <v>46383</v>
      </c>
      <c r="F64" s="59"/>
      <c r="G64" s="42">
        <v>1950737</v>
      </c>
      <c r="I64" s="42">
        <v>2502103</v>
      </c>
      <c r="K64" s="42">
        <v>0</v>
      </c>
      <c r="M64" s="42">
        <f t="shared" si="3"/>
        <v>4452840</v>
      </c>
      <c r="O64" s="42">
        <f>2636157+52726+239151+117301</f>
        <v>3045335</v>
      </c>
      <c r="Q64" s="42">
        <v>0</v>
      </c>
      <c r="S64" s="42">
        <v>8466715</v>
      </c>
      <c r="U64" s="42">
        <v>32016</v>
      </c>
      <c r="W64" s="42">
        <v>0</v>
      </c>
      <c r="Y64" s="42">
        <v>37312</v>
      </c>
      <c r="AA64" s="42">
        <v>109513</v>
      </c>
      <c r="AB64" s="37"/>
      <c r="AC64" s="42">
        <v>0</v>
      </c>
      <c r="AE64" s="42">
        <v>0</v>
      </c>
      <c r="AG64" s="42">
        <f t="shared" si="4"/>
        <v>11690891</v>
      </c>
      <c r="AH64" s="42"/>
      <c r="AI64" s="42">
        <f t="shared" si="5"/>
        <v>16143731</v>
      </c>
    </row>
    <row r="65" spans="1:35" ht="12" customHeight="1">
      <c r="A65" s="8" t="s">
        <v>291</v>
      </c>
      <c r="B65" s="8"/>
      <c r="C65" s="8" t="s">
        <v>25</v>
      </c>
      <c r="D65" s="8"/>
      <c r="E65" s="23">
        <v>46862</v>
      </c>
      <c r="G65" s="42">
        <v>1647277</v>
      </c>
      <c r="I65" s="42">
        <v>984159</v>
      </c>
      <c r="K65" s="42">
        <v>395396</v>
      </c>
      <c r="M65" s="42">
        <f t="shared" si="3"/>
        <v>3026832</v>
      </c>
      <c r="O65" s="42">
        <f>6594587+1550918</f>
        <v>8145505</v>
      </c>
      <c r="Q65" s="42">
        <v>3855565</v>
      </c>
      <c r="S65" s="42">
        <v>4795493</v>
      </c>
      <c r="U65" s="42">
        <v>34444</v>
      </c>
      <c r="W65" s="42">
        <v>0</v>
      </c>
      <c r="Y65" s="42">
        <v>0</v>
      </c>
      <c r="AA65" s="42">
        <f>19055+79459</f>
        <v>98514</v>
      </c>
      <c r="AB65" s="37"/>
      <c r="AC65" s="42">
        <v>0</v>
      </c>
      <c r="AE65" s="42">
        <v>0</v>
      </c>
      <c r="AG65" s="42">
        <f t="shared" si="4"/>
        <v>16929521</v>
      </c>
      <c r="AH65" s="42"/>
      <c r="AI65" s="42">
        <f t="shared" si="5"/>
        <v>19956353</v>
      </c>
    </row>
    <row r="66" spans="1:35" ht="12" customHeight="1">
      <c r="A66" s="8" t="s">
        <v>514</v>
      </c>
      <c r="B66" s="8"/>
      <c r="C66" s="8" t="s">
        <v>64</v>
      </c>
      <c r="D66" s="8"/>
      <c r="E66" s="23">
        <v>50096</v>
      </c>
      <c r="G66" s="42">
        <v>249065</v>
      </c>
      <c r="I66" s="42">
        <v>1054558</v>
      </c>
      <c r="K66" s="42">
        <v>0</v>
      </c>
      <c r="M66" s="42">
        <f t="shared" si="3"/>
        <v>1303623</v>
      </c>
      <c r="O66" s="42">
        <f>1206959+31861+106375</f>
        <v>1345195</v>
      </c>
      <c r="Q66" s="42">
        <v>0</v>
      </c>
      <c r="S66" s="42">
        <v>1508745</v>
      </c>
      <c r="U66" s="42">
        <v>486</v>
      </c>
      <c r="W66" s="42">
        <v>0</v>
      </c>
      <c r="Y66" s="42">
        <v>0</v>
      </c>
      <c r="AA66" s="42">
        <v>4738</v>
      </c>
      <c r="AB66" s="37"/>
      <c r="AC66" s="42">
        <v>0</v>
      </c>
      <c r="AE66" s="42">
        <v>0</v>
      </c>
      <c r="AG66" s="42">
        <f t="shared" si="4"/>
        <v>2859164</v>
      </c>
      <c r="AH66" s="42"/>
      <c r="AI66" s="42">
        <f t="shared" si="5"/>
        <v>4162787</v>
      </c>
    </row>
    <row r="67" spans="1:35" ht="12" customHeight="1">
      <c r="A67" s="8" t="s">
        <v>476</v>
      </c>
      <c r="B67" s="8"/>
      <c r="C67" s="8" t="s">
        <v>59</v>
      </c>
      <c r="D67" s="8"/>
      <c r="E67" s="23">
        <v>49593</v>
      </c>
      <c r="G67" s="42">
        <v>1037692</v>
      </c>
      <c r="I67" s="42">
        <v>1904376</v>
      </c>
      <c r="K67" s="42">
        <v>0</v>
      </c>
      <c r="M67" s="42">
        <f>SUM(G67:L67)</f>
        <v>2942068</v>
      </c>
      <c r="O67" s="42">
        <f>1091638+54209+54209+20413</f>
        <v>1220469</v>
      </c>
      <c r="Q67" s="42">
        <v>0</v>
      </c>
      <c r="S67" s="42">
        <v>6087066</v>
      </c>
      <c r="U67" s="42">
        <v>4882</v>
      </c>
      <c r="W67" s="42">
        <v>0</v>
      </c>
      <c r="Y67" s="42">
        <v>10655</v>
      </c>
      <c r="AA67" s="42">
        <f>4948+241395</f>
        <v>246343</v>
      </c>
      <c r="AB67" s="37"/>
      <c r="AC67" s="42">
        <v>0</v>
      </c>
      <c r="AE67" s="42">
        <v>0</v>
      </c>
      <c r="AG67" s="42">
        <f>SUM(O67:AE67)</f>
        <v>7569415</v>
      </c>
      <c r="AH67" s="42"/>
      <c r="AI67" s="42">
        <f>+AG67+M67</f>
        <v>10511483</v>
      </c>
    </row>
    <row r="68" spans="1:35" ht="12" hidden="1" customHeight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42">
        <v>0</v>
      </c>
      <c r="M68" s="42">
        <f t="shared" si="3"/>
        <v>0</v>
      </c>
      <c r="O68" s="42">
        <v>0</v>
      </c>
      <c r="Q68" s="42">
        <v>0</v>
      </c>
      <c r="S68" s="42">
        <v>0</v>
      </c>
      <c r="U68" s="42">
        <v>0</v>
      </c>
      <c r="W68" s="42">
        <v>0</v>
      </c>
      <c r="Y68" s="42">
        <v>0</v>
      </c>
      <c r="AA68" s="42">
        <v>0</v>
      </c>
      <c r="AB68" s="37"/>
      <c r="AC68" s="42">
        <v>0</v>
      </c>
      <c r="AE68" s="42">
        <v>0</v>
      </c>
      <c r="AG68" s="42">
        <f t="shared" si="4"/>
        <v>0</v>
      </c>
      <c r="AH68" s="42"/>
      <c r="AI68" s="42">
        <f t="shared" si="5"/>
        <v>0</v>
      </c>
    </row>
    <row r="69" spans="1:35" ht="12" customHeight="1">
      <c r="A69" s="8" t="s">
        <v>399</v>
      </c>
      <c r="B69" s="8"/>
      <c r="C69" s="8" t="s">
        <v>45</v>
      </c>
      <c r="D69" s="8"/>
      <c r="E69" s="23">
        <v>48306</v>
      </c>
      <c r="G69" s="42">
        <v>3198726</v>
      </c>
      <c r="I69" s="42">
        <v>2556146</v>
      </c>
      <c r="K69" s="42">
        <v>0</v>
      </c>
      <c r="M69" s="42">
        <f t="shared" si="3"/>
        <v>5754872</v>
      </c>
      <c r="O69" s="42">
        <f>25077473+690042</f>
        <v>25767515</v>
      </c>
      <c r="Q69" s="42">
        <v>0</v>
      </c>
      <c r="S69" s="42">
        <v>13895132</v>
      </c>
      <c r="U69" s="42">
        <v>9721</v>
      </c>
      <c r="W69" s="42">
        <v>0</v>
      </c>
      <c r="Y69" s="42">
        <v>0</v>
      </c>
      <c r="AA69" s="42">
        <v>292135</v>
      </c>
      <c r="AB69" s="37"/>
      <c r="AC69" s="42">
        <v>0</v>
      </c>
      <c r="AE69" s="42">
        <v>0</v>
      </c>
      <c r="AG69" s="42">
        <f t="shared" si="4"/>
        <v>39964503</v>
      </c>
      <c r="AH69" s="42"/>
      <c r="AI69" s="42">
        <f t="shared" si="5"/>
        <v>45719375</v>
      </c>
    </row>
    <row r="70" spans="1:35" ht="12" hidden="1" customHeight="1">
      <c r="A70" s="8" t="s">
        <v>900</v>
      </c>
      <c r="B70" s="8"/>
      <c r="C70" s="8" t="s">
        <v>61</v>
      </c>
      <c r="D70" s="8"/>
      <c r="E70" s="23">
        <v>49767</v>
      </c>
      <c r="G70" s="42">
        <v>0</v>
      </c>
      <c r="I70" s="42">
        <v>0</v>
      </c>
      <c r="K70" s="42">
        <v>0</v>
      </c>
      <c r="M70" s="42">
        <f t="shared" si="3"/>
        <v>0</v>
      </c>
      <c r="O70" s="42">
        <v>0</v>
      </c>
      <c r="Q70" s="42">
        <v>0</v>
      </c>
      <c r="S70" s="42">
        <v>0</v>
      </c>
      <c r="U70" s="42">
        <v>0</v>
      </c>
      <c r="W70" s="42">
        <v>0</v>
      </c>
      <c r="Y70" s="42">
        <v>0</v>
      </c>
      <c r="AA70" s="42">
        <v>0</v>
      </c>
      <c r="AB70" s="37"/>
      <c r="AC70" s="42">
        <v>0</v>
      </c>
      <c r="AE70" s="42">
        <v>0</v>
      </c>
      <c r="AG70" s="42">
        <f t="shared" si="4"/>
        <v>0</v>
      </c>
      <c r="AH70" s="42"/>
      <c r="AI70" s="42">
        <f t="shared" si="5"/>
        <v>0</v>
      </c>
    </row>
    <row r="71" spans="1:35" ht="12" customHeight="1">
      <c r="A71" s="8" t="s">
        <v>549</v>
      </c>
      <c r="B71" s="8"/>
      <c r="C71" s="8" t="s">
        <v>72</v>
      </c>
      <c r="D71" s="8"/>
      <c r="E71" s="23">
        <v>43638</v>
      </c>
      <c r="G71" s="42">
        <v>834069</v>
      </c>
      <c r="I71" s="42">
        <v>1839774</v>
      </c>
      <c r="K71" s="42">
        <v>0</v>
      </c>
      <c r="M71" s="42">
        <f t="shared" si="3"/>
        <v>2673843</v>
      </c>
      <c r="O71" s="42">
        <f>16861403+1368943+495458</f>
        <v>18725804</v>
      </c>
      <c r="Q71" s="42">
        <v>3060887</v>
      </c>
      <c r="S71" s="42">
        <v>9884330</v>
      </c>
      <c r="U71" s="42">
        <v>33640</v>
      </c>
      <c r="W71" s="42">
        <v>822</v>
      </c>
      <c r="Y71" s="42">
        <v>0</v>
      </c>
      <c r="AA71" s="42">
        <v>121354</v>
      </c>
      <c r="AB71" s="37"/>
      <c r="AC71" s="42">
        <v>-40000</v>
      </c>
      <c r="AE71" s="42">
        <v>0</v>
      </c>
      <c r="AG71" s="42">
        <f t="shared" si="4"/>
        <v>31786837</v>
      </c>
      <c r="AH71" s="42"/>
      <c r="AI71" s="42">
        <f t="shared" si="5"/>
        <v>34460680</v>
      </c>
    </row>
    <row r="72" spans="1:35" ht="12" hidden="1" customHeight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42">
        <v>0</v>
      </c>
      <c r="M72" s="42">
        <f>SUM(G72:L72)</f>
        <v>0</v>
      </c>
      <c r="O72" s="42">
        <v>0</v>
      </c>
      <c r="Q72" s="42">
        <v>0</v>
      </c>
      <c r="S72" s="42">
        <v>0</v>
      </c>
      <c r="U72" s="42">
        <v>0</v>
      </c>
      <c r="W72" s="42">
        <v>0</v>
      </c>
      <c r="Y72" s="42">
        <v>0</v>
      </c>
      <c r="AA72" s="42">
        <v>0</v>
      </c>
      <c r="AB72" s="37"/>
      <c r="AC72" s="42">
        <v>0</v>
      </c>
      <c r="AE72" s="42">
        <v>0</v>
      </c>
      <c r="AG72" s="42">
        <f>SUM(O72:AE72)</f>
        <v>0</v>
      </c>
      <c r="AH72" s="42"/>
      <c r="AI72" s="42">
        <f>+AG72+M72</f>
        <v>0</v>
      </c>
    </row>
    <row r="73" spans="1:35" ht="12" customHeight="1">
      <c r="A73" s="9" t="s">
        <v>779</v>
      </c>
      <c r="B73" s="8"/>
      <c r="C73" s="8" t="s">
        <v>20</v>
      </c>
      <c r="D73" s="8"/>
      <c r="E73" s="23">
        <v>43646</v>
      </c>
      <c r="G73" s="42">
        <v>4051736</v>
      </c>
      <c r="I73" s="42">
        <v>2067885</v>
      </c>
      <c r="K73" s="42">
        <v>20000</v>
      </c>
      <c r="M73" s="42">
        <f t="shared" si="3"/>
        <v>6139621</v>
      </c>
      <c r="O73" s="42">
        <f>31600559+959553+2834078</f>
        <v>35394190</v>
      </c>
      <c r="Q73" s="42">
        <v>0</v>
      </c>
      <c r="S73" s="42">
        <v>11664366</v>
      </c>
      <c r="U73" s="42">
        <v>33394</v>
      </c>
      <c r="W73" s="42">
        <v>465443</v>
      </c>
      <c r="Y73" s="42">
        <v>14433</v>
      </c>
      <c r="AA73" s="42">
        <v>39502</v>
      </c>
      <c r="AB73" s="37"/>
      <c r="AC73" s="42">
        <v>0</v>
      </c>
      <c r="AE73" s="42">
        <v>0</v>
      </c>
      <c r="AG73" s="42">
        <f t="shared" si="4"/>
        <v>47611328</v>
      </c>
      <c r="AH73" s="42"/>
      <c r="AI73" s="42">
        <f t="shared" si="5"/>
        <v>53750949</v>
      </c>
    </row>
    <row r="74" spans="1:35" ht="12" customHeight="1">
      <c r="A74" s="8" t="s">
        <v>745</v>
      </c>
      <c r="B74" s="8"/>
      <c r="C74" s="8" t="s">
        <v>15</v>
      </c>
      <c r="D74" s="8"/>
      <c r="E74" s="23">
        <v>45237</v>
      </c>
      <c r="F74" s="59"/>
      <c r="G74" s="42">
        <v>819345</v>
      </c>
      <c r="I74" s="42">
        <v>1571279</v>
      </c>
      <c r="K74" s="42">
        <v>0</v>
      </c>
      <c r="M74" s="42">
        <f t="shared" si="3"/>
        <v>2390624</v>
      </c>
      <c r="O74" s="42">
        <f>1604023+28000+323410+13241</f>
        <v>1968674</v>
      </c>
      <c r="Q74" s="42">
        <v>0</v>
      </c>
      <c r="S74" s="42">
        <v>4001750</v>
      </c>
      <c r="U74" s="42">
        <v>4036</v>
      </c>
      <c r="W74" s="42">
        <v>0</v>
      </c>
      <c r="Y74" s="42">
        <v>0</v>
      </c>
      <c r="AA74" s="42">
        <v>83270</v>
      </c>
      <c r="AB74" s="37"/>
      <c r="AC74" s="42">
        <v>0</v>
      </c>
      <c r="AE74" s="42">
        <v>0</v>
      </c>
      <c r="AG74" s="42">
        <f t="shared" si="4"/>
        <v>6057730</v>
      </c>
      <c r="AH74" s="42"/>
      <c r="AI74" s="42">
        <f t="shared" si="5"/>
        <v>8448354</v>
      </c>
    </row>
    <row r="75" spans="1:35" ht="12" hidden="1" customHeight="1">
      <c r="A75" s="9" t="s">
        <v>787</v>
      </c>
      <c r="B75" s="8"/>
      <c r="C75" s="8" t="s">
        <v>346</v>
      </c>
      <c r="D75" s="8"/>
      <c r="E75" s="23">
        <v>47613</v>
      </c>
      <c r="G75" s="42">
        <v>0</v>
      </c>
      <c r="I75" s="42">
        <v>0</v>
      </c>
      <c r="K75" s="42">
        <v>0</v>
      </c>
      <c r="M75" s="42">
        <f t="shared" si="3"/>
        <v>0</v>
      </c>
      <c r="O75" s="42">
        <v>0</v>
      </c>
      <c r="Q75" s="42">
        <v>0</v>
      </c>
      <c r="S75" s="42">
        <v>0</v>
      </c>
      <c r="U75" s="42">
        <v>0</v>
      </c>
      <c r="W75" s="42">
        <v>0</v>
      </c>
      <c r="Y75" s="42">
        <v>0</v>
      </c>
      <c r="AA75" s="42">
        <v>0</v>
      </c>
      <c r="AB75" s="37"/>
      <c r="AC75" s="42">
        <v>0</v>
      </c>
      <c r="AE75" s="42">
        <v>0</v>
      </c>
      <c r="AG75" s="42">
        <f t="shared" si="4"/>
        <v>0</v>
      </c>
      <c r="AH75" s="42"/>
      <c r="AI75" s="42">
        <f t="shared" si="5"/>
        <v>0</v>
      </c>
    </row>
    <row r="76" spans="1:35" ht="12" customHeight="1">
      <c r="A76" s="8" t="s">
        <v>515</v>
      </c>
      <c r="B76" s="8"/>
      <c r="C76" s="8" t="s">
        <v>64</v>
      </c>
      <c r="D76" s="8"/>
      <c r="E76" s="23">
        <v>50112</v>
      </c>
      <c r="G76" s="42">
        <v>508614</v>
      </c>
      <c r="I76" s="42">
        <v>989897</v>
      </c>
      <c r="K76" s="42">
        <v>0</v>
      </c>
      <c r="M76" s="42">
        <f t="shared" si="3"/>
        <v>1498511</v>
      </c>
      <c r="O76" s="42">
        <f>2263034+30261+165582+96025</f>
        <v>2554902</v>
      </c>
      <c r="Q76" s="42">
        <v>0</v>
      </c>
      <c r="S76" s="42">
        <v>3621465</v>
      </c>
      <c r="U76" s="42">
        <v>4756</v>
      </c>
      <c r="W76" s="42">
        <v>0</v>
      </c>
      <c r="Y76" s="42">
        <v>0</v>
      </c>
      <c r="AA76" s="42">
        <v>239523</v>
      </c>
      <c r="AB76" s="37"/>
      <c r="AC76" s="42">
        <v>0</v>
      </c>
      <c r="AE76" s="42">
        <v>0</v>
      </c>
      <c r="AG76" s="42">
        <f t="shared" si="4"/>
        <v>6420646</v>
      </c>
      <c r="AH76" s="42"/>
      <c r="AI76" s="42">
        <f t="shared" si="5"/>
        <v>7919157</v>
      </c>
    </row>
    <row r="77" spans="1:35" ht="12" customHeight="1">
      <c r="A77" s="9" t="s">
        <v>668</v>
      </c>
      <c r="B77" s="8"/>
      <c r="C77" s="8" t="s">
        <v>64</v>
      </c>
      <c r="D77" s="8"/>
      <c r="E77" s="23">
        <v>50120</v>
      </c>
      <c r="G77" s="42">
        <v>668009</v>
      </c>
      <c r="I77" s="42">
        <v>1265295</v>
      </c>
      <c r="K77" s="42">
        <v>800</v>
      </c>
      <c r="M77" s="42">
        <f t="shared" si="3"/>
        <v>1934104</v>
      </c>
      <c r="O77" s="42">
        <f>2685305+796609+52846</f>
        <v>3534760</v>
      </c>
      <c r="Q77" s="42">
        <v>0</v>
      </c>
      <c r="S77" s="42">
        <v>6060938</v>
      </c>
      <c r="U77" s="42">
        <v>933</v>
      </c>
      <c r="W77" s="42">
        <v>0</v>
      </c>
      <c r="Y77" s="42">
        <v>0</v>
      </c>
      <c r="AA77" s="42">
        <v>161284</v>
      </c>
      <c r="AB77" s="37"/>
      <c r="AC77" s="42">
        <v>0</v>
      </c>
      <c r="AE77" s="42">
        <v>0</v>
      </c>
      <c r="AG77" s="42">
        <f t="shared" si="4"/>
        <v>9757915</v>
      </c>
      <c r="AH77" s="42"/>
      <c r="AI77" s="42">
        <f t="shared" si="5"/>
        <v>11692019</v>
      </c>
    </row>
    <row r="78" spans="1:35" ht="12" customHeight="1">
      <c r="A78" s="8" t="s">
        <v>262</v>
      </c>
      <c r="B78" s="8"/>
      <c r="C78" s="8" t="s">
        <v>20</v>
      </c>
      <c r="D78" s="8"/>
      <c r="E78" s="23">
        <v>43653</v>
      </c>
      <c r="G78" s="42">
        <v>600901</v>
      </c>
      <c r="I78" s="42">
        <v>1294849</v>
      </c>
      <c r="K78" s="42">
        <v>0</v>
      </c>
      <c r="M78" s="42">
        <f t="shared" si="3"/>
        <v>1895750</v>
      </c>
      <c r="O78" s="42">
        <f>8434105+109577</f>
        <v>8543682</v>
      </c>
      <c r="Q78" s="42">
        <v>0</v>
      </c>
      <c r="S78" s="42">
        <v>3531904</v>
      </c>
      <c r="U78" s="42">
        <v>0</v>
      </c>
      <c r="W78" s="42">
        <v>0</v>
      </c>
      <c r="Y78" s="42">
        <v>0</v>
      </c>
      <c r="AA78" s="42">
        <v>418549</v>
      </c>
      <c r="AB78" s="37"/>
      <c r="AC78" s="42">
        <v>0</v>
      </c>
      <c r="AE78" s="42">
        <v>0</v>
      </c>
      <c r="AG78" s="42">
        <f t="shared" si="4"/>
        <v>12494135</v>
      </c>
      <c r="AH78" s="42"/>
      <c r="AI78" s="42">
        <f t="shared" si="5"/>
        <v>14389885</v>
      </c>
    </row>
    <row r="79" spans="1:35" ht="12" customHeight="1">
      <c r="A79" s="9" t="s">
        <v>425</v>
      </c>
      <c r="B79" s="8"/>
      <c r="C79" s="8" t="s">
        <v>50</v>
      </c>
      <c r="D79" s="8"/>
      <c r="E79" s="23">
        <v>48678</v>
      </c>
      <c r="G79" s="42">
        <v>1123699</v>
      </c>
      <c r="I79" s="42">
        <v>1265669</v>
      </c>
      <c r="K79" s="42">
        <v>101866</v>
      </c>
      <c r="M79" s="42">
        <f t="shared" si="3"/>
        <v>2491234</v>
      </c>
      <c r="O79" s="42">
        <f>4983014+1271014+33905</f>
        <v>6287933</v>
      </c>
      <c r="Q79" s="42">
        <v>0</v>
      </c>
      <c r="S79" s="42">
        <v>5897421</v>
      </c>
      <c r="U79" s="42">
        <v>0</v>
      </c>
      <c r="W79" s="42">
        <v>155220</v>
      </c>
      <c r="Y79" s="42">
        <v>26706</v>
      </c>
      <c r="AA79" s="42">
        <v>32414</v>
      </c>
      <c r="AB79" s="37"/>
      <c r="AC79" s="42">
        <v>0</v>
      </c>
      <c r="AE79" s="42">
        <v>0</v>
      </c>
      <c r="AG79" s="42">
        <f t="shared" si="4"/>
        <v>12399694</v>
      </c>
      <c r="AH79" s="42"/>
      <c r="AI79" s="42">
        <f t="shared" si="5"/>
        <v>14890928</v>
      </c>
    </row>
    <row r="80" spans="1:35" ht="12" customHeight="1">
      <c r="A80" s="8" t="s">
        <v>226</v>
      </c>
      <c r="B80" s="8"/>
      <c r="C80" s="8" t="s">
        <v>16</v>
      </c>
      <c r="D80" s="8"/>
      <c r="E80" s="23">
        <v>46177</v>
      </c>
      <c r="F80" s="59"/>
      <c r="G80" s="42">
        <v>546543</v>
      </c>
      <c r="I80" s="42">
        <v>881519</v>
      </c>
      <c r="K80" s="42">
        <v>0</v>
      </c>
      <c r="M80" s="42">
        <f t="shared" si="3"/>
        <v>1428062</v>
      </c>
      <c r="O80" s="42">
        <f>3428797+59355</f>
        <v>3488152</v>
      </c>
      <c r="Q80" s="42">
        <v>0</v>
      </c>
      <c r="S80" s="42">
        <v>2883395</v>
      </c>
      <c r="U80" s="42">
        <v>17692</v>
      </c>
      <c r="W80" s="42">
        <v>0</v>
      </c>
      <c r="Y80" s="42">
        <v>1150</v>
      </c>
      <c r="AA80" s="42">
        <v>48620</v>
      </c>
      <c r="AB80" s="37"/>
      <c r="AC80" s="42">
        <v>0</v>
      </c>
      <c r="AE80" s="42">
        <v>0</v>
      </c>
      <c r="AG80" s="42">
        <f t="shared" si="4"/>
        <v>6439009</v>
      </c>
      <c r="AH80" s="42"/>
      <c r="AI80" s="42">
        <f t="shared" si="5"/>
        <v>7867071</v>
      </c>
    </row>
    <row r="81" spans="1:35" ht="12" customHeight="1">
      <c r="A81" s="8" t="s">
        <v>412</v>
      </c>
      <c r="B81" s="8"/>
      <c r="C81" s="8" t="s">
        <v>47</v>
      </c>
      <c r="D81" s="8"/>
      <c r="E81" s="23">
        <v>43661</v>
      </c>
      <c r="G81" s="42">
        <v>3097964</v>
      </c>
      <c r="I81" s="42">
        <v>4028380</v>
      </c>
      <c r="K81" s="42">
        <v>812</v>
      </c>
      <c r="M81" s="42">
        <f t="shared" si="3"/>
        <v>7127156</v>
      </c>
      <c r="O81" s="42">
        <f>32911977+1503400+1096769</f>
        <v>35512146</v>
      </c>
      <c r="Q81" s="42">
        <v>0</v>
      </c>
      <c r="S81" s="42">
        <v>29781110</v>
      </c>
      <c r="U81" s="42">
        <v>18106</v>
      </c>
      <c r="W81" s="42">
        <v>0</v>
      </c>
      <c r="Y81" s="42">
        <v>0</v>
      </c>
      <c r="AA81" s="42">
        <v>507266</v>
      </c>
      <c r="AB81" s="37"/>
      <c r="AC81" s="42">
        <v>0</v>
      </c>
      <c r="AE81" s="42">
        <v>0</v>
      </c>
      <c r="AG81" s="42">
        <f t="shared" si="4"/>
        <v>65818628</v>
      </c>
      <c r="AH81" s="42"/>
      <c r="AI81" s="42">
        <f t="shared" si="5"/>
        <v>72945784</v>
      </c>
    </row>
    <row r="82" spans="1:35" ht="12" hidden="1" customHeight="1">
      <c r="A82" s="9" t="s">
        <v>669</v>
      </c>
      <c r="B82" s="8"/>
      <c r="C82" s="8" t="s">
        <v>548</v>
      </c>
      <c r="D82" s="8"/>
      <c r="E82" s="23">
        <v>43679</v>
      </c>
      <c r="G82" s="42">
        <v>0</v>
      </c>
      <c r="I82" s="42">
        <v>0</v>
      </c>
      <c r="K82" s="42">
        <v>0</v>
      </c>
      <c r="M82" s="42">
        <f t="shared" si="3"/>
        <v>0</v>
      </c>
      <c r="O82" s="42">
        <v>0</v>
      </c>
      <c r="Q82" s="42">
        <v>0</v>
      </c>
      <c r="S82" s="42">
        <v>0</v>
      </c>
      <c r="U82" s="42">
        <v>0</v>
      </c>
      <c r="W82" s="42">
        <v>0</v>
      </c>
      <c r="Y82" s="42">
        <v>0</v>
      </c>
      <c r="AA82" s="42">
        <v>0</v>
      </c>
      <c r="AB82" s="37"/>
      <c r="AC82" s="42">
        <v>0</v>
      </c>
      <c r="AE82" s="42">
        <v>0</v>
      </c>
      <c r="AG82" s="42">
        <f t="shared" si="4"/>
        <v>0</v>
      </c>
      <c r="AH82" s="42"/>
      <c r="AI82" s="42">
        <f t="shared" si="5"/>
        <v>0</v>
      </c>
    </row>
    <row r="83" spans="1:35" ht="12" customHeight="1">
      <c r="A83" s="8" t="s">
        <v>254</v>
      </c>
      <c r="B83" s="8"/>
      <c r="C83" s="8" t="s">
        <v>110</v>
      </c>
      <c r="D83" s="8"/>
      <c r="E83" s="23">
        <v>46508</v>
      </c>
      <c r="G83" s="42">
        <v>492674</v>
      </c>
      <c r="I83" s="42">
        <v>1004003</v>
      </c>
      <c r="K83" s="42">
        <v>0</v>
      </c>
      <c r="M83" s="42">
        <f t="shared" si="3"/>
        <v>1496677</v>
      </c>
      <c r="O83" s="42">
        <f>2257180+667325+47158</f>
        <v>2971663</v>
      </c>
      <c r="Q83" s="42">
        <v>1569540</v>
      </c>
      <c r="S83" s="42">
        <v>4005881</v>
      </c>
      <c r="U83" s="42">
        <v>7456</v>
      </c>
      <c r="W83" s="42">
        <v>0</v>
      </c>
      <c r="Y83" s="42">
        <v>0</v>
      </c>
      <c r="AA83" s="42">
        <v>8300</v>
      </c>
      <c r="AB83" s="37"/>
      <c r="AC83" s="42">
        <v>0</v>
      </c>
      <c r="AE83" s="42">
        <v>0</v>
      </c>
      <c r="AG83" s="42">
        <f t="shared" si="4"/>
        <v>8562840</v>
      </c>
      <c r="AH83" s="42"/>
      <c r="AI83" s="42">
        <f t="shared" si="5"/>
        <v>10059517</v>
      </c>
    </row>
    <row r="84" spans="1:35" ht="12" customHeight="1">
      <c r="A84" s="8" t="s">
        <v>205</v>
      </c>
      <c r="B84" s="8"/>
      <c r="C84" s="8" t="s">
        <v>12</v>
      </c>
      <c r="D84" s="8"/>
      <c r="E84" s="23">
        <v>45856</v>
      </c>
      <c r="F84" s="59"/>
      <c r="G84" s="42">
        <v>1600654</v>
      </c>
      <c r="I84" s="42">
        <v>1090180</v>
      </c>
      <c r="K84" s="42">
        <v>0</v>
      </c>
      <c r="M84" s="42">
        <f t="shared" si="3"/>
        <v>2690834</v>
      </c>
      <c r="O84" s="42">
        <f>3789200+263059</f>
        <v>4052259</v>
      </c>
      <c r="Q84" s="42">
        <v>0</v>
      </c>
      <c r="S84" s="42">
        <v>9043537</v>
      </c>
      <c r="U84" s="42">
        <v>23140</v>
      </c>
      <c r="W84" s="42">
        <v>0</v>
      </c>
      <c r="Y84" s="42">
        <v>0</v>
      </c>
      <c r="AA84" s="42">
        <f>14749+56920</f>
        <v>71669</v>
      </c>
      <c r="AB84" s="37"/>
      <c r="AC84" s="42">
        <v>0</v>
      </c>
      <c r="AE84" s="42">
        <v>0</v>
      </c>
      <c r="AG84" s="42">
        <f t="shared" si="4"/>
        <v>13190605</v>
      </c>
      <c r="AH84" s="42"/>
      <c r="AI84" s="42">
        <f t="shared" si="5"/>
        <v>15881439</v>
      </c>
    </row>
    <row r="85" spans="1:35" s="42" customFormat="1" ht="12" customHeight="1">
      <c r="A85" s="9" t="s">
        <v>205</v>
      </c>
      <c r="B85" s="9"/>
      <c r="C85" s="9" t="s">
        <v>39</v>
      </c>
      <c r="D85" s="9"/>
      <c r="E85" s="23">
        <v>47787</v>
      </c>
      <c r="G85" s="42">
        <v>1587291</v>
      </c>
      <c r="I85" s="42">
        <v>3081194</v>
      </c>
      <c r="K85" s="42">
        <v>0</v>
      </c>
      <c r="M85" s="42">
        <f t="shared" ref="M85:M89" si="21">SUM(G85:L85)</f>
        <v>4668485</v>
      </c>
      <c r="O85" s="42">
        <v>6994302</v>
      </c>
      <c r="Q85" s="42">
        <v>0</v>
      </c>
      <c r="S85" s="42">
        <v>9927929</v>
      </c>
      <c r="U85" s="42">
        <v>1871</v>
      </c>
      <c r="W85" s="42">
        <v>0</v>
      </c>
      <c r="Y85" s="42">
        <v>52024</v>
      </c>
      <c r="AA85" s="42">
        <v>42724</v>
      </c>
      <c r="AB85" s="37"/>
      <c r="AC85" s="42">
        <v>0</v>
      </c>
      <c r="AE85" s="42">
        <v>0</v>
      </c>
      <c r="AG85" s="42">
        <f t="shared" ref="AG85:AG89" si="22">SUM(O85:AE85)</f>
        <v>17018850</v>
      </c>
      <c r="AI85" s="42">
        <f t="shared" si="5"/>
        <v>21687335</v>
      </c>
    </row>
    <row r="86" spans="1:35" s="42" customFormat="1" ht="12" customHeight="1">
      <c r="A86" s="9" t="s">
        <v>670</v>
      </c>
      <c r="B86" s="9"/>
      <c r="C86" s="9" t="s">
        <v>47</v>
      </c>
      <c r="D86" s="9"/>
      <c r="E86" s="23">
        <v>48470</v>
      </c>
      <c r="G86" s="42">
        <v>1088033</v>
      </c>
      <c r="I86" s="42">
        <v>1359922</v>
      </c>
      <c r="K86" s="42">
        <v>0</v>
      </c>
      <c r="M86" s="42">
        <f t="shared" si="21"/>
        <v>2447955</v>
      </c>
      <c r="O86" s="42">
        <f>10117195+1334257+360563</f>
        <v>11812015</v>
      </c>
      <c r="Q86" s="42">
        <v>0</v>
      </c>
      <c r="S86" s="42">
        <f>8731654+809154</f>
        <v>9540808</v>
      </c>
      <c r="U86" s="42">
        <v>2981</v>
      </c>
      <c r="W86" s="42">
        <v>0</v>
      </c>
      <c r="Y86" s="42">
        <v>0</v>
      </c>
      <c r="AA86" s="42">
        <v>23287</v>
      </c>
      <c r="AB86" s="37"/>
      <c r="AC86" s="42">
        <v>0</v>
      </c>
      <c r="AE86" s="42">
        <v>0</v>
      </c>
      <c r="AG86" s="42">
        <f t="shared" si="22"/>
        <v>21379091</v>
      </c>
      <c r="AI86" s="42">
        <f>+AG86+M86</f>
        <v>23827046</v>
      </c>
    </row>
    <row r="87" spans="1:35" ht="12" hidden="1" customHeight="1">
      <c r="A87" s="35" t="s">
        <v>788</v>
      </c>
      <c r="B87" s="8"/>
      <c r="C87" s="8" t="s">
        <v>111</v>
      </c>
      <c r="D87" s="8"/>
      <c r="E87" s="54" t="s">
        <v>871</v>
      </c>
      <c r="G87" s="42">
        <v>0</v>
      </c>
      <c r="I87" s="42">
        <v>0</v>
      </c>
      <c r="K87" s="42">
        <v>0</v>
      </c>
      <c r="M87" s="42">
        <f t="shared" si="21"/>
        <v>0</v>
      </c>
      <c r="O87" s="42">
        <v>0</v>
      </c>
      <c r="Q87" s="42">
        <v>0</v>
      </c>
      <c r="S87" s="42">
        <v>0</v>
      </c>
      <c r="U87" s="42">
        <v>0</v>
      </c>
      <c r="W87" s="42">
        <v>0</v>
      </c>
      <c r="Y87" s="42">
        <v>0</v>
      </c>
      <c r="AA87" s="42">
        <v>0</v>
      </c>
      <c r="AB87" s="37"/>
      <c r="AC87" s="42">
        <v>0</v>
      </c>
      <c r="AE87" s="42">
        <v>0</v>
      </c>
      <c r="AG87" s="42">
        <f t="shared" si="22"/>
        <v>0</v>
      </c>
      <c r="AH87" s="42"/>
      <c r="AI87" s="42">
        <f>+AG87+M87</f>
        <v>0</v>
      </c>
    </row>
    <row r="88" spans="1:35" ht="12" customHeight="1">
      <c r="A88" s="9" t="s">
        <v>631</v>
      </c>
      <c r="B88" s="8"/>
      <c r="C88" s="8" t="s">
        <v>23</v>
      </c>
      <c r="D88" s="8"/>
      <c r="E88" s="23">
        <v>46755</v>
      </c>
      <c r="G88" s="42">
        <v>1883870</v>
      </c>
      <c r="I88" s="42">
        <v>1347080</v>
      </c>
      <c r="K88" s="42">
        <v>0</v>
      </c>
      <c r="M88" s="42">
        <f t="shared" si="21"/>
        <v>3230950</v>
      </c>
      <c r="O88" s="42">
        <f>9734685+1941296+725957</f>
        <v>12401938</v>
      </c>
      <c r="Q88" s="42">
        <v>5356089</v>
      </c>
      <c r="S88" s="42">
        <v>6264787</v>
      </c>
      <c r="U88" s="42">
        <v>12784</v>
      </c>
      <c r="W88" s="42">
        <v>0</v>
      </c>
      <c r="Y88" s="42">
        <v>0</v>
      </c>
      <c r="AA88" s="42">
        <v>94725</v>
      </c>
      <c r="AB88" s="37"/>
      <c r="AC88" s="42">
        <v>0</v>
      </c>
      <c r="AE88" s="42">
        <v>0</v>
      </c>
      <c r="AG88" s="42">
        <f t="shared" si="22"/>
        <v>24130323</v>
      </c>
      <c r="AH88" s="42"/>
      <c r="AI88" s="42">
        <f>+AG88+M88</f>
        <v>27361273</v>
      </c>
    </row>
    <row r="89" spans="1:35" ht="12" customHeight="1">
      <c r="A89" s="8" t="s">
        <v>255</v>
      </c>
      <c r="B89" s="8"/>
      <c r="C89" s="8" t="s">
        <v>110</v>
      </c>
      <c r="D89" s="8"/>
      <c r="E89" s="23">
        <v>43687</v>
      </c>
      <c r="G89" s="42">
        <v>926925</v>
      </c>
      <c r="I89" s="42">
        <v>3356344</v>
      </c>
      <c r="K89" s="42">
        <v>0</v>
      </c>
      <c r="M89" s="42">
        <f t="shared" si="21"/>
        <v>4283269</v>
      </c>
      <c r="O89" s="42">
        <f>3704914+49974+553675+49974</f>
        <v>4358537</v>
      </c>
      <c r="Q89" s="42">
        <v>0</v>
      </c>
      <c r="S89" s="42">
        <v>8233759</v>
      </c>
      <c r="U89" s="42">
        <v>27477</v>
      </c>
      <c r="W89" s="42">
        <v>45131</v>
      </c>
      <c r="Y89" s="42">
        <v>1200</v>
      </c>
      <c r="AA89" s="42">
        <v>244004</v>
      </c>
      <c r="AB89" s="37"/>
      <c r="AC89" s="42">
        <v>0</v>
      </c>
      <c r="AE89" s="42">
        <v>0</v>
      </c>
      <c r="AG89" s="42">
        <f t="shared" si="22"/>
        <v>12910108</v>
      </c>
      <c r="AH89" s="42"/>
      <c r="AI89" s="42">
        <f>+AG89+M89</f>
        <v>17193377</v>
      </c>
    </row>
    <row r="90" spans="1:35" ht="12" customHeight="1">
      <c r="A90" s="9" t="s">
        <v>746</v>
      </c>
      <c r="B90" s="8"/>
      <c r="C90" s="8" t="s">
        <v>52</v>
      </c>
      <c r="D90" s="8"/>
      <c r="E90" s="23">
        <v>45252</v>
      </c>
      <c r="G90" s="42">
        <v>593162</v>
      </c>
      <c r="I90" s="42">
        <v>860237</v>
      </c>
      <c r="K90" s="42">
        <v>0</v>
      </c>
      <c r="M90" s="42">
        <f t="shared" ref="M90:M156" si="23">SUM(G90:L90)</f>
        <v>1453399</v>
      </c>
      <c r="O90" s="42">
        <v>2712773</v>
      </c>
      <c r="Q90" s="42">
        <v>0</v>
      </c>
      <c r="S90" s="42">
        <v>4479287</v>
      </c>
      <c r="U90" s="42">
        <v>13953</v>
      </c>
      <c r="W90" s="42">
        <v>0</v>
      </c>
      <c r="Y90" s="42">
        <v>0</v>
      </c>
      <c r="AA90" s="42">
        <v>52693</v>
      </c>
      <c r="AB90" s="37"/>
      <c r="AC90" s="42">
        <v>0</v>
      </c>
      <c r="AE90" s="42">
        <v>0</v>
      </c>
      <c r="AG90" s="42">
        <f t="shared" ref="AG90" si="24">SUM(O90:AE90)</f>
        <v>7258706</v>
      </c>
      <c r="AH90" s="42"/>
      <c r="AI90" s="42">
        <f t="shared" ref="AI90" si="25">+AG90+M90</f>
        <v>8712105</v>
      </c>
    </row>
    <row r="91" spans="1:35" ht="12" customHeight="1">
      <c r="A91" s="8" t="s">
        <v>317</v>
      </c>
      <c r="B91" s="8"/>
      <c r="C91" s="8" t="s">
        <v>31</v>
      </c>
      <c r="D91" s="8"/>
      <c r="E91" s="23">
        <v>43695</v>
      </c>
      <c r="G91" s="42">
        <v>1052290</v>
      </c>
      <c r="I91" s="42">
        <v>3591710</v>
      </c>
      <c r="K91" s="42">
        <v>28363</v>
      </c>
      <c r="M91" s="42">
        <f t="shared" si="23"/>
        <v>4672363</v>
      </c>
      <c r="O91" s="42">
        <f>5508695+600937+80190</f>
        <v>6189822</v>
      </c>
      <c r="Q91" s="42">
        <v>0</v>
      </c>
      <c r="S91" s="42">
        <v>13399454</v>
      </c>
      <c r="U91" s="42">
        <v>36304</v>
      </c>
      <c r="W91" s="42">
        <v>0</v>
      </c>
      <c r="Y91" s="42">
        <v>0</v>
      </c>
      <c r="AA91" s="42">
        <v>238584</v>
      </c>
      <c r="AB91" s="37"/>
      <c r="AC91" s="42">
        <v>0</v>
      </c>
      <c r="AE91" s="42">
        <v>0</v>
      </c>
      <c r="AG91" s="42">
        <f t="shared" ref="AG91:AG153" si="26">SUM(O91:AE91)</f>
        <v>19864164</v>
      </c>
      <c r="AH91" s="42"/>
      <c r="AI91" s="42">
        <f t="shared" ref="AI91:AI152" si="27">+AG91+M91</f>
        <v>24536527</v>
      </c>
    </row>
    <row r="92" spans="1:35" ht="12" customHeight="1">
      <c r="A92" s="9" t="s">
        <v>642</v>
      </c>
      <c r="B92" s="8"/>
      <c r="C92" s="8" t="s">
        <v>45</v>
      </c>
      <c r="D92" s="8"/>
      <c r="E92" s="23">
        <v>43703</v>
      </c>
      <c r="G92" s="42">
        <v>227497</v>
      </c>
      <c r="I92" s="42">
        <v>1621066</v>
      </c>
      <c r="K92" s="42">
        <v>0</v>
      </c>
      <c r="M92" s="42">
        <f t="shared" si="23"/>
        <v>1848563</v>
      </c>
      <c r="O92" s="42">
        <f>1929031+148823+24474</f>
        <v>2102328</v>
      </c>
      <c r="Q92" s="42">
        <v>0</v>
      </c>
      <c r="S92" s="42">
        <v>11159037</v>
      </c>
      <c r="U92" s="42">
        <v>23</v>
      </c>
      <c r="W92" s="42">
        <v>0</v>
      </c>
      <c r="Y92" s="42">
        <v>0</v>
      </c>
      <c r="AA92" s="42">
        <f>293646+84861</f>
        <v>378507</v>
      </c>
      <c r="AB92" s="37"/>
      <c r="AC92" s="42">
        <v>0</v>
      </c>
      <c r="AE92" s="42">
        <v>0</v>
      </c>
      <c r="AG92" s="42">
        <f t="shared" si="26"/>
        <v>13639895</v>
      </c>
      <c r="AH92" s="42"/>
      <c r="AI92" s="42">
        <f t="shared" si="27"/>
        <v>15488458</v>
      </c>
    </row>
    <row r="93" spans="1:35" ht="12" customHeight="1">
      <c r="A93" s="8" t="s">
        <v>298</v>
      </c>
      <c r="B93" s="8"/>
      <c r="C93" s="8" t="s">
        <v>27</v>
      </c>
      <c r="D93" s="8"/>
      <c r="E93" s="23">
        <v>46946</v>
      </c>
      <c r="G93" s="42">
        <v>1780622</v>
      </c>
      <c r="I93" s="42">
        <v>3559501</v>
      </c>
      <c r="K93" s="42">
        <v>0</v>
      </c>
      <c r="M93" s="42">
        <f t="shared" si="23"/>
        <v>5340123</v>
      </c>
      <c r="O93" s="42">
        <f>14512634+147404+3740086</f>
        <v>18400124</v>
      </c>
      <c r="Q93" s="42">
        <v>3636920</v>
      </c>
      <c r="S93" s="42">
        <v>14452698</v>
      </c>
      <c r="U93" s="42">
        <v>37645</v>
      </c>
      <c r="W93" s="42">
        <v>248668</v>
      </c>
      <c r="Y93" s="42">
        <v>0</v>
      </c>
      <c r="AA93" s="42">
        <f>641170+198856</f>
        <v>840026</v>
      </c>
      <c r="AB93" s="37"/>
      <c r="AC93" s="42">
        <v>0</v>
      </c>
      <c r="AE93" s="42">
        <v>0</v>
      </c>
      <c r="AG93" s="42">
        <f t="shared" si="26"/>
        <v>37616081</v>
      </c>
      <c r="AH93" s="42"/>
      <c r="AI93" s="42">
        <f t="shared" si="27"/>
        <v>42956204</v>
      </c>
    </row>
    <row r="94" spans="1:35" ht="12" customHeight="1">
      <c r="A94" s="8" t="s">
        <v>400</v>
      </c>
      <c r="B94" s="8"/>
      <c r="C94" s="8" t="s">
        <v>45</v>
      </c>
      <c r="D94" s="8"/>
      <c r="E94" s="23">
        <v>48314</v>
      </c>
      <c r="G94" s="42">
        <v>1459573</v>
      </c>
      <c r="I94" s="42">
        <v>1211691</v>
      </c>
      <c r="K94" s="42">
        <v>68267</v>
      </c>
      <c r="M94" s="42">
        <f t="shared" si="23"/>
        <v>2739531</v>
      </c>
      <c r="O94" s="42">
        <f>14568262+288624+477116</f>
        <v>15334002</v>
      </c>
      <c r="Q94" s="42">
        <v>0</v>
      </c>
      <c r="S94" s="42">
        <v>8398726</v>
      </c>
      <c r="U94" s="42">
        <v>10614</v>
      </c>
      <c r="W94" s="42">
        <v>0</v>
      </c>
      <c r="Y94" s="42">
        <v>0</v>
      </c>
      <c r="AA94" s="42">
        <v>99794</v>
      </c>
      <c r="AB94" s="37"/>
      <c r="AC94" s="42">
        <v>0</v>
      </c>
      <c r="AE94" s="42">
        <v>0</v>
      </c>
      <c r="AG94" s="42">
        <f t="shared" si="26"/>
        <v>23843136</v>
      </c>
      <c r="AH94" s="42"/>
      <c r="AI94" s="42">
        <f t="shared" si="27"/>
        <v>26582667</v>
      </c>
    </row>
    <row r="95" spans="1:35" ht="12" customHeight="1">
      <c r="A95" s="8" t="s">
        <v>490</v>
      </c>
      <c r="B95" s="8"/>
      <c r="C95" s="8" t="s">
        <v>62</v>
      </c>
      <c r="D95" s="8"/>
      <c r="E95" s="23">
        <v>43711</v>
      </c>
      <c r="G95" s="42">
        <v>2987000</v>
      </c>
      <c r="I95" s="42">
        <v>27046000</v>
      </c>
      <c r="K95" s="42">
        <v>0</v>
      </c>
      <c r="M95" s="42">
        <f>SUM(G95:L95)</f>
        <v>30033000</v>
      </c>
      <c r="O95" s="42">
        <v>30023000</v>
      </c>
      <c r="Q95" s="42">
        <v>0</v>
      </c>
      <c r="S95" s="42">
        <v>69738000</v>
      </c>
      <c r="U95" s="42">
        <v>52000</v>
      </c>
      <c r="W95" s="42">
        <v>0</v>
      </c>
      <c r="Y95" s="42">
        <v>0</v>
      </c>
      <c r="AA95" s="42">
        <v>428000</v>
      </c>
      <c r="AB95" s="37"/>
      <c r="AC95" s="42">
        <v>0</v>
      </c>
      <c r="AE95" s="42">
        <v>0</v>
      </c>
      <c r="AG95" s="42">
        <f>SUM(O95:AE95)</f>
        <v>100241000</v>
      </c>
      <c r="AH95" s="42"/>
      <c r="AI95" s="42">
        <f>+AG95+M95</f>
        <v>130274000</v>
      </c>
    </row>
    <row r="96" spans="1:35" ht="12" customHeight="1">
      <c r="A96" s="8" t="s">
        <v>491</v>
      </c>
      <c r="B96" s="8"/>
      <c r="C96" s="8" t="s">
        <v>62</v>
      </c>
      <c r="D96" s="8"/>
      <c r="E96" s="23">
        <v>49833</v>
      </c>
      <c r="G96" s="42">
        <v>3130715</v>
      </c>
      <c r="I96" s="42">
        <v>3510569</v>
      </c>
      <c r="K96" s="42">
        <v>5395</v>
      </c>
      <c r="M96" s="42">
        <f>SUM(G96:L96)</f>
        <v>6646679</v>
      </c>
      <c r="O96" s="42">
        <f>7351459+80671+417882</f>
        <v>7850012</v>
      </c>
      <c r="Q96" s="42">
        <v>0</v>
      </c>
      <c r="S96" s="42">
        <v>10845230</v>
      </c>
      <c r="U96" s="42">
        <v>604</v>
      </c>
      <c r="W96" s="42">
        <v>103975</v>
      </c>
      <c r="Y96" s="42">
        <v>0</v>
      </c>
      <c r="AA96" s="42">
        <v>82313</v>
      </c>
      <c r="AB96" s="37"/>
      <c r="AC96" s="42">
        <v>0</v>
      </c>
      <c r="AE96" s="42">
        <v>0</v>
      </c>
      <c r="AG96" s="42">
        <f>SUM(O96:AE96)</f>
        <v>18882134</v>
      </c>
      <c r="AH96" s="42"/>
      <c r="AI96" s="42">
        <f>+AG96+M96</f>
        <v>25528813</v>
      </c>
    </row>
    <row r="97" spans="1:35" ht="12" customHeight="1">
      <c r="A97" s="9" t="s">
        <v>643</v>
      </c>
      <c r="B97" s="8"/>
      <c r="C97" s="8" t="s">
        <v>30</v>
      </c>
      <c r="D97" s="8"/>
      <c r="E97" s="23">
        <v>47175</v>
      </c>
      <c r="G97" s="42">
        <v>1093814</v>
      </c>
      <c r="I97" s="42">
        <v>1921924</v>
      </c>
      <c r="K97" s="42">
        <v>0</v>
      </c>
      <c r="M97" s="42">
        <f>SUM(G97:L97)</f>
        <v>3015738</v>
      </c>
      <c r="O97" s="42">
        <f>6179908+700909+248235</f>
        <v>7129052</v>
      </c>
      <c r="Q97" s="42">
        <v>0</v>
      </c>
      <c r="S97" s="42">
        <v>5335444</v>
      </c>
      <c r="U97" s="42">
        <v>8434</v>
      </c>
      <c r="W97" s="42">
        <v>0</v>
      </c>
      <c r="Y97" s="42">
        <v>0</v>
      </c>
      <c r="AA97" s="42">
        <v>356228</v>
      </c>
      <c r="AB97" s="37"/>
      <c r="AC97" s="42">
        <v>0</v>
      </c>
      <c r="AE97" s="42">
        <v>0</v>
      </c>
      <c r="AG97" s="42">
        <f>SUM(O97:AE97)</f>
        <v>12829158</v>
      </c>
      <c r="AH97" s="42"/>
      <c r="AI97" s="42">
        <f>+AG97+M97</f>
        <v>15844896</v>
      </c>
    </row>
    <row r="98" spans="1:35" ht="12" customHeight="1">
      <c r="A98" s="8" t="s">
        <v>438</v>
      </c>
      <c r="B98" s="8"/>
      <c r="C98" s="8" t="s">
        <v>78</v>
      </c>
      <c r="D98" s="8"/>
      <c r="E98" s="23">
        <v>48793</v>
      </c>
      <c r="G98" s="42">
        <v>929360</v>
      </c>
      <c r="I98" s="42">
        <v>1898440</v>
      </c>
      <c r="K98" s="42">
        <v>0</v>
      </c>
      <c r="M98" s="42">
        <f>SUM(G98:L98)</f>
        <v>2827800</v>
      </c>
      <c r="O98" s="42">
        <f>2141533+39855+373626</f>
        <v>2555014</v>
      </c>
      <c r="Q98" s="42">
        <v>0</v>
      </c>
      <c r="S98" s="42">
        <v>6242401</v>
      </c>
      <c r="U98" s="42">
        <v>1389</v>
      </c>
      <c r="W98" s="42">
        <v>174798</v>
      </c>
      <c r="Y98" s="42">
        <v>0</v>
      </c>
      <c r="AA98" s="42">
        <v>97430</v>
      </c>
      <c r="AB98" s="37"/>
      <c r="AC98" s="42">
        <v>0</v>
      </c>
      <c r="AE98" s="42">
        <v>0</v>
      </c>
      <c r="AG98" s="42">
        <f>SUM(O98:AE98)</f>
        <v>9071032</v>
      </c>
      <c r="AH98" s="42"/>
      <c r="AI98" s="42">
        <f>+AG98+M98</f>
        <v>11898832</v>
      </c>
    </row>
    <row r="99" spans="1:35" ht="12" hidden="1" customHeight="1">
      <c r="A99" s="9" t="s">
        <v>855</v>
      </c>
      <c r="B99" s="8"/>
      <c r="C99" s="8" t="s">
        <v>553</v>
      </c>
      <c r="D99" s="8"/>
      <c r="E99" s="23">
        <v>45260</v>
      </c>
      <c r="G99" s="42">
        <v>0</v>
      </c>
      <c r="I99" s="42">
        <v>0</v>
      </c>
      <c r="K99" s="42">
        <v>0</v>
      </c>
      <c r="M99" s="42">
        <f t="shared" si="23"/>
        <v>0</v>
      </c>
      <c r="O99" s="42">
        <v>0</v>
      </c>
      <c r="Q99" s="42">
        <v>0</v>
      </c>
      <c r="S99" s="42">
        <v>0</v>
      </c>
      <c r="U99" s="42">
        <v>0</v>
      </c>
      <c r="W99" s="42">
        <v>0</v>
      </c>
      <c r="Y99" s="42">
        <v>0</v>
      </c>
      <c r="AA99" s="42">
        <v>0</v>
      </c>
      <c r="AB99" s="37"/>
      <c r="AC99" s="42">
        <v>0</v>
      </c>
      <c r="AE99" s="42">
        <v>0</v>
      </c>
      <c r="AG99" s="42">
        <f t="shared" si="26"/>
        <v>0</v>
      </c>
      <c r="AH99" s="42"/>
      <c r="AI99" s="42">
        <f t="shared" si="27"/>
        <v>0</v>
      </c>
    </row>
    <row r="100" spans="1:35" s="24" customFormat="1" ht="12" customHeight="1">
      <c r="A100" s="51" t="s">
        <v>539</v>
      </c>
      <c r="B100" s="51"/>
      <c r="C100" s="51" t="s">
        <v>69</v>
      </c>
      <c r="D100" s="51"/>
      <c r="E100" s="23">
        <v>50419</v>
      </c>
      <c r="G100" s="42">
        <v>702473</v>
      </c>
      <c r="H100" s="42"/>
      <c r="I100" s="42">
        <v>1632358</v>
      </c>
      <c r="J100" s="42"/>
      <c r="K100" s="42">
        <v>0</v>
      </c>
      <c r="L100" s="42"/>
      <c r="M100" s="42">
        <f t="shared" si="23"/>
        <v>2334831</v>
      </c>
      <c r="N100" s="42"/>
      <c r="O100" s="42">
        <f>4183393+283824</f>
        <v>4467217</v>
      </c>
      <c r="P100" s="42"/>
      <c r="Q100" s="42">
        <v>1859392</v>
      </c>
      <c r="R100" s="42"/>
      <c r="S100" s="42">
        <v>7752985</v>
      </c>
      <c r="T100" s="42"/>
      <c r="U100" s="42">
        <v>1886</v>
      </c>
      <c r="V100" s="42"/>
      <c r="W100" s="42">
        <v>221818</v>
      </c>
      <c r="X100" s="42"/>
      <c r="Y100" s="42">
        <v>0</v>
      </c>
      <c r="Z100" s="42"/>
      <c r="AA100" s="42">
        <v>112243</v>
      </c>
      <c r="AB100" s="37"/>
      <c r="AC100" s="42">
        <v>0</v>
      </c>
      <c r="AD100" s="42"/>
      <c r="AE100" s="42">
        <v>0</v>
      </c>
      <c r="AF100" s="42"/>
      <c r="AG100" s="42">
        <f t="shared" si="26"/>
        <v>14415541</v>
      </c>
      <c r="AH100" s="42"/>
      <c r="AI100" s="42">
        <f t="shared" si="27"/>
        <v>16750372</v>
      </c>
    </row>
    <row r="101" spans="1:35" s="24" customFormat="1" ht="12" customHeight="1">
      <c r="A101" s="51" t="s">
        <v>747</v>
      </c>
      <c r="B101" s="51"/>
      <c r="C101" s="51" t="s">
        <v>16</v>
      </c>
      <c r="D101" s="51"/>
      <c r="E101" s="51">
        <v>45278</v>
      </c>
      <c r="F101" s="52"/>
      <c r="G101" s="24">
        <v>1142874</v>
      </c>
      <c r="I101" s="24">
        <v>1919955</v>
      </c>
      <c r="K101" s="24">
        <v>0</v>
      </c>
      <c r="M101" s="24">
        <f t="shared" si="23"/>
        <v>3062829</v>
      </c>
      <c r="O101" s="24">
        <v>6881093</v>
      </c>
      <c r="Q101" s="24">
        <v>0</v>
      </c>
      <c r="S101" s="24">
        <v>11948647</v>
      </c>
      <c r="U101" s="24">
        <v>18033</v>
      </c>
      <c r="W101" s="24">
        <v>0</v>
      </c>
      <c r="Y101" s="24">
        <v>0</v>
      </c>
      <c r="AA101" s="24">
        <v>82980</v>
      </c>
      <c r="AB101" s="58"/>
      <c r="AC101" s="24">
        <v>0</v>
      </c>
      <c r="AE101" s="24">
        <v>0</v>
      </c>
      <c r="AG101" s="24">
        <f t="shared" si="26"/>
        <v>18930753</v>
      </c>
      <c r="AI101" s="24">
        <f t="shared" si="27"/>
        <v>21993582</v>
      </c>
    </row>
    <row r="102" spans="1:35" ht="12" customHeight="1">
      <c r="A102" s="9" t="s">
        <v>644</v>
      </c>
      <c r="B102" s="8"/>
      <c r="C102" s="8" t="s">
        <v>113</v>
      </c>
      <c r="D102" s="8"/>
      <c r="E102" s="23">
        <v>47258</v>
      </c>
      <c r="G102" s="42">
        <v>682915</v>
      </c>
      <c r="I102" s="42">
        <v>317011</v>
      </c>
      <c r="K102" s="42">
        <v>0</v>
      </c>
      <c r="M102" s="42">
        <f t="shared" si="23"/>
        <v>999926</v>
      </c>
      <c r="O102" s="42">
        <f>1904868+196846+518309</f>
        <v>2620023</v>
      </c>
      <c r="Q102" s="42">
        <v>1054895</v>
      </c>
      <c r="S102" s="42">
        <v>3413681</v>
      </c>
      <c r="U102" s="42">
        <v>21047</v>
      </c>
      <c r="W102" s="42">
        <v>0</v>
      </c>
      <c r="Y102" s="42">
        <v>66686</v>
      </c>
      <c r="AA102" s="42">
        <v>117624</v>
      </c>
      <c r="AB102" s="37"/>
      <c r="AC102" s="42">
        <v>0</v>
      </c>
      <c r="AE102" s="42">
        <v>0</v>
      </c>
      <c r="AG102" s="42">
        <f t="shared" si="26"/>
        <v>7293956</v>
      </c>
      <c r="AH102" s="42"/>
      <c r="AI102" s="42">
        <f t="shared" si="27"/>
        <v>8293882</v>
      </c>
    </row>
    <row r="103" spans="1:35" ht="12" hidden="1" customHeight="1">
      <c r="A103" s="9" t="s">
        <v>613</v>
      </c>
      <c r="B103" s="8"/>
      <c r="C103" s="8" t="s">
        <v>419</v>
      </c>
      <c r="D103" s="8"/>
      <c r="E103" s="23">
        <v>43729</v>
      </c>
      <c r="G103" s="42">
        <v>0</v>
      </c>
      <c r="I103" s="42">
        <v>0</v>
      </c>
      <c r="K103" s="42">
        <v>0</v>
      </c>
      <c r="M103" s="42">
        <f t="shared" si="23"/>
        <v>0</v>
      </c>
      <c r="O103" s="42">
        <v>0</v>
      </c>
      <c r="Q103" s="42">
        <v>0</v>
      </c>
      <c r="S103" s="42">
        <v>0</v>
      </c>
      <c r="U103" s="42">
        <v>0</v>
      </c>
      <c r="W103" s="42">
        <v>0</v>
      </c>
      <c r="Y103" s="42">
        <v>0</v>
      </c>
      <c r="AA103" s="42">
        <v>0</v>
      </c>
      <c r="AB103" s="37"/>
      <c r="AC103" s="42">
        <v>0</v>
      </c>
      <c r="AE103" s="42">
        <v>0</v>
      </c>
      <c r="AG103" s="42">
        <f t="shared" si="26"/>
        <v>0</v>
      </c>
      <c r="AH103" s="42"/>
      <c r="AI103" s="42">
        <f t="shared" si="27"/>
        <v>0</v>
      </c>
    </row>
    <row r="104" spans="1:35" ht="12" hidden="1" customHeight="1">
      <c r="A104" s="9" t="s">
        <v>856</v>
      </c>
      <c r="B104" s="8"/>
      <c r="C104" s="8" t="s">
        <v>40</v>
      </c>
      <c r="D104" s="8"/>
      <c r="E104" s="23">
        <v>47829</v>
      </c>
      <c r="G104" s="42">
        <v>0</v>
      </c>
      <c r="I104" s="42">
        <v>0</v>
      </c>
      <c r="K104" s="42">
        <v>0</v>
      </c>
      <c r="M104" s="42">
        <f t="shared" si="23"/>
        <v>0</v>
      </c>
      <c r="O104" s="42">
        <v>0</v>
      </c>
      <c r="Q104" s="42">
        <v>0</v>
      </c>
      <c r="S104" s="42">
        <v>0</v>
      </c>
      <c r="U104" s="42">
        <v>0</v>
      </c>
      <c r="W104" s="42">
        <v>0</v>
      </c>
      <c r="Y104" s="42">
        <v>0</v>
      </c>
      <c r="AA104" s="42">
        <v>0</v>
      </c>
      <c r="AB104" s="37"/>
      <c r="AC104" s="42">
        <v>0</v>
      </c>
      <c r="AE104" s="42">
        <v>0</v>
      </c>
      <c r="AG104" s="42">
        <f t="shared" si="26"/>
        <v>0</v>
      </c>
      <c r="AH104" s="42"/>
      <c r="AI104" s="42">
        <f t="shared" si="27"/>
        <v>0</v>
      </c>
    </row>
    <row r="105" spans="1:35" ht="12" customHeight="1">
      <c r="A105" s="51" t="s">
        <v>645</v>
      </c>
      <c r="B105" s="8"/>
      <c r="C105" s="8" t="s">
        <v>50</v>
      </c>
      <c r="D105" s="8"/>
      <c r="E105" s="23">
        <v>43737</v>
      </c>
      <c r="G105" s="42">
        <v>5096558</v>
      </c>
      <c r="I105" s="42">
        <v>5414982</v>
      </c>
      <c r="K105" s="42">
        <v>0</v>
      </c>
      <c r="M105" s="42">
        <f t="shared" si="23"/>
        <v>10511540</v>
      </c>
      <c r="O105" s="42">
        <f>52635012+4844351+2007538</f>
        <v>59486901</v>
      </c>
      <c r="Q105" s="42">
        <v>0</v>
      </c>
      <c r="S105" s="42">
        <v>20375498</v>
      </c>
      <c r="U105" s="42">
        <v>544152</v>
      </c>
      <c r="W105" s="42">
        <v>21600</v>
      </c>
      <c r="Y105" s="42">
        <v>200416</v>
      </c>
      <c r="AA105" s="42">
        <v>205103</v>
      </c>
      <c r="AB105" s="37"/>
      <c r="AC105" s="42">
        <v>0</v>
      </c>
      <c r="AE105" s="42">
        <v>0</v>
      </c>
      <c r="AG105" s="42">
        <f t="shared" si="26"/>
        <v>80833670</v>
      </c>
      <c r="AH105" s="42"/>
      <c r="AI105" s="42">
        <f t="shared" si="27"/>
        <v>91345210</v>
      </c>
    </row>
    <row r="106" spans="1:35" ht="12" hidden="1" customHeight="1">
      <c r="A106" s="9" t="s">
        <v>730</v>
      </c>
      <c r="B106" s="8"/>
      <c r="C106" s="8" t="s">
        <v>22</v>
      </c>
      <c r="D106" s="8"/>
      <c r="E106" s="23">
        <v>46714</v>
      </c>
      <c r="G106" s="42">
        <v>0</v>
      </c>
      <c r="I106" s="42">
        <v>0</v>
      </c>
      <c r="K106" s="42">
        <v>0</v>
      </c>
      <c r="M106" s="42">
        <f t="shared" si="23"/>
        <v>0</v>
      </c>
      <c r="O106" s="42">
        <v>0</v>
      </c>
      <c r="Q106" s="42">
        <v>0</v>
      </c>
      <c r="S106" s="42">
        <v>0</v>
      </c>
      <c r="U106" s="42">
        <v>0</v>
      </c>
      <c r="W106" s="42">
        <v>0</v>
      </c>
      <c r="Y106" s="42">
        <v>0</v>
      </c>
      <c r="AA106" s="42">
        <v>0</v>
      </c>
      <c r="AB106" s="37"/>
      <c r="AC106" s="42">
        <v>0</v>
      </c>
      <c r="AE106" s="42">
        <v>0</v>
      </c>
      <c r="AG106" s="42">
        <f t="shared" si="26"/>
        <v>0</v>
      </c>
      <c r="AH106" s="42"/>
      <c r="AI106" s="42">
        <f t="shared" si="27"/>
        <v>0</v>
      </c>
    </row>
    <row r="107" spans="1:35" ht="12" customHeight="1">
      <c r="A107" s="9" t="s">
        <v>748</v>
      </c>
      <c r="B107" s="8"/>
      <c r="C107" s="8" t="s">
        <v>20</v>
      </c>
      <c r="D107" s="8"/>
      <c r="E107" s="23">
        <v>45286</v>
      </c>
      <c r="G107" s="42">
        <v>2034220</v>
      </c>
      <c r="I107" s="42">
        <v>1179214</v>
      </c>
      <c r="K107" s="42">
        <v>0</v>
      </c>
      <c r="M107" s="42">
        <f t="shared" si="23"/>
        <v>3213434</v>
      </c>
      <c r="O107" s="42">
        <f>20627391+2180526</f>
        <v>22807917</v>
      </c>
      <c r="Q107" s="42">
        <v>0</v>
      </c>
      <c r="S107" s="42">
        <v>4714154</v>
      </c>
      <c r="U107" s="42">
        <v>1135</v>
      </c>
      <c r="W107" s="42">
        <v>0</v>
      </c>
      <c r="Y107" s="42">
        <v>0</v>
      </c>
      <c r="AA107" s="42">
        <v>51817</v>
      </c>
      <c r="AB107" s="37"/>
      <c r="AC107" s="42">
        <v>0</v>
      </c>
      <c r="AE107" s="42">
        <v>0</v>
      </c>
      <c r="AG107" s="42">
        <f t="shared" si="26"/>
        <v>27575023</v>
      </c>
      <c r="AH107" s="42"/>
      <c r="AI107" s="42">
        <f t="shared" si="27"/>
        <v>30788457</v>
      </c>
    </row>
    <row r="108" spans="1:35" ht="12" customHeight="1">
      <c r="A108" s="9" t="s">
        <v>516</v>
      </c>
      <c r="B108" s="8"/>
      <c r="C108" s="8" t="s">
        <v>64</v>
      </c>
      <c r="D108" s="8"/>
      <c r="E108" s="23">
        <v>50138</v>
      </c>
      <c r="G108" s="42">
        <v>1034827</v>
      </c>
      <c r="I108" s="42">
        <v>1191392</v>
      </c>
      <c r="K108" s="42">
        <v>144</v>
      </c>
      <c r="M108" s="42">
        <f t="shared" si="23"/>
        <v>2226363</v>
      </c>
      <c r="O108" s="42">
        <f>4121216+629051+76893</f>
        <v>4827160</v>
      </c>
      <c r="Q108" s="42">
        <v>0</v>
      </c>
      <c r="S108" s="42">
        <v>6974153</v>
      </c>
      <c r="U108" s="42">
        <v>3247</v>
      </c>
      <c r="W108" s="42">
        <v>0</v>
      </c>
      <c r="Y108" s="42">
        <v>0</v>
      </c>
      <c r="AA108" s="42">
        <v>41213</v>
      </c>
      <c r="AB108" s="37"/>
      <c r="AC108" s="42">
        <v>0</v>
      </c>
      <c r="AE108" s="42">
        <v>0</v>
      </c>
      <c r="AG108" s="42">
        <f t="shared" si="26"/>
        <v>11845773</v>
      </c>
      <c r="AH108" s="42"/>
      <c r="AI108" s="42">
        <f t="shared" si="27"/>
        <v>14072136</v>
      </c>
    </row>
    <row r="109" spans="1:35" s="24" customFormat="1" ht="12" hidden="1" customHeight="1">
      <c r="A109" s="9" t="s">
        <v>731</v>
      </c>
      <c r="B109" s="51"/>
      <c r="C109" s="51" t="s">
        <v>30</v>
      </c>
      <c r="D109" s="51"/>
      <c r="E109" s="23">
        <v>47183</v>
      </c>
      <c r="G109" s="42">
        <v>0</v>
      </c>
      <c r="H109" s="42"/>
      <c r="I109" s="42">
        <v>0</v>
      </c>
      <c r="J109" s="42"/>
      <c r="K109" s="42">
        <v>0</v>
      </c>
      <c r="L109" s="42"/>
      <c r="M109" s="42">
        <f t="shared" si="23"/>
        <v>0</v>
      </c>
      <c r="N109" s="42"/>
      <c r="O109" s="42">
        <v>0</v>
      </c>
      <c r="P109" s="42"/>
      <c r="Q109" s="42">
        <v>0</v>
      </c>
      <c r="R109" s="42"/>
      <c r="S109" s="42">
        <v>0</v>
      </c>
      <c r="T109" s="42"/>
      <c r="U109" s="42">
        <v>0</v>
      </c>
      <c r="V109" s="42"/>
      <c r="W109" s="42">
        <v>0</v>
      </c>
      <c r="X109" s="42"/>
      <c r="Y109" s="42">
        <v>0</v>
      </c>
      <c r="Z109" s="42"/>
      <c r="AA109" s="42">
        <v>0</v>
      </c>
      <c r="AB109" s="37"/>
      <c r="AC109" s="42">
        <v>0</v>
      </c>
      <c r="AD109" s="42"/>
      <c r="AE109" s="42">
        <v>0</v>
      </c>
      <c r="AF109" s="42"/>
      <c r="AG109" s="42">
        <f t="shared" si="26"/>
        <v>0</v>
      </c>
      <c r="AH109" s="42"/>
      <c r="AI109" s="42">
        <f t="shared" si="27"/>
        <v>0</v>
      </c>
    </row>
    <row r="110" spans="1:35" ht="12" customHeight="1">
      <c r="A110" s="9" t="s">
        <v>749</v>
      </c>
      <c r="B110" s="8"/>
      <c r="C110" s="8" t="s">
        <v>364</v>
      </c>
      <c r="D110" s="8"/>
      <c r="E110" s="23">
        <v>45294</v>
      </c>
      <c r="G110" s="42">
        <v>1216149</v>
      </c>
      <c r="I110" s="42">
        <v>2818863</v>
      </c>
      <c r="K110" s="42">
        <v>0</v>
      </c>
      <c r="M110" s="42">
        <f t="shared" si="23"/>
        <v>4035012</v>
      </c>
      <c r="O110" s="42">
        <f>1850020+97401+34618+195243</f>
        <v>2177282</v>
      </c>
      <c r="Q110" s="42">
        <v>0</v>
      </c>
      <c r="S110" s="42">
        <v>7852129</v>
      </c>
      <c r="U110" s="42">
        <v>3246</v>
      </c>
      <c r="W110" s="42">
        <v>0</v>
      </c>
      <c r="Y110" s="42">
        <v>21897</v>
      </c>
      <c r="AA110" s="42">
        <v>122640</v>
      </c>
      <c r="AB110" s="37"/>
      <c r="AC110" s="42">
        <v>0</v>
      </c>
      <c r="AE110" s="42">
        <v>0</v>
      </c>
      <c r="AG110" s="42">
        <f t="shared" si="26"/>
        <v>10177194</v>
      </c>
      <c r="AH110" s="42"/>
      <c r="AI110" s="42">
        <f t="shared" si="27"/>
        <v>14212206</v>
      </c>
    </row>
    <row r="111" spans="1:35" ht="12" customHeight="1">
      <c r="A111" s="8" t="s">
        <v>470</v>
      </c>
      <c r="B111" s="8"/>
      <c r="C111" s="8" t="s">
        <v>58</v>
      </c>
      <c r="D111" s="8"/>
      <c r="E111" s="23">
        <v>43745</v>
      </c>
      <c r="G111" s="42">
        <v>1982508</v>
      </c>
      <c r="I111" s="42">
        <v>4700622</v>
      </c>
      <c r="K111" s="42">
        <v>0</v>
      </c>
      <c r="M111" s="42">
        <f t="shared" si="23"/>
        <v>6683130</v>
      </c>
      <c r="O111" s="42">
        <f>9661143+1715065+764695</f>
        <v>12140903</v>
      </c>
      <c r="Q111" s="42">
        <v>0</v>
      </c>
      <c r="S111" s="42">
        <v>14933989</v>
      </c>
      <c r="U111" s="42">
        <v>-1893</v>
      </c>
      <c r="W111" s="42">
        <v>0</v>
      </c>
      <c r="Y111" s="42">
        <v>2400</v>
      </c>
      <c r="AA111" s="42">
        <f>11296+176751</f>
        <v>188047</v>
      </c>
      <c r="AB111" s="37"/>
      <c r="AC111" s="42">
        <v>0</v>
      </c>
      <c r="AE111" s="42">
        <v>0</v>
      </c>
      <c r="AG111" s="42">
        <f t="shared" si="26"/>
        <v>27263446</v>
      </c>
      <c r="AH111" s="42"/>
      <c r="AI111" s="42">
        <f t="shared" si="27"/>
        <v>33946576</v>
      </c>
    </row>
    <row r="112" spans="1:35" ht="12" customHeight="1">
      <c r="A112" s="9" t="s">
        <v>547</v>
      </c>
      <c r="B112" s="8"/>
      <c r="C112" s="8" t="s">
        <v>71</v>
      </c>
      <c r="D112" s="8"/>
      <c r="E112" s="23">
        <v>50534</v>
      </c>
      <c r="G112" s="42">
        <v>568670</v>
      </c>
      <c r="I112" s="42">
        <v>1110156</v>
      </c>
      <c r="K112" s="42">
        <v>0</v>
      </c>
      <c r="M112" s="42">
        <f t="shared" si="23"/>
        <v>1678826</v>
      </c>
      <c r="O112" s="42">
        <f>3571443+244221</f>
        <v>3815664</v>
      </c>
      <c r="Q112" s="42">
        <v>1748488</v>
      </c>
      <c r="S112" s="42">
        <v>5312984</v>
      </c>
      <c r="U112" s="42">
        <v>25155</v>
      </c>
      <c r="W112" s="42">
        <v>0</v>
      </c>
      <c r="Y112" s="42">
        <v>0</v>
      </c>
      <c r="AA112" s="42">
        <v>26857</v>
      </c>
      <c r="AB112" s="37"/>
      <c r="AC112" s="42">
        <v>0</v>
      </c>
      <c r="AE112" s="42">
        <v>0</v>
      </c>
      <c r="AG112" s="42">
        <f t="shared" si="26"/>
        <v>10929148</v>
      </c>
      <c r="AH112" s="42"/>
      <c r="AI112" s="42">
        <f t="shared" si="27"/>
        <v>12607974</v>
      </c>
    </row>
    <row r="113" spans="1:35" ht="12" customHeight="1">
      <c r="A113" s="9" t="s">
        <v>647</v>
      </c>
      <c r="B113" s="8"/>
      <c r="C113" s="8" t="s">
        <v>32</v>
      </c>
      <c r="D113" s="8"/>
      <c r="E113" s="23">
        <v>43752</v>
      </c>
      <c r="G113" s="42">
        <v>21590280</v>
      </c>
      <c r="I113" s="42">
        <v>85983762</v>
      </c>
      <c r="K113" s="42">
        <v>795249</v>
      </c>
      <c r="M113" s="42">
        <f t="shared" si="23"/>
        <v>108369291</v>
      </c>
      <c r="O113" s="42">
        <f>249843745+31761784</f>
        <v>281605529</v>
      </c>
      <c r="Q113" s="42">
        <v>0</v>
      </c>
      <c r="S113" s="42">
        <v>189651837</v>
      </c>
      <c r="U113" s="42">
        <v>445696</v>
      </c>
      <c r="W113" s="42">
        <v>26729545</v>
      </c>
      <c r="Y113" s="42">
        <v>0</v>
      </c>
      <c r="AA113" s="42">
        <v>2635377</v>
      </c>
      <c r="AB113" s="37"/>
      <c r="AC113" s="42">
        <v>0</v>
      </c>
      <c r="AE113" s="42">
        <v>0</v>
      </c>
      <c r="AG113" s="42">
        <f t="shared" si="26"/>
        <v>501067984</v>
      </c>
      <c r="AH113" s="42"/>
      <c r="AI113" s="42">
        <f t="shared" si="27"/>
        <v>609437275</v>
      </c>
    </row>
    <row r="114" spans="1:35" ht="12" customHeight="1">
      <c r="A114" s="8" t="s">
        <v>449</v>
      </c>
      <c r="B114" s="8"/>
      <c r="C114" s="8" t="s">
        <v>54</v>
      </c>
      <c r="D114" s="8"/>
      <c r="E114" s="23">
        <v>43760</v>
      </c>
      <c r="G114" s="42">
        <v>1738535</v>
      </c>
      <c r="I114" s="42">
        <v>3595875</v>
      </c>
      <c r="K114" s="42">
        <v>0</v>
      </c>
      <c r="M114" s="42">
        <f t="shared" si="23"/>
        <v>5334410</v>
      </c>
      <c r="O114" s="42">
        <f>7696795+131880+1882294+408277</f>
        <v>10119246</v>
      </c>
      <c r="Q114" s="42">
        <v>1651332</v>
      </c>
      <c r="S114" s="42">
        <v>12116931</v>
      </c>
      <c r="U114" s="42">
        <v>78769</v>
      </c>
      <c r="W114" s="42">
        <v>116004</v>
      </c>
      <c r="Y114" s="42">
        <v>0</v>
      </c>
      <c r="AA114" s="42">
        <v>173482</v>
      </c>
      <c r="AB114" s="37"/>
      <c r="AC114" s="42">
        <v>0</v>
      </c>
      <c r="AE114" s="42">
        <v>0</v>
      </c>
      <c r="AG114" s="42">
        <f t="shared" si="26"/>
        <v>24255764</v>
      </c>
      <c r="AH114" s="42"/>
      <c r="AI114" s="42">
        <f t="shared" si="27"/>
        <v>29590174</v>
      </c>
    </row>
    <row r="115" spans="1:35" ht="12" customHeight="1">
      <c r="A115" s="8" t="s">
        <v>229</v>
      </c>
      <c r="B115" s="8"/>
      <c r="C115" s="8" t="s">
        <v>17</v>
      </c>
      <c r="D115" s="8"/>
      <c r="E115" s="23">
        <v>46284</v>
      </c>
      <c r="F115" s="59"/>
      <c r="G115" s="42">
        <v>3351398</v>
      </c>
      <c r="I115" s="42">
        <v>1339128</v>
      </c>
      <c r="K115" s="42">
        <v>0</v>
      </c>
      <c r="M115" s="42">
        <f t="shared" si="23"/>
        <v>4690526</v>
      </c>
      <c r="O115" s="42">
        <f>8898478+65871</f>
        <v>8964349</v>
      </c>
      <c r="Q115" s="42">
        <v>0</v>
      </c>
      <c r="S115" s="42">
        <v>6739462</v>
      </c>
      <c r="U115" s="42">
        <v>122</v>
      </c>
      <c r="W115" s="42">
        <v>0</v>
      </c>
      <c r="Y115" s="42">
        <v>4028</v>
      </c>
      <c r="AA115" s="42">
        <v>74022</v>
      </c>
      <c r="AB115" s="37"/>
      <c r="AC115" s="42">
        <v>0</v>
      </c>
      <c r="AE115" s="42">
        <v>0</v>
      </c>
      <c r="AG115" s="42">
        <f t="shared" si="26"/>
        <v>15781983</v>
      </c>
      <c r="AH115" s="42"/>
      <c r="AI115" s="42">
        <f t="shared" si="27"/>
        <v>20472509</v>
      </c>
    </row>
    <row r="116" spans="1:35" ht="12" customHeight="1">
      <c r="A116" s="8" t="s">
        <v>477</v>
      </c>
      <c r="B116" s="8"/>
      <c r="C116" s="8" t="s">
        <v>59</v>
      </c>
      <c r="D116" s="8"/>
      <c r="E116" s="23">
        <v>49601</v>
      </c>
      <c r="G116" s="42">
        <v>1377958</v>
      </c>
      <c r="I116" s="42">
        <v>1041717</v>
      </c>
      <c r="K116" s="42">
        <v>0</v>
      </c>
      <c r="M116" s="42">
        <f t="shared" si="23"/>
        <v>2419675</v>
      </c>
      <c r="O116" s="42">
        <f>1007542+307816+23883</f>
        <v>1339241</v>
      </c>
      <c r="Q116" s="42">
        <v>0</v>
      </c>
      <c r="S116" s="42">
        <v>2822075</v>
      </c>
      <c r="U116" s="42">
        <v>1040</v>
      </c>
      <c r="W116" s="42">
        <v>0</v>
      </c>
      <c r="Y116" s="42">
        <v>0</v>
      </c>
      <c r="AA116" s="42">
        <v>227288</v>
      </c>
      <c r="AB116" s="37"/>
      <c r="AC116" s="42">
        <v>0</v>
      </c>
      <c r="AE116" s="42">
        <v>0</v>
      </c>
      <c r="AG116" s="42">
        <f t="shared" si="26"/>
        <v>4389644</v>
      </c>
      <c r="AH116" s="42"/>
      <c r="AI116" s="42">
        <f t="shared" si="27"/>
        <v>6809319</v>
      </c>
    </row>
    <row r="117" spans="1:35" ht="12" customHeight="1">
      <c r="A117" s="8" t="s">
        <v>529</v>
      </c>
      <c r="B117" s="8"/>
      <c r="C117" s="8" t="s">
        <v>65</v>
      </c>
      <c r="D117" s="8"/>
      <c r="E117" s="23">
        <v>43778</v>
      </c>
      <c r="G117" s="42">
        <v>1523967</v>
      </c>
      <c r="I117" s="42">
        <v>3989096</v>
      </c>
      <c r="K117" s="42">
        <v>0</v>
      </c>
      <c r="M117" s="42">
        <f t="shared" si="23"/>
        <v>5513063</v>
      </c>
      <c r="O117" s="42">
        <f>3278201+377079+46407</f>
        <v>3701687</v>
      </c>
      <c r="Q117" s="42">
        <v>0</v>
      </c>
      <c r="S117" s="42">
        <v>11894425</v>
      </c>
      <c r="U117" s="42">
        <v>416</v>
      </c>
      <c r="W117" s="42">
        <v>10000</v>
      </c>
      <c r="Y117" s="42">
        <v>0</v>
      </c>
      <c r="AA117" s="42">
        <v>49312</v>
      </c>
      <c r="AB117" s="37"/>
      <c r="AC117" s="42">
        <v>0</v>
      </c>
      <c r="AE117" s="42">
        <v>0</v>
      </c>
      <c r="AG117" s="42">
        <f t="shared" si="26"/>
        <v>15655840</v>
      </c>
      <c r="AH117" s="42"/>
      <c r="AI117" s="42">
        <f t="shared" si="27"/>
        <v>21168903</v>
      </c>
    </row>
    <row r="118" spans="1:35" ht="12" customHeight="1">
      <c r="A118" s="8" t="s">
        <v>465</v>
      </c>
      <c r="B118" s="8"/>
      <c r="C118" s="8" t="s">
        <v>109</v>
      </c>
      <c r="D118" s="8"/>
      <c r="E118" s="23">
        <v>49411</v>
      </c>
      <c r="G118" s="42">
        <v>1722156</v>
      </c>
      <c r="I118" s="42">
        <v>1953181</v>
      </c>
      <c r="K118" s="42">
        <v>0</v>
      </c>
      <c r="M118" s="42">
        <f t="shared" si="23"/>
        <v>3675337</v>
      </c>
      <c r="O118" s="42">
        <f>3883683+649394+274493</f>
        <v>4807570</v>
      </c>
      <c r="Q118" s="42">
        <v>326353</v>
      </c>
      <c r="S118" s="42">
        <v>8167420</v>
      </c>
      <c r="U118" s="42">
        <v>44967</v>
      </c>
      <c r="W118" s="42">
        <v>0</v>
      </c>
      <c r="Y118" s="42">
        <v>0</v>
      </c>
      <c r="AA118" s="42">
        <v>100118</v>
      </c>
      <c r="AB118" s="37"/>
      <c r="AC118" s="42">
        <v>0</v>
      </c>
      <c r="AE118" s="42">
        <v>0</v>
      </c>
      <c r="AG118" s="42">
        <f t="shared" si="26"/>
        <v>13446428</v>
      </c>
      <c r="AH118" s="42"/>
      <c r="AI118" s="42">
        <f t="shared" si="27"/>
        <v>17121765</v>
      </c>
    </row>
    <row r="119" spans="1:35" ht="12" hidden="1" customHeight="1">
      <c r="A119" s="8" t="s">
        <v>901</v>
      </c>
      <c r="B119" s="8"/>
      <c r="C119" s="8" t="s">
        <v>44</v>
      </c>
      <c r="D119" s="8"/>
      <c r="E119" s="23">
        <v>48132</v>
      </c>
      <c r="G119" s="42">
        <v>0</v>
      </c>
      <c r="I119" s="42">
        <v>0</v>
      </c>
      <c r="K119" s="42">
        <v>0</v>
      </c>
      <c r="M119" s="42">
        <f t="shared" si="23"/>
        <v>0</v>
      </c>
      <c r="O119" s="42">
        <v>0</v>
      </c>
      <c r="Q119" s="42">
        <v>0</v>
      </c>
      <c r="S119" s="42">
        <v>0</v>
      </c>
      <c r="U119" s="42">
        <v>0</v>
      </c>
      <c r="W119" s="42">
        <v>0</v>
      </c>
      <c r="Y119" s="42">
        <v>0</v>
      </c>
      <c r="AA119" s="42">
        <v>0</v>
      </c>
      <c r="AB119" s="37"/>
      <c r="AC119" s="42">
        <v>0</v>
      </c>
      <c r="AE119" s="42">
        <v>0</v>
      </c>
      <c r="AG119" s="42">
        <f t="shared" si="26"/>
        <v>0</v>
      </c>
      <c r="AH119" s="42"/>
      <c r="AI119" s="42">
        <f t="shared" si="27"/>
        <v>0</v>
      </c>
    </row>
    <row r="120" spans="1:35" ht="12" customHeight="1">
      <c r="A120" s="8" t="s">
        <v>648</v>
      </c>
      <c r="B120" s="8"/>
      <c r="C120" s="8" t="s">
        <v>112</v>
      </c>
      <c r="D120" s="8"/>
      <c r="E120" s="23">
        <v>46326</v>
      </c>
      <c r="G120" s="42">
        <v>1219885</v>
      </c>
      <c r="I120" s="42">
        <v>1309952</v>
      </c>
      <c r="K120" s="42">
        <v>0</v>
      </c>
      <c r="M120" s="42">
        <f t="shared" si="23"/>
        <v>2529837</v>
      </c>
      <c r="O120" s="42">
        <f>5465085+379510+722645</f>
        <v>6567240</v>
      </c>
      <c r="Q120" s="42">
        <v>2932843</v>
      </c>
      <c r="S120" s="42">
        <v>6071025</v>
      </c>
      <c r="U120" s="42">
        <v>4342</v>
      </c>
      <c r="W120" s="42">
        <v>0</v>
      </c>
      <c r="Y120" s="42">
        <v>0</v>
      </c>
      <c r="AA120" s="42">
        <v>311461</v>
      </c>
      <c r="AB120" s="37"/>
      <c r="AC120" s="42">
        <v>0</v>
      </c>
      <c r="AE120" s="42">
        <v>0</v>
      </c>
      <c r="AG120" s="42">
        <f t="shared" si="26"/>
        <v>15886911</v>
      </c>
      <c r="AH120" s="42"/>
      <c r="AI120" s="42">
        <f t="shared" si="27"/>
        <v>18416748</v>
      </c>
    </row>
    <row r="121" spans="1:35" ht="12" customHeight="1">
      <c r="A121" s="9" t="s">
        <v>646</v>
      </c>
      <c r="B121" s="8"/>
      <c r="C121" s="8" t="s">
        <v>20</v>
      </c>
      <c r="D121" s="8"/>
      <c r="E121" s="23">
        <v>43794</v>
      </c>
      <c r="G121" s="42">
        <v>5398450</v>
      </c>
      <c r="I121" s="42">
        <v>8453767</v>
      </c>
      <c r="K121" s="42">
        <v>0</v>
      </c>
      <c r="M121" s="42">
        <f t="shared" si="23"/>
        <v>13852217</v>
      </c>
      <c r="O121" s="42">
        <f>69354404+631509+3059156</f>
        <v>73045069</v>
      </c>
      <c r="Q121" s="42">
        <v>0</v>
      </c>
      <c r="S121" s="42">
        <v>30580845</v>
      </c>
      <c r="U121" s="42">
        <v>230870</v>
      </c>
      <c r="W121" s="42">
        <v>0</v>
      </c>
      <c r="Y121" s="42">
        <v>0</v>
      </c>
      <c r="AA121" s="42">
        <v>1275505</v>
      </c>
      <c r="AB121" s="37"/>
      <c r="AC121" s="42">
        <v>0</v>
      </c>
      <c r="AE121" s="42">
        <v>0</v>
      </c>
      <c r="AG121" s="42">
        <f t="shared" si="26"/>
        <v>105132289</v>
      </c>
      <c r="AH121" s="42"/>
      <c r="AI121" s="42">
        <f t="shared" si="27"/>
        <v>118984506</v>
      </c>
    </row>
    <row r="122" spans="1:35" ht="12" customHeight="1">
      <c r="A122" s="8" t="s">
        <v>263</v>
      </c>
      <c r="B122" s="8"/>
      <c r="C122" s="8" t="s">
        <v>20</v>
      </c>
      <c r="D122" s="8"/>
      <c r="E122" s="23">
        <v>43786</v>
      </c>
      <c r="G122" s="42">
        <v>9183216</v>
      </c>
      <c r="I122" s="42">
        <v>125405984</v>
      </c>
      <c r="K122" s="42">
        <v>2100511</v>
      </c>
      <c r="M122" s="42">
        <f t="shared" si="23"/>
        <v>136689711</v>
      </c>
      <c r="O122" s="42">
        <f>200094021+12635634+1042267</f>
        <v>213771922</v>
      </c>
      <c r="Q122" s="42">
        <v>0</v>
      </c>
      <c r="S122" s="42">
        <v>459821084</v>
      </c>
      <c r="U122" s="42">
        <v>1345163</v>
      </c>
      <c r="W122" s="42">
        <v>0</v>
      </c>
      <c r="Y122" s="42">
        <v>0</v>
      </c>
      <c r="AA122" s="42">
        <v>23799313</v>
      </c>
      <c r="AB122" s="37"/>
      <c r="AC122" s="42">
        <v>0</v>
      </c>
      <c r="AE122" s="42">
        <v>0</v>
      </c>
      <c r="AG122" s="42">
        <f t="shared" si="26"/>
        <v>698737482</v>
      </c>
      <c r="AH122" s="42"/>
      <c r="AI122" s="42">
        <f t="shared" si="27"/>
        <v>835427193</v>
      </c>
    </row>
    <row r="123" spans="1:35" ht="12" customHeight="1">
      <c r="A123" s="8" t="s">
        <v>241</v>
      </c>
      <c r="B123" s="8"/>
      <c r="C123" s="8" t="s">
        <v>18</v>
      </c>
      <c r="D123" s="8"/>
      <c r="E123" s="23">
        <v>46391</v>
      </c>
      <c r="F123" s="59"/>
      <c r="G123" s="42">
        <v>2079321</v>
      </c>
      <c r="I123" s="42">
        <v>1301166</v>
      </c>
      <c r="K123" s="42">
        <v>0</v>
      </c>
      <c r="M123" s="42">
        <f t="shared" si="23"/>
        <v>3380487</v>
      </c>
      <c r="O123" s="42">
        <f>4442012+84800+495759</f>
        <v>5022571</v>
      </c>
      <c r="Q123" s="42">
        <v>0</v>
      </c>
      <c r="S123" s="42">
        <v>8980701</v>
      </c>
      <c r="U123" s="42">
        <v>7174</v>
      </c>
      <c r="W123" s="42">
        <v>13234</v>
      </c>
      <c r="Y123" s="42">
        <v>14064</v>
      </c>
      <c r="AA123" s="42">
        <v>168517</v>
      </c>
      <c r="AB123" s="37"/>
      <c r="AC123" s="42">
        <v>0</v>
      </c>
      <c r="AE123" s="42">
        <v>0</v>
      </c>
      <c r="AG123" s="42">
        <f t="shared" si="26"/>
        <v>14206261</v>
      </c>
      <c r="AH123" s="42"/>
      <c r="AI123" s="42">
        <f t="shared" si="27"/>
        <v>17586748</v>
      </c>
    </row>
    <row r="124" spans="1:35" ht="12" customHeight="1">
      <c r="A124" s="8" t="s">
        <v>413</v>
      </c>
      <c r="B124" s="8"/>
      <c r="C124" s="8" t="s">
        <v>47</v>
      </c>
      <c r="D124" s="8"/>
      <c r="E124" s="23">
        <v>48488</v>
      </c>
      <c r="G124" s="42">
        <v>1731702</v>
      </c>
      <c r="I124" s="42">
        <v>2417505</v>
      </c>
      <c r="K124" s="42">
        <v>596251</v>
      </c>
      <c r="M124" s="42">
        <f t="shared" si="23"/>
        <v>4745458</v>
      </c>
      <c r="O124" s="42">
        <f>11582637+815230</f>
        <v>12397867</v>
      </c>
      <c r="Q124" s="42">
        <v>2012956</v>
      </c>
      <c r="S124" s="42">
        <v>10616004</v>
      </c>
      <c r="U124" s="42">
        <v>7086</v>
      </c>
      <c r="W124" s="42">
        <v>52452</v>
      </c>
      <c r="Y124" s="42">
        <v>0</v>
      </c>
      <c r="AA124" s="42">
        <f>1023914+26989</f>
        <v>1050903</v>
      </c>
      <c r="AB124" s="37"/>
      <c r="AC124" s="42">
        <v>0</v>
      </c>
      <c r="AE124" s="42">
        <v>0</v>
      </c>
      <c r="AG124" s="42">
        <f t="shared" si="26"/>
        <v>26137268</v>
      </c>
      <c r="AH124" s="42"/>
      <c r="AI124" s="42">
        <f t="shared" si="27"/>
        <v>30882726</v>
      </c>
    </row>
    <row r="125" spans="1:35" ht="12" customHeight="1">
      <c r="A125" s="9" t="s">
        <v>750</v>
      </c>
      <c r="B125" s="8"/>
      <c r="C125" s="8" t="s">
        <v>79</v>
      </c>
      <c r="D125" s="8"/>
      <c r="E125" s="23">
        <v>45302</v>
      </c>
      <c r="G125" s="42">
        <v>1706737</v>
      </c>
      <c r="I125" s="42">
        <v>2926101</v>
      </c>
      <c r="K125" s="42">
        <v>0</v>
      </c>
      <c r="M125" s="42">
        <f t="shared" si="23"/>
        <v>4632838</v>
      </c>
      <c r="O125" s="42">
        <f>6082609+383563+181624</f>
        <v>6647796</v>
      </c>
      <c r="Q125" s="42">
        <v>2151398</v>
      </c>
      <c r="S125" s="42">
        <v>10247102</v>
      </c>
      <c r="U125" s="42">
        <v>22282</v>
      </c>
      <c r="W125" s="42">
        <v>168158</v>
      </c>
      <c r="Y125" s="42">
        <v>0</v>
      </c>
      <c r="AA125" s="42">
        <v>112111</v>
      </c>
      <c r="AB125" s="37"/>
      <c r="AC125" s="42">
        <v>0</v>
      </c>
      <c r="AE125" s="42">
        <v>0</v>
      </c>
      <c r="AG125" s="42">
        <f t="shared" si="26"/>
        <v>19348847</v>
      </c>
      <c r="AH125" s="42"/>
      <c r="AI125" s="42">
        <f t="shared" si="27"/>
        <v>23981685</v>
      </c>
    </row>
    <row r="126" spans="1:35" ht="12" hidden="1" customHeight="1">
      <c r="A126" s="9" t="s">
        <v>649</v>
      </c>
      <c r="B126" s="8"/>
      <c r="C126" s="8" t="s">
        <v>419</v>
      </c>
      <c r="D126" s="8"/>
      <c r="E126" s="23">
        <v>45310</v>
      </c>
      <c r="G126" s="42">
        <v>0</v>
      </c>
      <c r="I126" s="42">
        <v>0</v>
      </c>
      <c r="K126" s="42">
        <v>0</v>
      </c>
      <c r="M126" s="42">
        <f t="shared" si="23"/>
        <v>0</v>
      </c>
      <c r="O126" s="42">
        <v>0</v>
      </c>
      <c r="Q126" s="42">
        <v>0</v>
      </c>
      <c r="S126" s="42">
        <v>0</v>
      </c>
      <c r="U126" s="42">
        <v>0</v>
      </c>
      <c r="W126" s="42">
        <v>0</v>
      </c>
      <c r="Y126" s="42">
        <v>0</v>
      </c>
      <c r="AA126" s="42">
        <v>0</v>
      </c>
      <c r="AB126" s="37"/>
      <c r="AC126" s="42">
        <v>0</v>
      </c>
      <c r="AE126" s="42">
        <v>0</v>
      </c>
      <c r="AG126" s="42">
        <f t="shared" si="26"/>
        <v>0</v>
      </c>
      <c r="AH126" s="42"/>
      <c r="AI126" s="42">
        <f t="shared" si="27"/>
        <v>0</v>
      </c>
    </row>
    <row r="127" spans="1:35" ht="12" hidden="1" customHeight="1">
      <c r="A127" s="8" t="s">
        <v>605</v>
      </c>
      <c r="B127" s="8"/>
      <c r="C127" s="8" t="s">
        <v>57</v>
      </c>
      <c r="D127" s="8"/>
      <c r="E127" s="23">
        <v>64964</v>
      </c>
      <c r="G127" s="42">
        <v>0</v>
      </c>
      <c r="I127" s="42">
        <v>0</v>
      </c>
      <c r="K127" s="42">
        <v>0</v>
      </c>
      <c r="M127" s="42">
        <f t="shared" si="23"/>
        <v>0</v>
      </c>
      <c r="O127" s="42">
        <v>0</v>
      </c>
      <c r="Q127" s="42">
        <v>0</v>
      </c>
      <c r="S127" s="42">
        <v>0</v>
      </c>
      <c r="U127" s="42">
        <v>0</v>
      </c>
      <c r="W127" s="42">
        <v>0</v>
      </c>
      <c r="Y127" s="42">
        <v>0</v>
      </c>
      <c r="AA127" s="42">
        <v>0</v>
      </c>
      <c r="AB127" s="37"/>
      <c r="AC127" s="42">
        <v>0</v>
      </c>
      <c r="AE127" s="42">
        <v>0</v>
      </c>
      <c r="AG127" s="42">
        <f t="shared" si="26"/>
        <v>0</v>
      </c>
      <c r="AH127" s="42"/>
      <c r="AI127" s="42">
        <f t="shared" si="27"/>
        <v>0</v>
      </c>
    </row>
    <row r="128" spans="1:35" ht="12" customHeight="1">
      <c r="A128" s="8" t="s">
        <v>256</v>
      </c>
      <c r="B128" s="8"/>
      <c r="C128" s="8" t="s">
        <v>110</v>
      </c>
      <c r="D128" s="8"/>
      <c r="E128" s="23">
        <v>46516</v>
      </c>
      <c r="G128" s="42">
        <v>1671584</v>
      </c>
      <c r="I128" s="42">
        <v>708997</v>
      </c>
      <c r="K128" s="42">
        <v>0</v>
      </c>
      <c r="M128" s="42">
        <f t="shared" si="23"/>
        <v>2380581</v>
      </c>
      <c r="O128" s="42">
        <f>2294222+625758</f>
        <v>2919980</v>
      </c>
      <c r="Q128" s="42">
        <v>1610173</v>
      </c>
      <c r="S128" s="42">
        <v>3621037</v>
      </c>
      <c r="U128" s="42">
        <v>7557</v>
      </c>
      <c r="W128" s="42">
        <v>0</v>
      </c>
      <c r="Y128" s="42">
        <v>0</v>
      </c>
      <c r="AA128" s="42">
        <v>20269</v>
      </c>
      <c r="AB128" s="37"/>
      <c r="AC128" s="42">
        <v>0</v>
      </c>
      <c r="AE128" s="42">
        <v>0</v>
      </c>
      <c r="AG128" s="42">
        <f t="shared" si="26"/>
        <v>8179016</v>
      </c>
      <c r="AH128" s="42"/>
      <c r="AI128" s="42">
        <f t="shared" si="27"/>
        <v>10559597</v>
      </c>
    </row>
    <row r="129" spans="1:35" ht="12" customHeight="1">
      <c r="A129" s="8" t="s">
        <v>380</v>
      </c>
      <c r="B129" s="8"/>
      <c r="C129" s="8" t="s">
        <v>44</v>
      </c>
      <c r="D129" s="8"/>
      <c r="E129" s="23">
        <v>48140</v>
      </c>
      <c r="G129" s="42">
        <v>915032</v>
      </c>
      <c r="I129" s="42">
        <v>619959</v>
      </c>
      <c r="K129" s="42">
        <v>0</v>
      </c>
      <c r="M129" s="42">
        <f t="shared" si="23"/>
        <v>1534991</v>
      </c>
      <c r="O129" s="42">
        <f>5711667+311786+336224</f>
        <v>6359677</v>
      </c>
      <c r="Q129" s="42">
        <v>0</v>
      </c>
      <c r="S129" s="42">
        <v>3127165</v>
      </c>
      <c r="U129" s="42">
        <v>1828</v>
      </c>
      <c r="W129" s="42">
        <v>0</v>
      </c>
      <c r="Y129" s="42">
        <v>0</v>
      </c>
      <c r="AA129" s="42">
        <v>133759</v>
      </c>
      <c r="AB129" s="37"/>
      <c r="AC129" s="42">
        <v>0</v>
      </c>
      <c r="AE129" s="42">
        <v>0</v>
      </c>
      <c r="AG129" s="42">
        <f t="shared" si="26"/>
        <v>9622429</v>
      </c>
      <c r="AH129" s="42"/>
      <c r="AI129" s="42">
        <f t="shared" si="27"/>
        <v>11157420</v>
      </c>
    </row>
    <row r="130" spans="1:35" ht="12" customHeight="1">
      <c r="A130" s="9" t="s">
        <v>751</v>
      </c>
      <c r="B130" s="8"/>
      <c r="C130" s="8" t="s">
        <v>111</v>
      </c>
      <c r="D130" s="8"/>
      <c r="E130" s="23">
        <v>45328</v>
      </c>
      <c r="F130" s="59"/>
      <c r="G130" s="42">
        <v>1567891</v>
      </c>
      <c r="I130" s="42">
        <v>1079585</v>
      </c>
      <c r="K130" s="42">
        <v>177542</v>
      </c>
      <c r="M130" s="42">
        <f t="shared" si="23"/>
        <v>2825018</v>
      </c>
      <c r="O130" s="42">
        <f>3218682+724961</f>
        <v>3943643</v>
      </c>
      <c r="Q130" s="42">
        <v>1736141</v>
      </c>
      <c r="S130" s="42">
        <v>2778064</v>
      </c>
      <c r="U130" s="42">
        <v>280620</v>
      </c>
      <c r="W130" s="42">
        <v>0</v>
      </c>
      <c r="Y130" s="42">
        <v>0</v>
      </c>
      <c r="AA130" s="42">
        <v>9314</v>
      </c>
      <c r="AB130" s="37"/>
      <c r="AC130" s="42">
        <v>0</v>
      </c>
      <c r="AE130" s="42">
        <v>0</v>
      </c>
      <c r="AG130" s="42">
        <f t="shared" si="26"/>
        <v>8747782</v>
      </c>
      <c r="AH130" s="42"/>
      <c r="AI130" s="42">
        <f t="shared" si="27"/>
        <v>11572800</v>
      </c>
    </row>
    <row r="131" spans="1:35" ht="12" customHeight="1">
      <c r="A131" s="8" t="s">
        <v>299</v>
      </c>
      <c r="B131" s="8"/>
      <c r="C131" s="8" t="s">
        <v>27</v>
      </c>
      <c r="D131" s="8"/>
      <c r="E131" s="23">
        <v>43802</v>
      </c>
      <c r="G131" s="42">
        <v>14640997</v>
      </c>
      <c r="I131" s="42">
        <v>140887412</v>
      </c>
      <c r="K131" s="42">
        <v>0</v>
      </c>
      <c r="M131" s="42">
        <f t="shared" si="23"/>
        <v>155528409</v>
      </c>
      <c r="O131" s="42">
        <f>327304109+32898259+3112132</f>
        <v>363314500</v>
      </c>
      <c r="Q131" s="42">
        <v>0</v>
      </c>
      <c r="S131" s="42">
        <v>295527629</v>
      </c>
      <c r="U131" s="42">
        <v>696855</v>
      </c>
      <c r="W131" s="42">
        <v>40783885</v>
      </c>
      <c r="Y131" s="42">
        <v>0</v>
      </c>
      <c r="AA131" s="42">
        <f>4139386+26238298</f>
        <v>30377684</v>
      </c>
      <c r="AB131" s="37"/>
      <c r="AC131" s="42">
        <v>0</v>
      </c>
      <c r="AE131" s="42">
        <v>0</v>
      </c>
      <c r="AG131" s="42">
        <f t="shared" si="26"/>
        <v>730700553</v>
      </c>
      <c r="AH131" s="42"/>
      <c r="AI131" s="42">
        <f t="shared" si="27"/>
        <v>886228962</v>
      </c>
    </row>
    <row r="132" spans="1:35" ht="12" hidden="1" customHeight="1">
      <c r="A132" s="8" t="s">
        <v>606</v>
      </c>
      <c r="B132" s="8"/>
      <c r="C132" s="8" t="s">
        <v>464</v>
      </c>
      <c r="D132" s="8"/>
      <c r="E132" s="23">
        <v>49312</v>
      </c>
      <c r="G132" s="42">
        <v>0</v>
      </c>
      <c r="I132" s="42">
        <v>0</v>
      </c>
      <c r="K132" s="42">
        <v>0</v>
      </c>
      <c r="M132" s="42">
        <f t="shared" si="23"/>
        <v>0</v>
      </c>
      <c r="O132" s="42">
        <v>0</v>
      </c>
      <c r="Q132" s="42">
        <v>0</v>
      </c>
      <c r="S132" s="42">
        <v>0</v>
      </c>
      <c r="U132" s="42">
        <v>0</v>
      </c>
      <c r="W132" s="42">
        <v>0</v>
      </c>
      <c r="Y132" s="42">
        <v>0</v>
      </c>
      <c r="AA132" s="42">
        <v>0</v>
      </c>
      <c r="AB132" s="37"/>
      <c r="AC132" s="42">
        <v>0</v>
      </c>
      <c r="AE132" s="42">
        <v>0</v>
      </c>
      <c r="AG132" s="42">
        <f t="shared" si="26"/>
        <v>0</v>
      </c>
      <c r="AH132" s="42"/>
      <c r="AI132" s="42">
        <f t="shared" si="27"/>
        <v>0</v>
      </c>
    </row>
    <row r="133" spans="1:35" ht="12" customHeight="1">
      <c r="A133" s="8" t="s">
        <v>206</v>
      </c>
      <c r="B133" s="8"/>
      <c r="C133" s="8" t="s">
        <v>12</v>
      </c>
      <c r="D133" s="8"/>
      <c r="E133" s="23">
        <v>43810</v>
      </c>
      <c r="F133" s="59"/>
      <c r="G133" s="42">
        <v>519042</v>
      </c>
      <c r="I133" s="42">
        <v>2130013</v>
      </c>
      <c r="K133" s="42">
        <v>172506</v>
      </c>
      <c r="M133" s="42">
        <f t="shared" si="23"/>
        <v>2821561</v>
      </c>
      <c r="O133" s="42">
        <f>3058970+409157+186725+55572</f>
        <v>3710424</v>
      </c>
      <c r="Q133" s="42">
        <v>0</v>
      </c>
      <c r="S133" s="42">
        <v>12261267</v>
      </c>
      <c r="U133" s="42">
        <v>5369</v>
      </c>
      <c r="W133" s="42">
        <v>0</v>
      </c>
      <c r="Y133" s="42">
        <v>0</v>
      </c>
      <c r="AA133" s="42">
        <v>58434</v>
      </c>
      <c r="AB133" s="37"/>
      <c r="AC133" s="42">
        <v>0</v>
      </c>
      <c r="AE133" s="42">
        <v>0</v>
      </c>
      <c r="AG133" s="42">
        <f t="shared" si="26"/>
        <v>16035494</v>
      </c>
      <c r="AH133" s="42"/>
      <c r="AI133" s="42">
        <f t="shared" si="27"/>
        <v>18857055</v>
      </c>
    </row>
    <row r="134" spans="1:35" ht="12" customHeight="1">
      <c r="A134" s="8" t="s">
        <v>340</v>
      </c>
      <c r="B134" s="8"/>
      <c r="C134" s="8" t="s">
        <v>341</v>
      </c>
      <c r="D134" s="8"/>
      <c r="E134" s="23">
        <v>47548</v>
      </c>
      <c r="G134" s="42">
        <v>469563</v>
      </c>
      <c r="I134" s="42">
        <v>680229</v>
      </c>
      <c r="K134" s="42">
        <v>0</v>
      </c>
      <c r="M134" s="42">
        <f t="shared" si="23"/>
        <v>1149792</v>
      </c>
      <c r="O134" s="42">
        <f>2111811+135159</f>
        <v>2246970</v>
      </c>
      <c r="Q134" s="42">
        <v>0</v>
      </c>
      <c r="S134" s="42">
        <v>2341652</v>
      </c>
      <c r="U134" s="42">
        <v>173</v>
      </c>
      <c r="W134" s="42">
        <v>0</v>
      </c>
      <c r="Y134" s="42">
        <v>0</v>
      </c>
      <c r="AA134" s="42">
        <v>40472</v>
      </c>
      <c r="AB134" s="37"/>
      <c r="AC134" s="42">
        <v>0</v>
      </c>
      <c r="AE134" s="42">
        <v>0</v>
      </c>
      <c r="AG134" s="42">
        <f t="shared" si="26"/>
        <v>4629267</v>
      </c>
      <c r="AH134" s="42"/>
      <c r="AI134" s="42">
        <f t="shared" si="27"/>
        <v>5779059</v>
      </c>
    </row>
    <row r="135" spans="1:35" ht="12" hidden="1" customHeight="1">
      <c r="A135" s="9" t="s">
        <v>671</v>
      </c>
      <c r="B135" s="8"/>
      <c r="C135" s="8" t="s">
        <v>464</v>
      </c>
      <c r="D135" s="8"/>
      <c r="E135" s="23">
        <v>49320</v>
      </c>
      <c r="G135" s="42">
        <v>0</v>
      </c>
      <c r="I135" s="42">
        <v>0</v>
      </c>
      <c r="K135" s="42">
        <v>0</v>
      </c>
      <c r="M135" s="42">
        <f t="shared" si="23"/>
        <v>0</v>
      </c>
      <c r="O135" s="42">
        <v>0</v>
      </c>
      <c r="Q135" s="42">
        <v>0</v>
      </c>
      <c r="S135" s="42">
        <v>0</v>
      </c>
      <c r="U135" s="42">
        <v>0</v>
      </c>
      <c r="W135" s="42">
        <v>0</v>
      </c>
      <c r="Y135" s="42">
        <v>0</v>
      </c>
      <c r="AA135" s="42">
        <v>0</v>
      </c>
      <c r="AB135" s="37"/>
      <c r="AC135" s="42">
        <v>0</v>
      </c>
      <c r="AE135" s="42">
        <v>0</v>
      </c>
      <c r="AG135" s="42">
        <f t="shared" si="26"/>
        <v>0</v>
      </c>
      <c r="AH135" s="42"/>
      <c r="AI135" s="42">
        <f t="shared" si="27"/>
        <v>0</v>
      </c>
    </row>
    <row r="136" spans="1:35" ht="12" customHeight="1">
      <c r="A136" s="8" t="s">
        <v>504</v>
      </c>
      <c r="B136" s="8"/>
      <c r="C136" s="8" t="s">
        <v>63</v>
      </c>
      <c r="D136" s="8"/>
      <c r="E136" s="23">
        <v>49981</v>
      </c>
      <c r="G136" s="42">
        <v>1809937</v>
      </c>
      <c r="I136" s="42">
        <v>2051616</v>
      </c>
      <c r="K136" s="42">
        <v>121686</v>
      </c>
      <c r="M136" s="42">
        <f t="shared" si="23"/>
        <v>3983239</v>
      </c>
      <c r="O136" s="42">
        <f>24480649+678992+1297362</f>
        <v>26457003</v>
      </c>
      <c r="Q136" s="42">
        <v>0</v>
      </c>
      <c r="S136" s="42">
        <v>6389289</v>
      </c>
      <c r="U136" s="42">
        <f>28066-32779</f>
        <v>-4713</v>
      </c>
      <c r="W136" s="42">
        <v>0</v>
      </c>
      <c r="Y136" s="42">
        <v>0</v>
      </c>
      <c r="AA136" s="42">
        <v>163228</v>
      </c>
      <c r="AB136" s="37"/>
      <c r="AC136" s="42">
        <v>0</v>
      </c>
      <c r="AE136" s="42">
        <v>0</v>
      </c>
      <c r="AG136" s="42">
        <f t="shared" si="26"/>
        <v>33004807</v>
      </c>
      <c r="AH136" s="42"/>
      <c r="AI136" s="42">
        <f t="shared" si="27"/>
        <v>36988046</v>
      </c>
    </row>
    <row r="137" spans="1:35" ht="12" customHeight="1">
      <c r="A137" s="8" t="s">
        <v>334</v>
      </c>
      <c r="B137" s="8"/>
      <c r="C137" s="8" t="s">
        <v>33</v>
      </c>
      <c r="D137" s="8"/>
      <c r="E137" s="23">
        <v>47431</v>
      </c>
      <c r="G137" s="42">
        <v>758491</v>
      </c>
      <c r="I137" s="42">
        <v>716518</v>
      </c>
      <c r="K137" s="42">
        <v>2000</v>
      </c>
      <c r="M137" s="42">
        <f t="shared" si="23"/>
        <v>1477009</v>
      </c>
      <c r="O137" s="42">
        <f>1884826+38901+367097+89335</f>
        <v>2380159</v>
      </c>
      <c r="Q137" s="42">
        <v>1628740</v>
      </c>
      <c r="S137" s="42">
        <v>2945369</v>
      </c>
      <c r="U137" s="42">
        <v>17552</v>
      </c>
      <c r="W137" s="42">
        <v>0</v>
      </c>
      <c r="Y137" s="42">
        <v>43630</v>
      </c>
      <c r="AA137" s="42">
        <v>134970</v>
      </c>
      <c r="AB137" s="37"/>
      <c r="AC137" s="42">
        <v>0</v>
      </c>
      <c r="AE137" s="42">
        <v>0</v>
      </c>
      <c r="AG137" s="42">
        <f t="shared" si="26"/>
        <v>7150420</v>
      </c>
      <c r="AH137" s="42"/>
      <c r="AI137" s="42">
        <f t="shared" si="27"/>
        <v>8627429</v>
      </c>
    </row>
    <row r="138" spans="1:35" ht="12" customHeight="1">
      <c r="A138" s="8" t="s">
        <v>251</v>
      </c>
      <c r="B138" s="8"/>
      <c r="C138" s="8" t="s">
        <v>19</v>
      </c>
      <c r="D138" s="8"/>
      <c r="E138" s="23">
        <v>43828</v>
      </c>
      <c r="G138" s="42">
        <v>1252907</v>
      </c>
      <c r="I138" s="42">
        <v>3924666</v>
      </c>
      <c r="K138" s="42">
        <v>0</v>
      </c>
      <c r="M138" s="42">
        <f t="shared" si="23"/>
        <v>5177573</v>
      </c>
      <c r="O138" s="42">
        <f>4628226+71799+462493+101124</f>
        <v>5263642</v>
      </c>
      <c r="Q138" s="42">
        <v>0</v>
      </c>
      <c r="S138" s="42">
        <v>0</v>
      </c>
      <c r="U138" s="42">
        <v>20454</v>
      </c>
      <c r="W138" s="42">
        <v>0</v>
      </c>
      <c r="Y138" s="42">
        <v>0</v>
      </c>
      <c r="AA138" s="42">
        <f>8438681+132903</f>
        <v>8571584</v>
      </c>
      <c r="AB138" s="37"/>
      <c r="AC138" s="42">
        <v>0</v>
      </c>
      <c r="AE138" s="42">
        <v>0</v>
      </c>
      <c r="AG138" s="42">
        <f t="shared" si="26"/>
        <v>13855680</v>
      </c>
      <c r="AH138" s="42"/>
      <c r="AI138" s="42">
        <f t="shared" si="27"/>
        <v>19033253</v>
      </c>
    </row>
    <row r="139" spans="1:35" ht="12" customHeight="1">
      <c r="A139" s="8" t="s">
        <v>599</v>
      </c>
      <c r="B139" s="8"/>
      <c r="C139" s="8" t="s">
        <v>63</v>
      </c>
      <c r="D139" s="8"/>
      <c r="E139" s="23">
        <v>49999</v>
      </c>
      <c r="G139" s="42">
        <v>5896053</v>
      </c>
      <c r="I139" s="42">
        <v>2040793</v>
      </c>
      <c r="K139" s="42">
        <v>0</v>
      </c>
      <c r="M139" s="42">
        <f t="shared" si="23"/>
        <v>7936846</v>
      </c>
      <c r="O139" s="42">
        <f>8839852+336437</f>
        <v>9176289</v>
      </c>
      <c r="Q139" s="42">
        <v>0</v>
      </c>
      <c r="S139" s="42">
        <v>4760523</v>
      </c>
      <c r="U139" s="42">
        <v>0</v>
      </c>
      <c r="W139" s="42">
        <v>0</v>
      </c>
      <c r="Y139" s="42">
        <v>0</v>
      </c>
      <c r="AA139" s="42">
        <v>163645</v>
      </c>
      <c r="AB139" s="37"/>
      <c r="AC139" s="42">
        <v>0</v>
      </c>
      <c r="AE139" s="42">
        <v>0</v>
      </c>
      <c r="AG139" s="42">
        <f t="shared" si="26"/>
        <v>14100457</v>
      </c>
      <c r="AH139" s="42"/>
      <c r="AI139" s="42">
        <f t="shared" si="27"/>
        <v>22037303</v>
      </c>
    </row>
    <row r="140" spans="1:35" ht="12" customHeight="1">
      <c r="A140" s="9" t="s">
        <v>752</v>
      </c>
      <c r="B140" s="8"/>
      <c r="C140" s="8" t="s">
        <v>48</v>
      </c>
      <c r="D140" s="8"/>
      <c r="E140" s="23">
        <v>45336</v>
      </c>
      <c r="G140" s="42">
        <v>1098870</v>
      </c>
      <c r="I140" s="42">
        <v>891261</v>
      </c>
      <c r="K140" s="42">
        <v>0</v>
      </c>
      <c r="M140" s="42">
        <f t="shared" ref="M140" si="28">SUM(G140:L140)</f>
        <v>1990131</v>
      </c>
      <c r="O140" s="42">
        <v>1683843</v>
      </c>
      <c r="Q140" s="42">
        <v>1935144</v>
      </c>
      <c r="S140" s="42">
        <v>3119670</v>
      </c>
      <c r="U140" s="42">
        <v>3678</v>
      </c>
      <c r="W140" s="42">
        <v>0</v>
      </c>
      <c r="Y140" s="42">
        <v>0</v>
      </c>
      <c r="AA140" s="42">
        <v>22514</v>
      </c>
      <c r="AB140" s="37"/>
      <c r="AC140" s="42">
        <v>0</v>
      </c>
      <c r="AE140" s="42">
        <v>0</v>
      </c>
      <c r="AG140" s="42">
        <f t="shared" ref="AG140" si="29">SUM(O140:AE140)</f>
        <v>6764849</v>
      </c>
      <c r="AH140" s="42"/>
      <c r="AI140" s="42">
        <f t="shared" ref="AI140" si="30">+AG140+M140</f>
        <v>8754980</v>
      </c>
    </row>
    <row r="141" spans="1:35" ht="12" hidden="1" customHeight="1">
      <c r="A141" s="9" t="s">
        <v>825</v>
      </c>
      <c r="B141" s="8"/>
      <c r="C141" s="8" t="s">
        <v>110</v>
      </c>
      <c r="D141" s="8"/>
      <c r="E141" s="23">
        <v>45344</v>
      </c>
      <c r="G141" s="42">
        <v>0</v>
      </c>
      <c r="I141" s="42">
        <v>0</v>
      </c>
      <c r="K141" s="42">
        <v>0</v>
      </c>
      <c r="M141" s="42">
        <f t="shared" si="23"/>
        <v>0</v>
      </c>
      <c r="O141" s="42">
        <v>0</v>
      </c>
      <c r="Q141" s="42">
        <v>0</v>
      </c>
      <c r="S141" s="42">
        <v>0</v>
      </c>
      <c r="U141" s="42">
        <v>0</v>
      </c>
      <c r="W141" s="42">
        <v>0</v>
      </c>
      <c r="Y141" s="42">
        <v>0</v>
      </c>
      <c r="AA141" s="42">
        <v>0</v>
      </c>
      <c r="AB141" s="37"/>
      <c r="AC141" s="42">
        <v>0</v>
      </c>
      <c r="AE141" s="42">
        <v>0</v>
      </c>
      <c r="AG141" s="42">
        <f t="shared" si="26"/>
        <v>0</v>
      </c>
      <c r="AH141" s="42"/>
      <c r="AI141" s="42">
        <f t="shared" si="27"/>
        <v>0</v>
      </c>
    </row>
    <row r="142" spans="1:35" ht="12" customHeight="1">
      <c r="A142" s="8" t="s">
        <v>245</v>
      </c>
      <c r="B142" s="8"/>
      <c r="C142" s="8" t="s">
        <v>111</v>
      </c>
      <c r="D142" s="8"/>
      <c r="E142" s="23">
        <v>46433</v>
      </c>
      <c r="F142" s="59"/>
      <c r="G142" s="42">
        <v>3145718</v>
      </c>
      <c r="I142" s="42">
        <v>701573</v>
      </c>
      <c r="K142" s="42">
        <v>0</v>
      </c>
      <c r="M142" s="42">
        <f t="shared" si="23"/>
        <v>3847291</v>
      </c>
      <c r="O142" s="42">
        <f>1875429+265349+363494+36078</f>
        <v>2540350</v>
      </c>
      <c r="Q142" s="42">
        <v>1231270</v>
      </c>
      <c r="S142" s="42">
        <v>5088637</v>
      </c>
      <c r="U142" s="42">
        <v>21245</v>
      </c>
      <c r="W142" s="42">
        <v>0</v>
      </c>
      <c r="Y142" s="42">
        <v>0</v>
      </c>
      <c r="AA142" s="42">
        <v>69842</v>
      </c>
      <c r="AB142" s="37"/>
      <c r="AC142" s="42">
        <v>0</v>
      </c>
      <c r="AE142" s="42">
        <v>0</v>
      </c>
      <c r="AG142" s="42">
        <f t="shared" si="26"/>
        <v>8951344</v>
      </c>
      <c r="AH142" s="42"/>
      <c r="AI142" s="42">
        <f t="shared" si="27"/>
        <v>12798635</v>
      </c>
    </row>
    <row r="143" spans="1:35" ht="12" customHeight="1">
      <c r="A143" s="8" t="s">
        <v>245</v>
      </c>
      <c r="B143" s="8"/>
      <c r="C143" s="8" t="s">
        <v>109</v>
      </c>
      <c r="D143" s="8"/>
      <c r="E143" s="23">
        <v>49429</v>
      </c>
      <c r="G143" s="42">
        <v>608858</v>
      </c>
      <c r="I143" s="42">
        <v>1996381</v>
      </c>
      <c r="K143" s="42">
        <v>0</v>
      </c>
      <c r="M143" s="42">
        <f t="shared" si="23"/>
        <v>2605239</v>
      </c>
      <c r="O143" s="42">
        <f>2427982+41675+320733+248016</f>
        <v>3038406</v>
      </c>
      <c r="Q143" s="42">
        <v>0</v>
      </c>
      <c r="S143" s="42">
        <v>6925502</v>
      </c>
      <c r="U143" s="42">
        <v>40975</v>
      </c>
      <c r="W143" s="42">
        <v>0</v>
      </c>
      <c r="Y143" s="42">
        <v>0</v>
      </c>
      <c r="AA143" s="42">
        <v>28490</v>
      </c>
      <c r="AB143" s="37"/>
      <c r="AC143" s="42">
        <v>0</v>
      </c>
      <c r="AE143" s="42">
        <v>0</v>
      </c>
      <c r="AG143" s="42">
        <f t="shared" si="26"/>
        <v>10033373</v>
      </c>
      <c r="AH143" s="42"/>
      <c r="AI143" s="42">
        <f t="shared" si="27"/>
        <v>12638612</v>
      </c>
    </row>
    <row r="144" spans="1:35" ht="12" hidden="1" customHeight="1">
      <c r="A144" s="9" t="s">
        <v>650</v>
      </c>
      <c r="B144" s="9"/>
      <c r="C144" s="9" t="s">
        <v>67</v>
      </c>
      <c r="D144" s="8"/>
      <c r="E144" s="23">
        <v>50351</v>
      </c>
      <c r="G144" s="42">
        <v>0</v>
      </c>
      <c r="I144" s="42">
        <v>0</v>
      </c>
      <c r="K144" s="42">
        <v>0</v>
      </c>
      <c r="M144" s="42">
        <f t="shared" si="23"/>
        <v>0</v>
      </c>
      <c r="O144" s="42">
        <v>0</v>
      </c>
      <c r="Q144" s="42">
        <v>0</v>
      </c>
      <c r="S144" s="42">
        <v>0</v>
      </c>
      <c r="U144" s="42">
        <v>0</v>
      </c>
      <c r="W144" s="42">
        <v>0</v>
      </c>
      <c r="Y144" s="42">
        <v>0</v>
      </c>
      <c r="AA144" s="42">
        <v>0</v>
      </c>
      <c r="AB144" s="37"/>
      <c r="AC144" s="42">
        <v>0</v>
      </c>
      <c r="AE144" s="42">
        <v>0</v>
      </c>
      <c r="AG144" s="42">
        <f t="shared" si="26"/>
        <v>0</v>
      </c>
      <c r="AH144" s="42"/>
      <c r="AI144" s="42">
        <f t="shared" si="27"/>
        <v>0</v>
      </c>
    </row>
    <row r="145" spans="1:36" ht="12" customHeight="1">
      <c r="A145" s="9" t="s">
        <v>712</v>
      </c>
      <c r="B145" s="8"/>
      <c r="C145" s="8" t="s">
        <v>56</v>
      </c>
      <c r="D145" s="8"/>
      <c r="E145" s="23">
        <v>49189</v>
      </c>
      <c r="G145" s="42">
        <v>1823162</v>
      </c>
      <c r="I145" s="42">
        <v>1408123</v>
      </c>
      <c r="K145" s="42">
        <v>0</v>
      </c>
      <c r="M145" s="42">
        <f t="shared" si="23"/>
        <v>3231285</v>
      </c>
      <c r="O145" s="42">
        <f>6323676+526193+315510+157645</f>
        <v>7323024</v>
      </c>
      <c r="Q145" s="42">
        <v>0</v>
      </c>
      <c r="S145" s="42">
        <v>11608170</v>
      </c>
      <c r="U145" s="42">
        <v>-8432</v>
      </c>
      <c r="W145" s="42">
        <v>0</v>
      </c>
      <c r="Y145" s="42">
        <v>0</v>
      </c>
      <c r="AA145" s="42">
        <v>273063</v>
      </c>
      <c r="AB145" s="37"/>
      <c r="AC145" s="42">
        <v>0</v>
      </c>
      <c r="AE145" s="42">
        <v>0</v>
      </c>
      <c r="AG145" s="42">
        <f t="shared" si="26"/>
        <v>19195825</v>
      </c>
      <c r="AH145" s="42"/>
      <c r="AI145" s="42">
        <f t="shared" si="27"/>
        <v>22427110</v>
      </c>
    </row>
    <row r="146" spans="1:36" ht="12" customHeight="1">
      <c r="A146" s="9" t="s">
        <v>753</v>
      </c>
      <c r="B146" s="8"/>
      <c r="C146" s="8" t="s">
        <v>448</v>
      </c>
      <c r="D146" s="8"/>
      <c r="E146" s="23">
        <v>45351</v>
      </c>
      <c r="G146" s="42">
        <v>1174805</v>
      </c>
      <c r="I146" s="42">
        <v>1896219</v>
      </c>
      <c r="K146" s="42">
        <v>0</v>
      </c>
      <c r="M146" s="42">
        <f t="shared" si="23"/>
        <v>3071024</v>
      </c>
      <c r="O146" s="42">
        <f>787682+113572+18557</f>
        <v>919811</v>
      </c>
      <c r="Q146" s="42">
        <v>0</v>
      </c>
      <c r="S146" s="42">
        <v>7175684</v>
      </c>
      <c r="U146" s="42">
        <v>8043</v>
      </c>
      <c r="W146" s="42">
        <v>0</v>
      </c>
      <c r="Y146" s="42">
        <v>0</v>
      </c>
      <c r="AA146" s="42">
        <v>228529</v>
      </c>
      <c r="AB146" s="37"/>
      <c r="AC146" s="42">
        <v>0</v>
      </c>
      <c r="AE146" s="42">
        <v>0</v>
      </c>
      <c r="AG146" s="42">
        <f t="shared" si="26"/>
        <v>8332067</v>
      </c>
      <c r="AH146" s="42"/>
      <c r="AI146" s="42">
        <f t="shared" si="27"/>
        <v>11403091</v>
      </c>
    </row>
    <row r="147" spans="1:36" ht="12" customHeight="1">
      <c r="A147" s="9" t="s">
        <v>651</v>
      </c>
      <c r="B147" s="8"/>
      <c r="C147" s="8" t="s">
        <v>63</v>
      </c>
      <c r="D147" s="8"/>
      <c r="E147" s="23">
        <v>43836</v>
      </c>
      <c r="G147" s="42">
        <v>5286005</v>
      </c>
      <c r="I147" s="42">
        <v>6016032</v>
      </c>
      <c r="K147" s="42">
        <v>0</v>
      </c>
      <c r="M147" s="42">
        <f t="shared" si="23"/>
        <v>11302037</v>
      </c>
      <c r="O147" s="42">
        <f>25831693+508493</f>
        <v>26340186</v>
      </c>
      <c r="Q147" s="42">
        <v>0</v>
      </c>
      <c r="S147" s="42">
        <v>14350612</v>
      </c>
      <c r="U147" s="42">
        <v>5136</v>
      </c>
      <c r="W147" s="42">
        <v>42243</v>
      </c>
      <c r="Y147" s="42">
        <v>0</v>
      </c>
      <c r="AA147" s="42">
        <v>32575</v>
      </c>
      <c r="AB147" s="37"/>
      <c r="AC147" s="42">
        <v>0</v>
      </c>
      <c r="AE147" s="42">
        <v>0</v>
      </c>
      <c r="AG147" s="42">
        <f t="shared" si="26"/>
        <v>40770752</v>
      </c>
      <c r="AH147" s="42"/>
      <c r="AI147" s="42">
        <f t="shared" si="27"/>
        <v>52072789</v>
      </c>
    </row>
    <row r="148" spans="1:36" ht="12" customHeight="1">
      <c r="A148" s="9" t="s">
        <v>713</v>
      </c>
      <c r="B148" s="8"/>
      <c r="C148" s="8" t="s">
        <v>20</v>
      </c>
      <c r="D148" s="8"/>
      <c r="E148" s="23">
        <v>46557</v>
      </c>
      <c r="G148" s="42">
        <v>1148867</v>
      </c>
      <c r="I148" s="42">
        <v>208206</v>
      </c>
      <c r="K148" s="42">
        <v>570317</v>
      </c>
      <c r="M148" s="42">
        <f t="shared" si="23"/>
        <v>1927390</v>
      </c>
      <c r="O148" s="42">
        <v>10146755</v>
      </c>
      <c r="Q148" s="42">
        <v>0</v>
      </c>
      <c r="S148" s="42">
        <v>4309649</v>
      </c>
      <c r="U148" s="42">
        <v>1853</v>
      </c>
      <c r="W148" s="42">
        <v>91100</v>
      </c>
      <c r="Y148" s="42">
        <v>0</v>
      </c>
      <c r="AA148" s="42">
        <v>91176</v>
      </c>
      <c r="AB148" s="37"/>
      <c r="AC148" s="42">
        <v>0</v>
      </c>
      <c r="AE148" s="42">
        <v>308598</v>
      </c>
      <c r="AG148" s="42">
        <f t="shared" si="26"/>
        <v>14949131</v>
      </c>
      <c r="AH148" s="42"/>
      <c r="AI148" s="42">
        <f t="shared" si="27"/>
        <v>16876521</v>
      </c>
    </row>
    <row r="149" spans="1:36" ht="12" customHeight="1">
      <c r="A149" s="8" t="s">
        <v>604</v>
      </c>
      <c r="B149" s="8"/>
      <c r="C149" s="8" t="s">
        <v>71</v>
      </c>
      <c r="D149" s="8"/>
      <c r="E149" s="23">
        <v>50542</v>
      </c>
      <c r="G149" s="42">
        <v>777057</v>
      </c>
      <c r="I149" s="42">
        <v>984184</v>
      </c>
      <c r="K149" s="42">
        <v>0</v>
      </c>
      <c r="M149" s="42">
        <f t="shared" si="23"/>
        <v>1761241</v>
      </c>
      <c r="O149" s="42">
        <f>2699209+732628+189032+44921</f>
        <v>3665790</v>
      </c>
      <c r="Q149" s="42">
        <v>1162899</v>
      </c>
      <c r="S149" s="42">
        <v>3545055</v>
      </c>
      <c r="U149" s="42">
        <v>65276</v>
      </c>
      <c r="W149" s="42">
        <v>0</v>
      </c>
      <c r="Y149" s="42">
        <v>0</v>
      </c>
      <c r="AA149" s="42">
        <f>6889159+39458</f>
        <v>6928617</v>
      </c>
      <c r="AB149" s="37"/>
      <c r="AC149" s="42">
        <v>0</v>
      </c>
      <c r="AE149" s="42">
        <v>0</v>
      </c>
      <c r="AG149" s="42">
        <f t="shared" si="26"/>
        <v>15367637</v>
      </c>
      <c r="AH149" s="42"/>
      <c r="AI149" s="42">
        <f t="shared" si="27"/>
        <v>17128878</v>
      </c>
    </row>
    <row r="150" spans="1:36" ht="12" hidden="1" customHeight="1">
      <c r="A150" s="8" t="s">
        <v>735</v>
      </c>
      <c r="B150" s="8"/>
      <c r="C150" s="8" t="s">
        <v>53</v>
      </c>
      <c r="D150" s="8"/>
      <c r="E150" s="23">
        <v>48934</v>
      </c>
      <c r="G150" s="42">
        <v>0</v>
      </c>
      <c r="I150" s="42">
        <v>0</v>
      </c>
      <c r="K150" s="42">
        <v>0</v>
      </c>
      <c r="M150" s="42">
        <f t="shared" si="23"/>
        <v>0</v>
      </c>
      <c r="O150" s="42">
        <v>0</v>
      </c>
      <c r="Q150" s="42">
        <v>0</v>
      </c>
      <c r="S150" s="42">
        <v>0</v>
      </c>
      <c r="U150" s="42">
        <v>0</v>
      </c>
      <c r="W150" s="42">
        <v>0</v>
      </c>
      <c r="Y150" s="42">
        <v>0</v>
      </c>
      <c r="AA150" s="42">
        <v>0</v>
      </c>
      <c r="AB150" s="37"/>
      <c r="AC150" s="42">
        <v>0</v>
      </c>
      <c r="AE150" s="42">
        <v>0</v>
      </c>
      <c r="AG150" s="42">
        <f t="shared" si="26"/>
        <v>0</v>
      </c>
      <c r="AH150" s="42"/>
      <c r="AI150" s="42">
        <f t="shared" si="27"/>
        <v>0</v>
      </c>
    </row>
    <row r="151" spans="1:36" ht="12" hidden="1" customHeight="1">
      <c r="A151" s="9" t="s">
        <v>652</v>
      </c>
      <c r="B151" s="8"/>
      <c r="C151" s="8" t="s">
        <v>40</v>
      </c>
      <c r="D151" s="8"/>
      <c r="E151" s="23">
        <v>47837</v>
      </c>
      <c r="G151" s="42">
        <v>0</v>
      </c>
      <c r="I151" s="42">
        <v>0</v>
      </c>
      <c r="K151" s="42">
        <v>0</v>
      </c>
      <c r="M151" s="42">
        <f t="shared" si="23"/>
        <v>0</v>
      </c>
      <c r="O151" s="42">
        <v>0</v>
      </c>
      <c r="Q151" s="42">
        <v>0</v>
      </c>
      <c r="S151" s="42">
        <v>0</v>
      </c>
      <c r="U151" s="42">
        <v>0</v>
      </c>
      <c r="W151" s="42">
        <v>0</v>
      </c>
      <c r="Y151" s="42">
        <v>0</v>
      </c>
      <c r="AA151" s="42">
        <v>0</v>
      </c>
      <c r="AB151" s="37"/>
      <c r="AC151" s="42">
        <v>0</v>
      </c>
      <c r="AE151" s="42">
        <v>0</v>
      </c>
      <c r="AG151" s="42">
        <f t="shared" si="26"/>
        <v>0</v>
      </c>
      <c r="AH151" s="42"/>
      <c r="AI151" s="42">
        <f t="shared" si="27"/>
        <v>0</v>
      </c>
    </row>
    <row r="152" spans="1:36" ht="12" customHeight="1">
      <c r="A152" s="8" t="s">
        <v>365</v>
      </c>
      <c r="B152" s="8"/>
      <c r="C152" s="8" t="s">
        <v>364</v>
      </c>
      <c r="D152" s="8"/>
      <c r="E152" s="23">
        <v>47928</v>
      </c>
      <c r="G152" s="42">
        <v>1498878</v>
      </c>
      <c r="I152" s="42">
        <v>1777451</v>
      </c>
      <c r="K152" s="42">
        <v>0</v>
      </c>
      <c r="M152" s="42">
        <f t="shared" si="23"/>
        <v>3276329</v>
      </c>
      <c r="O152" s="42">
        <f>1165787+80561+19320</f>
        <v>1265668</v>
      </c>
      <c r="Q152" s="42">
        <v>0</v>
      </c>
      <c r="S152" s="42">
        <v>8474156</v>
      </c>
      <c r="U152" s="42">
        <v>13318</v>
      </c>
      <c r="W152" s="42">
        <v>0</v>
      </c>
      <c r="Y152" s="42">
        <v>85576</v>
      </c>
      <c r="AA152" s="42">
        <v>43724</v>
      </c>
      <c r="AB152" s="37"/>
      <c r="AC152" s="42">
        <v>0</v>
      </c>
      <c r="AE152" s="42">
        <v>0</v>
      </c>
      <c r="AG152" s="42">
        <f t="shared" si="26"/>
        <v>9882442</v>
      </c>
      <c r="AH152" s="42"/>
      <c r="AI152" s="42">
        <f t="shared" si="27"/>
        <v>13158771</v>
      </c>
    </row>
    <row r="153" spans="1:36" ht="12" customHeight="1">
      <c r="A153" s="8" t="s">
        <v>426</v>
      </c>
      <c r="B153" s="8"/>
      <c r="C153" s="8" t="s">
        <v>50</v>
      </c>
      <c r="D153" s="8"/>
      <c r="E153" s="23">
        <v>43844</v>
      </c>
      <c r="G153" s="42">
        <v>3561781</v>
      </c>
      <c r="I153" s="42">
        <v>53460982</v>
      </c>
      <c r="K153" s="42">
        <v>0</v>
      </c>
      <c r="M153" s="42">
        <f t="shared" si="23"/>
        <v>57022763</v>
      </c>
      <c r="O153" s="42">
        <f>56770433+14468317+585370+585368</f>
        <v>72409488</v>
      </c>
      <c r="Q153" s="42">
        <v>0</v>
      </c>
      <c r="S153" s="42">
        <v>138351191</v>
      </c>
      <c r="U153" s="42">
        <v>-399516</v>
      </c>
      <c r="W153" s="42">
        <v>0</v>
      </c>
      <c r="Y153" s="42">
        <v>7245</v>
      </c>
      <c r="AA153" s="42">
        <v>915656</v>
      </c>
      <c r="AB153" s="37"/>
      <c r="AC153" s="42">
        <v>0</v>
      </c>
      <c r="AE153" s="42">
        <v>0</v>
      </c>
      <c r="AG153" s="42">
        <f t="shared" si="26"/>
        <v>211284064</v>
      </c>
      <c r="AH153" s="42"/>
      <c r="AI153" s="42">
        <f>+AG153+M153</f>
        <v>268306827</v>
      </c>
    </row>
    <row r="154" spans="1:36" ht="12" customHeight="1">
      <c r="A154" s="9" t="s">
        <v>877</v>
      </c>
      <c r="B154" s="8"/>
      <c r="C154" s="8" t="s">
        <v>32</v>
      </c>
      <c r="D154" s="8"/>
      <c r="E154" s="23">
        <v>43851</v>
      </c>
      <c r="G154" s="42">
        <v>505454</v>
      </c>
      <c r="I154" s="42">
        <v>1231430</v>
      </c>
      <c r="K154" s="42">
        <v>0</v>
      </c>
      <c r="M154" s="42">
        <f t="shared" si="23"/>
        <v>1736884</v>
      </c>
      <c r="O154" s="42">
        <f>7560279+387819</f>
        <v>7948098</v>
      </c>
      <c r="Q154" s="42">
        <v>0</v>
      </c>
      <c r="S154" s="42">
        <v>4092270</v>
      </c>
      <c r="U154" s="42">
        <v>14108</v>
      </c>
      <c r="W154" s="42">
        <v>396642</v>
      </c>
      <c r="Y154" s="42">
        <v>108124</v>
      </c>
      <c r="AA154" s="42">
        <v>189733</v>
      </c>
      <c r="AB154" s="37"/>
      <c r="AC154" s="42">
        <v>0</v>
      </c>
      <c r="AE154" s="42">
        <v>0</v>
      </c>
      <c r="AG154" s="42">
        <f>SUM(O154:AE154)</f>
        <v>12748975</v>
      </c>
      <c r="AH154" s="42"/>
      <c r="AI154" s="42">
        <f>+AG154+M154</f>
        <v>14485859</v>
      </c>
    </row>
    <row r="155" spans="1:36" ht="12" hidden="1" customHeight="1">
      <c r="A155" s="9" t="s">
        <v>653</v>
      </c>
      <c r="B155" s="8"/>
      <c r="C155" s="8" t="s">
        <v>22</v>
      </c>
      <c r="D155" s="8"/>
      <c r="E155" s="23">
        <v>43869</v>
      </c>
      <c r="G155" s="42">
        <v>0</v>
      </c>
      <c r="I155" s="42">
        <v>0</v>
      </c>
      <c r="K155" s="42">
        <v>0</v>
      </c>
      <c r="M155" s="42">
        <f t="shared" si="23"/>
        <v>0</v>
      </c>
      <c r="O155" s="42">
        <v>0</v>
      </c>
      <c r="Q155" s="42">
        <v>0</v>
      </c>
      <c r="S155" s="42">
        <v>0</v>
      </c>
      <c r="U155" s="42">
        <v>0</v>
      </c>
      <c r="W155" s="42">
        <v>0</v>
      </c>
      <c r="Y155" s="42">
        <v>0</v>
      </c>
      <c r="AA155" s="42">
        <v>0</v>
      </c>
      <c r="AB155" s="37"/>
      <c r="AC155" s="42">
        <v>0</v>
      </c>
      <c r="AE155" s="42">
        <v>0</v>
      </c>
      <c r="AG155" s="42">
        <f>SUM(O155:AE155)</f>
        <v>0</v>
      </c>
      <c r="AH155" s="42"/>
      <c r="AI155" s="42">
        <f>+AG155+M155</f>
        <v>0</v>
      </c>
    </row>
    <row r="156" spans="1:36" ht="12" customHeight="1">
      <c r="A156" s="9" t="s">
        <v>736</v>
      </c>
      <c r="B156" s="9"/>
      <c r="C156" s="9" t="s">
        <v>23</v>
      </c>
      <c r="D156" s="8"/>
      <c r="E156" s="23">
        <v>43877</v>
      </c>
      <c r="G156" s="42">
        <v>2922927</v>
      </c>
      <c r="I156" s="42">
        <v>4864556</v>
      </c>
      <c r="K156" s="42">
        <v>0</v>
      </c>
      <c r="M156" s="42">
        <f t="shared" si="23"/>
        <v>7787483</v>
      </c>
      <c r="O156" s="42">
        <f>29753957+3364962+1878323</f>
        <v>34997242</v>
      </c>
      <c r="Q156" s="42">
        <v>0</v>
      </c>
      <c r="S156" s="42">
        <v>17700452</v>
      </c>
      <c r="U156" s="42">
        <v>112157</v>
      </c>
      <c r="W156" s="42">
        <v>0</v>
      </c>
      <c r="Y156" s="42">
        <v>0</v>
      </c>
      <c r="AA156" s="42">
        <v>771804</v>
      </c>
      <c r="AB156" s="37"/>
      <c r="AC156" s="42">
        <v>0</v>
      </c>
      <c r="AE156" s="42">
        <v>0</v>
      </c>
      <c r="AG156" s="42">
        <f t="shared" ref="AG156:AG157" si="31">SUM(O156:AE156)</f>
        <v>53581655</v>
      </c>
      <c r="AH156" s="42"/>
      <c r="AI156" s="42">
        <f t="shared" ref="AI156:AI158" si="32">+AG156+M156</f>
        <v>61369138</v>
      </c>
    </row>
    <row r="157" spans="1:36" s="42" customFormat="1" ht="12" customHeight="1">
      <c r="A157" s="9" t="s">
        <v>200</v>
      </c>
      <c r="B157" s="9"/>
      <c r="C157" s="9" t="s">
        <v>10</v>
      </c>
      <c r="D157" s="9"/>
      <c r="E157" s="23">
        <v>43885</v>
      </c>
      <c r="F157" s="7"/>
      <c r="G157" s="42">
        <v>1066197</v>
      </c>
      <c r="I157" s="42">
        <v>1855693</v>
      </c>
      <c r="K157" s="42">
        <v>7187</v>
      </c>
      <c r="M157" s="42">
        <f t="shared" ref="M157:M228" si="33">SUM(G157:L157)</f>
        <v>2929077</v>
      </c>
      <c r="O157" s="42">
        <f>3899949+229052</f>
        <v>4129001</v>
      </c>
      <c r="Q157" s="42">
        <v>0</v>
      </c>
      <c r="S157" s="42">
        <v>3770203</v>
      </c>
      <c r="U157" s="42">
        <v>10327</v>
      </c>
      <c r="W157" s="42">
        <v>38562</v>
      </c>
      <c r="Y157" s="42">
        <v>1626</v>
      </c>
      <c r="AA157" s="42">
        <v>71321</v>
      </c>
      <c r="AB157" s="37"/>
      <c r="AC157" s="42">
        <v>0</v>
      </c>
      <c r="AE157" s="42">
        <v>0</v>
      </c>
      <c r="AG157" s="42">
        <f t="shared" si="31"/>
        <v>8021040</v>
      </c>
      <c r="AI157" s="42">
        <f t="shared" si="32"/>
        <v>10950117</v>
      </c>
    </row>
    <row r="158" spans="1:36" ht="12" customHeight="1">
      <c r="A158" s="8" t="s">
        <v>530</v>
      </c>
      <c r="B158" s="8"/>
      <c r="C158" s="8" t="s">
        <v>65</v>
      </c>
      <c r="D158" s="8"/>
      <c r="E158" s="23">
        <v>43893</v>
      </c>
      <c r="G158" s="42">
        <v>1044644</v>
      </c>
      <c r="I158" s="42">
        <v>1838191</v>
      </c>
      <c r="K158" s="42">
        <v>0</v>
      </c>
      <c r="M158" s="42">
        <f t="shared" si="33"/>
        <v>2882835</v>
      </c>
      <c r="O158" s="42">
        <f>11082080+551015+116010</f>
        <v>11749105</v>
      </c>
      <c r="Q158" s="42">
        <v>0</v>
      </c>
      <c r="S158" s="42">
        <v>9397618</v>
      </c>
      <c r="U158" s="42">
        <v>14697</v>
      </c>
      <c r="W158" s="42">
        <v>0</v>
      </c>
      <c r="Y158" s="42">
        <v>0</v>
      </c>
      <c r="AA158" s="42">
        <v>103321</v>
      </c>
      <c r="AB158" s="37"/>
      <c r="AC158" s="42">
        <v>0</v>
      </c>
      <c r="AE158" s="42">
        <v>0</v>
      </c>
      <c r="AG158" s="42">
        <f t="shared" ref="AG158:AG228" si="34">SUM(O158:AE158)</f>
        <v>21264741</v>
      </c>
      <c r="AH158" s="42"/>
      <c r="AI158" s="42">
        <f t="shared" si="32"/>
        <v>24147576</v>
      </c>
      <c r="AJ158" s="6" t="s">
        <v>127</v>
      </c>
    </row>
    <row r="159" spans="1:36" s="42" customFormat="1" ht="12" customHeight="1">
      <c r="A159" s="9" t="s">
        <v>300</v>
      </c>
      <c r="B159" s="9"/>
      <c r="C159" s="9" t="s">
        <v>27</v>
      </c>
      <c r="D159" s="9"/>
      <c r="E159" s="23">
        <v>47027</v>
      </c>
      <c r="G159" s="42">
        <v>3221484</v>
      </c>
      <c r="I159" s="42">
        <v>5165360</v>
      </c>
      <c r="K159" s="42">
        <v>0</v>
      </c>
      <c r="M159" s="42">
        <f t="shared" si="33"/>
        <v>8386844</v>
      </c>
      <c r="O159" s="42">
        <f>130355492+18310736</f>
        <v>148666228</v>
      </c>
      <c r="Q159" s="42">
        <v>0</v>
      </c>
      <c r="S159" s="42">
        <v>31905639</v>
      </c>
      <c r="U159" s="42">
        <v>279056</v>
      </c>
      <c r="W159" s="42">
        <v>0</v>
      </c>
      <c r="Y159" s="42">
        <v>0</v>
      </c>
      <c r="AA159" s="42">
        <v>565601</v>
      </c>
      <c r="AB159" s="37"/>
      <c r="AC159" s="42">
        <v>-5000</v>
      </c>
      <c r="AE159" s="42">
        <v>0</v>
      </c>
      <c r="AG159" s="42">
        <f t="shared" si="34"/>
        <v>181411524</v>
      </c>
      <c r="AI159" s="42">
        <f t="shared" ref="AI159:AI228" si="35">+AG159+M159</f>
        <v>189798368</v>
      </c>
    </row>
    <row r="160" spans="1:36" ht="12" customHeight="1">
      <c r="A160" s="9" t="s">
        <v>264</v>
      </c>
      <c r="B160" s="8"/>
      <c r="C160" s="8" t="s">
        <v>20</v>
      </c>
      <c r="D160" s="8"/>
      <c r="E160" s="23">
        <v>43901</v>
      </c>
      <c r="G160" s="42">
        <v>3421867</v>
      </c>
      <c r="I160" s="42">
        <v>7736259</v>
      </c>
      <c r="K160" s="42">
        <v>6266</v>
      </c>
      <c r="M160" s="42">
        <f t="shared" si="33"/>
        <v>11164392</v>
      </c>
      <c r="O160" s="42">
        <f>6807784+646263+62686</f>
        <v>7516733</v>
      </c>
      <c r="Q160" s="42">
        <v>0</v>
      </c>
      <c r="S160" s="42">
        <v>34011229</v>
      </c>
      <c r="U160" s="42">
        <v>173963</v>
      </c>
      <c r="W160" s="42">
        <v>0</v>
      </c>
      <c r="Y160" s="42">
        <v>8655</v>
      </c>
      <c r="AA160" s="42">
        <v>583325</v>
      </c>
      <c r="AB160" s="37"/>
      <c r="AC160" s="42">
        <v>0</v>
      </c>
      <c r="AE160" s="42">
        <v>0</v>
      </c>
      <c r="AG160" s="42">
        <f t="shared" si="34"/>
        <v>42293905</v>
      </c>
      <c r="AH160" s="42"/>
      <c r="AI160" s="42">
        <f t="shared" si="35"/>
        <v>53458297</v>
      </c>
    </row>
    <row r="161" spans="1:35" ht="12" customHeight="1">
      <c r="A161" s="8" t="s">
        <v>242</v>
      </c>
      <c r="B161" s="8"/>
      <c r="C161" s="8" t="s">
        <v>18</v>
      </c>
      <c r="D161" s="8"/>
      <c r="E161" s="23">
        <v>46409</v>
      </c>
      <c r="F161" s="59"/>
      <c r="G161" s="42">
        <v>1162508</v>
      </c>
      <c r="I161" s="42">
        <v>2200287</v>
      </c>
      <c r="K161" s="42">
        <v>78710</v>
      </c>
      <c r="M161" s="42">
        <f t="shared" si="33"/>
        <v>3441505</v>
      </c>
      <c r="O161" s="42">
        <f>2574225+286467+300553+48922</f>
        <v>3210167</v>
      </c>
      <c r="Q161" s="42">
        <v>0</v>
      </c>
      <c r="S161" s="42">
        <v>7672737</v>
      </c>
      <c r="U161" s="42">
        <v>40313</v>
      </c>
      <c r="W161" s="42">
        <v>0</v>
      </c>
      <c r="Y161" s="42">
        <v>0</v>
      </c>
      <c r="AA161" s="42">
        <f>10709+98557</f>
        <v>109266</v>
      </c>
      <c r="AB161" s="37"/>
      <c r="AC161" s="42">
        <v>0</v>
      </c>
      <c r="AE161" s="42">
        <v>0</v>
      </c>
      <c r="AG161" s="42">
        <f t="shared" si="34"/>
        <v>11032483</v>
      </c>
      <c r="AH161" s="42"/>
      <c r="AI161" s="42">
        <f t="shared" si="35"/>
        <v>14473988</v>
      </c>
    </row>
    <row r="162" spans="1:35" ht="12.75" customHeight="1">
      <c r="A162" s="8" t="s">
        <v>318</v>
      </c>
      <c r="B162" s="8"/>
      <c r="C162" s="8" t="s">
        <v>31</v>
      </c>
      <c r="D162" s="8"/>
      <c r="E162" s="23">
        <v>69682</v>
      </c>
      <c r="G162" s="42">
        <v>1350440</v>
      </c>
      <c r="I162" s="42">
        <v>1311709</v>
      </c>
      <c r="K162" s="42">
        <v>0</v>
      </c>
      <c r="M162" s="42">
        <f t="shared" si="33"/>
        <v>2662149</v>
      </c>
      <c r="O162" s="42">
        <f>2276780+387437+465862</f>
        <v>3130079</v>
      </c>
      <c r="Q162" s="42">
        <v>0</v>
      </c>
      <c r="S162" s="42">
        <v>6532100</v>
      </c>
      <c r="U162" s="42">
        <v>15507</v>
      </c>
      <c r="W162" s="42">
        <v>0</v>
      </c>
      <c r="Y162" s="42">
        <v>0</v>
      </c>
      <c r="AA162" s="42">
        <v>83786</v>
      </c>
      <c r="AB162" s="37"/>
      <c r="AC162" s="42">
        <v>0</v>
      </c>
      <c r="AE162" s="42">
        <v>0</v>
      </c>
      <c r="AG162" s="42">
        <f t="shared" si="34"/>
        <v>9761472</v>
      </c>
      <c r="AH162" s="42"/>
      <c r="AI162" s="42">
        <f t="shared" si="35"/>
        <v>12423621</v>
      </c>
    </row>
    <row r="163" spans="1:35" ht="12" customHeight="1">
      <c r="A163" s="8" t="s">
        <v>351</v>
      </c>
      <c r="B163" s="8"/>
      <c r="C163" s="8" t="s">
        <v>36</v>
      </c>
      <c r="D163" s="8"/>
      <c r="E163" s="23">
        <v>47688</v>
      </c>
      <c r="G163" s="42">
        <v>1693993</v>
      </c>
      <c r="I163" s="42">
        <v>3065462</v>
      </c>
      <c r="K163" s="42">
        <v>0</v>
      </c>
      <c r="M163" s="42">
        <f t="shared" si="33"/>
        <v>4759455</v>
      </c>
      <c r="O163" s="42">
        <f>8012485+211135+366172</f>
        <v>8589792</v>
      </c>
      <c r="Q163" s="42">
        <v>0</v>
      </c>
      <c r="S163" s="42">
        <v>5776106</v>
      </c>
      <c r="U163" s="42">
        <v>22942</v>
      </c>
      <c r="W163" s="42">
        <v>0</v>
      </c>
      <c r="Y163" s="42">
        <v>0</v>
      </c>
      <c r="AA163" s="42">
        <v>132867</v>
      </c>
      <c r="AB163" s="37"/>
      <c r="AC163" s="42">
        <v>0</v>
      </c>
      <c r="AE163" s="42">
        <v>0</v>
      </c>
      <c r="AG163" s="42">
        <f t="shared" si="34"/>
        <v>14521707</v>
      </c>
      <c r="AH163" s="42"/>
      <c r="AI163" s="42">
        <f t="shared" si="35"/>
        <v>19281162</v>
      </c>
    </row>
    <row r="164" spans="1:35" ht="12" hidden="1" customHeight="1">
      <c r="A164" s="9" t="s">
        <v>654</v>
      </c>
      <c r="B164" s="9"/>
      <c r="C164" s="9" t="s">
        <v>40</v>
      </c>
      <c r="D164" s="8"/>
      <c r="E164" s="23">
        <v>47845</v>
      </c>
      <c r="G164" s="42">
        <v>0</v>
      </c>
      <c r="I164" s="42">
        <v>0</v>
      </c>
      <c r="K164" s="42">
        <v>0</v>
      </c>
      <c r="M164" s="42">
        <f t="shared" si="33"/>
        <v>0</v>
      </c>
      <c r="O164" s="42">
        <v>0</v>
      </c>
      <c r="Q164" s="42">
        <v>0</v>
      </c>
      <c r="S164" s="42">
        <v>0</v>
      </c>
      <c r="U164" s="42">
        <v>0</v>
      </c>
      <c r="W164" s="42">
        <v>0</v>
      </c>
      <c r="Y164" s="42">
        <v>0</v>
      </c>
      <c r="AA164" s="42">
        <v>0</v>
      </c>
      <c r="AB164" s="37"/>
      <c r="AC164" s="42">
        <v>0</v>
      </c>
      <c r="AE164" s="42">
        <v>0</v>
      </c>
      <c r="AG164" s="42">
        <f t="shared" si="34"/>
        <v>0</v>
      </c>
      <c r="AH164" s="42"/>
      <c r="AI164" s="42">
        <f t="shared" si="35"/>
        <v>0</v>
      </c>
    </row>
    <row r="165" spans="1:35" ht="12" customHeight="1">
      <c r="A165" s="8" t="s">
        <v>246</v>
      </c>
      <c r="B165" s="8"/>
      <c r="C165" s="8" t="s">
        <v>111</v>
      </c>
      <c r="D165" s="8"/>
      <c r="E165" s="23">
        <v>43919</v>
      </c>
      <c r="F165" s="59"/>
      <c r="G165" s="42">
        <v>1384455</v>
      </c>
      <c r="I165" s="42">
        <v>3979863</v>
      </c>
      <c r="K165" s="42">
        <v>3754</v>
      </c>
      <c r="M165" s="42">
        <f t="shared" si="33"/>
        <v>5368072</v>
      </c>
      <c r="O165" s="42">
        <f>3765652+240643+61882</f>
        <v>4068177</v>
      </c>
      <c r="Q165" s="42">
        <v>0</v>
      </c>
      <c r="S165" s="42">
        <v>18429418</v>
      </c>
      <c r="U165" s="42">
        <v>30866</v>
      </c>
      <c r="W165" s="42">
        <v>0</v>
      </c>
      <c r="Y165" s="42">
        <v>0</v>
      </c>
      <c r="AA165" s="42">
        <v>106953</v>
      </c>
      <c r="AB165" s="37"/>
      <c r="AC165" s="42">
        <v>0</v>
      </c>
      <c r="AE165" s="42">
        <v>0</v>
      </c>
      <c r="AG165" s="42">
        <f t="shared" si="34"/>
        <v>22635414</v>
      </c>
      <c r="AH165" s="42"/>
      <c r="AI165" s="42">
        <f t="shared" si="35"/>
        <v>28003486</v>
      </c>
    </row>
    <row r="166" spans="1:35" ht="12" customHeight="1">
      <c r="A166" s="8" t="s">
        <v>440</v>
      </c>
      <c r="B166" s="8"/>
      <c r="C166" s="8" t="s">
        <v>51</v>
      </c>
      <c r="D166" s="8"/>
      <c r="E166" s="23">
        <v>48835</v>
      </c>
      <c r="G166" s="42">
        <v>2092241</v>
      </c>
      <c r="I166" s="42">
        <v>1798474</v>
      </c>
      <c r="K166" s="42">
        <v>132886</v>
      </c>
      <c r="M166" s="42">
        <f t="shared" si="33"/>
        <v>4023601</v>
      </c>
      <c r="O166" s="42">
        <f>5577927+566405+517228+99727</f>
        <v>6761287</v>
      </c>
      <c r="Q166" s="42">
        <v>0</v>
      </c>
      <c r="S166" s="42">
        <v>9657304</v>
      </c>
      <c r="U166" s="42">
        <v>52861</v>
      </c>
      <c r="W166" s="42">
        <v>16620</v>
      </c>
      <c r="Y166" s="42">
        <v>0</v>
      </c>
      <c r="AA166" s="42">
        <v>142008</v>
      </c>
      <c r="AB166" s="37"/>
      <c r="AC166" s="42">
        <v>0</v>
      </c>
      <c r="AE166" s="42">
        <v>0</v>
      </c>
      <c r="AG166" s="42">
        <f t="shared" si="34"/>
        <v>16630080</v>
      </c>
      <c r="AH166" s="42"/>
      <c r="AI166" s="42">
        <f t="shared" si="35"/>
        <v>20653681</v>
      </c>
    </row>
    <row r="167" spans="1:35" ht="12" customHeight="1">
      <c r="A167" s="8" t="s">
        <v>247</v>
      </c>
      <c r="B167" s="8"/>
      <c r="C167" s="8" t="s">
        <v>111</v>
      </c>
      <c r="D167" s="8"/>
      <c r="E167" s="23">
        <v>43927</v>
      </c>
      <c r="F167" s="59"/>
      <c r="G167" s="42">
        <v>785162</v>
      </c>
      <c r="I167" s="42">
        <v>1098347</v>
      </c>
      <c r="K167" s="42">
        <v>14526</v>
      </c>
      <c r="M167" s="42">
        <f t="shared" si="33"/>
        <v>1898035</v>
      </c>
      <c r="O167" s="42">
        <f>2177255+541437+42429</f>
        <v>2761121</v>
      </c>
      <c r="Q167" s="42">
        <v>0</v>
      </c>
      <c r="S167" s="42">
        <v>7386789</v>
      </c>
      <c r="U167" s="42">
        <v>-4088</v>
      </c>
      <c r="W167" s="42">
        <v>0</v>
      </c>
      <c r="Y167" s="42">
        <v>0</v>
      </c>
      <c r="AA167" s="42">
        <v>55831</v>
      </c>
      <c r="AB167" s="37"/>
      <c r="AC167" s="42">
        <v>0</v>
      </c>
      <c r="AE167" s="42">
        <v>0</v>
      </c>
      <c r="AG167" s="42">
        <f t="shared" si="34"/>
        <v>10199653</v>
      </c>
      <c r="AH167" s="42"/>
      <c r="AI167" s="42">
        <f t="shared" si="35"/>
        <v>12097688</v>
      </c>
    </row>
    <row r="168" spans="1:35" ht="12" customHeight="1">
      <c r="A168" s="8" t="s">
        <v>217</v>
      </c>
      <c r="B168" s="8"/>
      <c r="C168" s="8" t="s">
        <v>77</v>
      </c>
      <c r="D168" s="8"/>
      <c r="E168" s="23">
        <v>46037</v>
      </c>
      <c r="F168" s="59"/>
      <c r="G168" s="42">
        <v>1120518</v>
      </c>
      <c r="I168" s="42">
        <v>1293452</v>
      </c>
      <c r="K168" s="42">
        <v>0</v>
      </c>
      <c r="M168" s="42">
        <f t="shared" si="33"/>
        <v>2413970</v>
      </c>
      <c r="O168" s="42">
        <f>3498620+62650+808563+182009</f>
        <v>4551842</v>
      </c>
      <c r="Q168" s="42">
        <v>0</v>
      </c>
      <c r="S168" s="42">
        <v>7963554</v>
      </c>
      <c r="U168" s="42">
        <v>9078</v>
      </c>
      <c r="W168" s="42">
        <v>78345</v>
      </c>
      <c r="Y168" s="42">
        <v>26431</v>
      </c>
      <c r="AA168" s="42">
        <f>24700+7844+85921+67640</f>
        <v>186105</v>
      </c>
      <c r="AB168" s="37"/>
      <c r="AC168" s="42">
        <v>0</v>
      </c>
      <c r="AE168" s="42">
        <v>0</v>
      </c>
      <c r="AG168" s="42">
        <f t="shared" si="34"/>
        <v>12815355</v>
      </c>
      <c r="AH168" s="42"/>
      <c r="AI168" s="42">
        <f t="shared" si="35"/>
        <v>15229325</v>
      </c>
    </row>
    <row r="169" spans="1:35" ht="12" customHeight="1">
      <c r="A169" s="8" t="s">
        <v>217</v>
      </c>
      <c r="B169" s="8"/>
      <c r="C169" s="8" t="s">
        <v>417</v>
      </c>
      <c r="D169" s="8"/>
      <c r="E169" s="23">
        <v>48512</v>
      </c>
      <c r="F169" s="59"/>
      <c r="G169" s="42">
        <v>857630</v>
      </c>
      <c r="I169" s="42">
        <v>1267180</v>
      </c>
      <c r="K169" s="42">
        <v>0</v>
      </c>
      <c r="M169" s="42">
        <f t="shared" si="33"/>
        <v>2124810</v>
      </c>
      <c r="O169" s="42">
        <f>1220300+98036+21576</f>
        <v>1339912</v>
      </c>
      <c r="Q169" s="42">
        <v>0</v>
      </c>
      <c r="S169" s="42">
        <v>5514851</v>
      </c>
      <c r="U169" s="42">
        <v>6974</v>
      </c>
      <c r="W169" s="42">
        <v>0</v>
      </c>
      <c r="Y169" s="42">
        <v>31189</v>
      </c>
      <c r="AA169" s="42">
        <f>48768+201</f>
        <v>48969</v>
      </c>
      <c r="AB169" s="37"/>
      <c r="AC169" s="42">
        <v>0</v>
      </c>
      <c r="AE169" s="42">
        <v>0</v>
      </c>
      <c r="AG169" s="42">
        <f t="shared" si="34"/>
        <v>6941895</v>
      </c>
      <c r="AH169" s="42"/>
      <c r="AI169" s="42">
        <f t="shared" si="35"/>
        <v>9066705</v>
      </c>
    </row>
    <row r="170" spans="1:35" ht="12" hidden="1" customHeight="1">
      <c r="A170" s="9" t="s">
        <v>655</v>
      </c>
      <c r="B170" s="8"/>
      <c r="C170" s="8" t="s">
        <v>55</v>
      </c>
      <c r="D170" s="8"/>
      <c r="E170" s="23">
        <v>49122</v>
      </c>
      <c r="G170" s="42">
        <v>0</v>
      </c>
      <c r="I170" s="42">
        <v>0</v>
      </c>
      <c r="K170" s="42">
        <v>0</v>
      </c>
      <c r="M170" s="42">
        <f t="shared" si="33"/>
        <v>0</v>
      </c>
      <c r="O170" s="42">
        <v>0</v>
      </c>
      <c r="Q170" s="42">
        <v>0</v>
      </c>
      <c r="S170" s="42">
        <v>0</v>
      </c>
      <c r="U170" s="42">
        <v>0</v>
      </c>
      <c r="W170" s="42">
        <v>0</v>
      </c>
      <c r="Y170" s="42">
        <v>0</v>
      </c>
      <c r="AA170" s="42">
        <v>0</v>
      </c>
      <c r="AB170" s="37"/>
      <c r="AC170" s="42">
        <v>0</v>
      </c>
      <c r="AE170" s="42">
        <v>0</v>
      </c>
      <c r="AG170" s="42">
        <f t="shared" si="34"/>
        <v>0</v>
      </c>
      <c r="AH170" s="42"/>
      <c r="AI170" s="42">
        <f t="shared" si="35"/>
        <v>0</v>
      </c>
    </row>
    <row r="171" spans="1:35" ht="12" customHeight="1">
      <c r="A171" s="8" t="s">
        <v>550</v>
      </c>
      <c r="B171" s="8"/>
      <c r="C171" s="8" t="s">
        <v>72</v>
      </c>
      <c r="D171" s="8"/>
      <c r="E171" s="23">
        <v>50674</v>
      </c>
      <c r="G171" s="42">
        <v>1219335</v>
      </c>
      <c r="I171" s="42">
        <v>808822</v>
      </c>
      <c r="K171" s="42">
        <v>0</v>
      </c>
      <c r="M171" s="42">
        <f t="shared" si="33"/>
        <v>2028157</v>
      </c>
      <c r="O171" s="42">
        <f>5005853+419642+245779</f>
        <v>5671274</v>
      </c>
      <c r="Q171" s="42">
        <v>1902605</v>
      </c>
      <c r="S171" s="42">
        <v>6774376</v>
      </c>
      <c r="U171" s="42">
        <v>47295</v>
      </c>
      <c r="W171" s="42">
        <v>480000</v>
      </c>
      <c r="Y171" s="42">
        <v>0</v>
      </c>
      <c r="AA171" s="42">
        <v>53872</v>
      </c>
      <c r="AB171" s="37"/>
      <c r="AC171" s="42">
        <v>0</v>
      </c>
      <c r="AE171" s="42">
        <v>0</v>
      </c>
      <c r="AG171" s="42">
        <f t="shared" si="34"/>
        <v>14929422</v>
      </c>
      <c r="AH171" s="42"/>
      <c r="AI171" s="42">
        <f t="shared" si="35"/>
        <v>16957579</v>
      </c>
    </row>
    <row r="172" spans="1:35" ht="12" hidden="1" customHeight="1">
      <c r="A172" s="8" t="s">
        <v>858</v>
      </c>
      <c r="B172" s="8"/>
      <c r="C172" s="8" t="s">
        <v>57</v>
      </c>
      <c r="D172" s="8"/>
      <c r="E172" s="23">
        <v>43935</v>
      </c>
      <c r="G172" s="42">
        <v>0</v>
      </c>
      <c r="I172" s="42">
        <v>0</v>
      </c>
      <c r="K172" s="42">
        <v>0</v>
      </c>
      <c r="M172" s="42">
        <f t="shared" si="33"/>
        <v>0</v>
      </c>
      <c r="O172" s="42">
        <v>0</v>
      </c>
      <c r="Q172" s="42">
        <v>0</v>
      </c>
      <c r="S172" s="42">
        <v>0</v>
      </c>
      <c r="U172" s="42">
        <v>0</v>
      </c>
      <c r="W172" s="42">
        <v>0</v>
      </c>
      <c r="Y172" s="42">
        <v>0</v>
      </c>
      <c r="AA172" s="42">
        <v>0</v>
      </c>
      <c r="AB172" s="37"/>
      <c r="AC172" s="42">
        <v>0</v>
      </c>
      <c r="AE172" s="42">
        <v>0</v>
      </c>
      <c r="AG172" s="42">
        <f t="shared" si="34"/>
        <v>0</v>
      </c>
      <c r="AH172" s="42"/>
      <c r="AI172" s="42">
        <f t="shared" si="35"/>
        <v>0</v>
      </c>
    </row>
    <row r="173" spans="1:35" ht="12" hidden="1" customHeight="1">
      <c r="A173" s="8" t="s">
        <v>656</v>
      </c>
      <c r="B173" s="8"/>
      <c r="C173" s="8" t="s">
        <v>548</v>
      </c>
      <c r="D173" s="8"/>
      <c r="E173" s="23">
        <v>50617</v>
      </c>
      <c r="G173" s="42">
        <v>0</v>
      </c>
      <c r="I173" s="42">
        <v>0</v>
      </c>
      <c r="K173" s="42">
        <v>0</v>
      </c>
      <c r="M173" s="42">
        <f t="shared" si="33"/>
        <v>0</v>
      </c>
      <c r="O173" s="42">
        <v>0</v>
      </c>
      <c r="Q173" s="42">
        <v>0</v>
      </c>
      <c r="S173" s="42">
        <v>0</v>
      </c>
      <c r="U173" s="42">
        <v>0</v>
      </c>
      <c r="W173" s="42">
        <v>0</v>
      </c>
      <c r="Y173" s="42">
        <v>0</v>
      </c>
      <c r="AA173" s="42">
        <v>0</v>
      </c>
      <c r="AB173" s="37"/>
      <c r="AC173" s="42">
        <v>0</v>
      </c>
      <c r="AE173" s="42">
        <v>0</v>
      </c>
      <c r="AG173" s="42">
        <f t="shared" si="34"/>
        <v>0</v>
      </c>
      <c r="AH173" s="42"/>
      <c r="AI173" s="42">
        <f t="shared" si="35"/>
        <v>0</v>
      </c>
    </row>
    <row r="174" spans="1:35" ht="12" customHeight="1">
      <c r="A174" s="8" t="s">
        <v>657</v>
      </c>
      <c r="B174" s="8"/>
      <c r="C174" s="8" t="s">
        <v>220</v>
      </c>
      <c r="D174" s="8"/>
      <c r="E174" s="23">
        <v>46094</v>
      </c>
      <c r="F174" s="59"/>
      <c r="G174" s="42">
        <v>2256287</v>
      </c>
      <c r="I174" s="42">
        <v>4304600</v>
      </c>
      <c r="K174" s="42">
        <v>35200</v>
      </c>
      <c r="M174" s="42">
        <f t="shared" si="33"/>
        <v>6596087</v>
      </c>
      <c r="O174" s="42">
        <f>14445075+2939591+189812+824130</f>
        <v>18398608</v>
      </c>
      <c r="Q174" s="42">
        <v>0</v>
      </c>
      <c r="S174" s="42">
        <v>15409650</v>
      </c>
      <c r="U174" s="42">
        <f>15144-11890</f>
        <v>3254</v>
      </c>
      <c r="W174" s="42">
        <v>0</v>
      </c>
      <c r="Y174" s="42">
        <v>0</v>
      </c>
      <c r="AA174" s="42">
        <v>105416</v>
      </c>
      <c r="AB174" s="37"/>
      <c r="AC174" s="42">
        <v>0</v>
      </c>
      <c r="AE174" s="42">
        <v>0</v>
      </c>
      <c r="AG174" s="42">
        <f t="shared" si="34"/>
        <v>33916928</v>
      </c>
      <c r="AH174" s="42"/>
      <c r="AI174" s="42">
        <f t="shared" si="35"/>
        <v>40513015</v>
      </c>
    </row>
    <row r="175" spans="1:35" ht="12" customHeight="1">
      <c r="A175" s="8" t="s">
        <v>360</v>
      </c>
      <c r="B175" s="8"/>
      <c r="C175" s="8" t="s">
        <v>24</v>
      </c>
      <c r="D175" s="8"/>
      <c r="E175" s="23">
        <v>46789</v>
      </c>
      <c r="G175" s="42">
        <v>1451607</v>
      </c>
      <c r="I175" s="42">
        <v>1494658</v>
      </c>
      <c r="K175" s="42">
        <v>0</v>
      </c>
      <c r="M175" s="42">
        <f t="shared" ref="M175" si="36">SUM(G175:L175)</f>
        <v>2946265</v>
      </c>
      <c r="O175" s="42">
        <f>5662664+568748</f>
        <v>6231412</v>
      </c>
      <c r="Q175" s="42">
        <v>0</v>
      </c>
      <c r="S175" s="42">
        <v>6798595</v>
      </c>
      <c r="U175" s="42">
        <v>10631</v>
      </c>
      <c r="W175" s="42">
        <v>0</v>
      </c>
      <c r="Y175" s="42">
        <v>0</v>
      </c>
      <c r="AA175" s="42">
        <v>38076</v>
      </c>
      <c r="AB175" s="37"/>
      <c r="AC175" s="42">
        <v>0</v>
      </c>
      <c r="AE175" s="42">
        <v>0</v>
      </c>
      <c r="AG175" s="42">
        <f t="shared" ref="AG175" si="37">SUM(O175:AE175)</f>
        <v>13078714</v>
      </c>
      <c r="AH175" s="42"/>
      <c r="AI175" s="42">
        <f t="shared" ref="AI175" si="38">+AG175+M175</f>
        <v>16024979</v>
      </c>
    </row>
    <row r="176" spans="1:35" ht="12" customHeight="1">
      <c r="A176" s="8" t="s">
        <v>360</v>
      </c>
      <c r="B176" s="8"/>
      <c r="C176" s="8" t="s">
        <v>39</v>
      </c>
      <c r="D176" s="8"/>
      <c r="E176" s="23">
        <v>47795</v>
      </c>
      <c r="G176" s="42">
        <v>1248955</v>
      </c>
      <c r="I176" s="42">
        <v>2678857</v>
      </c>
      <c r="K176" s="42">
        <v>0</v>
      </c>
      <c r="M176" s="42">
        <f t="shared" si="33"/>
        <v>3927812</v>
      </c>
      <c r="O176" s="42">
        <v>7974760</v>
      </c>
      <c r="Q176" s="42">
        <v>0</v>
      </c>
      <c r="S176" s="42">
        <v>8291107</v>
      </c>
      <c r="U176" s="42">
        <v>250</v>
      </c>
      <c r="W176" s="42">
        <v>0</v>
      </c>
      <c r="Y176" s="42">
        <v>9355</v>
      </c>
      <c r="AA176" s="42">
        <f>435297+65661</f>
        <v>500958</v>
      </c>
      <c r="AB176" s="37"/>
      <c r="AC176" s="42">
        <v>0</v>
      </c>
      <c r="AE176" s="42">
        <v>0</v>
      </c>
      <c r="AG176" s="42">
        <f t="shared" si="34"/>
        <v>16776430</v>
      </c>
      <c r="AH176" s="42"/>
      <c r="AI176" s="42">
        <f t="shared" si="35"/>
        <v>20704242</v>
      </c>
    </row>
    <row r="177" spans="1:35" ht="12" hidden="1" customHeight="1">
      <c r="A177" s="9" t="s">
        <v>859</v>
      </c>
      <c r="B177" s="8"/>
      <c r="C177" s="8" t="s">
        <v>548</v>
      </c>
      <c r="D177" s="8"/>
      <c r="E177" s="23">
        <v>50625</v>
      </c>
      <c r="G177" s="42">
        <v>0</v>
      </c>
      <c r="I177" s="42">
        <v>0</v>
      </c>
      <c r="K177" s="42">
        <v>0</v>
      </c>
      <c r="M177" s="42">
        <f t="shared" si="33"/>
        <v>0</v>
      </c>
      <c r="O177" s="42">
        <v>0</v>
      </c>
      <c r="Q177" s="42">
        <v>0</v>
      </c>
      <c r="S177" s="42">
        <v>0</v>
      </c>
      <c r="U177" s="42">
        <v>0</v>
      </c>
      <c r="W177" s="42">
        <v>0</v>
      </c>
      <c r="Y177" s="42">
        <v>0</v>
      </c>
      <c r="AA177" s="42">
        <v>0</v>
      </c>
      <c r="AB177" s="37"/>
      <c r="AC177" s="42">
        <v>0</v>
      </c>
      <c r="AE177" s="42">
        <v>0</v>
      </c>
      <c r="AG177" s="42">
        <f t="shared" si="34"/>
        <v>0</v>
      </c>
      <c r="AH177" s="42"/>
      <c r="AI177" s="42">
        <f t="shared" si="35"/>
        <v>0</v>
      </c>
    </row>
    <row r="178" spans="1:35" ht="12" customHeight="1">
      <c r="A178" s="8" t="s">
        <v>672</v>
      </c>
      <c r="B178" s="8"/>
      <c r="C178" s="8" t="s">
        <v>46</v>
      </c>
      <c r="D178" s="8"/>
      <c r="E178" s="23">
        <v>48413</v>
      </c>
      <c r="G178" s="42">
        <v>1374265</v>
      </c>
      <c r="I178" s="42">
        <v>1714688</v>
      </c>
      <c r="K178" s="42">
        <v>7200</v>
      </c>
      <c r="M178" s="42">
        <f t="shared" ref="M178" si="39">SUM(G178:L178)</f>
        <v>3096153</v>
      </c>
      <c r="O178" s="42">
        <f>3353115+63598+931293+51465</f>
        <v>4399471</v>
      </c>
      <c r="Q178" s="42">
        <v>990544</v>
      </c>
      <c r="S178" s="42">
        <v>6937292</v>
      </c>
      <c r="U178" s="42">
        <v>57170</v>
      </c>
      <c r="W178" s="42">
        <v>28000</v>
      </c>
      <c r="Y178" s="42">
        <v>7508</v>
      </c>
      <c r="AA178" s="42">
        <v>222679</v>
      </c>
      <c r="AB178" s="37"/>
      <c r="AC178" s="42">
        <v>0</v>
      </c>
      <c r="AE178" s="42">
        <v>0</v>
      </c>
      <c r="AG178" s="42">
        <f t="shared" ref="AG178" si="40">SUM(O178:AE178)</f>
        <v>12642664</v>
      </c>
      <c r="AH178" s="42"/>
      <c r="AI178" s="42">
        <f t="shared" ref="AI178" si="41">+AG178+M178</f>
        <v>15738817</v>
      </c>
    </row>
    <row r="179" spans="1:35" ht="12" hidden="1" customHeight="1">
      <c r="A179" s="9" t="s">
        <v>658</v>
      </c>
      <c r="B179" s="9"/>
      <c r="C179" s="9" t="s">
        <v>10</v>
      </c>
      <c r="D179" s="8"/>
      <c r="E179" s="23">
        <v>45773</v>
      </c>
      <c r="G179" s="42">
        <v>0</v>
      </c>
      <c r="I179" s="42">
        <v>0</v>
      </c>
      <c r="K179" s="42">
        <v>0</v>
      </c>
      <c r="M179" s="42">
        <f t="shared" si="33"/>
        <v>0</v>
      </c>
      <c r="O179" s="42">
        <v>0</v>
      </c>
      <c r="Q179" s="42">
        <v>0</v>
      </c>
      <c r="S179" s="42">
        <v>0</v>
      </c>
      <c r="U179" s="42">
        <v>0</v>
      </c>
      <c r="W179" s="42">
        <v>0</v>
      </c>
      <c r="Y179" s="42">
        <v>0</v>
      </c>
      <c r="AA179" s="42">
        <v>0</v>
      </c>
      <c r="AB179" s="37"/>
      <c r="AC179" s="42">
        <v>0</v>
      </c>
      <c r="AE179" s="42">
        <v>0</v>
      </c>
      <c r="AG179" s="42">
        <f t="shared" si="34"/>
        <v>0</v>
      </c>
      <c r="AH179" s="42"/>
      <c r="AI179" s="42">
        <f t="shared" si="35"/>
        <v>0</v>
      </c>
    </row>
    <row r="180" spans="1:35" ht="12" hidden="1" customHeight="1">
      <c r="A180" s="8" t="s">
        <v>687</v>
      </c>
      <c r="B180" s="8"/>
      <c r="C180" s="8" t="s">
        <v>72</v>
      </c>
      <c r="D180" s="8"/>
      <c r="E180" s="23">
        <v>50682</v>
      </c>
      <c r="G180" s="42">
        <v>0</v>
      </c>
      <c r="I180" s="42">
        <v>0</v>
      </c>
      <c r="K180" s="42">
        <v>0</v>
      </c>
      <c r="M180" s="42">
        <f>SUM(G180:L180)</f>
        <v>0</v>
      </c>
      <c r="O180" s="42">
        <v>0</v>
      </c>
      <c r="Q180" s="42">
        <v>0</v>
      </c>
      <c r="S180" s="42">
        <v>0</v>
      </c>
      <c r="U180" s="42">
        <v>0</v>
      </c>
      <c r="W180" s="42">
        <v>0</v>
      </c>
      <c r="Y180" s="42">
        <v>0</v>
      </c>
      <c r="AA180" s="42">
        <v>0</v>
      </c>
      <c r="AB180" s="37"/>
      <c r="AC180" s="42">
        <v>0</v>
      </c>
      <c r="AE180" s="42">
        <v>0</v>
      </c>
      <c r="AG180" s="42">
        <f>SUM(O180:AE180)</f>
        <v>0</v>
      </c>
      <c r="AH180" s="42"/>
      <c r="AI180" s="42">
        <f>+AG180+M180</f>
        <v>0</v>
      </c>
    </row>
    <row r="181" spans="1:35" ht="12" customHeight="1">
      <c r="A181" s="8" t="s">
        <v>381</v>
      </c>
      <c r="B181" s="8"/>
      <c r="C181" s="8" t="s">
        <v>44</v>
      </c>
      <c r="D181" s="8"/>
      <c r="E181" s="23">
        <v>43943</v>
      </c>
      <c r="G181" s="42">
        <v>1939856</v>
      </c>
      <c r="I181" s="42">
        <v>6822547</v>
      </c>
      <c r="K181" s="42">
        <v>0</v>
      </c>
      <c r="M181" s="42">
        <f t="shared" si="33"/>
        <v>8762403</v>
      </c>
      <c r="O181" s="42">
        <f>29568266+2564098+356926</f>
        <v>32489290</v>
      </c>
      <c r="Q181" s="42">
        <v>0</v>
      </c>
      <c r="S181" s="42">
        <v>41694839</v>
      </c>
      <c r="U181" s="42">
        <v>32723</v>
      </c>
      <c r="W181" s="42">
        <v>0</v>
      </c>
      <c r="Y181" s="42">
        <v>0</v>
      </c>
      <c r="AA181" s="42">
        <f>216780+15324</f>
        <v>232104</v>
      </c>
      <c r="AB181" s="37"/>
      <c r="AC181" s="42">
        <v>0</v>
      </c>
      <c r="AE181" s="42">
        <v>0</v>
      </c>
      <c r="AG181" s="42">
        <f t="shared" si="34"/>
        <v>74448956</v>
      </c>
      <c r="AH181" s="42"/>
      <c r="AI181" s="42">
        <f t="shared" si="35"/>
        <v>83211359</v>
      </c>
    </row>
    <row r="182" spans="1:35" ht="12" customHeight="1">
      <c r="A182" s="8" t="s">
        <v>265</v>
      </c>
      <c r="B182" s="8"/>
      <c r="C182" s="8" t="s">
        <v>20</v>
      </c>
      <c r="D182" s="8"/>
      <c r="E182" s="23">
        <v>43950</v>
      </c>
      <c r="G182" s="42">
        <v>610112</v>
      </c>
      <c r="I182" s="42">
        <v>6478489</v>
      </c>
      <c r="K182" s="42">
        <v>0</v>
      </c>
      <c r="M182" s="42">
        <f t="shared" si="33"/>
        <v>7088601</v>
      </c>
      <c r="O182" s="42">
        <f>31667892+2797652+259797</f>
        <v>34725341</v>
      </c>
      <c r="Q182" s="42">
        <v>6115885</v>
      </c>
      <c r="S182" s="42">
        <v>27282085</v>
      </c>
      <c r="U182" s="42">
        <v>78912</v>
      </c>
      <c r="W182" s="42">
        <v>39723</v>
      </c>
      <c r="Y182" s="42">
        <v>0</v>
      </c>
      <c r="AA182" s="42">
        <v>925533</v>
      </c>
      <c r="AB182" s="37"/>
      <c r="AC182" s="42">
        <v>-634498</v>
      </c>
      <c r="AE182" s="42">
        <v>0</v>
      </c>
      <c r="AG182" s="42">
        <f t="shared" si="34"/>
        <v>68532981</v>
      </c>
      <c r="AH182" s="42"/>
      <c r="AI182" s="42">
        <f t="shared" si="35"/>
        <v>75621582</v>
      </c>
    </row>
    <row r="183" spans="1:35" ht="12" hidden="1" customHeight="1">
      <c r="A183" s="9" t="s">
        <v>614</v>
      </c>
      <c r="B183" s="8"/>
      <c r="C183" s="8" t="s">
        <v>28</v>
      </c>
      <c r="D183" s="8"/>
      <c r="E183" s="23">
        <v>47050</v>
      </c>
      <c r="G183" s="42">
        <v>0</v>
      </c>
      <c r="I183" s="42">
        <v>0</v>
      </c>
      <c r="K183" s="42">
        <v>0</v>
      </c>
      <c r="M183" s="42">
        <f t="shared" si="33"/>
        <v>0</v>
      </c>
      <c r="O183" s="42">
        <v>0</v>
      </c>
      <c r="Q183" s="42">
        <v>0</v>
      </c>
      <c r="S183" s="42">
        <v>0</v>
      </c>
      <c r="U183" s="42">
        <v>0</v>
      </c>
      <c r="W183" s="42">
        <v>0</v>
      </c>
      <c r="Y183" s="42">
        <v>0</v>
      </c>
      <c r="AA183" s="42">
        <v>0</v>
      </c>
      <c r="AB183" s="37"/>
      <c r="AC183" s="42">
        <v>0</v>
      </c>
      <c r="AE183" s="42">
        <v>0</v>
      </c>
      <c r="AG183" s="42">
        <f t="shared" si="34"/>
        <v>0</v>
      </c>
      <c r="AH183" s="42"/>
      <c r="AI183" s="42">
        <f t="shared" si="35"/>
        <v>0</v>
      </c>
    </row>
    <row r="184" spans="1:35" ht="12" customHeight="1">
      <c r="A184" s="8" t="s">
        <v>535</v>
      </c>
      <c r="B184" s="8"/>
      <c r="C184" s="8" t="s">
        <v>66</v>
      </c>
      <c r="D184" s="8"/>
      <c r="E184" s="23">
        <v>50328</v>
      </c>
      <c r="G184" s="42">
        <v>808675</v>
      </c>
      <c r="I184" s="42">
        <v>755286</v>
      </c>
      <c r="K184" s="42">
        <v>0</v>
      </c>
      <c r="M184" s="42">
        <f t="shared" si="33"/>
        <v>1563961</v>
      </c>
      <c r="O184" s="42">
        <f>5981731+748468</f>
        <v>6730199</v>
      </c>
      <c r="Q184" s="42">
        <v>1475138</v>
      </c>
      <c r="S184" s="42">
        <v>2746680</v>
      </c>
      <c r="U184" s="42">
        <v>21012</v>
      </c>
      <c r="W184" s="42">
        <v>0</v>
      </c>
      <c r="Y184" s="42">
        <v>0</v>
      </c>
      <c r="AA184" s="42">
        <v>63935</v>
      </c>
      <c r="AB184" s="37"/>
      <c r="AC184" s="42">
        <v>0</v>
      </c>
      <c r="AE184" s="42">
        <v>0</v>
      </c>
      <c r="AG184" s="42">
        <f t="shared" si="34"/>
        <v>11036964</v>
      </c>
      <c r="AH184" s="42"/>
      <c r="AI184" s="42">
        <f t="shared" si="35"/>
        <v>12600925</v>
      </c>
    </row>
    <row r="185" spans="1:35" ht="12" customHeight="1">
      <c r="A185" s="8" t="s">
        <v>621</v>
      </c>
      <c r="B185" s="8"/>
      <c r="C185" s="8" t="s">
        <v>113</v>
      </c>
      <c r="D185" s="8"/>
      <c r="E185" s="23">
        <v>43968</v>
      </c>
      <c r="F185" s="59"/>
      <c r="G185" s="42">
        <v>1586259</v>
      </c>
      <c r="I185" s="42">
        <v>5776242</v>
      </c>
      <c r="K185" s="42">
        <v>0</v>
      </c>
      <c r="M185" s="42">
        <f>SUM(G185:L185)</f>
        <v>7362501</v>
      </c>
      <c r="O185" s="42">
        <f>16086746+1539121</f>
        <v>17625867</v>
      </c>
      <c r="Q185" s="42">
        <v>3520676</v>
      </c>
      <c r="S185" s="42">
        <v>18167061</v>
      </c>
      <c r="U185" s="42">
        <v>16119</v>
      </c>
      <c r="W185" s="42">
        <v>187737</v>
      </c>
      <c r="Y185" s="42">
        <v>0</v>
      </c>
      <c r="AA185" s="42">
        <v>532750</v>
      </c>
      <c r="AB185" s="37"/>
      <c r="AC185" s="42">
        <v>0</v>
      </c>
      <c r="AE185" s="42">
        <v>0</v>
      </c>
      <c r="AG185" s="42">
        <f>SUM(O185:AE185)</f>
        <v>40050210</v>
      </c>
      <c r="AH185" s="42"/>
      <c r="AI185" s="42">
        <f>+AG185+M185</f>
        <v>47412711</v>
      </c>
    </row>
    <row r="186" spans="1:35" ht="12" customHeight="1">
      <c r="A186" s="8" t="s">
        <v>221</v>
      </c>
      <c r="B186" s="8"/>
      <c r="C186" s="8" t="s">
        <v>220</v>
      </c>
      <c r="D186" s="8"/>
      <c r="E186" s="23">
        <v>46102</v>
      </c>
      <c r="F186" s="59"/>
      <c r="G186" s="42">
        <v>5443048</v>
      </c>
      <c r="I186" s="42">
        <v>9297917</v>
      </c>
      <c r="K186" s="42">
        <v>0</v>
      </c>
      <c r="M186" s="42">
        <f t="shared" si="33"/>
        <v>14740965</v>
      </c>
      <c r="O186" s="42">
        <f>44151815+3563234</f>
        <v>47715049</v>
      </c>
      <c r="Q186" s="42">
        <v>0</v>
      </c>
      <c r="S186" s="42">
        <v>28220794</v>
      </c>
      <c r="U186" s="42">
        <v>12831</v>
      </c>
      <c r="W186" s="42">
        <v>1826757</v>
      </c>
      <c r="Y186" s="42">
        <v>0</v>
      </c>
      <c r="AA186" s="42">
        <v>403147</v>
      </c>
      <c r="AB186" s="37"/>
      <c r="AC186" s="42">
        <v>0</v>
      </c>
      <c r="AE186" s="42">
        <v>0</v>
      </c>
      <c r="AG186" s="42">
        <f t="shared" ref="AG186:AG189" si="42">SUM(O186:AE186)</f>
        <v>78178578</v>
      </c>
      <c r="AH186" s="42"/>
      <c r="AI186" s="42">
        <f t="shared" ref="AI186:AI189" si="43">+AG186+M186</f>
        <v>92919543</v>
      </c>
    </row>
    <row r="187" spans="1:35" ht="12" customHeight="1">
      <c r="A187" s="8" t="s">
        <v>347</v>
      </c>
      <c r="B187" s="8"/>
      <c r="C187" s="8" t="s">
        <v>346</v>
      </c>
      <c r="D187" s="8"/>
      <c r="E187" s="23">
        <v>47621</v>
      </c>
      <c r="G187" s="42">
        <v>792775</v>
      </c>
      <c r="I187" s="42">
        <v>968684</v>
      </c>
      <c r="K187" s="42">
        <v>0</v>
      </c>
      <c r="M187" s="42">
        <f t="shared" si="33"/>
        <v>1761459</v>
      </c>
      <c r="O187" s="42">
        <f>1351394+171996+27402+278422</f>
        <v>1829214</v>
      </c>
      <c r="Q187" s="42">
        <v>0</v>
      </c>
      <c r="S187" s="42">
        <v>5115869</v>
      </c>
      <c r="U187" s="42">
        <v>10209</v>
      </c>
      <c r="W187" s="42">
        <v>0</v>
      </c>
      <c r="Y187" s="42">
        <v>0</v>
      </c>
      <c r="AA187" s="42">
        <v>43098</v>
      </c>
      <c r="AB187" s="37"/>
      <c r="AC187" s="42">
        <v>0</v>
      </c>
      <c r="AE187" s="42">
        <v>0</v>
      </c>
      <c r="AG187" s="42">
        <f t="shared" si="42"/>
        <v>6998390</v>
      </c>
      <c r="AH187" s="42"/>
      <c r="AI187" s="42">
        <f t="shared" si="43"/>
        <v>8759849</v>
      </c>
    </row>
    <row r="188" spans="1:35" ht="12" customHeight="1">
      <c r="A188" s="8" t="s">
        <v>292</v>
      </c>
      <c r="B188" s="8"/>
      <c r="C188" s="8" t="s">
        <v>25</v>
      </c>
      <c r="D188" s="8"/>
      <c r="E188" s="23">
        <v>46870</v>
      </c>
      <c r="G188" s="42">
        <v>2264853</v>
      </c>
      <c r="I188" s="42">
        <v>2242646</v>
      </c>
      <c r="K188" s="42">
        <v>10051</v>
      </c>
      <c r="M188" s="42">
        <f t="shared" si="33"/>
        <v>4517550</v>
      </c>
      <c r="O188" s="42">
        <f>4529486+529287+272137</f>
        <v>5330910</v>
      </c>
      <c r="Q188" s="42">
        <v>4517560</v>
      </c>
      <c r="S188" s="42">
        <v>9041817</v>
      </c>
      <c r="U188" s="42">
        <v>19483</v>
      </c>
      <c r="W188" s="42">
        <v>0</v>
      </c>
      <c r="Y188" s="42">
        <v>0</v>
      </c>
      <c r="AA188" s="42">
        <v>62930</v>
      </c>
      <c r="AB188" s="37"/>
      <c r="AC188" s="42">
        <v>0</v>
      </c>
      <c r="AE188" s="42">
        <v>0</v>
      </c>
      <c r="AG188" s="42">
        <f t="shared" si="42"/>
        <v>18972700</v>
      </c>
      <c r="AH188" s="42"/>
      <c r="AI188" s="42">
        <f t="shared" si="43"/>
        <v>23490250</v>
      </c>
    </row>
    <row r="189" spans="1:35" s="24" customFormat="1" ht="12" customHeight="1">
      <c r="A189" s="51" t="s">
        <v>366</v>
      </c>
      <c r="B189" s="51"/>
      <c r="C189" s="51" t="s">
        <v>364</v>
      </c>
      <c r="D189" s="51"/>
      <c r="E189" s="23">
        <v>47936</v>
      </c>
      <c r="G189" s="42">
        <v>1174354</v>
      </c>
      <c r="H189" s="42"/>
      <c r="I189" s="42">
        <v>2345130</v>
      </c>
      <c r="J189" s="42"/>
      <c r="K189" s="42">
        <v>0</v>
      </c>
      <c r="L189" s="42"/>
      <c r="M189" s="42">
        <f t="shared" si="33"/>
        <v>3519484</v>
      </c>
      <c r="N189" s="42"/>
      <c r="O189" s="42">
        <f>3192773+175618+54825</f>
        <v>3423216</v>
      </c>
      <c r="P189" s="42"/>
      <c r="Q189" s="42">
        <v>0</v>
      </c>
      <c r="R189" s="42"/>
      <c r="S189" s="42">
        <v>8304945</v>
      </c>
      <c r="T189" s="42"/>
      <c r="U189" s="42">
        <v>16361</v>
      </c>
      <c r="V189" s="42"/>
      <c r="W189" s="42">
        <v>0</v>
      </c>
      <c r="X189" s="42"/>
      <c r="Y189" s="42">
        <v>6478</v>
      </c>
      <c r="Z189" s="42"/>
      <c r="AA189" s="42">
        <f>19815+55433</f>
        <v>75248</v>
      </c>
      <c r="AB189" s="37"/>
      <c r="AC189" s="42">
        <v>0</v>
      </c>
      <c r="AD189" s="42"/>
      <c r="AE189" s="42">
        <v>0</v>
      </c>
      <c r="AF189" s="42"/>
      <c r="AG189" s="42">
        <f t="shared" si="42"/>
        <v>11826248</v>
      </c>
      <c r="AH189" s="42"/>
      <c r="AI189" s="42">
        <f t="shared" si="43"/>
        <v>15345732</v>
      </c>
    </row>
    <row r="190" spans="1:35" ht="12" hidden="1" customHeight="1">
      <c r="A190" s="8" t="s">
        <v>615</v>
      </c>
      <c r="B190" s="8"/>
      <c r="C190" s="8" t="s">
        <v>61</v>
      </c>
      <c r="D190" s="8"/>
      <c r="E190" s="23">
        <v>49775</v>
      </c>
      <c r="G190" s="42">
        <v>0</v>
      </c>
      <c r="I190" s="42">
        <v>0</v>
      </c>
      <c r="K190" s="42">
        <v>0</v>
      </c>
      <c r="M190" s="42">
        <f t="shared" si="33"/>
        <v>0</v>
      </c>
      <c r="O190" s="42">
        <v>0</v>
      </c>
      <c r="Q190" s="42">
        <v>0</v>
      </c>
      <c r="S190" s="42">
        <v>0</v>
      </c>
      <c r="U190" s="42">
        <v>0</v>
      </c>
      <c r="W190" s="42">
        <v>0</v>
      </c>
      <c r="Y190" s="42">
        <v>0</v>
      </c>
      <c r="AA190" s="42">
        <v>0</v>
      </c>
      <c r="AB190" s="37"/>
      <c r="AC190" s="42">
        <v>0</v>
      </c>
      <c r="AE190" s="42">
        <v>0</v>
      </c>
      <c r="AG190" s="42">
        <f t="shared" si="34"/>
        <v>0</v>
      </c>
      <c r="AH190" s="42"/>
      <c r="AI190" s="42">
        <f t="shared" si="35"/>
        <v>0</v>
      </c>
    </row>
    <row r="191" spans="1:35" ht="12" customHeight="1">
      <c r="A191" s="8" t="s">
        <v>492</v>
      </c>
      <c r="B191" s="8"/>
      <c r="C191" s="8" t="s">
        <v>62</v>
      </c>
      <c r="D191" s="8"/>
      <c r="E191" s="23">
        <v>49841</v>
      </c>
      <c r="G191" s="42">
        <v>1153451</v>
      </c>
      <c r="I191" s="42">
        <v>2098838</v>
      </c>
      <c r="K191" s="42">
        <v>0</v>
      </c>
      <c r="M191" s="42">
        <f t="shared" si="33"/>
        <v>3252289</v>
      </c>
      <c r="O191" s="42">
        <f>4795150+612154+72520</f>
        <v>5479824</v>
      </c>
      <c r="Q191" s="42">
        <v>0</v>
      </c>
      <c r="S191" s="42">
        <v>7896556</v>
      </c>
      <c r="U191" s="42">
        <v>8855</v>
      </c>
      <c r="W191" s="42">
        <v>0</v>
      </c>
      <c r="Y191" s="42">
        <v>0</v>
      </c>
      <c r="AA191" s="42">
        <v>193976</v>
      </c>
      <c r="AB191" s="37"/>
      <c r="AC191" s="42">
        <v>0</v>
      </c>
      <c r="AE191" s="42">
        <v>0</v>
      </c>
      <c r="AG191" s="42">
        <f t="shared" si="34"/>
        <v>13579211</v>
      </c>
      <c r="AH191" s="42"/>
      <c r="AI191" s="42">
        <f t="shared" si="35"/>
        <v>16831500</v>
      </c>
    </row>
    <row r="192" spans="1:35" ht="12" hidden="1" customHeight="1">
      <c r="A192" s="8" t="s">
        <v>878</v>
      </c>
      <c r="B192" s="8"/>
      <c r="C192" s="8" t="s">
        <v>41</v>
      </c>
      <c r="D192" s="8"/>
      <c r="E192" s="23">
        <v>45369</v>
      </c>
      <c r="G192" s="42">
        <v>0</v>
      </c>
      <c r="I192" s="42">
        <v>0</v>
      </c>
      <c r="K192" s="42">
        <v>0</v>
      </c>
      <c r="M192" s="42">
        <f t="shared" si="33"/>
        <v>0</v>
      </c>
      <c r="O192" s="42">
        <v>0</v>
      </c>
      <c r="Q192" s="42">
        <v>0</v>
      </c>
      <c r="S192" s="42">
        <v>0</v>
      </c>
      <c r="U192" s="42">
        <v>0</v>
      </c>
      <c r="W192" s="42">
        <v>0</v>
      </c>
      <c r="Y192" s="42">
        <v>0</v>
      </c>
      <c r="AA192" s="42">
        <v>0</v>
      </c>
      <c r="AB192" s="37"/>
      <c r="AC192" s="42">
        <v>0</v>
      </c>
      <c r="AE192" s="42">
        <v>0</v>
      </c>
      <c r="AG192" s="42">
        <f t="shared" si="34"/>
        <v>0</v>
      </c>
      <c r="AH192" s="42"/>
      <c r="AI192" s="42">
        <f t="shared" si="35"/>
        <v>0</v>
      </c>
    </row>
    <row r="193" spans="1:35" s="24" customFormat="1" ht="12" customHeight="1">
      <c r="A193" s="51" t="s">
        <v>266</v>
      </c>
      <c r="B193" s="51"/>
      <c r="C193" s="51" t="s">
        <v>20</v>
      </c>
      <c r="D193" s="51"/>
      <c r="E193" s="51">
        <v>43976</v>
      </c>
      <c r="G193" s="24">
        <v>691856</v>
      </c>
      <c r="I193" s="24">
        <v>1513888</v>
      </c>
      <c r="K193" s="24">
        <v>0</v>
      </c>
      <c r="M193" s="24">
        <f t="shared" si="33"/>
        <v>2205744</v>
      </c>
      <c r="O193" s="24">
        <f>15093080+2032515</f>
        <v>17125595</v>
      </c>
      <c r="Q193" s="24">
        <v>0</v>
      </c>
      <c r="S193" s="24">
        <v>4744664</v>
      </c>
      <c r="U193" s="24">
        <v>31082</v>
      </c>
      <c r="W193" s="24">
        <v>0</v>
      </c>
      <c r="Y193" s="24">
        <v>0</v>
      </c>
      <c r="AA193" s="24">
        <v>80527</v>
      </c>
      <c r="AB193" s="58"/>
      <c r="AC193" s="24">
        <v>0</v>
      </c>
      <c r="AE193" s="24">
        <v>0</v>
      </c>
      <c r="AG193" s="24">
        <f t="shared" si="34"/>
        <v>21981868</v>
      </c>
      <c r="AI193" s="24">
        <f t="shared" si="35"/>
        <v>24187612</v>
      </c>
    </row>
    <row r="194" spans="1:35" ht="12" hidden="1" customHeight="1">
      <c r="A194" s="8" t="s">
        <v>739</v>
      </c>
      <c r="B194" s="8"/>
      <c r="C194" s="8" t="s">
        <v>28</v>
      </c>
      <c r="D194" s="8"/>
      <c r="E194" s="23">
        <v>47068</v>
      </c>
      <c r="G194" s="42">
        <v>0</v>
      </c>
      <c r="I194" s="42">
        <v>0</v>
      </c>
      <c r="K194" s="42">
        <v>0</v>
      </c>
      <c r="M194" s="42">
        <f t="shared" si="33"/>
        <v>0</v>
      </c>
      <c r="O194" s="42">
        <v>0</v>
      </c>
      <c r="Q194" s="42">
        <v>0</v>
      </c>
      <c r="S194" s="42">
        <v>0</v>
      </c>
      <c r="U194" s="42">
        <v>0</v>
      </c>
      <c r="W194" s="42">
        <v>0</v>
      </c>
      <c r="Y194" s="42">
        <v>0</v>
      </c>
      <c r="AA194" s="42">
        <v>0</v>
      </c>
      <c r="AB194" s="37"/>
      <c r="AC194" s="42">
        <v>0</v>
      </c>
      <c r="AE194" s="42">
        <v>0</v>
      </c>
      <c r="AG194" s="42">
        <f t="shared" si="34"/>
        <v>0</v>
      </c>
      <c r="AH194" s="42"/>
      <c r="AI194" s="42">
        <f t="shared" si="35"/>
        <v>0</v>
      </c>
    </row>
    <row r="195" spans="1:35" ht="12" customHeight="1">
      <c r="A195" s="8" t="s">
        <v>218</v>
      </c>
      <c r="B195" s="8"/>
      <c r="C195" s="8" t="s">
        <v>77</v>
      </c>
      <c r="D195" s="8"/>
      <c r="E195" s="23">
        <v>46045</v>
      </c>
      <c r="F195" s="59"/>
      <c r="G195" s="42">
        <v>1294897</v>
      </c>
      <c r="I195" s="42">
        <v>606269</v>
      </c>
      <c r="K195" s="42">
        <v>0</v>
      </c>
      <c r="M195" s="42">
        <f t="shared" si="33"/>
        <v>1901166</v>
      </c>
      <c r="O195" s="42">
        <f>1826292+647434+88958+34494</f>
        <v>2597178</v>
      </c>
      <c r="Q195" s="42">
        <v>0</v>
      </c>
      <c r="S195" s="42">
        <v>4778343</v>
      </c>
      <c r="U195" s="42">
        <v>37034</v>
      </c>
      <c r="W195" s="42">
        <v>0</v>
      </c>
      <c r="Y195" s="42">
        <v>8459</v>
      </c>
      <c r="AA195" s="42">
        <v>80603</v>
      </c>
      <c r="AB195" s="37"/>
      <c r="AC195" s="42">
        <v>0</v>
      </c>
      <c r="AE195" s="42">
        <v>-339971</v>
      </c>
      <c r="AG195" s="42">
        <f t="shared" si="34"/>
        <v>7161646</v>
      </c>
      <c r="AH195" s="42"/>
      <c r="AI195" s="42">
        <f t="shared" si="35"/>
        <v>9062812</v>
      </c>
    </row>
    <row r="196" spans="1:35" ht="12" customHeight="1">
      <c r="A196" s="9" t="s">
        <v>737</v>
      </c>
      <c r="B196" s="9"/>
      <c r="C196" s="9" t="s">
        <v>13</v>
      </c>
      <c r="D196" s="8"/>
      <c r="E196" s="23">
        <v>45914</v>
      </c>
      <c r="F196" s="59"/>
      <c r="G196" s="42">
        <v>783611</v>
      </c>
      <c r="I196" s="42">
        <v>1905442</v>
      </c>
      <c r="K196" s="42">
        <v>0</v>
      </c>
      <c r="M196" s="42">
        <f t="shared" si="33"/>
        <v>2689053</v>
      </c>
      <c r="O196" s="42">
        <f>2615504+60867+438110+42837</f>
        <v>3157318</v>
      </c>
      <c r="Q196" s="42">
        <v>0</v>
      </c>
      <c r="S196" s="42">
        <v>8008473</v>
      </c>
      <c r="U196" s="42">
        <v>4455</v>
      </c>
      <c r="W196" s="42">
        <v>0</v>
      </c>
      <c r="Y196" s="42">
        <v>0</v>
      </c>
      <c r="AA196" s="42">
        <v>83346</v>
      </c>
      <c r="AB196" s="37"/>
      <c r="AC196" s="42">
        <v>0</v>
      </c>
      <c r="AE196" s="42">
        <v>0</v>
      </c>
      <c r="AG196" s="42">
        <f t="shared" si="34"/>
        <v>11253592</v>
      </c>
      <c r="AH196" s="42"/>
      <c r="AI196" s="42">
        <f t="shared" si="35"/>
        <v>13942645</v>
      </c>
    </row>
    <row r="197" spans="1:35" ht="12" customHeight="1">
      <c r="A197" s="8" t="s">
        <v>237</v>
      </c>
      <c r="B197" s="8"/>
      <c r="C197" s="8" t="s">
        <v>112</v>
      </c>
      <c r="D197" s="8"/>
      <c r="E197" s="23">
        <v>46334</v>
      </c>
      <c r="F197" s="59"/>
      <c r="G197" s="42">
        <v>833850</v>
      </c>
      <c r="I197" s="42">
        <v>1198902</v>
      </c>
      <c r="K197" s="42">
        <v>0</v>
      </c>
      <c r="M197" s="42">
        <f t="shared" si="33"/>
        <v>2032752</v>
      </c>
      <c r="O197" s="42">
        <f>1662196+203492+30371</f>
        <v>1896059</v>
      </c>
      <c r="Q197" s="42">
        <v>0</v>
      </c>
      <c r="S197" s="42">
        <v>6971321</v>
      </c>
      <c r="U197" s="42">
        <v>15961</v>
      </c>
      <c r="W197" s="42">
        <v>0</v>
      </c>
      <c r="Y197" s="42">
        <v>0</v>
      </c>
      <c r="AA197" s="42">
        <v>98349</v>
      </c>
      <c r="AB197" s="37"/>
      <c r="AC197" s="42">
        <v>0</v>
      </c>
      <c r="AE197" s="42">
        <v>0</v>
      </c>
      <c r="AG197" s="42">
        <f t="shared" si="34"/>
        <v>8981690</v>
      </c>
      <c r="AH197" s="42"/>
      <c r="AI197" s="42">
        <f t="shared" si="35"/>
        <v>11014442</v>
      </c>
    </row>
    <row r="198" spans="1:35" s="24" customFormat="1" ht="12" customHeight="1">
      <c r="A198" s="8" t="s">
        <v>714</v>
      </c>
      <c r="B198" s="51"/>
      <c r="C198" s="51" t="s">
        <v>56</v>
      </c>
      <c r="D198" s="51"/>
      <c r="E198" s="23">
        <v>49197</v>
      </c>
      <c r="G198" s="42">
        <v>1732626</v>
      </c>
      <c r="H198" s="42"/>
      <c r="I198" s="42">
        <v>1788686</v>
      </c>
      <c r="J198" s="42"/>
      <c r="K198" s="42">
        <v>0</v>
      </c>
      <c r="L198" s="42"/>
      <c r="M198" s="42">
        <f t="shared" si="33"/>
        <v>3521312</v>
      </c>
      <c r="N198" s="42"/>
      <c r="O198" s="42">
        <f>8283908+1390980</f>
        <v>9674888</v>
      </c>
      <c r="P198" s="42"/>
      <c r="Q198" s="42">
        <v>0</v>
      </c>
      <c r="R198" s="42"/>
      <c r="S198" s="42">
        <v>7451621</v>
      </c>
      <c r="T198" s="42"/>
      <c r="U198" s="42">
        <v>2799</v>
      </c>
      <c r="V198" s="42"/>
      <c r="W198" s="42">
        <v>213864</v>
      </c>
      <c r="X198" s="42"/>
      <c r="Y198" s="42">
        <v>0</v>
      </c>
      <c r="Z198" s="42"/>
      <c r="AA198" s="42">
        <v>96629</v>
      </c>
      <c r="AB198" s="37"/>
      <c r="AC198" s="42">
        <v>0</v>
      </c>
      <c r="AD198" s="42"/>
      <c r="AE198" s="42">
        <v>0</v>
      </c>
      <c r="AF198" s="42"/>
      <c r="AG198" s="42">
        <f t="shared" si="34"/>
        <v>17439801</v>
      </c>
      <c r="AH198" s="42"/>
      <c r="AI198" s="42">
        <f t="shared" si="35"/>
        <v>20961113</v>
      </c>
    </row>
    <row r="199" spans="1:35" ht="12" customHeight="1">
      <c r="A199" s="8" t="s">
        <v>335</v>
      </c>
      <c r="B199" s="8"/>
      <c r="C199" s="8" t="s">
        <v>33</v>
      </c>
      <c r="D199" s="8"/>
      <c r="E199" s="23">
        <v>43984</v>
      </c>
      <c r="G199" s="42">
        <v>4284936</v>
      </c>
      <c r="I199" s="42">
        <v>7674205</v>
      </c>
      <c r="K199" s="42">
        <v>100000</v>
      </c>
      <c r="M199" s="42">
        <f t="shared" si="33"/>
        <v>12059141</v>
      </c>
      <c r="O199" s="42">
        <f>24466445+2864622+1687333</f>
        <v>29018400</v>
      </c>
      <c r="Q199" s="42">
        <v>0</v>
      </c>
      <c r="S199" s="42">
        <v>25516833</v>
      </c>
      <c r="U199" s="42">
        <f>780537-812351</f>
        <v>-31814</v>
      </c>
      <c r="W199" s="42">
        <v>0</v>
      </c>
      <c r="Y199" s="42">
        <v>0</v>
      </c>
      <c r="AA199" s="42">
        <v>905517</v>
      </c>
      <c r="AB199" s="37"/>
      <c r="AC199" s="42">
        <v>0</v>
      </c>
      <c r="AE199" s="42">
        <v>0</v>
      </c>
      <c r="AG199" s="42">
        <f t="shared" si="34"/>
        <v>55408936</v>
      </c>
      <c r="AH199" s="42"/>
      <c r="AI199" s="42">
        <f t="shared" si="35"/>
        <v>67468077</v>
      </c>
    </row>
    <row r="200" spans="1:35" ht="12" customHeight="1">
      <c r="A200" s="8" t="s">
        <v>320</v>
      </c>
      <c r="B200" s="8"/>
      <c r="C200" s="8" t="s">
        <v>32</v>
      </c>
      <c r="D200" s="8"/>
      <c r="E200" s="23">
        <v>47332</v>
      </c>
      <c r="G200" s="42">
        <v>606383</v>
      </c>
      <c r="I200" s="42">
        <v>3053370</v>
      </c>
      <c r="K200" s="42">
        <v>0</v>
      </c>
      <c r="M200" s="42">
        <f t="shared" si="33"/>
        <v>3659753</v>
      </c>
      <c r="O200" s="42">
        <f>9403462+749869+211501</f>
        <v>10364832</v>
      </c>
      <c r="Q200" s="42">
        <v>0</v>
      </c>
      <c r="S200" s="42">
        <v>6812276</v>
      </c>
      <c r="U200" s="42">
        <v>14507</v>
      </c>
      <c r="W200" s="42">
        <v>204262</v>
      </c>
      <c r="Y200" s="42">
        <v>68281</v>
      </c>
      <c r="AA200" s="42">
        <v>252943</v>
      </c>
      <c r="AB200" s="37"/>
      <c r="AC200" s="42">
        <v>0</v>
      </c>
      <c r="AE200" s="42">
        <v>0</v>
      </c>
      <c r="AG200" s="42">
        <f t="shared" si="34"/>
        <v>17717101</v>
      </c>
      <c r="AH200" s="42"/>
      <c r="AI200" s="42">
        <f t="shared" si="35"/>
        <v>21376854</v>
      </c>
    </row>
    <row r="201" spans="1:35" ht="12" customHeight="1">
      <c r="A201" s="8" t="s">
        <v>382</v>
      </c>
      <c r="B201" s="8"/>
      <c r="C201" s="8" t="s">
        <v>44</v>
      </c>
      <c r="D201" s="8"/>
      <c r="E201" s="23">
        <v>48157</v>
      </c>
      <c r="G201" s="42">
        <v>2260038</v>
      </c>
      <c r="I201" s="42">
        <v>1267492</v>
      </c>
      <c r="K201" s="42">
        <v>0</v>
      </c>
      <c r="M201" s="42">
        <f t="shared" si="33"/>
        <v>3527530</v>
      </c>
      <c r="O201" s="42">
        <f>7891204+359311</f>
        <v>8250515</v>
      </c>
      <c r="Q201" s="42">
        <v>0</v>
      </c>
      <c r="S201" s="42">
        <v>7972972</v>
      </c>
      <c r="U201" s="42">
        <f>15740-29540</f>
        <v>-13800</v>
      </c>
      <c r="W201" s="42">
        <v>0</v>
      </c>
      <c r="Y201" s="42">
        <v>0</v>
      </c>
      <c r="AA201" s="42">
        <v>55739</v>
      </c>
      <c r="AB201" s="37"/>
      <c r="AC201" s="42">
        <v>0</v>
      </c>
      <c r="AE201" s="42">
        <v>0</v>
      </c>
      <c r="AG201" s="42">
        <f t="shared" si="34"/>
        <v>16265426</v>
      </c>
      <c r="AH201" s="42"/>
      <c r="AI201" s="42">
        <f t="shared" si="35"/>
        <v>19792956</v>
      </c>
    </row>
    <row r="202" spans="1:35" ht="12" customHeight="1">
      <c r="A202" s="8" t="s">
        <v>321</v>
      </c>
      <c r="B202" s="8"/>
      <c r="C202" s="8" t="s">
        <v>32</v>
      </c>
      <c r="D202" s="8"/>
      <c r="E202" s="23">
        <v>47340</v>
      </c>
      <c r="G202" s="42">
        <v>3488826</v>
      </c>
      <c r="I202" s="42">
        <v>3540341</v>
      </c>
      <c r="K202" s="42">
        <v>0</v>
      </c>
      <c r="M202" s="42">
        <f t="shared" si="33"/>
        <v>7029167</v>
      </c>
      <c r="O202" s="42">
        <f>40840408+1832793</f>
        <v>42673201</v>
      </c>
      <c r="Q202" s="42">
        <v>0</v>
      </c>
      <c r="S202" s="42">
        <v>22747085</v>
      </c>
      <c r="U202" s="42">
        <v>37283</v>
      </c>
      <c r="W202" s="42">
        <v>6807379</v>
      </c>
      <c r="Y202" s="42">
        <v>0</v>
      </c>
      <c r="AA202" s="42">
        <v>1618470</v>
      </c>
      <c r="AB202" s="37"/>
      <c r="AC202" s="42">
        <v>0</v>
      </c>
      <c r="AE202" s="42">
        <v>0</v>
      </c>
      <c r="AG202" s="42">
        <f t="shared" si="34"/>
        <v>73883418</v>
      </c>
      <c r="AH202" s="42"/>
      <c r="AI202" s="42">
        <f t="shared" si="35"/>
        <v>80912585</v>
      </c>
    </row>
    <row r="203" spans="1:35" hidden="1">
      <c r="A203" s="9" t="s">
        <v>611</v>
      </c>
      <c r="B203" s="8"/>
      <c r="C203" s="8" t="s">
        <v>70</v>
      </c>
      <c r="D203" s="8"/>
      <c r="E203" s="23">
        <v>50484</v>
      </c>
      <c r="G203" s="42">
        <v>0</v>
      </c>
      <c r="I203" s="42">
        <v>0</v>
      </c>
      <c r="K203" s="42">
        <v>0</v>
      </c>
      <c r="M203" s="42">
        <f t="shared" si="33"/>
        <v>0</v>
      </c>
      <c r="O203" s="42">
        <v>0</v>
      </c>
      <c r="Q203" s="42">
        <v>0</v>
      </c>
      <c r="S203" s="42">
        <v>0</v>
      </c>
      <c r="U203" s="42">
        <v>0</v>
      </c>
      <c r="W203" s="42">
        <v>0</v>
      </c>
      <c r="Y203" s="42">
        <v>0</v>
      </c>
      <c r="AA203" s="42">
        <v>0</v>
      </c>
      <c r="AB203" s="37"/>
      <c r="AC203" s="42">
        <v>0</v>
      </c>
      <c r="AE203" s="42">
        <v>0</v>
      </c>
      <c r="AG203" s="42">
        <f t="shared" si="34"/>
        <v>0</v>
      </c>
      <c r="AH203" s="42"/>
      <c r="AI203" s="42">
        <f t="shared" si="35"/>
        <v>0</v>
      </c>
    </row>
    <row r="204" spans="1:35">
      <c r="A204" s="8" t="s">
        <v>486</v>
      </c>
      <c r="B204" s="8"/>
      <c r="C204" s="8" t="s">
        <v>61</v>
      </c>
      <c r="D204" s="8"/>
      <c r="E204" s="23">
        <v>49783</v>
      </c>
      <c r="G204" s="42">
        <v>633761</v>
      </c>
      <c r="I204" s="42">
        <v>844079</v>
      </c>
      <c r="K204" s="42">
        <v>41110</v>
      </c>
      <c r="M204" s="42">
        <f t="shared" si="33"/>
        <v>1518950</v>
      </c>
      <c r="O204" s="42">
        <f>1687368+654892+139436+36694</f>
        <v>2518390</v>
      </c>
      <c r="Q204" s="42">
        <v>1670387</v>
      </c>
      <c r="S204" s="42">
        <v>3369423</v>
      </c>
      <c r="U204" s="42">
        <v>25051</v>
      </c>
      <c r="W204" s="42">
        <v>0</v>
      </c>
      <c r="Y204" s="42">
        <v>0</v>
      </c>
      <c r="AA204" s="42">
        <v>43905</v>
      </c>
      <c r="AB204" s="37"/>
      <c r="AC204" s="42">
        <v>0</v>
      </c>
      <c r="AE204" s="42">
        <v>0</v>
      </c>
      <c r="AG204" s="42">
        <f t="shared" si="34"/>
        <v>7627156</v>
      </c>
      <c r="AH204" s="42"/>
      <c r="AI204" s="42">
        <f t="shared" si="35"/>
        <v>9146106</v>
      </c>
    </row>
    <row r="205" spans="1:35" hidden="1">
      <c r="A205" s="9" t="s">
        <v>758</v>
      </c>
      <c r="B205" s="9"/>
      <c r="C205" s="9" t="s">
        <v>419</v>
      </c>
      <c r="D205" s="8"/>
      <c r="E205" s="23">
        <v>48595</v>
      </c>
      <c r="G205" s="42">
        <v>0</v>
      </c>
      <c r="I205" s="42">
        <v>0</v>
      </c>
      <c r="K205" s="42">
        <v>0</v>
      </c>
      <c r="M205" s="42">
        <f t="shared" si="33"/>
        <v>0</v>
      </c>
      <c r="O205" s="42">
        <v>0</v>
      </c>
      <c r="Q205" s="42">
        <v>0</v>
      </c>
      <c r="S205" s="42">
        <v>0</v>
      </c>
      <c r="U205" s="42">
        <v>0</v>
      </c>
      <c r="W205" s="42">
        <v>0</v>
      </c>
      <c r="Y205" s="42">
        <v>0</v>
      </c>
      <c r="AA205" s="42">
        <v>0</v>
      </c>
      <c r="AB205" s="37"/>
      <c r="AC205" s="42">
        <v>0</v>
      </c>
      <c r="AE205" s="42">
        <v>0</v>
      </c>
      <c r="AG205" s="42">
        <f t="shared" si="34"/>
        <v>0</v>
      </c>
      <c r="AH205" s="42"/>
      <c r="AI205" s="42">
        <f t="shared" si="35"/>
        <v>0</v>
      </c>
    </row>
    <row r="206" spans="1:35" ht="12" hidden="1" customHeight="1">
      <c r="A206" s="8" t="s">
        <v>741</v>
      </c>
      <c r="B206" s="8"/>
      <c r="C206" s="8" t="s">
        <v>60</v>
      </c>
      <c r="D206" s="8"/>
      <c r="E206" s="23">
        <v>43992</v>
      </c>
      <c r="G206" s="42">
        <v>0</v>
      </c>
      <c r="I206" s="42">
        <v>0</v>
      </c>
      <c r="K206" s="42">
        <v>0</v>
      </c>
      <c r="M206" s="42">
        <f t="shared" si="33"/>
        <v>0</v>
      </c>
      <c r="O206" s="42">
        <v>0</v>
      </c>
      <c r="Q206" s="42">
        <v>0</v>
      </c>
      <c r="S206" s="42">
        <v>0</v>
      </c>
      <c r="U206" s="42">
        <v>0</v>
      </c>
      <c r="W206" s="42">
        <v>0</v>
      </c>
      <c r="Y206" s="42">
        <v>0</v>
      </c>
      <c r="AA206" s="42">
        <v>0</v>
      </c>
      <c r="AB206" s="37"/>
      <c r="AC206" s="42">
        <v>0</v>
      </c>
      <c r="AE206" s="42">
        <v>0</v>
      </c>
      <c r="AG206" s="42">
        <f t="shared" si="34"/>
        <v>0</v>
      </c>
      <c r="AH206" s="42"/>
      <c r="AI206" s="42">
        <f t="shared" si="35"/>
        <v>0</v>
      </c>
    </row>
    <row r="207" spans="1:35" ht="12" customHeight="1">
      <c r="A207" s="8" t="s">
        <v>540</v>
      </c>
      <c r="B207" s="8"/>
      <c r="C207" s="8" t="s">
        <v>69</v>
      </c>
      <c r="D207" s="8"/>
      <c r="E207" s="23">
        <v>44008</v>
      </c>
      <c r="G207" s="42">
        <v>2657544</v>
      </c>
      <c r="I207" s="42">
        <v>3092813</v>
      </c>
      <c r="K207" s="42">
        <v>0</v>
      </c>
      <c r="M207" s="42">
        <f t="shared" si="33"/>
        <v>5750357</v>
      </c>
      <c r="O207" s="42">
        <f>12139098+382123+287800</f>
        <v>12809021</v>
      </c>
      <c r="Q207" s="42">
        <v>0</v>
      </c>
      <c r="S207" s="42">
        <v>13831830</v>
      </c>
      <c r="U207" s="42">
        <v>4120</v>
      </c>
      <c r="W207" s="42">
        <v>96470</v>
      </c>
      <c r="Y207" s="42">
        <v>18032</v>
      </c>
      <c r="AA207" s="42">
        <v>102654</v>
      </c>
      <c r="AB207" s="37"/>
      <c r="AC207" s="42">
        <v>0</v>
      </c>
      <c r="AE207" s="42">
        <v>0</v>
      </c>
      <c r="AG207" s="42">
        <f t="shared" si="34"/>
        <v>26862127</v>
      </c>
      <c r="AH207" s="42"/>
      <c r="AI207" s="42">
        <f t="shared" si="35"/>
        <v>32612484</v>
      </c>
    </row>
    <row r="208" spans="1:35" ht="12" customHeight="1">
      <c r="A208" s="8" t="s">
        <v>441</v>
      </c>
      <c r="B208" s="8"/>
      <c r="C208" s="8" t="s">
        <v>51</v>
      </c>
      <c r="D208" s="8"/>
      <c r="E208" s="23">
        <v>48843</v>
      </c>
      <c r="G208" s="42">
        <v>1909842</v>
      </c>
      <c r="I208" s="42">
        <v>3064619</v>
      </c>
      <c r="K208" s="42">
        <v>129500</v>
      </c>
      <c r="M208" s="42">
        <f t="shared" si="33"/>
        <v>5103961</v>
      </c>
      <c r="O208" s="42">
        <f>6640201+691065+326150+114306</f>
        <v>7771722</v>
      </c>
      <c r="Q208" s="42">
        <v>0</v>
      </c>
      <c r="S208" s="42">
        <v>13011896</v>
      </c>
      <c r="U208" s="42">
        <v>183078</v>
      </c>
      <c r="W208" s="42">
        <v>1613</v>
      </c>
      <c r="Y208" s="42">
        <v>0</v>
      </c>
      <c r="AA208" s="42">
        <v>46332</v>
      </c>
      <c r="AB208" s="37"/>
      <c r="AC208" s="42">
        <v>0</v>
      </c>
      <c r="AE208" s="42">
        <v>0</v>
      </c>
      <c r="AG208" s="42">
        <f t="shared" si="34"/>
        <v>21014641</v>
      </c>
      <c r="AH208" s="42"/>
      <c r="AI208" s="42">
        <f t="shared" si="35"/>
        <v>26118602</v>
      </c>
    </row>
    <row r="209" spans="1:35" hidden="1">
      <c r="A209" s="8" t="s">
        <v>610</v>
      </c>
      <c r="B209" s="8"/>
      <c r="C209" s="8" t="s">
        <v>21</v>
      </c>
      <c r="D209" s="8"/>
      <c r="E209" s="23">
        <v>46649</v>
      </c>
      <c r="G209" s="42">
        <v>0</v>
      </c>
      <c r="I209" s="42">
        <v>0</v>
      </c>
      <c r="K209" s="42">
        <v>0</v>
      </c>
      <c r="M209" s="42">
        <f t="shared" si="33"/>
        <v>0</v>
      </c>
      <c r="O209" s="42">
        <v>0</v>
      </c>
      <c r="Q209" s="42">
        <v>0</v>
      </c>
      <c r="S209" s="42">
        <v>0</v>
      </c>
      <c r="U209" s="42">
        <v>0</v>
      </c>
      <c r="W209" s="42">
        <v>0</v>
      </c>
      <c r="Y209" s="42">
        <v>0</v>
      </c>
      <c r="AA209" s="42">
        <v>0</v>
      </c>
      <c r="AB209" s="37"/>
      <c r="AC209" s="42">
        <v>0</v>
      </c>
      <c r="AE209" s="42">
        <v>0</v>
      </c>
      <c r="AG209" s="42">
        <f t="shared" si="34"/>
        <v>0</v>
      </c>
      <c r="AH209" s="42"/>
      <c r="AI209" s="42">
        <f t="shared" si="35"/>
        <v>0</v>
      </c>
    </row>
    <row r="210" spans="1:35" ht="12" hidden="1" customHeight="1">
      <c r="A210" s="8" t="s">
        <v>659</v>
      </c>
      <c r="B210" s="8"/>
      <c r="C210" s="8" t="s">
        <v>40</v>
      </c>
      <c r="D210" s="8"/>
      <c r="E210" s="23">
        <v>47852</v>
      </c>
      <c r="G210" s="42">
        <v>0</v>
      </c>
      <c r="I210" s="42">
        <v>0</v>
      </c>
      <c r="K210" s="42">
        <v>0</v>
      </c>
      <c r="M210" s="42">
        <f t="shared" si="33"/>
        <v>0</v>
      </c>
      <c r="O210" s="42">
        <v>0</v>
      </c>
      <c r="Q210" s="42">
        <v>0</v>
      </c>
      <c r="S210" s="42">
        <v>0</v>
      </c>
      <c r="U210" s="42">
        <v>0</v>
      </c>
      <c r="W210" s="42">
        <v>0</v>
      </c>
      <c r="Y210" s="42">
        <v>0</v>
      </c>
      <c r="AA210" s="42">
        <v>0</v>
      </c>
      <c r="AB210" s="37"/>
      <c r="AC210" s="42">
        <v>0</v>
      </c>
      <c r="AE210" s="42">
        <v>0</v>
      </c>
      <c r="AG210" s="42">
        <f t="shared" si="34"/>
        <v>0</v>
      </c>
      <c r="AH210" s="42"/>
      <c r="AI210" s="42">
        <f t="shared" si="35"/>
        <v>0</v>
      </c>
    </row>
    <row r="211" spans="1:35" ht="12" customHeight="1">
      <c r="A211" s="8" t="s">
        <v>639</v>
      </c>
      <c r="B211" s="8"/>
      <c r="C211" s="8" t="s">
        <v>79</v>
      </c>
      <c r="D211" s="8"/>
      <c r="E211" s="23">
        <v>44016</v>
      </c>
      <c r="G211" s="42">
        <v>1807199</v>
      </c>
      <c r="I211" s="42">
        <v>5341058</v>
      </c>
      <c r="K211" s="42">
        <v>68320</v>
      </c>
      <c r="M211" s="42">
        <f t="shared" si="33"/>
        <v>7216577</v>
      </c>
      <c r="O211" s="42">
        <f>10442888+1044498+354569+281170</f>
        <v>12123125</v>
      </c>
      <c r="Q211" s="42">
        <v>7209225</v>
      </c>
      <c r="S211" s="42">
        <v>15836282</v>
      </c>
      <c r="U211" s="42">
        <v>23528</v>
      </c>
      <c r="W211" s="42">
        <v>712520</v>
      </c>
      <c r="Y211" s="42">
        <v>0</v>
      </c>
      <c r="AA211" s="42">
        <v>254505</v>
      </c>
      <c r="AB211" s="37"/>
      <c r="AC211" s="42">
        <v>0</v>
      </c>
      <c r="AE211" s="42">
        <v>-5592095</v>
      </c>
      <c r="AG211" s="42">
        <f t="shared" si="34"/>
        <v>30567090</v>
      </c>
      <c r="AH211" s="42"/>
      <c r="AI211" s="42">
        <f t="shared" si="35"/>
        <v>37783667</v>
      </c>
    </row>
    <row r="212" spans="1:35" ht="12" customHeight="1">
      <c r="A212" s="8" t="s">
        <v>544</v>
      </c>
      <c r="B212" s="8"/>
      <c r="C212" s="8" t="s">
        <v>70</v>
      </c>
      <c r="D212" s="8"/>
      <c r="E212" s="23">
        <v>50492</v>
      </c>
      <c r="G212" s="42">
        <v>261793</v>
      </c>
      <c r="I212" s="42">
        <v>1528689</v>
      </c>
      <c r="K212" s="42">
        <v>0</v>
      </c>
      <c r="M212" s="42">
        <f t="shared" si="33"/>
        <v>1790482</v>
      </c>
      <c r="O212" s="42">
        <f>1196991+21258+188875</f>
        <v>1407124</v>
      </c>
      <c r="Q212" s="42">
        <v>0</v>
      </c>
      <c r="S212" s="42">
        <v>4821902</v>
      </c>
      <c r="U212" s="42">
        <v>5221</v>
      </c>
      <c r="W212" s="42">
        <v>45025</v>
      </c>
      <c r="Y212" s="42">
        <v>0</v>
      </c>
      <c r="AA212" s="42">
        <v>108925</v>
      </c>
      <c r="AB212" s="37"/>
      <c r="AC212" s="42">
        <v>0</v>
      </c>
      <c r="AE212" s="42">
        <v>0</v>
      </c>
      <c r="AG212" s="42">
        <f t="shared" si="34"/>
        <v>6388197</v>
      </c>
      <c r="AH212" s="42"/>
      <c r="AI212" s="42">
        <f t="shared" si="35"/>
        <v>8178679</v>
      </c>
    </row>
    <row r="213" spans="1:35" ht="12" customHeight="1">
      <c r="A213" s="8" t="s">
        <v>636</v>
      </c>
      <c r="B213" s="8"/>
      <c r="C213" s="8" t="s">
        <v>27</v>
      </c>
      <c r="D213" s="8"/>
      <c r="E213" s="23">
        <v>46961</v>
      </c>
      <c r="G213" s="42">
        <v>4382212</v>
      </c>
      <c r="I213" s="42">
        <v>5494584</v>
      </c>
      <c r="K213" s="42">
        <v>0</v>
      </c>
      <c r="M213" s="42">
        <f t="shared" si="33"/>
        <v>9876796</v>
      </c>
      <c r="O213" s="42">
        <v>49944800</v>
      </c>
      <c r="Q213" s="42">
        <v>0</v>
      </c>
      <c r="S213" s="42">
        <v>19046454</v>
      </c>
      <c r="U213" s="42">
        <v>28295</v>
      </c>
      <c r="W213" s="42">
        <v>6138650</v>
      </c>
      <c r="Y213" s="42">
        <v>0</v>
      </c>
      <c r="AA213" s="42">
        <v>250534</v>
      </c>
      <c r="AB213" s="37"/>
      <c r="AC213" s="42">
        <v>0</v>
      </c>
      <c r="AE213" s="42">
        <v>0</v>
      </c>
      <c r="AG213" s="42">
        <f t="shared" si="34"/>
        <v>75408733</v>
      </c>
      <c r="AH213" s="42"/>
      <c r="AI213" s="42">
        <f t="shared" si="35"/>
        <v>85285529</v>
      </c>
    </row>
    <row r="214" spans="1:35" ht="12" customHeight="1">
      <c r="A214" s="8" t="s">
        <v>257</v>
      </c>
      <c r="B214" s="8"/>
      <c r="C214" s="8" t="s">
        <v>110</v>
      </c>
      <c r="D214" s="8"/>
      <c r="E214" s="23">
        <v>44024</v>
      </c>
      <c r="G214" s="42">
        <v>1010588</v>
      </c>
      <c r="I214" s="42">
        <v>3361571</v>
      </c>
      <c r="K214" s="42">
        <v>0</v>
      </c>
      <c r="M214" s="42">
        <f t="shared" si="33"/>
        <v>4372159</v>
      </c>
      <c r="O214" s="42">
        <v>5168354</v>
      </c>
      <c r="Q214" s="42">
        <v>0</v>
      </c>
      <c r="S214" s="42">
        <v>9994569</v>
      </c>
      <c r="U214" s="42">
        <v>5075</v>
      </c>
      <c r="W214" s="42">
        <v>36757</v>
      </c>
      <c r="Y214" s="42">
        <v>4889</v>
      </c>
      <c r="AA214" s="42">
        <v>222114</v>
      </c>
      <c r="AB214" s="37"/>
      <c r="AC214" s="42">
        <v>0</v>
      </c>
      <c r="AE214" s="42">
        <v>0</v>
      </c>
      <c r="AG214" s="42">
        <f t="shared" si="34"/>
        <v>15431758</v>
      </c>
      <c r="AH214" s="42"/>
      <c r="AI214" s="42">
        <f t="shared" si="35"/>
        <v>19803917</v>
      </c>
    </row>
    <row r="215" spans="1:35" ht="12" customHeight="1">
      <c r="A215" s="8" t="s">
        <v>637</v>
      </c>
      <c r="B215" s="8"/>
      <c r="C215" s="8" t="s">
        <v>29</v>
      </c>
      <c r="D215" s="8"/>
      <c r="E215" s="23">
        <v>65680</v>
      </c>
      <c r="G215" s="42">
        <v>1391660</v>
      </c>
      <c r="I215" s="42">
        <v>3962143</v>
      </c>
      <c r="K215" s="42">
        <v>0</v>
      </c>
      <c r="M215" s="42">
        <f t="shared" si="33"/>
        <v>5353803</v>
      </c>
      <c r="O215" s="42">
        <v>12562466</v>
      </c>
      <c r="Q215" s="42">
        <v>0</v>
      </c>
      <c r="S215" s="42">
        <v>11097191</v>
      </c>
      <c r="U215" s="42">
        <v>209419</v>
      </c>
      <c r="W215" s="42">
        <v>0</v>
      </c>
      <c r="Y215" s="42">
        <v>0</v>
      </c>
      <c r="AA215" s="42">
        <v>379667</v>
      </c>
      <c r="AB215" s="37"/>
      <c r="AC215" s="42">
        <v>0</v>
      </c>
      <c r="AE215" s="42">
        <v>0</v>
      </c>
      <c r="AG215" s="42">
        <f t="shared" si="34"/>
        <v>24248743</v>
      </c>
      <c r="AH215" s="42"/>
      <c r="AI215" s="42">
        <f t="shared" si="35"/>
        <v>29602546</v>
      </c>
    </row>
    <row r="216" spans="1:35" ht="12" customHeight="1">
      <c r="A216" s="8" t="s">
        <v>311</v>
      </c>
      <c r="B216" s="8"/>
      <c r="C216" s="8" t="s">
        <v>29</v>
      </c>
      <c r="D216" s="8"/>
      <c r="E216" s="23">
        <v>44032</v>
      </c>
      <c r="G216" s="42">
        <v>1647717</v>
      </c>
      <c r="I216" s="42">
        <v>3568807</v>
      </c>
      <c r="K216" s="42">
        <v>120754</v>
      </c>
      <c r="M216" s="42">
        <f t="shared" si="33"/>
        <v>5337278</v>
      </c>
      <c r="O216" s="42">
        <v>6122744</v>
      </c>
      <c r="Q216" s="42">
        <v>0</v>
      </c>
      <c r="S216" s="42">
        <v>12106099</v>
      </c>
      <c r="U216" s="42">
        <v>213607</v>
      </c>
      <c r="W216" s="42">
        <v>0</v>
      </c>
      <c r="Y216" s="42">
        <v>0</v>
      </c>
      <c r="AA216" s="42">
        <v>196084</v>
      </c>
      <c r="AB216" s="37"/>
      <c r="AC216" s="42">
        <v>0</v>
      </c>
      <c r="AE216" s="42">
        <v>0</v>
      </c>
      <c r="AG216" s="42">
        <f t="shared" si="34"/>
        <v>18638534</v>
      </c>
      <c r="AH216" s="42"/>
      <c r="AI216" s="42">
        <f t="shared" si="35"/>
        <v>23975812</v>
      </c>
    </row>
    <row r="217" spans="1:35" ht="12" customHeight="1">
      <c r="A217" s="8" t="s">
        <v>531</v>
      </c>
      <c r="B217" s="8"/>
      <c r="C217" s="8" t="s">
        <v>65</v>
      </c>
      <c r="D217" s="8"/>
      <c r="E217" s="23">
        <v>50278</v>
      </c>
      <c r="G217" s="42">
        <v>1085018</v>
      </c>
      <c r="I217" s="42">
        <v>1647995</v>
      </c>
      <c r="K217" s="42">
        <v>0</v>
      </c>
      <c r="M217" s="42">
        <f t="shared" si="33"/>
        <v>2733013</v>
      </c>
      <c r="O217" s="42">
        <v>5310969</v>
      </c>
      <c r="Q217" s="42">
        <v>0</v>
      </c>
      <c r="S217" s="42">
        <v>4029164</v>
      </c>
      <c r="U217" s="42">
        <v>15992</v>
      </c>
      <c r="W217" s="42">
        <v>0</v>
      </c>
      <c r="Y217" s="42">
        <v>0</v>
      </c>
      <c r="AA217" s="42">
        <v>35992</v>
      </c>
      <c r="AB217" s="37"/>
      <c r="AC217" s="42">
        <v>0</v>
      </c>
      <c r="AE217" s="42">
        <v>0</v>
      </c>
      <c r="AG217" s="42">
        <f t="shared" si="34"/>
        <v>9392117</v>
      </c>
      <c r="AH217" s="42"/>
      <c r="AI217" s="42">
        <f t="shared" si="35"/>
        <v>12125130</v>
      </c>
    </row>
    <row r="218" spans="1:35" ht="12" customHeight="1">
      <c r="A218" s="8" t="s">
        <v>673</v>
      </c>
      <c r="B218" s="8"/>
      <c r="C218" s="8" t="s">
        <v>20</v>
      </c>
      <c r="D218" s="8"/>
      <c r="E218" s="23">
        <v>44040</v>
      </c>
      <c r="G218" s="42">
        <v>877861</v>
      </c>
      <c r="I218" s="42">
        <v>4022269</v>
      </c>
      <c r="K218" s="42">
        <v>1504758</v>
      </c>
      <c r="M218" s="42">
        <f t="shared" si="33"/>
        <v>6404888</v>
      </c>
      <c r="O218" s="42">
        <v>17132409</v>
      </c>
      <c r="Q218" s="42">
        <v>0</v>
      </c>
      <c r="S218" s="42">
        <v>20567885</v>
      </c>
      <c r="U218" s="42">
        <v>142441</v>
      </c>
      <c r="W218" s="42">
        <v>281411</v>
      </c>
      <c r="Y218" s="42">
        <v>0</v>
      </c>
      <c r="AA218" s="42">
        <v>166379</v>
      </c>
      <c r="AB218" s="37"/>
      <c r="AC218" s="42">
        <v>0</v>
      </c>
      <c r="AE218" s="42">
        <v>0</v>
      </c>
      <c r="AG218" s="42">
        <f t="shared" si="34"/>
        <v>38290525</v>
      </c>
      <c r="AH218" s="42"/>
      <c r="AI218" s="42">
        <f t="shared" si="35"/>
        <v>44695413</v>
      </c>
    </row>
    <row r="219" spans="1:35" ht="12" customHeight="1">
      <c r="A219" s="8" t="s">
        <v>638</v>
      </c>
      <c r="B219" s="8"/>
      <c r="C219" s="8" t="s">
        <v>12</v>
      </c>
      <c r="D219" s="8"/>
      <c r="E219" s="23">
        <v>44057</v>
      </c>
      <c r="F219" s="59"/>
      <c r="G219" s="42">
        <v>2261004</v>
      </c>
      <c r="I219" s="42">
        <v>2742846</v>
      </c>
      <c r="K219" s="42">
        <v>1729875</v>
      </c>
      <c r="M219" s="42">
        <f t="shared" si="33"/>
        <v>6733725</v>
      </c>
      <c r="O219" s="42">
        <f>4617316+799457+221036</f>
        <v>5637809</v>
      </c>
      <c r="Q219" s="42">
        <v>0</v>
      </c>
      <c r="S219" s="42">
        <v>12678628</v>
      </c>
      <c r="U219" s="42">
        <v>20650</v>
      </c>
      <c r="W219" s="42">
        <v>114696</v>
      </c>
      <c r="Y219" s="42">
        <v>0</v>
      </c>
      <c r="AA219" s="42">
        <f>453844+217342</f>
        <v>671186</v>
      </c>
      <c r="AB219" s="37"/>
      <c r="AC219" s="42">
        <v>0</v>
      </c>
      <c r="AE219" s="42">
        <v>0</v>
      </c>
      <c r="AG219" s="42">
        <f t="shared" si="34"/>
        <v>19122969</v>
      </c>
      <c r="AH219" s="42"/>
      <c r="AI219" s="42">
        <f t="shared" si="35"/>
        <v>25856694</v>
      </c>
    </row>
    <row r="220" spans="1:35" ht="12" hidden="1" customHeight="1">
      <c r="A220" s="8" t="s">
        <v>826</v>
      </c>
      <c r="B220" s="8"/>
      <c r="C220" s="8" t="s">
        <v>53</v>
      </c>
      <c r="D220" s="8"/>
      <c r="E220" s="23">
        <v>48942</v>
      </c>
      <c r="G220" s="42">
        <v>0</v>
      </c>
      <c r="I220" s="42">
        <v>0</v>
      </c>
      <c r="K220" s="42">
        <v>0</v>
      </c>
      <c r="M220" s="42">
        <f t="shared" si="33"/>
        <v>0</v>
      </c>
      <c r="O220" s="42">
        <v>0</v>
      </c>
      <c r="Q220" s="42">
        <v>0</v>
      </c>
      <c r="S220" s="42">
        <v>0</v>
      </c>
      <c r="U220" s="42">
        <v>0</v>
      </c>
      <c r="W220" s="42">
        <v>0</v>
      </c>
      <c r="Y220" s="42">
        <v>0</v>
      </c>
      <c r="AA220" s="42">
        <v>0</v>
      </c>
      <c r="AB220" s="37"/>
      <c r="AC220" s="42">
        <v>0</v>
      </c>
      <c r="AE220" s="42">
        <v>0</v>
      </c>
      <c r="AG220" s="42">
        <f t="shared" si="34"/>
        <v>0</v>
      </c>
      <c r="AH220" s="42"/>
      <c r="AI220" s="42">
        <f t="shared" si="35"/>
        <v>0</v>
      </c>
    </row>
    <row r="221" spans="1:35" ht="12" hidden="1" customHeight="1">
      <c r="A221" s="8" t="s">
        <v>660</v>
      </c>
      <c r="B221" s="8"/>
      <c r="C221" s="8" t="s">
        <v>77</v>
      </c>
      <c r="D221" s="8"/>
      <c r="E221" s="23">
        <v>45377</v>
      </c>
      <c r="F221" s="59"/>
      <c r="G221" s="42">
        <v>0</v>
      </c>
      <c r="I221" s="42">
        <v>0</v>
      </c>
      <c r="K221" s="42">
        <v>0</v>
      </c>
      <c r="M221" s="42">
        <f t="shared" si="33"/>
        <v>0</v>
      </c>
      <c r="O221" s="42">
        <v>0</v>
      </c>
      <c r="Q221" s="42">
        <v>0</v>
      </c>
      <c r="S221" s="42">
        <v>0</v>
      </c>
      <c r="U221" s="42">
        <v>0</v>
      </c>
      <c r="W221" s="42">
        <v>0</v>
      </c>
      <c r="Y221" s="42">
        <v>0</v>
      </c>
      <c r="AA221" s="42">
        <v>0</v>
      </c>
      <c r="AB221" s="37"/>
      <c r="AC221" s="42">
        <v>0</v>
      </c>
      <c r="AE221" s="42">
        <v>0</v>
      </c>
      <c r="AG221" s="42">
        <f t="shared" si="34"/>
        <v>0</v>
      </c>
      <c r="AH221" s="42"/>
      <c r="AI221" s="42">
        <f t="shared" si="35"/>
        <v>0</v>
      </c>
    </row>
    <row r="222" spans="1:35" ht="12" customHeight="1">
      <c r="A222" s="8" t="s">
        <v>742</v>
      </c>
      <c r="B222" s="8"/>
      <c r="C222" s="8" t="s">
        <v>79</v>
      </c>
      <c r="D222" s="8"/>
      <c r="E222" s="23">
        <v>45385</v>
      </c>
      <c r="G222" s="42">
        <v>803927</v>
      </c>
      <c r="I222" s="42">
        <v>1137300</v>
      </c>
      <c r="K222" s="42">
        <v>0</v>
      </c>
      <c r="M222" s="42">
        <f t="shared" si="33"/>
        <v>1941227</v>
      </c>
      <c r="O222" s="42">
        <f>1961389+32440+449150+40438</f>
        <v>2483417</v>
      </c>
      <c r="Q222" s="42">
        <v>0</v>
      </c>
      <c r="S222" s="42">
        <v>5525463</v>
      </c>
      <c r="U222" s="42">
        <v>3504</v>
      </c>
      <c r="W222" s="42">
        <v>0</v>
      </c>
      <c r="Y222" s="42">
        <v>0</v>
      </c>
      <c r="AA222" s="42">
        <v>11748</v>
      </c>
      <c r="AB222" s="37"/>
      <c r="AC222" s="42">
        <v>0</v>
      </c>
      <c r="AE222" s="42">
        <v>0</v>
      </c>
      <c r="AG222" s="42">
        <f t="shared" si="34"/>
        <v>8024132</v>
      </c>
      <c r="AH222" s="42"/>
      <c r="AI222" s="42">
        <f t="shared" si="35"/>
        <v>9965359</v>
      </c>
    </row>
    <row r="223" spans="1:35" ht="12" customHeight="1">
      <c r="A223" s="8" t="s">
        <v>517</v>
      </c>
      <c r="B223" s="8"/>
      <c r="C223" s="8" t="s">
        <v>64</v>
      </c>
      <c r="D223" s="8"/>
      <c r="E223" s="23">
        <v>44065</v>
      </c>
      <c r="G223" s="42">
        <v>936225</v>
      </c>
      <c r="I223" s="42">
        <v>2400535</v>
      </c>
      <c r="K223" s="42">
        <v>0</v>
      </c>
      <c r="M223" s="42">
        <f t="shared" si="33"/>
        <v>3336760</v>
      </c>
      <c r="O223" s="42">
        <f>3680695+882937+118520+53338</f>
        <v>4735490</v>
      </c>
      <c r="Q223" s="42">
        <v>0</v>
      </c>
      <c r="S223" s="42">
        <v>8497172</v>
      </c>
      <c r="U223" s="42">
        <v>27153</v>
      </c>
      <c r="W223" s="42">
        <v>372787</v>
      </c>
      <c r="Y223" s="42">
        <v>0</v>
      </c>
      <c r="AA223" s="42">
        <v>87047</v>
      </c>
      <c r="AB223" s="37"/>
      <c r="AC223" s="42">
        <v>0</v>
      </c>
      <c r="AE223" s="42">
        <v>0</v>
      </c>
      <c r="AG223" s="42">
        <f t="shared" si="34"/>
        <v>13719649</v>
      </c>
      <c r="AH223" s="42"/>
      <c r="AI223" s="42">
        <f t="shared" si="35"/>
        <v>17056409</v>
      </c>
    </row>
    <row r="224" spans="1:35" ht="12" hidden="1" customHeight="1">
      <c r="A224" s="9" t="s">
        <v>784</v>
      </c>
      <c r="B224" s="8"/>
      <c r="C224" s="8" t="s">
        <v>28</v>
      </c>
      <c r="D224" s="8"/>
      <c r="E224" s="23">
        <v>47068</v>
      </c>
      <c r="G224" s="42">
        <v>0</v>
      </c>
      <c r="I224" s="42">
        <v>0</v>
      </c>
      <c r="K224" s="42">
        <v>0</v>
      </c>
      <c r="M224" s="42">
        <f t="shared" si="33"/>
        <v>0</v>
      </c>
      <c r="O224" s="42">
        <v>0</v>
      </c>
      <c r="Q224" s="42">
        <v>0</v>
      </c>
      <c r="S224" s="42">
        <v>0</v>
      </c>
      <c r="U224" s="42">
        <v>0</v>
      </c>
      <c r="W224" s="42">
        <v>0</v>
      </c>
      <c r="Y224" s="42">
        <v>0</v>
      </c>
      <c r="AA224" s="42">
        <v>0</v>
      </c>
      <c r="AB224" s="37"/>
      <c r="AC224" s="42">
        <v>0</v>
      </c>
      <c r="AE224" s="42">
        <v>0</v>
      </c>
      <c r="AG224" s="42">
        <f t="shared" si="34"/>
        <v>0</v>
      </c>
      <c r="AH224" s="42"/>
      <c r="AI224" s="42">
        <f t="shared" si="35"/>
        <v>0</v>
      </c>
    </row>
    <row r="225" spans="1:35" ht="12" customHeight="1">
      <c r="A225" s="8" t="s">
        <v>238</v>
      </c>
      <c r="B225" s="8"/>
      <c r="C225" s="8" t="s">
        <v>112</v>
      </c>
      <c r="D225" s="8"/>
      <c r="E225" s="23">
        <v>46342</v>
      </c>
      <c r="F225" s="59"/>
      <c r="G225" s="42">
        <v>2584252</v>
      </c>
      <c r="I225" s="42">
        <v>3890602</v>
      </c>
      <c r="K225" s="42">
        <v>0</v>
      </c>
      <c r="M225" s="42">
        <f t="shared" si="33"/>
        <v>6474854</v>
      </c>
      <c r="O225" s="42">
        <f>4831624+437714+1006763+91120</f>
        <v>6367221</v>
      </c>
      <c r="Q225" s="42">
        <v>2991520</v>
      </c>
      <c r="S225" s="42">
        <v>11803347</v>
      </c>
      <c r="U225" s="42">
        <v>4623</v>
      </c>
      <c r="W225" s="42">
        <v>88723</v>
      </c>
      <c r="Y225" s="42">
        <v>4242</v>
      </c>
      <c r="AA225" s="42">
        <v>382389</v>
      </c>
      <c r="AB225" s="37"/>
      <c r="AC225" s="42">
        <v>0</v>
      </c>
      <c r="AE225" s="42">
        <v>0</v>
      </c>
      <c r="AG225" s="42">
        <f>SUM(O225:AE225)</f>
        <v>21642065</v>
      </c>
      <c r="AH225" s="42"/>
      <c r="AI225" s="42">
        <f t="shared" si="35"/>
        <v>28116919</v>
      </c>
    </row>
    <row r="226" spans="1:35" ht="12" hidden="1" customHeight="1">
      <c r="A226" s="9" t="s">
        <v>785</v>
      </c>
      <c r="B226" s="8"/>
      <c r="C226" s="8" t="s">
        <v>227</v>
      </c>
      <c r="D226" s="8"/>
      <c r="E226" s="23">
        <v>46193</v>
      </c>
      <c r="F226" s="59"/>
      <c r="G226" s="42">
        <v>0</v>
      </c>
      <c r="I226" s="42">
        <v>0</v>
      </c>
      <c r="K226" s="42">
        <v>0</v>
      </c>
      <c r="M226" s="42">
        <f t="shared" si="33"/>
        <v>0</v>
      </c>
      <c r="O226" s="42">
        <v>0</v>
      </c>
      <c r="Q226" s="42">
        <v>0</v>
      </c>
      <c r="S226" s="42">
        <v>0</v>
      </c>
      <c r="U226" s="42">
        <v>0</v>
      </c>
      <c r="W226" s="42">
        <v>0</v>
      </c>
      <c r="Y226" s="42">
        <v>0</v>
      </c>
      <c r="AA226" s="42">
        <v>0</v>
      </c>
      <c r="AB226" s="37"/>
      <c r="AC226" s="42">
        <v>0</v>
      </c>
      <c r="AE226" s="42">
        <v>0</v>
      </c>
      <c r="AG226" s="42">
        <f t="shared" si="34"/>
        <v>0</v>
      </c>
      <c r="AH226" s="42"/>
      <c r="AI226" s="42">
        <f t="shared" si="35"/>
        <v>0</v>
      </c>
    </row>
    <row r="227" spans="1:35" ht="12" customHeight="1">
      <c r="A227" s="8" t="s">
        <v>207</v>
      </c>
      <c r="B227" s="8"/>
      <c r="C227" s="8" t="s">
        <v>12</v>
      </c>
      <c r="D227" s="8"/>
      <c r="E227" s="23">
        <v>45864</v>
      </c>
      <c r="F227" s="59"/>
      <c r="G227" s="42">
        <v>959696</v>
      </c>
      <c r="I227" s="42">
        <v>1078201</v>
      </c>
      <c r="K227" s="42">
        <v>27774</v>
      </c>
      <c r="M227" s="42">
        <f t="shared" si="33"/>
        <v>2065671</v>
      </c>
      <c r="O227" s="42">
        <f>2370885+581430+79840+40700</f>
        <v>3072855</v>
      </c>
      <c r="Q227" s="42">
        <v>0</v>
      </c>
      <c r="S227" s="42">
        <v>6632791</v>
      </c>
      <c r="U227" s="42">
        <v>29356</v>
      </c>
      <c r="W227" s="42">
        <v>0</v>
      </c>
      <c r="Y227" s="42">
        <v>0</v>
      </c>
      <c r="AA227" s="42">
        <v>82086</v>
      </c>
      <c r="AB227" s="37"/>
      <c r="AC227" s="42">
        <v>0</v>
      </c>
      <c r="AE227" s="42">
        <v>0</v>
      </c>
      <c r="AG227" s="42">
        <f t="shared" si="34"/>
        <v>9817088</v>
      </c>
      <c r="AH227" s="42"/>
      <c r="AI227" s="42">
        <f t="shared" si="35"/>
        <v>11882759</v>
      </c>
    </row>
    <row r="228" spans="1:35" ht="12" customHeight="1">
      <c r="A228" s="8" t="s">
        <v>301</v>
      </c>
      <c r="B228" s="8"/>
      <c r="C228" s="8" t="s">
        <v>27</v>
      </c>
      <c r="D228" s="8"/>
      <c r="E228" s="23">
        <v>44073</v>
      </c>
      <c r="G228" s="42">
        <v>734533</v>
      </c>
      <c r="I228" s="42">
        <v>533211</v>
      </c>
      <c r="K228" s="42">
        <v>0</v>
      </c>
      <c r="M228" s="42">
        <f t="shared" si="33"/>
        <v>1267744</v>
      </c>
      <c r="O228" s="42">
        <f>10088657+706961+438970</f>
        <v>11234588</v>
      </c>
      <c r="Q228" s="42">
        <v>0</v>
      </c>
      <c r="S228" s="42">
        <v>3558422</v>
      </c>
      <c r="U228" s="42">
        <v>15408</v>
      </c>
      <c r="W228" s="42">
        <v>764347</v>
      </c>
      <c r="Y228" s="42">
        <v>0</v>
      </c>
      <c r="AA228" s="42">
        <v>139847</v>
      </c>
      <c r="AB228" s="37"/>
      <c r="AC228" s="42">
        <v>-50000</v>
      </c>
      <c r="AE228" s="42">
        <v>0</v>
      </c>
      <c r="AG228" s="42">
        <f t="shared" si="34"/>
        <v>15662612</v>
      </c>
      <c r="AH228" s="42"/>
      <c r="AI228" s="42">
        <f t="shared" si="35"/>
        <v>16930356</v>
      </c>
    </row>
    <row r="229" spans="1:35" ht="12" customHeight="1">
      <c r="A229" s="8" t="s">
        <v>661</v>
      </c>
      <c r="B229" s="8"/>
      <c r="C229" s="8" t="s">
        <v>42</v>
      </c>
      <c r="D229" s="8"/>
      <c r="E229" s="23">
        <v>45393</v>
      </c>
      <c r="G229" s="42">
        <v>1254615</v>
      </c>
      <c r="I229" s="42">
        <v>909697</v>
      </c>
      <c r="K229" s="42">
        <v>0</v>
      </c>
      <c r="M229" s="42">
        <f t="shared" ref="M229:M233" si="44">SUM(G229:L229)</f>
        <v>2164312</v>
      </c>
      <c r="O229" s="42">
        <f>14960136+2504600+641166+145022</f>
        <v>18250924</v>
      </c>
      <c r="Q229" s="42">
        <v>0</v>
      </c>
      <c r="S229" s="42">
        <v>7600638</v>
      </c>
      <c r="U229" s="42">
        <v>18899</v>
      </c>
      <c r="W229" s="42">
        <v>305329</v>
      </c>
      <c r="Y229" s="42">
        <v>0</v>
      </c>
      <c r="AA229" s="42">
        <v>124665</v>
      </c>
      <c r="AB229" s="37"/>
      <c r="AC229" s="42">
        <v>0</v>
      </c>
      <c r="AE229" s="42">
        <v>0</v>
      </c>
      <c r="AG229" s="42">
        <f>SUM(O229:AE229)</f>
        <v>26300455</v>
      </c>
      <c r="AH229" s="42"/>
      <c r="AI229" s="42">
        <f>+AG229+M229</f>
        <v>28464767</v>
      </c>
    </row>
    <row r="230" spans="1:35" ht="12" customHeight="1">
      <c r="A230" s="8" t="s">
        <v>478</v>
      </c>
      <c r="B230" s="8"/>
      <c r="C230" s="8" t="s">
        <v>59</v>
      </c>
      <c r="D230" s="8"/>
      <c r="E230" s="23">
        <v>49619</v>
      </c>
      <c r="G230" s="42">
        <v>570947</v>
      </c>
      <c r="I230" s="42">
        <v>1505765</v>
      </c>
      <c r="K230" s="42">
        <v>0</v>
      </c>
      <c r="M230" s="42">
        <f t="shared" si="44"/>
        <v>2076712</v>
      </c>
      <c r="O230" s="42">
        <v>1597637</v>
      </c>
      <c r="Q230" s="42">
        <v>0</v>
      </c>
      <c r="S230" s="42">
        <v>3597009</v>
      </c>
      <c r="U230" s="42">
        <v>219</v>
      </c>
      <c r="W230" s="42">
        <v>105216</v>
      </c>
      <c r="Y230" s="42">
        <v>5300</v>
      </c>
      <c r="AA230" s="42">
        <v>229584</v>
      </c>
      <c r="AB230" s="37"/>
      <c r="AC230" s="42">
        <v>0</v>
      </c>
      <c r="AE230" s="42">
        <v>0</v>
      </c>
      <c r="AG230" s="42">
        <f>SUM(O230:AE230)</f>
        <v>5534965</v>
      </c>
      <c r="AH230" s="42"/>
      <c r="AI230" s="42">
        <f>+AG230+M230</f>
        <v>7611677</v>
      </c>
    </row>
    <row r="231" spans="1:35" ht="12" customHeight="1">
      <c r="A231" s="8" t="s">
        <v>478</v>
      </c>
      <c r="B231" s="8"/>
      <c r="C231" s="8" t="s">
        <v>63</v>
      </c>
      <c r="D231" s="8"/>
      <c r="E231" s="23">
        <v>50013</v>
      </c>
      <c r="G231" s="42">
        <v>2423303</v>
      </c>
      <c r="I231" s="42">
        <v>1839540</v>
      </c>
      <c r="K231" s="42">
        <v>786965</v>
      </c>
      <c r="M231" s="42">
        <f t="shared" si="44"/>
        <v>5049808</v>
      </c>
      <c r="O231" s="42">
        <f>19735916+1380460+2629692</f>
        <v>23746068</v>
      </c>
      <c r="Q231" s="42">
        <v>0</v>
      </c>
      <c r="S231" s="42">
        <v>13995532</v>
      </c>
      <c r="U231" s="42">
        <v>6865</v>
      </c>
      <c r="W231" s="42">
        <v>0</v>
      </c>
      <c r="Y231" s="42">
        <v>0</v>
      </c>
      <c r="AA231" s="42">
        <v>215178</v>
      </c>
      <c r="AB231" s="37"/>
      <c r="AC231" s="42">
        <v>0</v>
      </c>
      <c r="AE231" s="42">
        <v>0</v>
      </c>
      <c r="AG231" s="42">
        <f>SUM(O231:AE231)</f>
        <v>37963643</v>
      </c>
      <c r="AH231" s="42"/>
      <c r="AI231" s="42">
        <f>+AG231+M231</f>
        <v>43013451</v>
      </c>
    </row>
    <row r="232" spans="1:35" ht="12" hidden="1" customHeight="1">
      <c r="A232" s="8" t="s">
        <v>845</v>
      </c>
      <c r="B232" s="8"/>
      <c r="C232" s="8" t="s">
        <v>71</v>
      </c>
      <c r="D232" s="8"/>
      <c r="E232" s="23">
        <v>50559</v>
      </c>
      <c r="G232" s="42">
        <v>0</v>
      </c>
      <c r="I232" s="42">
        <v>0</v>
      </c>
      <c r="K232" s="42">
        <v>0</v>
      </c>
      <c r="M232" s="42">
        <f t="shared" si="44"/>
        <v>0</v>
      </c>
      <c r="O232" s="42">
        <v>0</v>
      </c>
      <c r="Q232" s="42">
        <v>0</v>
      </c>
      <c r="S232" s="42">
        <v>0</v>
      </c>
      <c r="U232" s="42">
        <v>0</v>
      </c>
      <c r="W232" s="42">
        <v>0</v>
      </c>
      <c r="Y232" s="42">
        <v>0</v>
      </c>
      <c r="AA232" s="42">
        <v>0</v>
      </c>
      <c r="AB232" s="37"/>
      <c r="AC232" s="42">
        <v>0</v>
      </c>
      <c r="AE232" s="42">
        <v>0</v>
      </c>
      <c r="AG232" s="42">
        <f>SUM(O232:AE232)</f>
        <v>0</v>
      </c>
      <c r="AH232" s="42"/>
      <c r="AI232" s="42">
        <f>+AG232+M232</f>
        <v>0</v>
      </c>
    </row>
    <row r="233" spans="1:35" ht="12" customHeight="1">
      <c r="A233" s="8" t="s">
        <v>316</v>
      </c>
      <c r="B233" s="8"/>
      <c r="C233" s="8" t="s">
        <v>113</v>
      </c>
      <c r="D233" s="8"/>
      <c r="E233" s="23">
        <v>47266</v>
      </c>
      <c r="G233" s="42">
        <v>1409212</v>
      </c>
      <c r="I233" s="42">
        <v>748264</v>
      </c>
      <c r="K233" s="42">
        <v>0</v>
      </c>
      <c r="M233" s="42">
        <f t="shared" si="44"/>
        <v>2157476</v>
      </c>
      <c r="O233" s="42">
        <f>3641880+541973+79515</f>
        <v>4263368</v>
      </c>
      <c r="Q233" s="42">
        <v>1743371</v>
      </c>
      <c r="S233" s="42">
        <v>6018725</v>
      </c>
      <c r="U233" s="42">
        <v>27131</v>
      </c>
      <c r="W233" s="42">
        <v>0</v>
      </c>
      <c r="Y233" s="42">
        <v>12103</v>
      </c>
      <c r="AA233" s="42">
        <f>42168+68044</f>
        <v>110212</v>
      </c>
      <c r="AB233" s="37"/>
      <c r="AC233" s="42">
        <v>0</v>
      </c>
      <c r="AE233" s="42">
        <v>0</v>
      </c>
      <c r="AG233" s="42">
        <f t="shared" ref="AG233:AG234" si="45">SUM(O233:AE233)</f>
        <v>12174910</v>
      </c>
      <c r="AH233" s="42"/>
      <c r="AI233" s="42">
        <f t="shared" ref="AI233:AI234" si="46">+AG233+M233</f>
        <v>14332386</v>
      </c>
    </row>
    <row r="234" spans="1:35" ht="12" customHeight="1">
      <c r="A234" s="9" t="s">
        <v>754</v>
      </c>
      <c r="B234" s="8"/>
      <c r="C234" s="8" t="s">
        <v>346</v>
      </c>
      <c r="D234" s="8"/>
      <c r="E234" s="23">
        <v>45401</v>
      </c>
      <c r="G234" s="42">
        <v>821999</v>
      </c>
      <c r="I234" s="42">
        <v>2255998</v>
      </c>
      <c r="K234" s="42">
        <v>111998</v>
      </c>
      <c r="M234" s="42">
        <f t="shared" ref="M234:M302" si="47">SUM(G234:L234)</f>
        <v>3189995</v>
      </c>
      <c r="O234" s="42">
        <f>3091408+341641+66499</f>
        <v>3499548</v>
      </c>
      <c r="Q234" s="42">
        <v>1826116</v>
      </c>
      <c r="S234" s="42">
        <v>13056459</v>
      </c>
      <c r="U234" s="42">
        <v>21218</v>
      </c>
      <c r="W234" s="42">
        <v>0</v>
      </c>
      <c r="Y234" s="42">
        <v>0</v>
      </c>
      <c r="AA234" s="42">
        <v>295077</v>
      </c>
      <c r="AB234" s="37"/>
      <c r="AC234" s="42">
        <v>0</v>
      </c>
      <c r="AE234" s="42">
        <v>0</v>
      </c>
      <c r="AG234" s="42">
        <f t="shared" si="45"/>
        <v>18698418</v>
      </c>
      <c r="AH234" s="42"/>
      <c r="AI234" s="42">
        <f t="shared" si="46"/>
        <v>21888413</v>
      </c>
    </row>
    <row r="235" spans="1:35" s="42" customFormat="1" ht="12" customHeight="1">
      <c r="A235" s="9" t="s">
        <v>230</v>
      </c>
      <c r="B235" s="9"/>
      <c r="C235" s="9" t="s">
        <v>17</v>
      </c>
      <c r="D235" s="9"/>
      <c r="E235" s="23">
        <v>46235</v>
      </c>
      <c r="F235" s="7"/>
      <c r="G235" s="42">
        <v>1448596</v>
      </c>
      <c r="I235" s="42">
        <v>1487312</v>
      </c>
      <c r="K235" s="42">
        <v>0</v>
      </c>
      <c r="M235" s="42">
        <f t="shared" si="47"/>
        <v>2935908</v>
      </c>
      <c r="O235" s="42">
        <f>6448311+29101+603960</f>
        <v>7081372</v>
      </c>
      <c r="Q235" s="42">
        <v>0</v>
      </c>
      <c r="S235" s="42">
        <v>7056245</v>
      </c>
      <c r="U235" s="42">
        <f>11461-7589</f>
        <v>3872</v>
      </c>
      <c r="W235" s="42">
        <v>0</v>
      </c>
      <c r="Y235" s="42">
        <v>0</v>
      </c>
      <c r="AA235" s="42">
        <v>11745</v>
      </c>
      <c r="AB235" s="37"/>
      <c r="AC235" s="42">
        <v>0</v>
      </c>
      <c r="AE235" s="42">
        <v>0</v>
      </c>
      <c r="AG235" s="42">
        <f t="shared" ref="AG235:AG303" si="48">SUM(O235:AE235)</f>
        <v>14153234</v>
      </c>
      <c r="AI235" s="42">
        <f t="shared" ref="AI235:AI302" si="49">+AG235+M235</f>
        <v>17089142</v>
      </c>
    </row>
    <row r="236" spans="1:35" ht="12" customHeight="1">
      <c r="A236" s="8" t="s">
        <v>280</v>
      </c>
      <c r="B236" s="8"/>
      <c r="C236" s="8" t="s">
        <v>21</v>
      </c>
      <c r="D236" s="8"/>
      <c r="E236" s="23">
        <v>44099</v>
      </c>
      <c r="G236" s="42">
        <v>1250845</v>
      </c>
      <c r="I236" s="42">
        <v>4006408</v>
      </c>
      <c r="K236" s="42">
        <v>334441</v>
      </c>
      <c r="M236" s="42">
        <f t="shared" si="47"/>
        <v>5591694</v>
      </c>
      <c r="O236" s="42">
        <f>9423711+427284</f>
        <v>9850995</v>
      </c>
      <c r="Q236" s="42">
        <v>1980134</v>
      </c>
      <c r="S236" s="42">
        <v>11851817</v>
      </c>
      <c r="U236" s="42">
        <v>5969</v>
      </c>
      <c r="W236" s="42">
        <v>21473</v>
      </c>
      <c r="Y236" s="42">
        <v>1529</v>
      </c>
      <c r="AA236" s="42">
        <v>64237</v>
      </c>
      <c r="AB236" s="37"/>
      <c r="AC236" s="42">
        <v>0</v>
      </c>
      <c r="AE236" s="42">
        <v>0</v>
      </c>
      <c r="AG236" s="42">
        <f t="shared" si="48"/>
        <v>23776154</v>
      </c>
      <c r="AH236" s="42"/>
      <c r="AI236" s="42">
        <f t="shared" si="49"/>
        <v>29367848</v>
      </c>
    </row>
    <row r="237" spans="1:35" ht="12" customHeight="1">
      <c r="A237" s="8" t="s">
        <v>302</v>
      </c>
      <c r="B237" s="8"/>
      <c r="C237" s="8" t="s">
        <v>27</v>
      </c>
      <c r="D237" s="8"/>
      <c r="E237" s="23">
        <v>46979</v>
      </c>
      <c r="G237" s="42">
        <v>2661309</v>
      </c>
      <c r="I237" s="42">
        <v>6341057</v>
      </c>
      <c r="K237" s="42">
        <v>0</v>
      </c>
      <c r="M237" s="42">
        <f t="shared" si="47"/>
        <v>9002366</v>
      </c>
      <c r="O237" s="42">
        <f>24462258+977244</f>
        <v>25439502</v>
      </c>
      <c r="Q237" s="42">
        <v>0</v>
      </c>
      <c r="S237" s="42">
        <v>32799364</v>
      </c>
      <c r="U237" s="42">
        <v>3366</v>
      </c>
      <c r="W237" s="42">
        <f>553051+1182293</f>
        <v>1735344</v>
      </c>
      <c r="Y237" s="42">
        <v>0</v>
      </c>
      <c r="AA237" s="42">
        <v>585235</v>
      </c>
      <c r="AB237" s="37"/>
      <c r="AC237" s="42">
        <v>0</v>
      </c>
      <c r="AE237" s="42">
        <v>0</v>
      </c>
      <c r="AG237" s="42">
        <f t="shared" si="48"/>
        <v>60562811</v>
      </c>
      <c r="AH237" s="42"/>
      <c r="AI237" s="42">
        <f t="shared" si="49"/>
        <v>69565177</v>
      </c>
    </row>
    <row r="238" spans="1:35" ht="12" hidden="1" customHeight="1">
      <c r="A238" s="8" t="s">
        <v>846</v>
      </c>
      <c r="B238" s="8"/>
      <c r="C238" s="8" t="s">
        <v>220</v>
      </c>
      <c r="D238" s="8"/>
      <c r="E238" s="23">
        <v>44107</v>
      </c>
      <c r="F238" s="59"/>
      <c r="G238" s="42">
        <v>0</v>
      </c>
      <c r="I238" s="42">
        <v>0</v>
      </c>
      <c r="K238" s="42">
        <v>0</v>
      </c>
      <c r="M238" s="42">
        <f>SUM(G238:L238)</f>
        <v>0</v>
      </c>
      <c r="O238" s="42">
        <v>0</v>
      </c>
      <c r="Q238" s="42">
        <v>0</v>
      </c>
      <c r="S238" s="42">
        <v>0</v>
      </c>
      <c r="U238" s="42">
        <v>0</v>
      </c>
      <c r="W238" s="42">
        <v>0</v>
      </c>
      <c r="Y238" s="42">
        <v>0</v>
      </c>
      <c r="AA238" s="42">
        <v>0</v>
      </c>
      <c r="AB238" s="37"/>
      <c r="AC238" s="42">
        <v>0</v>
      </c>
      <c r="AE238" s="42">
        <v>0</v>
      </c>
      <c r="AG238" s="42">
        <f>SUM(O238:AE238)</f>
        <v>0</v>
      </c>
      <c r="AH238" s="42"/>
      <c r="AI238" s="42">
        <f t="shared" si="49"/>
        <v>0</v>
      </c>
    </row>
    <row r="239" spans="1:35" ht="12" customHeight="1">
      <c r="A239" s="8" t="s">
        <v>796</v>
      </c>
      <c r="B239" s="8"/>
      <c r="C239" s="8" t="s">
        <v>27</v>
      </c>
      <c r="D239" s="8"/>
      <c r="E239" s="23">
        <v>46953</v>
      </c>
      <c r="G239" s="42">
        <v>858965</v>
      </c>
      <c r="I239" s="42">
        <v>3310805</v>
      </c>
      <c r="K239" s="42">
        <v>0</v>
      </c>
      <c r="M239" s="42">
        <f t="shared" ref="M239:M240" si="50">SUM(G239:L239)</f>
        <v>4169770</v>
      </c>
      <c r="O239" s="42">
        <f>4366869+1440956+306729</f>
        <v>6114554</v>
      </c>
      <c r="Q239" s="42">
        <v>0</v>
      </c>
      <c r="S239" s="42">
        <v>18019696</v>
      </c>
      <c r="U239" s="42">
        <v>11024</v>
      </c>
      <c r="W239" s="42">
        <v>151773</v>
      </c>
      <c r="Y239" s="42">
        <v>0</v>
      </c>
      <c r="AA239" s="42">
        <v>98463</v>
      </c>
      <c r="AB239" s="37"/>
      <c r="AC239" s="42">
        <v>0</v>
      </c>
      <c r="AE239" s="42">
        <v>0</v>
      </c>
      <c r="AG239" s="42">
        <f t="shared" ref="AG239" si="51">SUM(O239:AE239)</f>
        <v>24395510</v>
      </c>
      <c r="AH239" s="42"/>
      <c r="AI239" s="42">
        <f t="shared" si="49"/>
        <v>28565280</v>
      </c>
    </row>
    <row r="240" spans="1:35" ht="12" hidden="1" customHeight="1">
      <c r="A240" s="8" t="s">
        <v>338</v>
      </c>
      <c r="B240" s="8"/>
      <c r="C240" s="8" t="s">
        <v>337</v>
      </c>
      <c r="D240" s="8"/>
      <c r="E240" s="23">
        <v>47498</v>
      </c>
      <c r="G240" s="42">
        <v>0</v>
      </c>
      <c r="I240" s="42">
        <v>0</v>
      </c>
      <c r="K240" s="42">
        <v>0</v>
      </c>
      <c r="M240" s="42">
        <f t="shared" si="50"/>
        <v>0</v>
      </c>
      <c r="O240" s="42">
        <v>0</v>
      </c>
      <c r="Q240" s="42">
        <v>0</v>
      </c>
      <c r="S240" s="42">
        <v>0</v>
      </c>
      <c r="U240" s="42">
        <v>0</v>
      </c>
      <c r="W240" s="42">
        <v>0</v>
      </c>
      <c r="Y240" s="42">
        <v>0</v>
      </c>
      <c r="AA240" s="42">
        <v>0</v>
      </c>
      <c r="AB240" s="37"/>
      <c r="AC240" s="42">
        <v>0</v>
      </c>
      <c r="AE240" s="42">
        <v>0</v>
      </c>
      <c r="AG240" s="42">
        <f t="shared" si="48"/>
        <v>0</v>
      </c>
      <c r="AH240" s="42"/>
      <c r="AI240" s="42">
        <f t="shared" si="49"/>
        <v>0</v>
      </c>
    </row>
    <row r="241" spans="1:35" ht="12" customHeight="1">
      <c r="A241" s="8" t="s">
        <v>487</v>
      </c>
      <c r="B241" s="8"/>
      <c r="C241" s="8" t="s">
        <v>61</v>
      </c>
      <c r="D241" s="8"/>
      <c r="E241" s="23">
        <v>49791</v>
      </c>
      <c r="G241" s="42">
        <v>1195815</v>
      </c>
      <c r="I241" s="42">
        <v>537139</v>
      </c>
      <c r="K241" s="42">
        <v>0</v>
      </c>
      <c r="M241" s="42">
        <f t="shared" si="47"/>
        <v>1732954</v>
      </c>
      <c r="O241" s="42">
        <f>1755056+635192+38979</f>
        <v>2429227</v>
      </c>
      <c r="Q241" s="42">
        <f>489626+244817</f>
        <v>734443</v>
      </c>
      <c r="S241" s="42">
        <v>4422706</v>
      </c>
      <c r="U241" s="42">
        <v>8129</v>
      </c>
      <c r="W241" s="42">
        <v>0</v>
      </c>
      <c r="Y241" s="42">
        <v>0</v>
      </c>
      <c r="AA241" s="42">
        <v>58818</v>
      </c>
      <c r="AB241" s="37"/>
      <c r="AC241" s="42">
        <v>0</v>
      </c>
      <c r="AE241" s="42">
        <v>0</v>
      </c>
      <c r="AG241" s="42">
        <f t="shared" si="48"/>
        <v>7653323</v>
      </c>
      <c r="AH241" s="42"/>
      <c r="AI241" s="42">
        <f t="shared" si="49"/>
        <v>9386277</v>
      </c>
    </row>
    <row r="242" spans="1:35" ht="12" hidden="1" customHeight="1">
      <c r="A242" s="8" t="s">
        <v>847</v>
      </c>
      <c r="B242" s="8"/>
      <c r="C242" s="8" t="s">
        <v>341</v>
      </c>
      <c r="D242" s="8"/>
      <c r="E242" s="23">
        <v>45245</v>
      </c>
      <c r="G242" s="42">
        <v>0</v>
      </c>
      <c r="I242" s="42">
        <v>0</v>
      </c>
      <c r="K242" s="42">
        <v>0</v>
      </c>
      <c r="M242" s="42">
        <f t="shared" si="47"/>
        <v>0</v>
      </c>
      <c r="O242" s="42">
        <v>0</v>
      </c>
      <c r="Q242" s="42">
        <v>0</v>
      </c>
      <c r="S242" s="42">
        <v>0</v>
      </c>
      <c r="U242" s="42">
        <v>0</v>
      </c>
      <c r="W242" s="42">
        <v>0</v>
      </c>
      <c r="Y242" s="42">
        <v>0</v>
      </c>
      <c r="AA242" s="42">
        <v>0</v>
      </c>
      <c r="AB242" s="37"/>
      <c r="AC242" s="42">
        <v>0</v>
      </c>
      <c r="AE242" s="42">
        <v>0</v>
      </c>
      <c r="AG242" s="42">
        <f t="shared" si="48"/>
        <v>0</v>
      </c>
      <c r="AH242" s="42"/>
      <c r="AI242" s="42">
        <f t="shared" si="49"/>
        <v>0</v>
      </c>
    </row>
    <row r="243" spans="1:35" ht="12" customHeight="1">
      <c r="A243" s="8" t="s">
        <v>371</v>
      </c>
      <c r="B243" s="8"/>
      <c r="C243" s="8" t="s">
        <v>42</v>
      </c>
      <c r="D243" s="8"/>
      <c r="E243" s="23">
        <v>44115</v>
      </c>
      <c r="G243" s="42">
        <v>520785</v>
      </c>
      <c r="I243" s="42">
        <v>895828</v>
      </c>
      <c r="K243" s="42">
        <v>0</v>
      </c>
      <c r="M243" s="42">
        <f t="shared" si="47"/>
        <v>1416613</v>
      </c>
      <c r="O243" s="42">
        <f>6623175+1095634+177920</f>
        <v>7896729</v>
      </c>
      <c r="Q243" s="42">
        <v>0</v>
      </c>
      <c r="S243" s="42">
        <v>6145307</v>
      </c>
      <c r="U243" s="42">
        <v>7825</v>
      </c>
      <c r="W243" s="42">
        <v>0</v>
      </c>
      <c r="Y243" s="42">
        <v>0</v>
      </c>
      <c r="AA243" s="42">
        <v>543865</v>
      </c>
      <c r="AB243" s="37"/>
      <c r="AC243" s="42">
        <v>0</v>
      </c>
      <c r="AE243" s="42">
        <v>0</v>
      </c>
      <c r="AG243" s="42">
        <f t="shared" si="48"/>
        <v>14593726</v>
      </c>
      <c r="AH243" s="42"/>
      <c r="AI243" s="42">
        <f t="shared" si="49"/>
        <v>16010339</v>
      </c>
    </row>
    <row r="244" spans="1:35" ht="12" hidden="1" customHeight="1">
      <c r="A244" s="8" t="s">
        <v>662</v>
      </c>
      <c r="B244" s="8"/>
      <c r="C244" s="8" t="s">
        <v>22</v>
      </c>
      <c r="D244" s="8"/>
      <c r="E244" s="23">
        <v>45419</v>
      </c>
      <c r="G244" s="42">
        <v>0</v>
      </c>
      <c r="I244" s="42">
        <v>0</v>
      </c>
      <c r="K244" s="42">
        <v>0</v>
      </c>
      <c r="M244" s="42">
        <f t="shared" si="47"/>
        <v>0</v>
      </c>
      <c r="O244" s="42">
        <v>0</v>
      </c>
      <c r="Q244" s="42">
        <v>0</v>
      </c>
      <c r="S244" s="42">
        <v>0</v>
      </c>
      <c r="U244" s="42">
        <v>0</v>
      </c>
      <c r="W244" s="42">
        <v>0</v>
      </c>
      <c r="Y244" s="42">
        <v>0</v>
      </c>
      <c r="AA244" s="42">
        <v>0</v>
      </c>
      <c r="AB244" s="37"/>
      <c r="AC244" s="42">
        <v>0</v>
      </c>
      <c r="AE244" s="42">
        <v>0</v>
      </c>
      <c r="AG244" s="42">
        <f t="shared" si="48"/>
        <v>0</v>
      </c>
      <c r="AH244" s="42"/>
      <c r="AI244" s="42">
        <f t="shared" si="49"/>
        <v>0</v>
      </c>
    </row>
    <row r="245" spans="1:35" ht="12" customHeight="1">
      <c r="A245" s="8" t="s">
        <v>414</v>
      </c>
      <c r="B245" s="8"/>
      <c r="C245" s="8" t="s">
        <v>47</v>
      </c>
      <c r="D245" s="8"/>
      <c r="E245" s="23">
        <v>48496</v>
      </c>
      <c r="G245" s="42">
        <v>2444535</v>
      </c>
      <c r="I245" s="42">
        <v>1107944</v>
      </c>
      <c r="K245" s="42">
        <v>0</v>
      </c>
      <c r="M245" s="42">
        <f t="shared" si="47"/>
        <v>3552479</v>
      </c>
      <c r="O245" s="42">
        <f>19989424+2699400</f>
        <v>22688824</v>
      </c>
      <c r="Q245" s="42">
        <v>0</v>
      </c>
      <c r="S245" s="42">
        <v>7777932</v>
      </c>
      <c r="U245" s="42">
        <v>56945</v>
      </c>
      <c r="W245" s="42">
        <v>0</v>
      </c>
      <c r="Y245" s="42">
        <v>0</v>
      </c>
      <c r="AA245" s="42">
        <f>1132357+44702</f>
        <v>1177059</v>
      </c>
      <c r="AB245" s="37"/>
      <c r="AC245" s="42">
        <v>0</v>
      </c>
      <c r="AE245" s="42">
        <v>0</v>
      </c>
      <c r="AG245" s="42">
        <f t="shared" si="48"/>
        <v>31700760</v>
      </c>
      <c r="AH245" s="42"/>
      <c r="AI245" s="42">
        <f t="shared" si="49"/>
        <v>35253239</v>
      </c>
    </row>
    <row r="246" spans="1:35" ht="12" customHeight="1">
      <c r="A246" s="8" t="s">
        <v>414</v>
      </c>
      <c r="B246" s="8"/>
      <c r="C246" s="8" t="s">
        <v>78</v>
      </c>
      <c r="D246" s="8"/>
      <c r="E246" s="23">
        <v>48801</v>
      </c>
      <c r="G246" s="42">
        <v>854294</v>
      </c>
      <c r="I246" s="42">
        <v>2241256</v>
      </c>
      <c r="K246" s="42">
        <v>0</v>
      </c>
      <c r="M246" s="42">
        <f t="shared" si="47"/>
        <v>3095550</v>
      </c>
      <c r="O246" s="42">
        <f>3469931+70023+803557+109575</f>
        <v>4453086</v>
      </c>
      <c r="Q246" s="42">
        <v>1006356</v>
      </c>
      <c r="S246" s="42">
        <v>8897911</v>
      </c>
      <c r="U246" s="42">
        <v>20796</v>
      </c>
      <c r="W246" s="42">
        <v>0</v>
      </c>
      <c r="Y246" s="42">
        <v>1028</v>
      </c>
      <c r="AA246" s="42">
        <v>384490</v>
      </c>
      <c r="AB246" s="37"/>
      <c r="AC246" s="42">
        <v>0</v>
      </c>
      <c r="AE246" s="42">
        <v>0</v>
      </c>
      <c r="AG246" s="42">
        <f t="shared" si="48"/>
        <v>14763667</v>
      </c>
      <c r="AH246" s="42"/>
      <c r="AI246" s="42">
        <f t="shared" si="49"/>
        <v>17859217</v>
      </c>
    </row>
    <row r="247" spans="1:35" ht="12" customHeight="1">
      <c r="A247" s="8" t="s">
        <v>303</v>
      </c>
      <c r="B247" s="8"/>
      <c r="C247" s="8" t="s">
        <v>27</v>
      </c>
      <c r="D247" s="8"/>
      <c r="E247" s="23">
        <v>47019</v>
      </c>
      <c r="G247" s="42">
        <v>8400210</v>
      </c>
      <c r="I247" s="42">
        <v>8066269</v>
      </c>
      <c r="K247" s="42">
        <v>0</v>
      </c>
      <c r="M247" s="42">
        <f t="shared" si="47"/>
        <v>16466479</v>
      </c>
      <c r="O247" s="42">
        <f>101300569+13800506+3946788</f>
        <v>119047863</v>
      </c>
      <c r="Q247" s="42">
        <v>0</v>
      </c>
      <c r="S247" s="42">
        <v>55711006</v>
      </c>
      <c r="U247" s="42">
        <v>156411</v>
      </c>
      <c r="W247" s="42">
        <v>0</v>
      </c>
      <c r="Y247" s="42">
        <v>0</v>
      </c>
      <c r="AA247" s="42">
        <v>3744796</v>
      </c>
      <c r="AB247" s="37"/>
      <c r="AC247" s="42">
        <v>0</v>
      </c>
      <c r="AE247" s="42">
        <v>0</v>
      </c>
      <c r="AG247" s="42">
        <f t="shared" si="48"/>
        <v>178660076</v>
      </c>
      <c r="AH247" s="42"/>
      <c r="AI247" s="42">
        <f t="shared" si="49"/>
        <v>195126555</v>
      </c>
    </row>
    <row r="248" spans="1:35" ht="12" customHeight="1">
      <c r="A248" s="8" t="s">
        <v>348</v>
      </c>
      <c r="B248" s="8"/>
      <c r="C248" s="8" t="s">
        <v>346</v>
      </c>
      <c r="D248" s="8"/>
      <c r="E248" s="23">
        <v>44123</v>
      </c>
      <c r="G248" s="42">
        <v>1841272</v>
      </c>
      <c r="I248" s="42">
        <v>3570822</v>
      </c>
      <c r="K248" s="42">
        <v>116930</v>
      </c>
      <c r="M248" s="42">
        <f t="shared" si="47"/>
        <v>5529024</v>
      </c>
      <c r="O248" s="42">
        <f>5317859+963501+110782</f>
        <v>6392142</v>
      </c>
      <c r="Q248" s="42">
        <v>2352161</v>
      </c>
      <c r="S248" s="42">
        <v>12500036</v>
      </c>
      <c r="U248" s="42">
        <v>58892</v>
      </c>
      <c r="W248" s="42">
        <v>0</v>
      </c>
      <c r="Y248" s="42">
        <v>14094</v>
      </c>
      <c r="AA248" s="42">
        <v>196704</v>
      </c>
      <c r="AB248" s="37"/>
      <c r="AC248" s="42">
        <v>0</v>
      </c>
      <c r="AE248" s="42">
        <v>0</v>
      </c>
      <c r="AG248" s="42">
        <f t="shared" si="48"/>
        <v>21514029</v>
      </c>
      <c r="AH248" s="42"/>
      <c r="AI248" s="42">
        <f t="shared" si="49"/>
        <v>27043053</v>
      </c>
    </row>
    <row r="249" spans="1:35" ht="12" customHeight="1">
      <c r="A249" s="8" t="s">
        <v>203</v>
      </c>
      <c r="B249" s="8"/>
      <c r="C249" s="8" t="s">
        <v>11</v>
      </c>
      <c r="D249" s="8"/>
      <c r="E249" s="23">
        <v>45823</v>
      </c>
      <c r="F249" s="59"/>
      <c r="G249" s="42">
        <v>772367</v>
      </c>
      <c r="I249" s="42">
        <v>926845</v>
      </c>
      <c r="K249" s="42">
        <v>0</v>
      </c>
      <c r="M249" s="42">
        <f t="shared" si="47"/>
        <v>1699212</v>
      </c>
      <c r="O249" s="42">
        <f>4382210+244119</f>
        <v>4626329</v>
      </c>
      <c r="Q249" s="42">
        <v>0</v>
      </c>
      <c r="S249" s="42">
        <v>3971352</v>
      </c>
      <c r="U249" s="42">
        <v>6084</v>
      </c>
      <c r="W249" s="42">
        <v>0</v>
      </c>
      <c r="Y249" s="42">
        <v>0</v>
      </c>
      <c r="AA249" s="42">
        <v>76127</v>
      </c>
      <c r="AB249" s="37"/>
      <c r="AC249" s="42">
        <v>0</v>
      </c>
      <c r="AE249" s="42">
        <v>0</v>
      </c>
      <c r="AG249" s="42">
        <f t="shared" si="48"/>
        <v>8679892</v>
      </c>
      <c r="AH249" s="42"/>
      <c r="AI249" s="42">
        <f t="shared" si="49"/>
        <v>10379104</v>
      </c>
    </row>
    <row r="250" spans="1:35" ht="12" customHeight="1">
      <c r="A250" s="8" t="s">
        <v>342</v>
      </c>
      <c r="B250" s="8"/>
      <c r="C250" s="8" t="s">
        <v>34</v>
      </c>
      <c r="D250" s="8"/>
      <c r="E250" s="23">
        <v>47571</v>
      </c>
      <c r="G250" s="42">
        <v>683820</v>
      </c>
      <c r="I250" s="42">
        <v>642754</v>
      </c>
      <c r="K250" s="42">
        <v>0</v>
      </c>
      <c r="M250" s="42">
        <f t="shared" si="47"/>
        <v>1326574</v>
      </c>
      <c r="O250" s="42">
        <f>1070394+16505+365337+54695</f>
        <v>1506931</v>
      </c>
      <c r="Q250" s="42">
        <v>729691</v>
      </c>
      <c r="S250" s="42">
        <v>2595761</v>
      </c>
      <c r="U250" s="42">
        <v>8684</v>
      </c>
      <c r="W250" s="42">
        <v>0</v>
      </c>
      <c r="Y250" s="42">
        <v>3500</v>
      </c>
      <c r="AA250" s="42">
        <v>48049</v>
      </c>
      <c r="AB250" s="37"/>
      <c r="AC250" s="42">
        <v>-267</v>
      </c>
      <c r="AE250" s="42">
        <v>0</v>
      </c>
      <c r="AG250" s="42">
        <f>SUM(O250:AE250)</f>
        <v>4892349</v>
      </c>
      <c r="AH250" s="42"/>
      <c r="AI250" s="42">
        <f t="shared" si="49"/>
        <v>6218923</v>
      </c>
    </row>
    <row r="251" spans="1:35" ht="12" hidden="1" customHeight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42">
        <v>0</v>
      </c>
      <c r="M251" s="42">
        <f t="shared" ref="M251" si="52">SUM(G251:L251)</f>
        <v>0</v>
      </c>
      <c r="O251" s="42">
        <v>0</v>
      </c>
      <c r="Q251" s="42">
        <v>0</v>
      </c>
      <c r="S251" s="42">
        <v>0</v>
      </c>
      <c r="U251" s="42">
        <v>0</v>
      </c>
      <c r="W251" s="42">
        <v>0</v>
      </c>
      <c r="Y251" s="42">
        <v>0</v>
      </c>
      <c r="AA251" s="42">
        <v>0</v>
      </c>
      <c r="AB251" s="37"/>
      <c r="AC251" s="42">
        <v>0</v>
      </c>
      <c r="AE251" s="42">
        <v>0</v>
      </c>
      <c r="AG251" s="42">
        <f t="shared" ref="AG251" si="53">SUM(O251:AE251)</f>
        <v>0</v>
      </c>
      <c r="AH251" s="42"/>
      <c r="AI251" s="42">
        <f t="shared" ref="AI251" si="54">+AG251+M251</f>
        <v>0</v>
      </c>
    </row>
    <row r="252" spans="1:35" ht="12" customHeight="1">
      <c r="A252" s="8" t="s">
        <v>518</v>
      </c>
      <c r="B252" s="8"/>
      <c r="C252" s="8" t="s">
        <v>64</v>
      </c>
      <c r="D252" s="8"/>
      <c r="E252" s="23">
        <v>50161</v>
      </c>
      <c r="G252" s="42">
        <v>2252194</v>
      </c>
      <c r="I252" s="42">
        <v>2366621</v>
      </c>
      <c r="K252" s="42">
        <v>0</v>
      </c>
      <c r="M252" s="42">
        <f t="shared" si="47"/>
        <v>4618815</v>
      </c>
      <c r="O252" s="42">
        <f>15469825+154814+431793</f>
        <v>16056432</v>
      </c>
      <c r="Q252" s="42">
        <v>0</v>
      </c>
      <c r="S252" s="42">
        <v>9675348</v>
      </c>
      <c r="U252" s="42">
        <v>27009</v>
      </c>
      <c r="W252" s="42">
        <v>0</v>
      </c>
      <c r="Y252" s="42">
        <v>0</v>
      </c>
      <c r="AA252" s="42">
        <v>187216</v>
      </c>
      <c r="AB252" s="37"/>
      <c r="AC252" s="42">
        <v>0</v>
      </c>
      <c r="AE252" s="42">
        <v>0</v>
      </c>
      <c r="AG252" s="42">
        <f t="shared" si="48"/>
        <v>25946005</v>
      </c>
      <c r="AH252" s="42"/>
      <c r="AI252" s="42">
        <f t="shared" si="49"/>
        <v>30564820</v>
      </c>
    </row>
    <row r="253" spans="1:35" ht="12" customHeight="1">
      <c r="A253" s="8" t="s">
        <v>755</v>
      </c>
      <c r="B253" s="8"/>
      <c r="C253" s="8" t="s">
        <v>64</v>
      </c>
      <c r="D253" s="8"/>
      <c r="E253" s="23">
        <v>45427</v>
      </c>
      <c r="G253" s="42">
        <v>1734217</v>
      </c>
      <c r="I253" s="42">
        <v>1972608</v>
      </c>
      <c r="K253" s="42">
        <v>429</v>
      </c>
      <c r="M253" s="42">
        <f t="shared" si="47"/>
        <v>3707254</v>
      </c>
      <c r="O253" s="42">
        <f>5754944+991726+84497</f>
        <v>6831167</v>
      </c>
      <c r="Q253" s="42">
        <v>0</v>
      </c>
      <c r="S253" s="42">
        <v>9967964</v>
      </c>
      <c r="U253" s="42">
        <v>22603</v>
      </c>
      <c r="W253" s="42">
        <v>0</v>
      </c>
      <c r="Y253" s="42">
        <v>0</v>
      </c>
      <c r="AA253" s="42">
        <v>457616</v>
      </c>
      <c r="AB253" s="37"/>
      <c r="AC253" s="42">
        <v>0</v>
      </c>
      <c r="AE253" s="42">
        <v>0</v>
      </c>
      <c r="AG253" s="42">
        <f t="shared" si="48"/>
        <v>17279350</v>
      </c>
      <c r="AH253" s="42"/>
      <c r="AI253" s="42">
        <f t="shared" si="49"/>
        <v>20986604</v>
      </c>
    </row>
    <row r="254" spans="1:35" ht="12" customHeight="1">
      <c r="A254" s="8" t="s">
        <v>427</v>
      </c>
      <c r="B254" s="8"/>
      <c r="C254" s="8" t="s">
        <v>50</v>
      </c>
      <c r="D254" s="8"/>
      <c r="E254" s="23">
        <v>48751</v>
      </c>
      <c r="G254" s="42">
        <v>2188126</v>
      </c>
      <c r="I254" s="42">
        <v>5371149</v>
      </c>
      <c r="K254" s="42">
        <v>692995</v>
      </c>
      <c r="M254" s="42">
        <f t="shared" si="47"/>
        <v>8252270</v>
      </c>
      <c r="O254" s="42">
        <f>25339263+4078984+875319</f>
        <v>30293566</v>
      </c>
      <c r="Q254" s="42">
        <v>0</v>
      </c>
      <c r="S254" s="42">
        <v>31130261</v>
      </c>
      <c r="U254" s="42">
        <v>63442</v>
      </c>
      <c r="W254" s="42">
        <v>0</v>
      </c>
      <c r="Y254" s="42">
        <v>0</v>
      </c>
      <c r="AA254" s="42">
        <v>755989</v>
      </c>
      <c r="AB254" s="37"/>
      <c r="AC254" s="42">
        <v>0</v>
      </c>
      <c r="AE254" s="42">
        <v>-6964036</v>
      </c>
      <c r="AG254" s="42">
        <f t="shared" si="48"/>
        <v>55279222</v>
      </c>
      <c r="AH254" s="42"/>
      <c r="AI254" s="42">
        <f t="shared" si="49"/>
        <v>63531492</v>
      </c>
    </row>
    <row r="255" spans="1:35" ht="12" customHeight="1">
      <c r="A255" s="8" t="s">
        <v>505</v>
      </c>
      <c r="B255" s="8"/>
      <c r="C255" s="8" t="s">
        <v>63</v>
      </c>
      <c r="D255" s="8"/>
      <c r="E255" s="23">
        <v>50021</v>
      </c>
      <c r="G255" s="42">
        <v>3116240</v>
      </c>
      <c r="I255" s="42">
        <v>4091081</v>
      </c>
      <c r="K255" s="42">
        <v>6059663</v>
      </c>
      <c r="M255" s="42">
        <f t="shared" si="47"/>
        <v>13266984</v>
      </c>
      <c r="O255" s="42">
        <f>38656261+2138611+1128041</f>
        <v>41922913</v>
      </c>
      <c r="Q255" s="42">
        <v>0</v>
      </c>
      <c r="S255" s="42">
        <v>19104616</v>
      </c>
      <c r="U255" s="42">
        <v>58911</v>
      </c>
      <c r="W255" s="42">
        <v>349063</v>
      </c>
      <c r="Y255" s="42">
        <v>0</v>
      </c>
      <c r="AA255" s="42">
        <v>215507</v>
      </c>
      <c r="AB255" s="37"/>
      <c r="AC255" s="42">
        <v>0</v>
      </c>
      <c r="AE255" s="42">
        <v>0</v>
      </c>
      <c r="AG255" s="42">
        <f t="shared" si="48"/>
        <v>61651010</v>
      </c>
      <c r="AH255" s="42"/>
      <c r="AI255" s="42">
        <f t="shared" si="49"/>
        <v>74917994</v>
      </c>
    </row>
    <row r="256" spans="1:35" ht="12" customHeight="1">
      <c r="A256" s="8" t="s">
        <v>471</v>
      </c>
      <c r="B256" s="8"/>
      <c r="C256" s="8" t="s">
        <v>58</v>
      </c>
      <c r="D256" s="8"/>
      <c r="E256" s="23">
        <v>49502</v>
      </c>
      <c r="G256" s="42">
        <v>1296527</v>
      </c>
      <c r="I256" s="42">
        <v>2391277</v>
      </c>
      <c r="K256" s="42">
        <v>0</v>
      </c>
      <c r="M256" s="42">
        <f t="shared" si="47"/>
        <v>3687804</v>
      </c>
      <c r="O256" s="42">
        <f>1142649+70655+20756</f>
        <v>1234060</v>
      </c>
      <c r="Q256" s="42">
        <v>0</v>
      </c>
      <c r="S256" s="42">
        <v>8126678</v>
      </c>
      <c r="U256" s="42">
        <v>2528</v>
      </c>
      <c r="W256" s="42">
        <v>0</v>
      </c>
      <c r="Y256" s="42">
        <v>0</v>
      </c>
      <c r="AA256" s="42">
        <f>23732+29078</f>
        <v>52810</v>
      </c>
      <c r="AB256" s="37"/>
      <c r="AC256" s="42">
        <v>0</v>
      </c>
      <c r="AE256" s="42">
        <v>0</v>
      </c>
      <c r="AG256" s="42">
        <f t="shared" si="48"/>
        <v>9416076</v>
      </c>
      <c r="AH256" s="42"/>
      <c r="AI256" s="42">
        <f t="shared" si="49"/>
        <v>13103880</v>
      </c>
    </row>
    <row r="257" spans="1:35" ht="12" customHeight="1">
      <c r="A257" s="8" t="s">
        <v>284</v>
      </c>
      <c r="B257" s="8"/>
      <c r="C257" s="8" t="s">
        <v>24</v>
      </c>
      <c r="D257" s="8"/>
      <c r="E257" s="23">
        <v>44131</v>
      </c>
      <c r="G257" s="42">
        <v>1307944</v>
      </c>
      <c r="I257" s="42">
        <v>1058178</v>
      </c>
      <c r="K257" s="42">
        <v>111976</v>
      </c>
      <c r="M257" s="42">
        <f t="shared" si="47"/>
        <v>2478098</v>
      </c>
      <c r="O257" s="42">
        <f>9386962+312451+378754</f>
        <v>10078167</v>
      </c>
      <c r="Q257" s="42">
        <v>0</v>
      </c>
      <c r="S257" s="42">
        <v>4681608</v>
      </c>
      <c r="U257" s="42">
        <v>23774</v>
      </c>
      <c r="W257" s="42">
        <v>129156</v>
      </c>
      <c r="Y257" s="42">
        <v>0</v>
      </c>
      <c r="AA257" s="42">
        <v>192619</v>
      </c>
      <c r="AB257" s="37"/>
      <c r="AC257" s="42">
        <v>0</v>
      </c>
      <c r="AE257" s="42">
        <v>0</v>
      </c>
      <c r="AG257" s="42">
        <f t="shared" si="48"/>
        <v>15105324</v>
      </c>
      <c r="AH257" s="42"/>
      <c r="AI257" s="42">
        <f t="shared" si="49"/>
        <v>17583422</v>
      </c>
    </row>
    <row r="258" spans="1:35" ht="12" customHeight="1">
      <c r="A258" s="8" t="s">
        <v>267</v>
      </c>
      <c r="B258" s="8"/>
      <c r="C258" s="8" t="s">
        <v>20</v>
      </c>
      <c r="D258" s="8"/>
      <c r="E258" s="23">
        <v>46565</v>
      </c>
      <c r="G258" s="42">
        <v>472221</v>
      </c>
      <c r="I258" s="42">
        <v>433592</v>
      </c>
      <c r="K258" s="42">
        <v>0</v>
      </c>
      <c r="M258" s="42">
        <f t="shared" si="47"/>
        <v>905813</v>
      </c>
      <c r="O258" s="42">
        <f>15535862+1214471+631529</f>
        <v>17381862</v>
      </c>
      <c r="Q258" s="42">
        <v>0</v>
      </c>
      <c r="S258" s="42">
        <v>2508123</v>
      </c>
      <c r="U258" s="42">
        <v>17499</v>
      </c>
      <c r="W258" s="42">
        <v>62500</v>
      </c>
      <c r="Y258" s="42">
        <v>0</v>
      </c>
      <c r="AA258" s="42">
        <v>152645</v>
      </c>
      <c r="AB258" s="37"/>
      <c r="AC258" s="42">
        <v>0</v>
      </c>
      <c r="AE258" s="42">
        <v>0</v>
      </c>
      <c r="AG258" s="42">
        <f t="shared" si="48"/>
        <v>20122629</v>
      </c>
      <c r="AH258" s="42"/>
      <c r="AI258" s="42">
        <f t="shared" si="49"/>
        <v>21028442</v>
      </c>
    </row>
    <row r="259" spans="1:35" ht="12" customHeight="1">
      <c r="A259" s="8" t="s">
        <v>361</v>
      </c>
      <c r="B259" s="8"/>
      <c r="C259" s="8" t="s">
        <v>39</v>
      </c>
      <c r="D259" s="8"/>
      <c r="E259" s="23">
        <v>47803</v>
      </c>
      <c r="G259" s="42">
        <v>2423053</v>
      </c>
      <c r="I259" s="42">
        <v>2308322</v>
      </c>
      <c r="K259" s="42">
        <v>484168</v>
      </c>
      <c r="M259" s="42">
        <f t="shared" si="47"/>
        <v>5215543</v>
      </c>
      <c r="O259" s="42">
        <f>7115627+797891+225519+150347</f>
        <v>8289384</v>
      </c>
      <c r="Q259" s="42">
        <v>0</v>
      </c>
      <c r="S259" s="42">
        <v>9613706</v>
      </c>
      <c r="U259" s="42">
        <v>4194</v>
      </c>
      <c r="W259" s="42">
        <v>0</v>
      </c>
      <c r="Y259" s="42">
        <v>0</v>
      </c>
      <c r="AA259" s="42">
        <v>10444</v>
      </c>
      <c r="AB259" s="37"/>
      <c r="AC259" s="42">
        <v>0</v>
      </c>
      <c r="AE259" s="42">
        <v>0</v>
      </c>
      <c r="AG259" s="42">
        <f t="shared" si="48"/>
        <v>17917728</v>
      </c>
      <c r="AH259" s="42"/>
      <c r="AI259" s="42">
        <f t="shared" si="49"/>
        <v>23133271</v>
      </c>
    </row>
    <row r="260" spans="1:35" ht="12" customHeight="1">
      <c r="A260" s="8" t="s">
        <v>756</v>
      </c>
      <c r="B260" s="8"/>
      <c r="C260" s="8" t="s">
        <v>32</v>
      </c>
      <c r="D260" s="8"/>
      <c r="E260" s="23">
        <v>45435</v>
      </c>
      <c r="G260" s="42">
        <v>805309</v>
      </c>
      <c r="I260" s="42">
        <v>1924630</v>
      </c>
      <c r="K260" s="42">
        <v>0</v>
      </c>
      <c r="M260" s="42">
        <f t="shared" si="47"/>
        <v>2729939</v>
      </c>
      <c r="O260" s="42">
        <f>23321198+3027212+1255697</f>
        <v>27604107</v>
      </c>
      <c r="Q260" s="42">
        <v>0</v>
      </c>
      <c r="S260" s="42">
        <v>4485142</v>
      </c>
      <c r="U260" s="42">
        <v>693618</v>
      </c>
      <c r="W260" s="42">
        <v>3814254</v>
      </c>
      <c r="Y260" s="42">
        <v>0</v>
      </c>
      <c r="AA260" s="42">
        <v>424761</v>
      </c>
      <c r="AB260" s="37"/>
      <c r="AC260" s="42">
        <v>0</v>
      </c>
      <c r="AE260" s="42">
        <v>0</v>
      </c>
      <c r="AG260" s="42">
        <f t="shared" si="48"/>
        <v>37021882</v>
      </c>
      <c r="AH260" s="42"/>
      <c r="AI260" s="42">
        <f t="shared" si="49"/>
        <v>39751821</v>
      </c>
    </row>
    <row r="261" spans="1:35" ht="12" hidden="1" customHeight="1">
      <c r="A261" s="8" t="s">
        <v>789</v>
      </c>
      <c r="B261" s="8"/>
      <c r="C261" s="8" t="s">
        <v>43</v>
      </c>
      <c r="D261" s="8"/>
      <c r="E261" s="23">
        <v>48082</v>
      </c>
      <c r="G261" s="42">
        <v>0</v>
      </c>
      <c r="I261" s="42">
        <v>0</v>
      </c>
      <c r="K261" s="42">
        <v>0</v>
      </c>
      <c r="M261" s="42">
        <f t="shared" si="47"/>
        <v>0</v>
      </c>
      <c r="O261" s="42">
        <v>0</v>
      </c>
      <c r="Q261" s="42">
        <v>0</v>
      </c>
      <c r="S261" s="42">
        <v>0</v>
      </c>
      <c r="U261" s="42">
        <v>0</v>
      </c>
      <c r="W261" s="42">
        <v>0</v>
      </c>
      <c r="Y261" s="42">
        <v>0</v>
      </c>
      <c r="AA261" s="42">
        <v>0</v>
      </c>
      <c r="AB261" s="37"/>
      <c r="AC261" s="42">
        <v>0</v>
      </c>
      <c r="AE261" s="42">
        <v>0</v>
      </c>
      <c r="AG261" s="42">
        <f t="shared" si="48"/>
        <v>0</v>
      </c>
      <c r="AH261" s="42"/>
      <c r="AI261" s="42">
        <f t="shared" si="49"/>
        <v>0</v>
      </c>
    </row>
    <row r="262" spans="1:35" ht="12" customHeight="1">
      <c r="A262" s="8" t="s">
        <v>532</v>
      </c>
      <c r="B262" s="8"/>
      <c r="C262" s="8" t="s">
        <v>65</v>
      </c>
      <c r="D262" s="8"/>
      <c r="E262" s="23">
        <v>50286</v>
      </c>
      <c r="G262" s="42">
        <v>2339278</v>
      </c>
      <c r="I262" s="42">
        <v>2018252</v>
      </c>
      <c r="K262" s="42">
        <v>0</v>
      </c>
      <c r="M262" s="42">
        <f t="shared" si="47"/>
        <v>4357530</v>
      </c>
      <c r="O262" s="42">
        <f>3819569+973876+69444</f>
        <v>4862889</v>
      </c>
      <c r="Q262" s="42">
        <v>0</v>
      </c>
      <c r="S262" s="42">
        <v>9267369</v>
      </c>
      <c r="U262" s="42">
        <v>9316</v>
      </c>
      <c r="W262" s="42">
        <v>0</v>
      </c>
      <c r="Y262" s="42">
        <v>0</v>
      </c>
      <c r="AA262" s="42">
        <v>51852</v>
      </c>
      <c r="AB262" s="37"/>
      <c r="AC262" s="42">
        <v>0</v>
      </c>
      <c r="AE262" s="42">
        <v>0</v>
      </c>
      <c r="AG262" s="42">
        <f t="shared" si="48"/>
        <v>14191426</v>
      </c>
      <c r="AH262" s="42"/>
      <c r="AI262" s="42">
        <f t="shared" si="49"/>
        <v>18548956</v>
      </c>
    </row>
    <row r="263" spans="1:35" ht="12" customHeight="1">
      <c r="A263" s="8" t="s">
        <v>367</v>
      </c>
      <c r="B263" s="8"/>
      <c r="C263" s="8" t="s">
        <v>364</v>
      </c>
      <c r="D263" s="8"/>
      <c r="E263" s="23">
        <v>44149</v>
      </c>
      <c r="G263" s="42">
        <v>1835961</v>
      </c>
      <c r="I263" s="42">
        <v>2212855</v>
      </c>
      <c r="K263" s="42">
        <v>0</v>
      </c>
      <c r="M263" s="42">
        <f t="shared" si="47"/>
        <v>4048816</v>
      </c>
      <c r="O263" s="42">
        <f>2304976+927840+49670</f>
        <v>3282486</v>
      </c>
      <c r="Q263" s="42">
        <v>0</v>
      </c>
      <c r="S263" s="42">
        <v>8749352</v>
      </c>
      <c r="U263" s="42">
        <v>9406</v>
      </c>
      <c r="W263" s="42">
        <v>0</v>
      </c>
      <c r="Y263" s="42">
        <v>0</v>
      </c>
      <c r="AA263" s="42">
        <v>298210</v>
      </c>
      <c r="AB263" s="37"/>
      <c r="AC263" s="42">
        <v>0</v>
      </c>
      <c r="AE263" s="42">
        <v>0</v>
      </c>
      <c r="AG263" s="42">
        <f t="shared" si="48"/>
        <v>12339454</v>
      </c>
      <c r="AH263" s="42"/>
      <c r="AI263" s="42">
        <f t="shared" si="49"/>
        <v>16388270</v>
      </c>
    </row>
    <row r="264" spans="1:35" ht="12" hidden="1" customHeight="1">
      <c r="A264" s="8" t="s">
        <v>663</v>
      </c>
      <c r="B264" s="8"/>
      <c r="C264" s="8" t="s">
        <v>61</v>
      </c>
      <c r="D264" s="8"/>
      <c r="E264" s="23">
        <v>49809</v>
      </c>
      <c r="G264" s="42">
        <v>0</v>
      </c>
      <c r="I264" s="42">
        <v>0</v>
      </c>
      <c r="K264" s="42">
        <v>0</v>
      </c>
      <c r="M264" s="42">
        <f t="shared" si="47"/>
        <v>0</v>
      </c>
      <c r="O264" s="42">
        <v>0</v>
      </c>
      <c r="Q264" s="42">
        <v>0</v>
      </c>
      <c r="S264" s="42">
        <v>0</v>
      </c>
      <c r="U264" s="42">
        <v>0</v>
      </c>
      <c r="W264" s="42">
        <v>0</v>
      </c>
      <c r="Y264" s="42">
        <v>0</v>
      </c>
      <c r="AA264" s="42">
        <v>0</v>
      </c>
      <c r="AB264" s="37"/>
      <c r="AC264" s="42">
        <v>0</v>
      </c>
      <c r="AE264" s="42">
        <v>0</v>
      </c>
      <c r="AG264" s="42">
        <f t="shared" si="48"/>
        <v>0</v>
      </c>
      <c r="AH264" s="42"/>
      <c r="AI264" s="42">
        <f t="shared" si="49"/>
        <v>0</v>
      </c>
    </row>
    <row r="265" spans="1:35" ht="12" hidden="1" customHeight="1">
      <c r="A265" s="8" t="s">
        <v>674</v>
      </c>
      <c r="B265" s="8"/>
      <c r="C265" s="8" t="s">
        <v>38</v>
      </c>
      <c r="D265" s="8"/>
      <c r="E265" s="23">
        <v>44156</v>
      </c>
      <c r="G265" s="42">
        <v>0</v>
      </c>
      <c r="I265" s="42">
        <v>0</v>
      </c>
      <c r="K265" s="42">
        <v>0</v>
      </c>
      <c r="M265" s="42">
        <f>SUM(G265:L265)</f>
        <v>0</v>
      </c>
      <c r="O265" s="42">
        <v>0</v>
      </c>
      <c r="Q265" s="42">
        <v>0</v>
      </c>
      <c r="S265" s="42">
        <v>0</v>
      </c>
      <c r="U265" s="42">
        <v>0</v>
      </c>
      <c r="W265" s="42">
        <v>0</v>
      </c>
      <c r="Y265" s="42">
        <v>0</v>
      </c>
      <c r="AA265" s="42">
        <v>0</v>
      </c>
      <c r="AB265" s="37"/>
      <c r="AC265" s="42">
        <v>0</v>
      </c>
      <c r="AE265" s="42">
        <v>0</v>
      </c>
      <c r="AG265" s="42">
        <f t="shared" si="48"/>
        <v>0</v>
      </c>
      <c r="AH265" s="42"/>
      <c r="AI265" s="42">
        <f t="shared" si="49"/>
        <v>0</v>
      </c>
    </row>
    <row r="266" spans="1:35" ht="12" customHeight="1">
      <c r="A266" s="8" t="s">
        <v>493</v>
      </c>
      <c r="B266" s="8"/>
      <c r="C266" s="8" t="s">
        <v>62</v>
      </c>
      <c r="D266" s="8"/>
      <c r="E266" s="23">
        <v>49858</v>
      </c>
      <c r="G266" s="42">
        <v>3033727</v>
      </c>
      <c r="I266" s="42">
        <v>2919439</v>
      </c>
      <c r="K266" s="42">
        <v>0</v>
      </c>
      <c r="M266" s="42">
        <f t="shared" si="47"/>
        <v>5953166</v>
      </c>
      <c r="O266" s="42">
        <f>35418296+4952704+1037818</f>
        <v>41408818</v>
      </c>
      <c r="Q266" s="42">
        <v>0</v>
      </c>
      <c r="S266" s="42">
        <v>12905255</v>
      </c>
      <c r="U266" s="42">
        <v>710</v>
      </c>
      <c r="W266" s="42">
        <v>100239</v>
      </c>
      <c r="Y266" s="42">
        <v>0</v>
      </c>
      <c r="AA266" s="42">
        <v>116760</v>
      </c>
      <c r="AB266" s="37"/>
      <c r="AC266" s="42">
        <v>0</v>
      </c>
      <c r="AE266" s="42">
        <v>0</v>
      </c>
      <c r="AG266" s="42">
        <f t="shared" si="48"/>
        <v>54531782</v>
      </c>
      <c r="AH266" s="42"/>
      <c r="AI266" s="42">
        <f t="shared" si="49"/>
        <v>60484948</v>
      </c>
    </row>
    <row r="267" spans="1:35" ht="12" customHeight="1">
      <c r="A267" s="8" t="s">
        <v>401</v>
      </c>
      <c r="B267" s="8"/>
      <c r="C267" s="8" t="s">
        <v>45</v>
      </c>
      <c r="D267" s="8"/>
      <c r="E267" s="23">
        <v>48322</v>
      </c>
      <c r="G267" s="42">
        <v>877326</v>
      </c>
      <c r="I267" s="42">
        <v>962353</v>
      </c>
      <c r="K267" s="42">
        <v>0</v>
      </c>
      <c r="M267" s="42">
        <f t="shared" si="47"/>
        <v>1839679</v>
      </c>
      <c r="O267" s="42">
        <f>3491367+1294989+940457</f>
        <v>5726813</v>
      </c>
      <c r="Q267" s="42">
        <v>0</v>
      </c>
      <c r="S267" s="42">
        <v>3244345</v>
      </c>
      <c r="U267" s="42">
        <v>544</v>
      </c>
      <c r="W267" s="42">
        <v>0</v>
      </c>
      <c r="Y267" s="42">
        <v>0</v>
      </c>
      <c r="AA267" s="42">
        <v>75119</v>
      </c>
      <c r="AB267" s="37"/>
      <c r="AC267" s="42">
        <v>0</v>
      </c>
      <c r="AE267" s="42">
        <v>0</v>
      </c>
      <c r="AG267" s="42">
        <f t="shared" si="48"/>
        <v>9046821</v>
      </c>
      <c r="AH267" s="42"/>
      <c r="AI267" s="42">
        <f t="shared" si="49"/>
        <v>10886500</v>
      </c>
    </row>
    <row r="268" spans="1:35" ht="12" customHeight="1">
      <c r="A268" s="8" t="s">
        <v>457</v>
      </c>
      <c r="B268" s="8"/>
      <c r="C268" s="8" t="s">
        <v>56</v>
      </c>
      <c r="D268" s="8"/>
      <c r="E268" s="23">
        <v>49205</v>
      </c>
      <c r="G268" s="42">
        <v>1789561</v>
      </c>
      <c r="I268" s="42">
        <v>1355713</v>
      </c>
      <c r="K268" s="42">
        <v>0</v>
      </c>
      <c r="M268" s="42">
        <f t="shared" si="47"/>
        <v>3145274</v>
      </c>
      <c r="O268" s="42">
        <f>4054721+407382</f>
        <v>4462103</v>
      </c>
      <c r="Q268" s="42">
        <v>0</v>
      </c>
      <c r="S268" s="42">
        <v>5936748</v>
      </c>
      <c r="U268" s="42">
        <v>13247</v>
      </c>
      <c r="W268" s="42">
        <v>0</v>
      </c>
      <c r="Y268" s="42">
        <v>0</v>
      </c>
      <c r="AA268" s="42">
        <v>48983</v>
      </c>
      <c r="AB268" s="37"/>
      <c r="AC268" s="42">
        <v>0</v>
      </c>
      <c r="AE268" s="42">
        <v>0</v>
      </c>
      <c r="AG268" s="42">
        <f t="shared" si="48"/>
        <v>10461081</v>
      </c>
      <c r="AH268" s="42"/>
      <c r="AI268" s="42">
        <f t="shared" si="49"/>
        <v>13606355</v>
      </c>
    </row>
    <row r="269" spans="1:35" ht="12" customHeight="1">
      <c r="A269" s="8" t="s">
        <v>208</v>
      </c>
      <c r="B269" s="8"/>
      <c r="C269" s="8" t="s">
        <v>12</v>
      </c>
      <c r="D269" s="8"/>
      <c r="E269" s="23">
        <v>45872</v>
      </c>
      <c r="F269" s="59"/>
      <c r="G269" s="42">
        <v>1449631</v>
      </c>
      <c r="I269" s="42">
        <v>870321</v>
      </c>
      <c r="K269" s="42">
        <v>0</v>
      </c>
      <c r="M269" s="42">
        <f t="shared" si="47"/>
        <v>2319952</v>
      </c>
      <c r="O269" s="42">
        <f>2863211+773838+207987+49446</f>
        <v>3894482</v>
      </c>
      <c r="Q269" s="42">
        <v>0</v>
      </c>
      <c r="S269" s="42">
        <v>11123007</v>
      </c>
      <c r="U269" s="42">
        <v>9477</v>
      </c>
      <c r="W269" s="42">
        <v>0</v>
      </c>
      <c r="Y269" s="42">
        <v>0</v>
      </c>
      <c r="AA269" s="42">
        <f>328959+300000</f>
        <v>628959</v>
      </c>
      <c r="AB269" s="37"/>
      <c r="AC269" s="42">
        <v>0</v>
      </c>
      <c r="AE269" s="42">
        <v>0</v>
      </c>
      <c r="AG269" s="42">
        <f t="shared" si="48"/>
        <v>15655925</v>
      </c>
      <c r="AH269" s="42"/>
      <c r="AI269" s="42">
        <f t="shared" si="49"/>
        <v>17975877</v>
      </c>
    </row>
    <row r="270" spans="1:35" ht="12" customHeight="1">
      <c r="A270" s="8" t="s">
        <v>394</v>
      </c>
      <c r="B270" s="8"/>
      <c r="C270" s="8" t="s">
        <v>395</v>
      </c>
      <c r="D270" s="8"/>
      <c r="E270" s="23">
        <v>48256</v>
      </c>
      <c r="G270" s="42">
        <v>1405433</v>
      </c>
      <c r="I270" s="42">
        <v>1384586</v>
      </c>
      <c r="K270" s="42">
        <v>4878</v>
      </c>
      <c r="M270" s="42">
        <f t="shared" si="47"/>
        <v>2794897</v>
      </c>
      <c r="O270" s="42">
        <f>4315041+62162+1023278</f>
        <v>5400481</v>
      </c>
      <c r="Q270" s="42">
        <v>915675</v>
      </c>
      <c r="S270" s="42">
        <v>4374674</v>
      </c>
      <c r="U270" s="42">
        <v>6090</v>
      </c>
      <c r="W270" s="42">
        <v>960395</v>
      </c>
      <c r="Y270" s="42">
        <v>0</v>
      </c>
      <c r="AA270" s="42">
        <v>29744</v>
      </c>
      <c r="AB270" s="37"/>
      <c r="AC270" s="42">
        <v>0</v>
      </c>
      <c r="AE270" s="42">
        <v>0</v>
      </c>
      <c r="AG270" s="42">
        <f t="shared" si="48"/>
        <v>11687059</v>
      </c>
      <c r="AH270" s="42"/>
      <c r="AI270" s="42">
        <f t="shared" si="49"/>
        <v>14481956</v>
      </c>
    </row>
    <row r="271" spans="1:35" ht="12" customHeight="1">
      <c r="A271" s="8" t="s">
        <v>675</v>
      </c>
      <c r="B271" s="8"/>
      <c r="C271" s="8" t="s">
        <v>50</v>
      </c>
      <c r="D271" s="8"/>
      <c r="E271" s="23">
        <v>48686</v>
      </c>
      <c r="G271" s="42">
        <v>480284</v>
      </c>
      <c r="I271" s="42">
        <v>1377225</v>
      </c>
      <c r="K271" s="42">
        <v>0</v>
      </c>
      <c r="M271" s="42">
        <f t="shared" si="47"/>
        <v>1857509</v>
      </c>
      <c r="O271" s="42">
        <f>2745908+72850</f>
        <v>2818758</v>
      </c>
      <c r="Q271" s="42">
        <v>0</v>
      </c>
      <c r="S271" s="42">
        <v>3873639</v>
      </c>
      <c r="U271" s="42">
        <v>2541</v>
      </c>
      <c r="W271" s="42">
        <v>6929</v>
      </c>
      <c r="Y271" s="42">
        <v>0</v>
      </c>
      <c r="AA271" s="42">
        <v>3404</v>
      </c>
      <c r="AB271" s="37"/>
      <c r="AC271" s="42">
        <v>0</v>
      </c>
      <c r="AE271" s="42">
        <v>0</v>
      </c>
      <c r="AG271" s="42">
        <f t="shared" si="48"/>
        <v>6705271</v>
      </c>
      <c r="AH271" s="42"/>
      <c r="AI271" s="42">
        <f t="shared" si="49"/>
        <v>8562780</v>
      </c>
    </row>
    <row r="272" spans="1:35" ht="12" hidden="1" customHeight="1">
      <c r="A272" s="9" t="s">
        <v>860</v>
      </c>
      <c r="B272" s="8"/>
      <c r="C272" s="8" t="s">
        <v>464</v>
      </c>
      <c r="D272" s="8"/>
      <c r="E272" s="23">
        <v>49338</v>
      </c>
      <c r="G272" s="42">
        <v>0</v>
      </c>
      <c r="I272" s="42">
        <v>0</v>
      </c>
      <c r="K272" s="42">
        <v>0</v>
      </c>
      <c r="M272" s="42">
        <f t="shared" si="47"/>
        <v>0</v>
      </c>
      <c r="O272" s="42">
        <v>0</v>
      </c>
      <c r="Q272" s="42">
        <v>0</v>
      </c>
      <c r="S272" s="42">
        <v>0</v>
      </c>
      <c r="U272" s="42">
        <v>0</v>
      </c>
      <c r="W272" s="42">
        <v>0</v>
      </c>
      <c r="Y272" s="42">
        <v>0</v>
      </c>
      <c r="AA272" s="42">
        <v>0</v>
      </c>
      <c r="AB272" s="37"/>
      <c r="AC272" s="42">
        <v>0</v>
      </c>
      <c r="AE272" s="42">
        <v>0</v>
      </c>
      <c r="AG272" s="42">
        <f t="shared" si="48"/>
        <v>0</v>
      </c>
      <c r="AH272" s="42"/>
      <c r="AI272" s="42">
        <f t="shared" si="49"/>
        <v>0</v>
      </c>
    </row>
    <row r="273" spans="1:35" ht="12" customHeight="1">
      <c r="A273" s="8" t="s">
        <v>372</v>
      </c>
      <c r="B273" s="8"/>
      <c r="C273" s="8" t="s">
        <v>42</v>
      </c>
      <c r="D273" s="8"/>
      <c r="E273" s="23">
        <v>47985</v>
      </c>
      <c r="G273" s="42">
        <v>1121054</v>
      </c>
      <c r="I273" s="42">
        <v>998148</v>
      </c>
      <c r="K273" s="42">
        <v>0</v>
      </c>
      <c r="M273" s="42">
        <f t="shared" si="47"/>
        <v>2119202</v>
      </c>
      <c r="O273" s="42">
        <v>6235428</v>
      </c>
      <c r="Q273" s="42">
        <v>2314531</v>
      </c>
      <c r="S273" s="42">
        <v>5214255</v>
      </c>
      <c r="U273" s="42">
        <v>12785</v>
      </c>
      <c r="W273" s="42">
        <v>0</v>
      </c>
      <c r="Y273" s="42">
        <v>0</v>
      </c>
      <c r="AA273" s="42">
        <v>141711</v>
      </c>
      <c r="AB273" s="37"/>
      <c r="AC273" s="42">
        <v>0</v>
      </c>
      <c r="AE273" s="42">
        <v>0</v>
      </c>
      <c r="AG273" s="42">
        <f t="shared" si="48"/>
        <v>13918710</v>
      </c>
      <c r="AH273" s="42"/>
      <c r="AI273" s="42">
        <f t="shared" si="49"/>
        <v>16037912</v>
      </c>
    </row>
    <row r="274" spans="1:35" ht="12" customHeight="1">
      <c r="A274" s="8" t="s">
        <v>396</v>
      </c>
      <c r="B274" s="8"/>
      <c r="C274" s="8" t="s">
        <v>395</v>
      </c>
      <c r="D274" s="8"/>
      <c r="E274" s="23">
        <v>48264</v>
      </c>
      <c r="G274" s="42">
        <v>1753349</v>
      </c>
      <c r="I274" s="42">
        <v>1485823</v>
      </c>
      <c r="K274" s="42">
        <v>0</v>
      </c>
      <c r="M274" s="42">
        <f t="shared" si="47"/>
        <v>3239172</v>
      </c>
      <c r="O274" s="42">
        <f>5645644+1918262+225419+139256</f>
        <v>7928581</v>
      </c>
      <c r="Q274" s="42">
        <v>2134492</v>
      </c>
      <c r="S274" s="42">
        <v>7920703</v>
      </c>
      <c r="U274" s="42">
        <v>9299</v>
      </c>
      <c r="W274" s="42">
        <v>0</v>
      </c>
      <c r="Y274" s="42">
        <v>0</v>
      </c>
      <c r="AA274" s="42">
        <v>42094</v>
      </c>
      <c r="AB274" s="37"/>
      <c r="AC274" s="42">
        <v>0</v>
      </c>
      <c r="AE274" s="42">
        <v>0</v>
      </c>
      <c r="AG274" s="42">
        <f t="shared" si="48"/>
        <v>18035169</v>
      </c>
      <c r="AH274" s="42"/>
      <c r="AI274" s="42">
        <f t="shared" si="49"/>
        <v>21274341</v>
      </c>
    </row>
    <row r="275" spans="1:35" ht="12" customHeight="1">
      <c r="A275" s="8" t="s">
        <v>519</v>
      </c>
      <c r="B275" s="8"/>
      <c r="C275" s="8" t="s">
        <v>64</v>
      </c>
      <c r="D275" s="8"/>
      <c r="E275" s="23">
        <v>50179</v>
      </c>
      <c r="G275" s="42">
        <v>325819</v>
      </c>
      <c r="I275" s="42">
        <v>478258</v>
      </c>
      <c r="K275" s="42">
        <v>0</v>
      </c>
      <c r="M275" s="42">
        <f t="shared" si="47"/>
        <v>804077</v>
      </c>
      <c r="O275" s="42">
        <f>2830951+521630+43704</f>
        <v>3396285</v>
      </c>
      <c r="Q275" s="42">
        <v>0</v>
      </c>
      <c r="S275" s="42">
        <v>4620694</v>
      </c>
      <c r="U275" s="42">
        <v>5809</v>
      </c>
      <c r="W275" s="42">
        <v>0</v>
      </c>
      <c r="Y275" s="42">
        <v>0</v>
      </c>
      <c r="AA275" s="42">
        <v>2563</v>
      </c>
      <c r="AB275" s="37"/>
      <c r="AC275" s="42">
        <v>0</v>
      </c>
      <c r="AE275" s="42">
        <v>0</v>
      </c>
      <c r="AG275" s="42">
        <f t="shared" si="48"/>
        <v>8025351</v>
      </c>
      <c r="AH275" s="42"/>
      <c r="AI275" s="42">
        <f t="shared" si="49"/>
        <v>8829428</v>
      </c>
    </row>
    <row r="276" spans="1:35" ht="12" hidden="1" customHeight="1">
      <c r="A276" s="8" t="s">
        <v>861</v>
      </c>
      <c r="B276" s="8"/>
      <c r="C276" s="8" t="s">
        <v>464</v>
      </c>
      <c r="D276" s="8"/>
      <c r="E276" s="23">
        <v>49346</v>
      </c>
      <c r="G276" s="42">
        <v>0</v>
      </c>
      <c r="I276" s="42">
        <v>0</v>
      </c>
      <c r="K276" s="42">
        <v>0</v>
      </c>
      <c r="M276" s="42">
        <f t="shared" ref="M276" si="55">SUM(G276:L276)</f>
        <v>0</v>
      </c>
      <c r="O276" s="42">
        <v>0</v>
      </c>
      <c r="Q276" s="42">
        <v>0</v>
      </c>
      <c r="S276" s="42">
        <v>0</v>
      </c>
      <c r="U276" s="42">
        <v>0</v>
      </c>
      <c r="W276" s="42">
        <v>0</v>
      </c>
      <c r="Y276" s="42">
        <v>0</v>
      </c>
      <c r="AA276" s="42">
        <v>0</v>
      </c>
      <c r="AB276" s="37"/>
      <c r="AC276" s="42">
        <v>0</v>
      </c>
      <c r="AE276" s="42">
        <v>0</v>
      </c>
      <c r="AG276" s="42">
        <f t="shared" ref="AG276" si="56">SUM(O276:AE276)</f>
        <v>0</v>
      </c>
      <c r="AH276" s="42"/>
      <c r="AI276" s="42">
        <f t="shared" ref="AI276" si="57">+AG276+M276</f>
        <v>0</v>
      </c>
    </row>
    <row r="277" spans="1:35" ht="12" customHeight="1">
      <c r="A277" s="8" t="s">
        <v>285</v>
      </c>
      <c r="B277" s="8"/>
      <c r="C277" s="8" t="s">
        <v>24</v>
      </c>
      <c r="D277" s="8"/>
      <c r="E277" s="23">
        <v>46797</v>
      </c>
      <c r="G277" s="42">
        <v>1</v>
      </c>
      <c r="I277" s="42">
        <v>23680</v>
      </c>
      <c r="K277" s="42">
        <v>0</v>
      </c>
      <c r="M277" s="42">
        <f t="shared" si="47"/>
        <v>23681</v>
      </c>
      <c r="O277" s="42">
        <f>422071+35778</f>
        <v>457849</v>
      </c>
      <c r="Q277" s="42">
        <v>0</v>
      </c>
      <c r="S277" s="42">
        <v>69027</v>
      </c>
      <c r="U277" s="42">
        <v>2665</v>
      </c>
      <c r="W277" s="42">
        <v>0</v>
      </c>
      <c r="Y277" s="42">
        <v>0</v>
      </c>
      <c r="AA277" s="42">
        <v>834</v>
      </c>
      <c r="AB277" s="37"/>
      <c r="AC277" s="42">
        <v>0</v>
      </c>
      <c r="AE277" s="42">
        <v>0</v>
      </c>
      <c r="AG277" s="42">
        <f t="shared" si="48"/>
        <v>530375</v>
      </c>
      <c r="AH277" s="42"/>
      <c r="AI277" s="42">
        <f t="shared" si="49"/>
        <v>554056</v>
      </c>
    </row>
    <row r="278" spans="1:35" ht="12" customHeight="1">
      <c r="A278" s="8" t="s">
        <v>312</v>
      </c>
      <c r="B278" s="8"/>
      <c r="C278" s="8" t="s">
        <v>30</v>
      </c>
      <c r="D278" s="8"/>
      <c r="E278" s="23">
        <v>47191</v>
      </c>
      <c r="G278" s="42">
        <v>663966</v>
      </c>
      <c r="I278" s="42">
        <v>1138395</v>
      </c>
      <c r="K278" s="42">
        <v>651402</v>
      </c>
      <c r="M278" s="42">
        <f t="shared" si="47"/>
        <v>2453763</v>
      </c>
      <c r="O278" s="42">
        <f>23927071+2944792</f>
        <v>26871863</v>
      </c>
      <c r="Q278" s="42">
        <v>0</v>
      </c>
      <c r="S278" s="42">
        <v>9184941</v>
      </c>
      <c r="U278" s="42">
        <v>16605</v>
      </c>
      <c r="W278" s="42">
        <v>0</v>
      </c>
      <c r="Y278" s="42">
        <v>0</v>
      </c>
      <c r="AA278" s="42">
        <v>43622</v>
      </c>
      <c r="AB278" s="37"/>
      <c r="AC278" s="42">
        <v>-6038</v>
      </c>
      <c r="AE278" s="42">
        <v>0</v>
      </c>
      <c r="AG278" s="42">
        <f t="shared" si="48"/>
        <v>36110993</v>
      </c>
      <c r="AH278" s="42"/>
      <c r="AI278" s="42">
        <f t="shared" si="49"/>
        <v>38564756</v>
      </c>
    </row>
    <row r="279" spans="1:35" ht="12" customHeight="1">
      <c r="A279" s="8" t="s">
        <v>458</v>
      </c>
      <c r="B279" s="8"/>
      <c r="C279" s="8" t="s">
        <v>56</v>
      </c>
      <c r="D279" s="8"/>
      <c r="E279" s="23">
        <v>44164</v>
      </c>
      <c r="G279" s="42">
        <v>4361806</v>
      </c>
      <c r="I279" s="42">
        <v>3999450</v>
      </c>
      <c r="K279" s="42">
        <v>0</v>
      </c>
      <c r="M279" s="42">
        <f t="shared" si="47"/>
        <v>8361256</v>
      </c>
      <c r="O279" s="42">
        <f>20327024+2279060</f>
        <v>22606084</v>
      </c>
      <c r="Q279" s="42">
        <v>0</v>
      </c>
      <c r="S279" s="42">
        <v>16043039</v>
      </c>
      <c r="U279" s="42">
        <v>23664</v>
      </c>
      <c r="W279" s="42">
        <v>0</v>
      </c>
      <c r="Y279" s="42">
        <v>0</v>
      </c>
      <c r="AA279" s="42">
        <v>57962</v>
      </c>
      <c r="AB279" s="37"/>
      <c r="AC279" s="42">
        <v>0</v>
      </c>
      <c r="AE279" s="42">
        <v>0</v>
      </c>
      <c r="AG279" s="42">
        <f t="shared" si="48"/>
        <v>38730749</v>
      </c>
      <c r="AH279" s="42"/>
      <c r="AI279" s="42">
        <f t="shared" si="49"/>
        <v>47092005</v>
      </c>
    </row>
    <row r="280" spans="1:35" ht="12" hidden="1" customHeight="1">
      <c r="A280" s="8" t="s">
        <v>902</v>
      </c>
      <c r="B280" s="8"/>
      <c r="C280" s="8" t="s">
        <v>337</v>
      </c>
      <c r="D280" s="8"/>
      <c r="E280" s="23">
        <v>44172</v>
      </c>
      <c r="G280" s="42">
        <v>0</v>
      </c>
      <c r="I280" s="42">
        <v>0</v>
      </c>
      <c r="K280" s="42">
        <v>0</v>
      </c>
      <c r="M280" s="42">
        <f t="shared" si="47"/>
        <v>0</v>
      </c>
      <c r="O280" s="42">
        <v>0</v>
      </c>
      <c r="Q280" s="42">
        <v>0</v>
      </c>
      <c r="S280" s="42">
        <v>0</v>
      </c>
      <c r="U280" s="42">
        <v>0</v>
      </c>
      <c r="W280" s="42">
        <v>0</v>
      </c>
      <c r="Y280" s="42">
        <v>0</v>
      </c>
      <c r="AA280" s="42">
        <v>0</v>
      </c>
      <c r="AB280" s="37"/>
      <c r="AC280" s="42">
        <v>0</v>
      </c>
      <c r="AE280" s="42">
        <v>0</v>
      </c>
      <c r="AG280" s="42">
        <f t="shared" si="48"/>
        <v>0</v>
      </c>
      <c r="AH280" s="42"/>
      <c r="AI280" s="42">
        <f t="shared" si="49"/>
        <v>0</v>
      </c>
    </row>
    <row r="281" spans="1:35" s="24" customFormat="1" ht="12" customHeight="1">
      <c r="A281" s="51" t="s">
        <v>428</v>
      </c>
      <c r="B281" s="51"/>
      <c r="C281" s="51" t="s">
        <v>50</v>
      </c>
      <c r="D281" s="51"/>
      <c r="E281" s="23">
        <v>44180</v>
      </c>
      <c r="G281" s="42">
        <v>4287356</v>
      </c>
      <c r="H281" s="42"/>
      <c r="I281" s="42">
        <v>9216700</v>
      </c>
      <c r="J281" s="42"/>
      <c r="K281" s="42">
        <v>0</v>
      </c>
      <c r="L281" s="42"/>
      <c r="M281" s="42">
        <f t="shared" si="47"/>
        <v>13504056</v>
      </c>
      <c r="N281" s="42"/>
      <c r="O281" s="42">
        <f>50493711+6223673+563767</f>
        <v>57281151</v>
      </c>
      <c r="P281" s="42"/>
      <c r="Q281" s="42">
        <v>0</v>
      </c>
      <c r="R281" s="42"/>
      <c r="S281" s="42">
        <v>23933755</v>
      </c>
      <c r="T281" s="42"/>
      <c r="U281" s="42">
        <f>91520-140157</f>
        <v>-48637</v>
      </c>
      <c r="V281" s="42"/>
      <c r="W281" s="42">
        <v>582655</v>
      </c>
      <c r="X281" s="42"/>
      <c r="Y281" s="42">
        <v>0</v>
      </c>
      <c r="Z281" s="42"/>
      <c r="AA281" s="42">
        <v>515300</v>
      </c>
      <c r="AB281" s="37"/>
      <c r="AC281" s="42">
        <v>0</v>
      </c>
      <c r="AD281" s="42"/>
      <c r="AE281" s="42">
        <v>0</v>
      </c>
      <c r="AF281" s="42"/>
      <c r="AG281" s="42">
        <f t="shared" si="48"/>
        <v>82264224</v>
      </c>
      <c r="AH281" s="42"/>
      <c r="AI281" s="42">
        <f t="shared" si="49"/>
        <v>95768280</v>
      </c>
    </row>
    <row r="282" spans="1:35" ht="12" customHeight="1">
      <c r="A282" s="8" t="s">
        <v>632</v>
      </c>
      <c r="B282" s="8"/>
      <c r="C282" s="8" t="s">
        <v>44</v>
      </c>
      <c r="D282" s="8"/>
      <c r="E282" s="23">
        <v>48165</v>
      </c>
      <c r="G282" s="42">
        <v>1680713</v>
      </c>
      <c r="I282" s="42">
        <v>1261763</v>
      </c>
      <c r="K282" s="42">
        <v>162791</v>
      </c>
      <c r="M282" s="42">
        <f t="shared" si="47"/>
        <v>3105267</v>
      </c>
      <c r="O282" s="42">
        <f>5095630+1154297+90534+132131</f>
        <v>6472592</v>
      </c>
      <c r="Q282" s="42">
        <v>0</v>
      </c>
      <c r="S282" s="42">
        <v>7377981</v>
      </c>
      <c r="U282" s="42">
        <f>35057-35232</f>
        <v>-175</v>
      </c>
      <c r="W282" s="42">
        <v>0</v>
      </c>
      <c r="Y282" s="42">
        <v>0</v>
      </c>
      <c r="AA282" s="42">
        <f>21293978+298639</f>
        <v>21592617</v>
      </c>
      <c r="AB282" s="37"/>
      <c r="AC282" s="42">
        <v>0</v>
      </c>
      <c r="AE282" s="42">
        <v>0</v>
      </c>
      <c r="AG282" s="42">
        <f t="shared" si="48"/>
        <v>35443015</v>
      </c>
      <c r="AH282" s="42"/>
      <c r="AI282" s="42">
        <f t="shared" si="49"/>
        <v>38548282</v>
      </c>
    </row>
    <row r="283" spans="1:35" s="24" customFormat="1" ht="12" customHeight="1">
      <c r="A283" s="51" t="s">
        <v>715</v>
      </c>
      <c r="B283" s="51"/>
      <c r="C283" s="51" t="s">
        <v>69</v>
      </c>
      <c r="D283" s="51"/>
      <c r="E283" s="51">
        <v>50435</v>
      </c>
      <c r="G283" s="24">
        <v>1243379</v>
      </c>
      <c r="I283" s="24">
        <v>2087202</v>
      </c>
      <c r="K283" s="24">
        <v>0</v>
      </c>
      <c r="M283" s="24">
        <f t="shared" si="47"/>
        <v>3330581</v>
      </c>
      <c r="O283" s="24">
        <f>24957526+3560427+1025347</f>
        <v>29543300</v>
      </c>
      <c r="Q283" s="24">
        <v>0</v>
      </c>
      <c r="S283" s="24">
        <v>12816972</v>
      </c>
      <c r="U283" s="24">
        <v>9458</v>
      </c>
      <c r="W283" s="24">
        <v>2437326</v>
      </c>
      <c r="Y283" s="24">
        <v>132364</v>
      </c>
      <c r="AA283" s="24">
        <v>331529</v>
      </c>
      <c r="AB283" s="58"/>
      <c r="AC283" s="24">
        <v>0</v>
      </c>
      <c r="AE283" s="24">
        <v>0</v>
      </c>
      <c r="AG283" s="24">
        <f t="shared" si="48"/>
        <v>45270949</v>
      </c>
      <c r="AI283" s="24">
        <f t="shared" si="49"/>
        <v>48601530</v>
      </c>
    </row>
    <row r="284" spans="1:35" ht="12" customHeight="1">
      <c r="A284" s="8" t="s">
        <v>903</v>
      </c>
      <c r="B284" s="8"/>
      <c r="C284" s="8" t="s">
        <v>41</v>
      </c>
      <c r="D284" s="8"/>
      <c r="E284" s="23">
        <v>47878</v>
      </c>
      <c r="G284" s="42">
        <v>617966</v>
      </c>
      <c r="I284" s="42">
        <v>684225</v>
      </c>
      <c r="K284" s="42">
        <v>0</v>
      </c>
      <c r="M284" s="42">
        <v>1302191</v>
      </c>
      <c r="O284" s="42">
        <v>11990212</v>
      </c>
      <c r="Q284" s="42">
        <v>0</v>
      </c>
      <c r="S284" s="42">
        <v>2610416</v>
      </c>
      <c r="U284" s="42">
        <v>2293</v>
      </c>
      <c r="W284" s="42">
        <v>0</v>
      </c>
      <c r="Y284" s="42">
        <v>0</v>
      </c>
      <c r="AA284" s="42">
        <v>132815</v>
      </c>
      <c r="AB284" s="37"/>
      <c r="AC284" s="42">
        <v>0</v>
      </c>
      <c r="AE284" s="42">
        <v>0</v>
      </c>
      <c r="AG284" s="42">
        <v>14735736</v>
      </c>
      <c r="AH284" s="42"/>
      <c r="AI284" s="42">
        <v>16037927</v>
      </c>
    </row>
    <row r="285" spans="1:35" ht="12" customHeight="1">
      <c r="A285" s="8" t="s">
        <v>520</v>
      </c>
      <c r="B285" s="8"/>
      <c r="C285" s="8" t="s">
        <v>64</v>
      </c>
      <c r="D285" s="8"/>
      <c r="E285" s="23">
        <v>50245</v>
      </c>
      <c r="G285" s="42">
        <v>1721286</v>
      </c>
      <c r="I285" s="42">
        <v>2326891</v>
      </c>
      <c r="K285" s="42">
        <v>0</v>
      </c>
      <c r="M285" s="42">
        <v>4048177</v>
      </c>
      <c r="O285" s="42">
        <v>3142844</v>
      </c>
      <c r="Q285" s="42">
        <v>0</v>
      </c>
      <c r="S285" s="42">
        <v>7152599</v>
      </c>
      <c r="U285" s="42">
        <v>7511</v>
      </c>
      <c r="W285" s="42">
        <v>0</v>
      </c>
      <c r="Y285" s="42">
        <v>0</v>
      </c>
      <c r="AA285" s="42">
        <v>91140</v>
      </c>
      <c r="AB285" s="37"/>
      <c r="AC285" s="42">
        <v>0</v>
      </c>
      <c r="AE285" s="42">
        <v>0</v>
      </c>
      <c r="AG285" s="42">
        <v>10394094</v>
      </c>
      <c r="AH285" s="42"/>
      <c r="AI285" s="42">
        <v>14442271</v>
      </c>
    </row>
    <row r="286" spans="1:35" ht="12" customHeight="1">
      <c r="A286" s="8" t="s">
        <v>494</v>
      </c>
      <c r="B286" s="8"/>
      <c r="C286" s="8" t="s">
        <v>62</v>
      </c>
      <c r="D286" s="8"/>
      <c r="E286" s="23">
        <v>49866</v>
      </c>
      <c r="G286" s="42">
        <v>722519</v>
      </c>
      <c r="I286" s="42">
        <v>2178370</v>
      </c>
      <c r="K286" s="42">
        <v>30114</v>
      </c>
      <c r="M286" s="42">
        <v>2931003</v>
      </c>
      <c r="O286" s="42">
        <v>13952599</v>
      </c>
      <c r="Q286" s="42">
        <v>0</v>
      </c>
      <c r="S286" s="42">
        <v>15307856</v>
      </c>
      <c r="U286" s="42">
        <v>11919</v>
      </c>
      <c r="W286" s="42">
        <v>0</v>
      </c>
      <c r="Y286" s="42">
        <v>0</v>
      </c>
      <c r="AA286" s="42">
        <v>100334</v>
      </c>
      <c r="AB286" s="37"/>
      <c r="AC286" s="42">
        <v>0</v>
      </c>
      <c r="AE286" s="42">
        <v>0</v>
      </c>
      <c r="AG286" s="42">
        <v>29372708</v>
      </c>
      <c r="AH286" s="42"/>
      <c r="AI286" s="42">
        <v>32303711</v>
      </c>
    </row>
    <row r="287" spans="1:35" ht="12" hidden="1" customHeight="1">
      <c r="A287" s="8" t="s">
        <v>790</v>
      </c>
      <c r="B287" s="8"/>
      <c r="C287" s="8" t="s">
        <v>72</v>
      </c>
      <c r="D287" s="8"/>
      <c r="E287" s="23">
        <v>50690</v>
      </c>
      <c r="G287" s="42">
        <v>0</v>
      </c>
      <c r="I287" s="42">
        <v>0</v>
      </c>
      <c r="K287" s="42">
        <v>0</v>
      </c>
      <c r="M287" s="42">
        <f t="shared" si="47"/>
        <v>0</v>
      </c>
      <c r="O287" s="42">
        <v>0</v>
      </c>
      <c r="Q287" s="42">
        <v>0</v>
      </c>
      <c r="S287" s="42">
        <v>0</v>
      </c>
      <c r="U287" s="42">
        <v>0</v>
      </c>
      <c r="W287" s="42">
        <v>0</v>
      </c>
      <c r="Y287" s="42">
        <v>0</v>
      </c>
      <c r="AA287" s="42">
        <v>0</v>
      </c>
      <c r="AB287" s="37"/>
      <c r="AC287" s="42">
        <v>0</v>
      </c>
      <c r="AE287" s="42">
        <v>0</v>
      </c>
      <c r="AG287" s="42">
        <f t="shared" si="48"/>
        <v>0</v>
      </c>
      <c r="AH287" s="42"/>
      <c r="AI287" s="42">
        <f t="shared" si="49"/>
        <v>0</v>
      </c>
    </row>
    <row r="288" spans="1:35" ht="12" customHeight="1">
      <c r="A288" s="8" t="s">
        <v>521</v>
      </c>
      <c r="B288" s="8"/>
      <c r="C288" s="8" t="s">
        <v>64</v>
      </c>
      <c r="D288" s="8"/>
      <c r="E288" s="23">
        <v>50187</v>
      </c>
      <c r="G288" s="42">
        <v>1220238</v>
      </c>
      <c r="I288" s="42">
        <v>1099413</v>
      </c>
      <c r="K288" s="42">
        <v>48834</v>
      </c>
      <c r="M288" s="42">
        <f t="shared" si="47"/>
        <v>2368485</v>
      </c>
      <c r="O288" s="42">
        <f>7970991+642509+248473</f>
        <v>8861973</v>
      </c>
      <c r="Q288" s="42">
        <v>0</v>
      </c>
      <c r="S288" s="42">
        <v>7916824</v>
      </c>
      <c r="U288" s="42">
        <v>6913</v>
      </c>
      <c r="W288" s="42">
        <v>0</v>
      </c>
      <c r="Y288" s="42">
        <v>0</v>
      </c>
      <c r="AA288" s="42">
        <v>11088</v>
      </c>
      <c r="AB288" s="37"/>
      <c r="AC288" s="42">
        <v>0</v>
      </c>
      <c r="AE288" s="42">
        <v>0</v>
      </c>
      <c r="AG288" s="42">
        <f t="shared" si="48"/>
        <v>16796798</v>
      </c>
      <c r="AH288" s="42"/>
      <c r="AI288" s="42">
        <f t="shared" si="49"/>
        <v>19165283</v>
      </c>
    </row>
    <row r="289" spans="1:35" ht="12" customHeight="1">
      <c r="A289" s="8" t="s">
        <v>268</v>
      </c>
      <c r="B289" s="8"/>
      <c r="C289" s="8" t="s">
        <v>20</v>
      </c>
      <c r="D289" s="8"/>
      <c r="E289" s="23">
        <v>44198</v>
      </c>
      <c r="G289" s="42">
        <v>5693073</v>
      </c>
      <c r="I289" s="42">
        <v>8328444</v>
      </c>
      <c r="K289" s="42">
        <v>36620</v>
      </c>
      <c r="M289" s="42">
        <f t="shared" si="47"/>
        <v>14058137</v>
      </c>
      <c r="O289" s="42">
        <f>39549878+8072564</f>
        <v>47622442</v>
      </c>
      <c r="Q289" s="42">
        <v>0</v>
      </c>
      <c r="S289" s="42">
        <v>22212232</v>
      </c>
      <c r="U289" s="42">
        <v>53645</v>
      </c>
      <c r="W289" s="42">
        <v>64381</v>
      </c>
      <c r="Y289" s="42">
        <v>0</v>
      </c>
      <c r="AA289" s="42">
        <v>94562</v>
      </c>
      <c r="AB289" s="37"/>
      <c r="AC289" s="42">
        <v>0</v>
      </c>
      <c r="AE289" s="42">
        <v>0</v>
      </c>
      <c r="AG289" s="42">
        <f t="shared" si="48"/>
        <v>70047262</v>
      </c>
      <c r="AH289" s="42"/>
      <c r="AI289" s="42">
        <f t="shared" si="49"/>
        <v>84105399</v>
      </c>
    </row>
    <row r="290" spans="1:35" ht="12" customHeight="1">
      <c r="A290" s="8" t="s">
        <v>625</v>
      </c>
      <c r="B290" s="8"/>
      <c r="C290" s="8" t="s">
        <v>42</v>
      </c>
      <c r="D290" s="8"/>
      <c r="E290" s="23">
        <v>47993</v>
      </c>
      <c r="G290" s="42">
        <v>710545</v>
      </c>
      <c r="I290" s="42">
        <v>899632</v>
      </c>
      <c r="K290" s="42">
        <v>0</v>
      </c>
      <c r="M290" s="42">
        <f t="shared" si="47"/>
        <v>1610177</v>
      </c>
      <c r="O290" s="42">
        <f>12319747+749321</f>
        <v>13069068</v>
      </c>
      <c r="Q290" s="42">
        <v>0</v>
      </c>
      <c r="S290" s="42">
        <v>8272161</v>
      </c>
      <c r="U290" s="42">
        <v>24272</v>
      </c>
      <c r="W290" s="42">
        <v>0</v>
      </c>
      <c r="Y290" s="42">
        <v>0</v>
      </c>
      <c r="AA290" s="42">
        <v>129271</v>
      </c>
      <c r="AB290" s="37"/>
      <c r="AC290" s="42">
        <v>0</v>
      </c>
      <c r="AE290" s="42">
        <v>0</v>
      </c>
      <c r="AG290" s="42">
        <f t="shared" si="48"/>
        <v>21494772</v>
      </c>
      <c r="AH290" s="42"/>
      <c r="AI290" s="42">
        <f t="shared" si="49"/>
        <v>23104949</v>
      </c>
    </row>
    <row r="291" spans="1:35" ht="12" customHeight="1">
      <c r="A291" s="8" t="s">
        <v>222</v>
      </c>
      <c r="B291" s="8"/>
      <c r="C291" s="8" t="s">
        <v>220</v>
      </c>
      <c r="D291" s="8"/>
      <c r="E291" s="23">
        <v>46110</v>
      </c>
      <c r="F291" s="59"/>
      <c r="G291" s="42">
        <v>8884801</v>
      </c>
      <c r="I291" s="42">
        <v>9122936</v>
      </c>
      <c r="K291" s="42">
        <v>0</v>
      </c>
      <c r="M291" s="42">
        <f t="shared" si="47"/>
        <v>18007737</v>
      </c>
      <c r="O291" s="42">
        <f>78411041+12753190</f>
        <v>91164231</v>
      </c>
      <c r="Q291" s="42">
        <v>0</v>
      </c>
      <c r="S291" s="42">
        <v>53242351</v>
      </c>
      <c r="U291" s="42">
        <v>111222</v>
      </c>
      <c r="W291" s="42">
        <v>12790111</v>
      </c>
      <c r="Y291" s="42">
        <v>222389</v>
      </c>
      <c r="AA291" s="42">
        <v>360626</v>
      </c>
      <c r="AB291" s="37"/>
      <c r="AC291" s="42">
        <v>0</v>
      </c>
      <c r="AE291" s="42">
        <v>0</v>
      </c>
      <c r="AG291" s="42">
        <f t="shared" si="48"/>
        <v>157890930</v>
      </c>
      <c r="AH291" s="42"/>
      <c r="AI291" s="42">
        <f t="shared" si="49"/>
        <v>175898667</v>
      </c>
    </row>
    <row r="292" spans="1:35" s="24" customFormat="1" ht="12" hidden="1" customHeight="1">
      <c r="A292" s="8" t="s">
        <v>791</v>
      </c>
      <c r="B292" s="51"/>
      <c r="C292" s="51" t="s">
        <v>79</v>
      </c>
      <c r="D292" s="51"/>
      <c r="E292" s="23">
        <v>49569</v>
      </c>
      <c r="G292" s="42">
        <v>0</v>
      </c>
      <c r="H292" s="42"/>
      <c r="I292" s="42">
        <v>0</v>
      </c>
      <c r="J292" s="42"/>
      <c r="K292" s="42">
        <v>0</v>
      </c>
      <c r="L292" s="42"/>
      <c r="M292" s="42">
        <f t="shared" si="47"/>
        <v>0</v>
      </c>
      <c r="N292" s="42"/>
      <c r="O292" s="42">
        <v>0</v>
      </c>
      <c r="P292" s="42"/>
      <c r="Q292" s="42">
        <v>0</v>
      </c>
      <c r="R292" s="42"/>
      <c r="S292" s="42">
        <v>0</v>
      </c>
      <c r="T292" s="42"/>
      <c r="U292" s="42">
        <v>0</v>
      </c>
      <c r="V292" s="42"/>
      <c r="W292" s="42">
        <v>0</v>
      </c>
      <c r="X292" s="42"/>
      <c r="Y292" s="42">
        <v>0</v>
      </c>
      <c r="Z292" s="42"/>
      <c r="AA292" s="42">
        <v>0</v>
      </c>
      <c r="AB292" s="37"/>
      <c r="AC292" s="42">
        <v>0</v>
      </c>
      <c r="AD292" s="42"/>
      <c r="AE292" s="42">
        <v>0</v>
      </c>
      <c r="AF292" s="42"/>
      <c r="AG292" s="42">
        <f t="shared" si="48"/>
        <v>0</v>
      </c>
      <c r="AH292" s="42"/>
      <c r="AI292" s="42">
        <f t="shared" si="49"/>
        <v>0</v>
      </c>
    </row>
    <row r="293" spans="1:35" ht="12" customHeight="1">
      <c r="A293" s="8" t="s">
        <v>293</v>
      </c>
      <c r="B293" s="8"/>
      <c r="C293" s="8" t="s">
        <v>25</v>
      </c>
      <c r="D293" s="8"/>
      <c r="E293" s="23">
        <v>44206</v>
      </c>
      <c r="G293" s="42">
        <v>2530927</v>
      </c>
      <c r="I293" s="42">
        <v>8503412</v>
      </c>
      <c r="K293" s="42">
        <v>437981</v>
      </c>
      <c r="M293" s="42">
        <f t="shared" si="47"/>
        <v>11472320</v>
      </c>
      <c r="O293" s="42">
        <f>20265836+1798935+264526</f>
        <v>22329297</v>
      </c>
      <c r="Q293" s="42">
        <v>10447432</v>
      </c>
      <c r="S293" s="42">
        <v>51878477</v>
      </c>
      <c r="U293" s="42">
        <v>188017</v>
      </c>
      <c r="W293" s="42">
        <v>168385</v>
      </c>
      <c r="Y293" s="42">
        <v>6403</v>
      </c>
      <c r="AA293" s="42">
        <f>23138+286099</f>
        <v>309237</v>
      </c>
      <c r="AB293" s="37"/>
      <c r="AC293" s="42">
        <v>0</v>
      </c>
      <c r="AE293" s="42">
        <v>0</v>
      </c>
      <c r="AG293" s="42">
        <f t="shared" si="48"/>
        <v>85327248</v>
      </c>
      <c r="AH293" s="42"/>
      <c r="AI293" s="42">
        <f t="shared" si="49"/>
        <v>96799568</v>
      </c>
    </row>
    <row r="294" spans="1:35" ht="12" hidden="1" customHeight="1">
      <c r="A294" s="8" t="s">
        <v>723</v>
      </c>
      <c r="B294" s="8"/>
      <c r="C294" s="8" t="s">
        <v>69</v>
      </c>
      <c r="D294" s="8"/>
      <c r="E294" s="23">
        <v>44214</v>
      </c>
      <c r="G294" s="42">
        <v>0</v>
      </c>
      <c r="I294" s="42">
        <v>0</v>
      </c>
      <c r="K294" s="42">
        <v>0</v>
      </c>
      <c r="M294" s="42">
        <f t="shared" si="47"/>
        <v>0</v>
      </c>
      <c r="O294" s="42">
        <v>0</v>
      </c>
      <c r="Q294" s="42">
        <v>0</v>
      </c>
      <c r="S294" s="42">
        <v>0</v>
      </c>
      <c r="U294" s="42">
        <v>0</v>
      </c>
      <c r="W294" s="42">
        <v>0</v>
      </c>
      <c r="Y294" s="42">
        <v>0</v>
      </c>
      <c r="AA294" s="42">
        <v>0</v>
      </c>
      <c r="AB294" s="37"/>
      <c r="AC294" s="42">
        <v>0</v>
      </c>
      <c r="AE294" s="42">
        <v>0</v>
      </c>
      <c r="AG294" s="42">
        <f t="shared" si="48"/>
        <v>0</v>
      </c>
      <c r="AH294" s="42"/>
      <c r="AI294" s="42">
        <f t="shared" si="49"/>
        <v>0</v>
      </c>
    </row>
    <row r="295" spans="1:35" ht="12" customHeight="1">
      <c r="A295" s="8" t="s">
        <v>313</v>
      </c>
      <c r="B295" s="8"/>
      <c r="C295" s="8" t="s">
        <v>30</v>
      </c>
      <c r="D295" s="8"/>
      <c r="E295" s="23">
        <v>47209</v>
      </c>
      <c r="G295" s="42">
        <v>419716</v>
      </c>
      <c r="I295" s="42">
        <v>408857</v>
      </c>
      <c r="K295" s="42">
        <v>3600</v>
      </c>
      <c r="M295" s="42">
        <f t="shared" si="47"/>
        <v>832173</v>
      </c>
      <c r="O295" s="42">
        <v>1826462</v>
      </c>
      <c r="Q295" s="42">
        <v>987260</v>
      </c>
      <c r="S295" s="42">
        <v>2441422</v>
      </c>
      <c r="U295" s="42">
        <v>464</v>
      </c>
      <c r="W295" s="42">
        <v>0</v>
      </c>
      <c r="Y295" s="42">
        <v>150</v>
      </c>
      <c r="AA295" s="42">
        <v>23735</v>
      </c>
      <c r="AB295" s="37"/>
      <c r="AC295" s="42">
        <v>0</v>
      </c>
      <c r="AE295" s="42">
        <v>0</v>
      </c>
      <c r="AG295" s="42">
        <f t="shared" si="48"/>
        <v>5279493</v>
      </c>
      <c r="AH295" s="42"/>
      <c r="AI295" s="42">
        <f t="shared" si="49"/>
        <v>6111666</v>
      </c>
    </row>
    <row r="296" spans="1:35" ht="12" hidden="1" customHeight="1">
      <c r="A296" s="9" t="s">
        <v>757</v>
      </c>
      <c r="B296" s="8"/>
      <c r="C296" s="8" t="s">
        <v>111</v>
      </c>
      <c r="D296" s="8"/>
      <c r="E296" s="23">
        <v>45443</v>
      </c>
      <c r="G296" s="42">
        <v>0</v>
      </c>
      <c r="I296" s="42">
        <v>0</v>
      </c>
      <c r="K296" s="42">
        <v>0</v>
      </c>
      <c r="O296" s="42">
        <v>0</v>
      </c>
      <c r="Q296" s="42">
        <v>0</v>
      </c>
      <c r="S296" s="42">
        <v>0</v>
      </c>
      <c r="U296" s="42">
        <v>0</v>
      </c>
      <c r="W296" s="42">
        <v>0</v>
      </c>
      <c r="Y296" s="42">
        <v>0</v>
      </c>
      <c r="AA296" s="42">
        <v>0</v>
      </c>
      <c r="AB296" s="37"/>
      <c r="AC296" s="42">
        <v>0</v>
      </c>
      <c r="AE296" s="42">
        <v>0</v>
      </c>
      <c r="AG296" s="42">
        <f t="shared" si="48"/>
        <v>0</v>
      </c>
      <c r="AH296" s="42"/>
    </row>
    <row r="297" spans="1:35" ht="12" hidden="1" customHeight="1">
      <c r="A297" s="8" t="s">
        <v>676</v>
      </c>
      <c r="B297" s="8"/>
      <c r="C297" s="8" t="s">
        <v>464</v>
      </c>
      <c r="D297" s="8"/>
      <c r="E297" s="23">
        <v>49353</v>
      </c>
      <c r="G297" s="42">
        <v>0</v>
      </c>
      <c r="I297" s="42">
        <v>0</v>
      </c>
      <c r="K297" s="42">
        <v>0</v>
      </c>
      <c r="M297" s="42">
        <f t="shared" si="47"/>
        <v>0</v>
      </c>
      <c r="O297" s="42">
        <v>0</v>
      </c>
      <c r="Q297" s="42">
        <v>0</v>
      </c>
      <c r="S297" s="42">
        <v>0</v>
      </c>
      <c r="U297" s="42">
        <v>0</v>
      </c>
      <c r="W297" s="42">
        <v>0</v>
      </c>
      <c r="Y297" s="42">
        <v>0</v>
      </c>
      <c r="AA297" s="42">
        <v>0</v>
      </c>
      <c r="AB297" s="37"/>
      <c r="AC297" s="42">
        <v>0</v>
      </c>
      <c r="AE297" s="42">
        <v>0</v>
      </c>
      <c r="AG297" s="42">
        <f t="shared" si="48"/>
        <v>0</v>
      </c>
      <c r="AH297" s="42"/>
      <c r="AI297" s="42">
        <f t="shared" si="49"/>
        <v>0</v>
      </c>
    </row>
    <row r="298" spans="1:35" ht="12" hidden="1" customHeight="1">
      <c r="A298" s="8" t="s">
        <v>792</v>
      </c>
      <c r="B298" s="8"/>
      <c r="C298" s="8" t="s">
        <v>109</v>
      </c>
      <c r="D298" s="8"/>
      <c r="E298" s="23">
        <v>49437</v>
      </c>
      <c r="G298" s="42">
        <v>0</v>
      </c>
      <c r="I298" s="42">
        <v>0</v>
      </c>
      <c r="K298" s="42">
        <v>0</v>
      </c>
      <c r="M298" s="42">
        <f t="shared" si="47"/>
        <v>0</v>
      </c>
      <c r="O298" s="42">
        <v>0</v>
      </c>
      <c r="Q298" s="42">
        <v>0</v>
      </c>
      <c r="S298" s="42">
        <v>0</v>
      </c>
      <c r="U298" s="42">
        <v>0</v>
      </c>
      <c r="W298" s="42">
        <v>0</v>
      </c>
      <c r="Y298" s="42">
        <v>0</v>
      </c>
      <c r="AA298" s="42">
        <v>0</v>
      </c>
      <c r="AB298" s="37"/>
      <c r="AC298" s="42">
        <v>0</v>
      </c>
      <c r="AE298" s="42">
        <v>0</v>
      </c>
      <c r="AG298" s="42">
        <f t="shared" si="48"/>
        <v>0</v>
      </c>
      <c r="AH298" s="42"/>
      <c r="AI298" s="42">
        <f t="shared" si="49"/>
        <v>0</v>
      </c>
    </row>
    <row r="299" spans="1:35" ht="12" customHeight="1">
      <c r="A299" s="8" t="s">
        <v>793</v>
      </c>
      <c r="B299" s="8"/>
      <c r="C299" s="8" t="s">
        <v>33</v>
      </c>
      <c r="D299" s="8"/>
      <c r="E299" s="23">
        <v>47449</v>
      </c>
      <c r="G299" s="42">
        <v>1938842</v>
      </c>
      <c r="I299" s="42">
        <v>996594</v>
      </c>
      <c r="K299" s="42">
        <v>0</v>
      </c>
      <c r="M299" s="42">
        <f>SUM(G299:L299)</f>
        <v>2935436</v>
      </c>
      <c r="O299" s="42">
        <f>4260600+530268</f>
        <v>4790868</v>
      </c>
      <c r="Q299" s="42">
        <v>1593496</v>
      </c>
      <c r="S299" s="42">
        <v>5429260</v>
      </c>
      <c r="U299" s="42">
        <v>6736</v>
      </c>
      <c r="W299" s="42">
        <v>13790</v>
      </c>
      <c r="Y299" s="42">
        <v>17692</v>
      </c>
      <c r="AA299" s="42">
        <v>170461</v>
      </c>
      <c r="AB299" s="37"/>
      <c r="AC299" s="42">
        <v>0</v>
      </c>
      <c r="AE299" s="42">
        <v>0</v>
      </c>
      <c r="AG299" s="42">
        <f>SUM(O299:AE299)</f>
        <v>12022303</v>
      </c>
      <c r="AH299" s="42"/>
      <c r="AI299" s="42">
        <f>+AG299+M299</f>
        <v>14957739</v>
      </c>
    </row>
    <row r="300" spans="1:35" ht="12" customHeight="1">
      <c r="A300" s="8" t="s">
        <v>343</v>
      </c>
      <c r="B300" s="8"/>
      <c r="C300" s="8" t="s">
        <v>34</v>
      </c>
      <c r="D300" s="8"/>
      <c r="E300" s="23">
        <v>47589</v>
      </c>
      <c r="G300" s="42">
        <v>1669881</v>
      </c>
      <c r="I300" s="42">
        <v>841295</v>
      </c>
      <c r="K300" s="42">
        <v>0</v>
      </c>
      <c r="M300" s="42">
        <f t="shared" si="47"/>
        <v>2511176</v>
      </c>
      <c r="O300" s="42">
        <f>2339840+148648+275441</f>
        <v>2763929</v>
      </c>
      <c r="Q300" s="42">
        <v>2251303</v>
      </c>
      <c r="S300" s="42">
        <v>5596546</v>
      </c>
      <c r="U300" s="42">
        <v>19893</v>
      </c>
      <c r="W300" s="42">
        <v>0</v>
      </c>
      <c r="Y300" s="42">
        <v>86589</v>
      </c>
      <c r="AA300" s="42">
        <f>24182+5476</f>
        <v>29658</v>
      </c>
      <c r="AB300" s="37"/>
      <c r="AC300" s="42">
        <v>0</v>
      </c>
      <c r="AE300" s="42">
        <v>0</v>
      </c>
      <c r="AG300" s="42">
        <f t="shared" si="48"/>
        <v>10747918</v>
      </c>
      <c r="AH300" s="42"/>
      <c r="AI300" s="42">
        <f t="shared" si="49"/>
        <v>13259094</v>
      </c>
    </row>
    <row r="301" spans="1:35" ht="12" customHeight="1">
      <c r="A301" s="8" t="s">
        <v>522</v>
      </c>
      <c r="B301" s="8"/>
      <c r="C301" s="8" t="s">
        <v>64</v>
      </c>
      <c r="D301" s="8"/>
      <c r="E301" s="23">
        <v>50195</v>
      </c>
      <c r="G301" s="42">
        <v>1113489</v>
      </c>
      <c r="I301" s="42">
        <v>1525757</v>
      </c>
      <c r="K301" s="42">
        <v>19367</v>
      </c>
      <c r="M301" s="42">
        <f t="shared" si="47"/>
        <v>2658613</v>
      </c>
      <c r="O301" s="42">
        <f>6937302+1413466+133975</f>
        <v>8484743</v>
      </c>
      <c r="Q301" s="42">
        <v>0</v>
      </c>
      <c r="S301" s="42">
        <v>6607525</v>
      </c>
      <c r="U301" s="42">
        <v>3976</v>
      </c>
      <c r="W301" s="42">
        <v>0</v>
      </c>
      <c r="Y301" s="42">
        <v>0</v>
      </c>
      <c r="AA301" s="42">
        <v>276750</v>
      </c>
      <c r="AB301" s="37"/>
      <c r="AC301" s="42">
        <v>0</v>
      </c>
      <c r="AE301" s="42">
        <v>0</v>
      </c>
      <c r="AG301" s="42">
        <f t="shared" si="48"/>
        <v>15372994</v>
      </c>
      <c r="AH301" s="42"/>
      <c r="AI301" s="42">
        <f t="shared" si="49"/>
        <v>18031607</v>
      </c>
    </row>
    <row r="302" spans="1:35" ht="12" customHeight="1">
      <c r="A302" s="8" t="s">
        <v>738</v>
      </c>
      <c r="B302" s="8"/>
      <c r="C302" s="8" t="s">
        <v>25</v>
      </c>
      <c r="D302" s="8"/>
      <c r="E302" s="23">
        <v>46888</v>
      </c>
      <c r="G302" s="42">
        <v>576267</v>
      </c>
      <c r="I302" s="42">
        <v>1520980</v>
      </c>
      <c r="K302" s="42">
        <v>23001</v>
      </c>
      <c r="M302" s="42">
        <f t="shared" si="47"/>
        <v>2120248</v>
      </c>
      <c r="O302" s="42">
        <f>3118763+1083049+72996</f>
        <v>4274808</v>
      </c>
      <c r="Q302" s="42">
        <v>2996419</v>
      </c>
      <c r="S302" s="42">
        <v>5650738</v>
      </c>
      <c r="U302" s="42">
        <v>47077</v>
      </c>
      <c r="W302" s="42">
        <v>0</v>
      </c>
      <c r="Y302" s="42">
        <v>0</v>
      </c>
      <c r="AA302" s="42">
        <f>444366+8749+135647</f>
        <v>588762</v>
      </c>
      <c r="AB302" s="37"/>
      <c r="AC302" s="42">
        <v>0</v>
      </c>
      <c r="AE302" s="42">
        <v>0</v>
      </c>
      <c r="AG302" s="42">
        <f t="shared" si="48"/>
        <v>13557804</v>
      </c>
      <c r="AH302" s="42"/>
      <c r="AI302" s="42">
        <f t="shared" si="49"/>
        <v>15678052</v>
      </c>
    </row>
    <row r="303" spans="1:35" ht="12" customHeight="1">
      <c r="A303" s="9" t="s">
        <v>904</v>
      </c>
      <c r="B303" s="8"/>
      <c r="C303" s="8" t="s">
        <v>42</v>
      </c>
      <c r="D303" s="8"/>
      <c r="E303" s="23">
        <v>48009</v>
      </c>
      <c r="G303" s="42">
        <v>1222581</v>
      </c>
      <c r="I303" s="42">
        <v>2255875</v>
      </c>
      <c r="K303" s="42">
        <v>0</v>
      </c>
      <c r="M303" s="42">
        <f>SUM(G303:L303)</f>
        <v>3478456</v>
      </c>
      <c r="O303" s="42">
        <f>14644830+2651603+823612</f>
        <v>18120045</v>
      </c>
      <c r="Q303" s="42">
        <v>0</v>
      </c>
      <c r="S303" s="42">
        <v>10954353</v>
      </c>
      <c r="U303" s="42">
        <v>14909</v>
      </c>
      <c r="W303" s="42">
        <v>1865165</v>
      </c>
      <c r="Y303" s="42">
        <v>0</v>
      </c>
      <c r="AA303" s="42">
        <f>1196855+104017</f>
        <v>1300872</v>
      </c>
      <c r="AB303" s="37"/>
      <c r="AC303" s="42">
        <v>0</v>
      </c>
      <c r="AE303" s="42">
        <v>0</v>
      </c>
      <c r="AG303" s="42">
        <f t="shared" si="48"/>
        <v>32255344</v>
      </c>
      <c r="AH303" s="42"/>
      <c r="AI303" s="42">
        <f>+AG303+M303</f>
        <v>35733800</v>
      </c>
    </row>
    <row r="304" spans="1:35" ht="12" customHeight="1">
      <c r="A304" s="8" t="s">
        <v>373</v>
      </c>
      <c r="B304" s="8"/>
      <c r="C304" s="8" t="s">
        <v>42</v>
      </c>
      <c r="D304" s="8"/>
      <c r="E304" s="23">
        <v>48017</v>
      </c>
      <c r="G304" s="42">
        <v>2163218</v>
      </c>
      <c r="I304" s="42">
        <v>1411523</v>
      </c>
      <c r="K304" s="42">
        <v>1108352</v>
      </c>
      <c r="M304" s="42">
        <f>SUM(G304:L304)</f>
        <v>4683093</v>
      </c>
      <c r="O304" s="42">
        <f>3728654+865565+152248</f>
        <v>4746467</v>
      </c>
      <c r="Q304" s="42">
        <v>2115590</v>
      </c>
      <c r="S304" s="42">
        <v>9427781</v>
      </c>
      <c r="U304" s="42">
        <v>12594</v>
      </c>
      <c r="W304" s="42">
        <v>43653</v>
      </c>
      <c r="Y304" s="42">
        <v>0</v>
      </c>
      <c r="AA304" s="42">
        <v>161179</v>
      </c>
      <c r="AB304" s="37"/>
      <c r="AC304" s="42">
        <v>0</v>
      </c>
      <c r="AE304" s="42">
        <v>0</v>
      </c>
      <c r="AG304" s="42">
        <f>SUM(O304:AE304)</f>
        <v>16507264</v>
      </c>
      <c r="AH304" s="42"/>
      <c r="AI304" s="42">
        <f>+AG304+M304</f>
        <v>21190357</v>
      </c>
    </row>
    <row r="305" spans="1:35" ht="12" hidden="1" customHeight="1">
      <c r="A305" s="9" t="s">
        <v>677</v>
      </c>
      <c r="B305" s="9"/>
      <c r="C305" s="9" t="s">
        <v>10</v>
      </c>
      <c r="D305" s="8"/>
      <c r="E305" s="23">
        <v>44222</v>
      </c>
      <c r="G305" s="42">
        <v>0</v>
      </c>
      <c r="I305" s="42">
        <v>0</v>
      </c>
      <c r="K305" s="42">
        <v>0</v>
      </c>
      <c r="M305" s="42">
        <f>SUM(G305:L305)</f>
        <v>0</v>
      </c>
      <c r="O305" s="42">
        <v>0</v>
      </c>
      <c r="Q305" s="42">
        <v>0</v>
      </c>
      <c r="S305" s="42">
        <v>0</v>
      </c>
      <c r="U305" s="42">
        <v>0</v>
      </c>
      <c r="W305" s="42">
        <v>0</v>
      </c>
      <c r="Y305" s="42">
        <v>0</v>
      </c>
      <c r="AA305" s="42">
        <v>0</v>
      </c>
      <c r="AB305" s="37"/>
      <c r="AC305" s="42">
        <v>0</v>
      </c>
      <c r="AE305" s="42">
        <v>0</v>
      </c>
      <c r="AG305" s="42">
        <f t="shared" ref="AG305:AG307" si="58">SUM(O305:AE305)</f>
        <v>0</v>
      </c>
      <c r="AH305" s="42"/>
      <c r="AI305" s="42">
        <f t="shared" ref="AI305:AI307" si="59">+AG305+M305</f>
        <v>0</v>
      </c>
    </row>
    <row r="306" spans="1:35" ht="12" customHeight="1">
      <c r="A306" s="8" t="s">
        <v>537</v>
      </c>
      <c r="B306" s="8"/>
      <c r="C306" s="8" t="s">
        <v>67</v>
      </c>
      <c r="D306" s="8"/>
      <c r="E306" s="23">
        <v>50369</v>
      </c>
      <c r="G306" s="42">
        <v>2181532</v>
      </c>
      <c r="I306" s="42">
        <v>940423</v>
      </c>
      <c r="K306" s="42">
        <v>17585</v>
      </c>
      <c r="M306" s="42">
        <f>SUM(G306:L306)</f>
        <v>3139540</v>
      </c>
      <c r="O306" s="42">
        <f>2240319+880958+137249+32932</f>
        <v>3291458</v>
      </c>
      <c r="Q306" s="42">
        <v>0</v>
      </c>
      <c r="S306" s="42">
        <v>4143891</v>
      </c>
      <c r="U306" s="42">
        <v>35619</v>
      </c>
      <c r="W306" s="42">
        <v>79000</v>
      </c>
      <c r="Y306" s="42">
        <v>0</v>
      </c>
      <c r="AA306" s="42">
        <v>22616</v>
      </c>
      <c r="AB306" s="37"/>
      <c r="AC306" s="42">
        <v>0</v>
      </c>
      <c r="AE306" s="42">
        <v>0</v>
      </c>
      <c r="AG306" s="42">
        <f t="shared" si="58"/>
        <v>7572584</v>
      </c>
      <c r="AH306" s="42"/>
      <c r="AI306" s="42">
        <f t="shared" si="59"/>
        <v>10712124</v>
      </c>
    </row>
    <row r="307" spans="1:35" ht="12" customHeight="1">
      <c r="A307" s="8" t="s">
        <v>760</v>
      </c>
      <c r="B307" s="8"/>
      <c r="C307" s="8" t="s">
        <v>111</v>
      </c>
      <c r="D307" s="8"/>
      <c r="E307" s="23">
        <v>45450</v>
      </c>
      <c r="F307" s="52"/>
      <c r="G307" s="42">
        <v>1473678</v>
      </c>
      <c r="I307" s="42">
        <v>1285918</v>
      </c>
      <c r="K307" s="42">
        <v>73946</v>
      </c>
      <c r="M307" s="42">
        <f>SUM(G307:L307)</f>
        <v>2833542</v>
      </c>
      <c r="O307" s="42">
        <f>1593795+230867+342580</f>
        <v>2167242</v>
      </c>
      <c r="Q307" s="42">
        <v>0</v>
      </c>
      <c r="S307" s="42">
        <v>5057065</v>
      </c>
      <c r="U307" s="42">
        <v>57457</v>
      </c>
      <c r="W307" s="42">
        <v>0</v>
      </c>
      <c r="Y307" s="42">
        <v>0</v>
      </c>
      <c r="AA307" s="42">
        <v>0</v>
      </c>
      <c r="AB307" s="37"/>
      <c r="AC307" s="42">
        <v>0</v>
      </c>
      <c r="AE307" s="42">
        <v>0</v>
      </c>
      <c r="AG307" s="42">
        <f t="shared" si="58"/>
        <v>7281764</v>
      </c>
      <c r="AH307" s="42"/>
      <c r="AI307" s="42">
        <f t="shared" si="59"/>
        <v>10115306</v>
      </c>
    </row>
    <row r="308" spans="1:35" s="42" customFormat="1" ht="12" customHeight="1">
      <c r="A308" s="9" t="s">
        <v>541</v>
      </c>
      <c r="B308" s="9"/>
      <c r="C308" s="9" t="s">
        <v>69</v>
      </c>
      <c r="D308" s="9"/>
      <c r="E308" s="23">
        <v>50443</v>
      </c>
      <c r="G308" s="42">
        <v>2053023</v>
      </c>
      <c r="I308" s="42">
        <v>1965116</v>
      </c>
      <c r="K308" s="42">
        <v>0</v>
      </c>
      <c r="M308" s="42">
        <f t="shared" ref="M308:M320" si="60">SUM(G308:L308)</f>
        <v>4018139</v>
      </c>
      <c r="O308" s="42">
        <f>25872882+4869227+2064695</f>
        <v>32806804</v>
      </c>
      <c r="Q308" s="42">
        <v>0</v>
      </c>
      <c r="S308" s="42">
        <v>13917053</v>
      </c>
      <c r="U308" s="42">
        <v>25943</v>
      </c>
      <c r="W308" s="42">
        <v>922003</v>
      </c>
      <c r="Y308" s="42">
        <v>14844</v>
      </c>
      <c r="AA308" s="42">
        <v>143192</v>
      </c>
      <c r="AB308" s="37"/>
      <c r="AC308" s="42">
        <v>0</v>
      </c>
      <c r="AE308" s="42">
        <v>0</v>
      </c>
      <c r="AG308" s="42">
        <f t="shared" ref="AG308:AG320" si="61">SUM(O308:AE308)</f>
        <v>47829839</v>
      </c>
      <c r="AI308" s="42">
        <f t="shared" ref="AI308:AI320" si="62">+AG308+M308</f>
        <v>51847978</v>
      </c>
    </row>
    <row r="309" spans="1:35" ht="12" hidden="1" customHeight="1">
      <c r="A309" s="8" t="s">
        <v>794</v>
      </c>
      <c r="B309" s="8"/>
      <c r="C309" s="8" t="s">
        <v>32</v>
      </c>
      <c r="D309" s="8"/>
      <c r="E309" s="23">
        <v>44230</v>
      </c>
      <c r="G309" s="42">
        <v>0</v>
      </c>
      <c r="I309" s="42">
        <v>0</v>
      </c>
      <c r="K309" s="42">
        <v>0</v>
      </c>
      <c r="M309" s="42">
        <f t="shared" si="60"/>
        <v>0</v>
      </c>
      <c r="O309" s="42">
        <v>0</v>
      </c>
      <c r="Q309" s="42">
        <v>0</v>
      </c>
      <c r="S309" s="42">
        <v>0</v>
      </c>
      <c r="U309" s="42">
        <v>0</v>
      </c>
      <c r="W309" s="42">
        <v>0</v>
      </c>
      <c r="Y309" s="42">
        <v>0</v>
      </c>
      <c r="AA309" s="42">
        <v>0</v>
      </c>
      <c r="AB309" s="37"/>
      <c r="AC309" s="42">
        <v>0</v>
      </c>
      <c r="AE309" s="42">
        <v>0</v>
      </c>
      <c r="AG309" s="42">
        <f t="shared" si="61"/>
        <v>0</v>
      </c>
      <c r="AH309" s="42"/>
      <c r="AI309" s="42">
        <f t="shared" si="62"/>
        <v>0</v>
      </c>
    </row>
    <row r="310" spans="1:35" ht="12" customHeight="1">
      <c r="A310" s="8" t="s">
        <v>450</v>
      </c>
      <c r="B310" s="8"/>
      <c r="C310" s="8" t="s">
        <v>54</v>
      </c>
      <c r="D310" s="8"/>
      <c r="E310" s="23">
        <v>49080</v>
      </c>
      <c r="G310" s="42">
        <v>1389776</v>
      </c>
      <c r="I310" s="42">
        <v>2325261</v>
      </c>
      <c r="K310" s="42">
        <v>24343</v>
      </c>
      <c r="M310" s="42">
        <f t="shared" si="60"/>
        <v>3739380</v>
      </c>
      <c r="O310" s="42">
        <f>6673594+172635</f>
        <v>6846229</v>
      </c>
      <c r="Q310" s="42">
        <v>2246861</v>
      </c>
      <c r="S310" s="42">
        <v>8093668</v>
      </c>
      <c r="U310" s="42">
        <v>2680</v>
      </c>
      <c r="W310" s="42">
        <v>0</v>
      </c>
      <c r="Y310" s="42">
        <v>0</v>
      </c>
      <c r="AA310" s="42">
        <v>12873</v>
      </c>
      <c r="AB310" s="37"/>
      <c r="AC310" s="42">
        <v>0</v>
      </c>
      <c r="AE310" s="42">
        <v>0</v>
      </c>
      <c r="AG310" s="42">
        <f t="shared" si="61"/>
        <v>17202311</v>
      </c>
      <c r="AH310" s="42"/>
      <c r="AI310" s="42">
        <f t="shared" si="62"/>
        <v>20941691</v>
      </c>
    </row>
    <row r="311" spans="1:35" ht="12" customHeight="1">
      <c r="A311" s="8" t="s">
        <v>350</v>
      </c>
      <c r="B311" s="8"/>
      <c r="C311" s="8" t="s">
        <v>35</v>
      </c>
      <c r="D311" s="8"/>
      <c r="E311" s="23">
        <v>44248</v>
      </c>
      <c r="G311" s="42">
        <v>1486783</v>
      </c>
      <c r="I311" s="42">
        <v>3851490</v>
      </c>
      <c r="K311" s="42">
        <v>0</v>
      </c>
      <c r="M311" s="42">
        <f t="shared" si="60"/>
        <v>5338273</v>
      </c>
      <c r="O311" s="42">
        <f>9278940+1608736+927474+157280</f>
        <v>11972430</v>
      </c>
      <c r="Q311" s="42">
        <v>0</v>
      </c>
      <c r="S311" s="42">
        <v>22225993</v>
      </c>
      <c r="U311" s="42">
        <v>3760</v>
      </c>
      <c r="W311" s="42">
        <v>0</v>
      </c>
      <c r="Y311" s="42">
        <v>0</v>
      </c>
      <c r="AA311" s="42">
        <v>127368</v>
      </c>
      <c r="AB311" s="37"/>
      <c r="AC311" s="42">
        <v>0</v>
      </c>
      <c r="AE311" s="42">
        <v>0</v>
      </c>
      <c r="AG311" s="42">
        <f t="shared" si="61"/>
        <v>34329551</v>
      </c>
      <c r="AH311" s="42"/>
      <c r="AI311" s="42">
        <f t="shared" si="62"/>
        <v>39667824</v>
      </c>
    </row>
    <row r="312" spans="1:35" s="42" customFormat="1" ht="12" customHeight="1">
      <c r="A312" s="9" t="s">
        <v>397</v>
      </c>
      <c r="B312" s="9"/>
      <c r="C312" s="9" t="s">
        <v>395</v>
      </c>
      <c r="D312" s="9"/>
      <c r="E312" s="23">
        <v>44255</v>
      </c>
      <c r="G312" s="42">
        <v>2250367</v>
      </c>
      <c r="I312" s="42">
        <v>1935879</v>
      </c>
      <c r="K312" s="42">
        <v>0</v>
      </c>
      <c r="M312" s="42">
        <f t="shared" si="60"/>
        <v>4186246</v>
      </c>
      <c r="O312" s="42">
        <f>5569336+2513682+147120</f>
        <v>8230138</v>
      </c>
      <c r="Q312" s="42">
        <v>3605137</v>
      </c>
      <c r="S312" s="42">
        <v>8719985</v>
      </c>
      <c r="U312" s="42">
        <v>5167</v>
      </c>
      <c r="W312" s="42">
        <v>140658</v>
      </c>
      <c r="Y312" s="42">
        <v>0</v>
      </c>
      <c r="AA312" s="42">
        <v>94264</v>
      </c>
      <c r="AB312" s="37"/>
      <c r="AC312" s="42">
        <v>0</v>
      </c>
      <c r="AE312" s="42">
        <v>0</v>
      </c>
      <c r="AG312" s="42">
        <f t="shared" si="61"/>
        <v>20795349</v>
      </c>
      <c r="AI312" s="42">
        <f t="shared" si="62"/>
        <v>24981595</v>
      </c>
    </row>
    <row r="313" spans="1:35" ht="12" customHeight="1">
      <c r="A313" s="8" t="s">
        <v>383</v>
      </c>
      <c r="B313" s="8"/>
      <c r="C313" s="8" t="s">
        <v>44</v>
      </c>
      <c r="D313" s="8"/>
      <c r="E313" s="23">
        <v>44263</v>
      </c>
      <c r="G313" s="42">
        <v>1751291</v>
      </c>
      <c r="I313" s="42">
        <v>15776029</v>
      </c>
      <c r="K313" s="42">
        <v>203062</v>
      </c>
      <c r="M313" s="42">
        <f t="shared" si="60"/>
        <v>17730382</v>
      </c>
      <c r="O313" s="42">
        <f>17769341+2245475+228364</f>
        <v>20243180</v>
      </c>
      <c r="Q313" s="42">
        <v>0</v>
      </c>
      <c r="S313" s="42">
        <v>68037009</v>
      </c>
      <c r="U313" s="42">
        <v>165187</v>
      </c>
      <c r="W313" s="42">
        <v>20741</v>
      </c>
      <c r="Y313" s="42">
        <v>0</v>
      </c>
      <c r="AA313" s="42">
        <v>47246</v>
      </c>
      <c r="AB313" s="37"/>
      <c r="AC313" s="42">
        <v>0</v>
      </c>
      <c r="AE313" s="42">
        <v>0</v>
      </c>
      <c r="AG313" s="42">
        <f t="shared" si="61"/>
        <v>88513363</v>
      </c>
      <c r="AH313" s="42"/>
      <c r="AI313" s="42">
        <f t="shared" si="62"/>
        <v>106243745</v>
      </c>
    </row>
    <row r="314" spans="1:35" ht="12" customHeight="1">
      <c r="A314" s="8" t="s">
        <v>523</v>
      </c>
      <c r="B314" s="8"/>
      <c r="C314" s="8" t="s">
        <v>64</v>
      </c>
      <c r="D314" s="8"/>
      <c r="E314" s="23">
        <v>50203</v>
      </c>
      <c r="G314" s="42">
        <v>678450</v>
      </c>
      <c r="I314" s="42">
        <v>379681</v>
      </c>
      <c r="K314" s="42">
        <v>0</v>
      </c>
      <c r="M314" s="42">
        <f t="shared" si="60"/>
        <v>1058131</v>
      </c>
      <c r="O314" s="42">
        <f>3156272+141305</f>
        <v>3297577</v>
      </c>
      <c r="Q314" s="42">
        <v>0</v>
      </c>
      <c r="S314" s="42">
        <v>2312304</v>
      </c>
      <c r="U314" s="42">
        <v>113</v>
      </c>
      <c r="W314" s="42">
        <v>163387</v>
      </c>
      <c r="Y314" s="42">
        <v>0</v>
      </c>
      <c r="AA314" s="42">
        <v>166045</v>
      </c>
      <c r="AB314" s="37"/>
      <c r="AC314" s="42">
        <v>0</v>
      </c>
      <c r="AE314" s="42">
        <v>0</v>
      </c>
      <c r="AG314" s="42">
        <f t="shared" si="61"/>
        <v>5939426</v>
      </c>
      <c r="AH314" s="42"/>
      <c r="AI314" s="42">
        <f t="shared" si="62"/>
        <v>6997557</v>
      </c>
    </row>
    <row r="315" spans="1:35" ht="12" customHeight="1">
      <c r="A315" s="8" t="s">
        <v>678</v>
      </c>
      <c r="B315" s="8"/>
      <c r="C315" s="8" t="s">
        <v>11</v>
      </c>
      <c r="D315" s="8"/>
      <c r="E315" s="23">
        <v>45468</v>
      </c>
      <c r="F315" s="59"/>
      <c r="G315" s="42">
        <v>773505</v>
      </c>
      <c r="I315" s="42">
        <v>1674775</v>
      </c>
      <c r="K315" s="42">
        <v>0</v>
      </c>
      <c r="M315" s="42">
        <f t="shared" si="60"/>
        <v>2448280</v>
      </c>
      <c r="O315" s="42">
        <f>4890383+101818</f>
        <v>4992201</v>
      </c>
      <c r="Q315" s="42">
        <v>1599906</v>
      </c>
      <c r="S315" s="42">
        <v>4648060</v>
      </c>
      <c r="U315" s="42">
        <v>9279</v>
      </c>
      <c r="W315" s="42">
        <v>0</v>
      </c>
      <c r="Y315" s="42">
        <v>0</v>
      </c>
      <c r="AA315" s="42">
        <v>31814</v>
      </c>
      <c r="AB315" s="37"/>
      <c r="AC315" s="42">
        <v>0</v>
      </c>
      <c r="AE315" s="42">
        <v>0</v>
      </c>
      <c r="AG315" s="42">
        <f t="shared" si="61"/>
        <v>11281260</v>
      </c>
      <c r="AH315" s="42"/>
      <c r="AI315" s="42">
        <f t="shared" si="62"/>
        <v>13729540</v>
      </c>
    </row>
    <row r="316" spans="1:35" ht="12" customHeight="1">
      <c r="A316" s="8" t="s">
        <v>495</v>
      </c>
      <c r="B316" s="8"/>
      <c r="C316" s="8" t="s">
        <v>62</v>
      </c>
      <c r="D316" s="8"/>
      <c r="E316" s="23">
        <v>49874</v>
      </c>
      <c r="G316" s="42">
        <v>2393498</v>
      </c>
      <c r="I316" s="42">
        <v>2009862</v>
      </c>
      <c r="K316" s="42">
        <v>0</v>
      </c>
      <c r="M316" s="42">
        <f t="shared" si="60"/>
        <v>4403360</v>
      </c>
      <c r="O316" s="42">
        <f>5970425+1634202+346823</f>
        <v>7951450</v>
      </c>
      <c r="Q316" s="42">
        <v>0</v>
      </c>
      <c r="S316" s="42">
        <v>15660475</v>
      </c>
      <c r="U316" s="42">
        <v>4558</v>
      </c>
      <c r="W316" s="42">
        <v>33086</v>
      </c>
      <c r="Y316" s="42">
        <v>78294</v>
      </c>
      <c r="AA316" s="42">
        <v>122274</v>
      </c>
      <c r="AB316" s="37"/>
      <c r="AC316" s="42">
        <v>0</v>
      </c>
      <c r="AE316" s="42">
        <v>0</v>
      </c>
      <c r="AG316" s="42">
        <f t="shared" si="61"/>
        <v>23850137</v>
      </c>
      <c r="AH316" s="42"/>
      <c r="AI316" s="42">
        <f t="shared" si="62"/>
        <v>28253497</v>
      </c>
    </row>
    <row r="317" spans="1:35" ht="12" customHeight="1">
      <c r="A317" s="8" t="s">
        <v>322</v>
      </c>
      <c r="B317" s="8"/>
      <c r="C317" s="8" t="s">
        <v>32</v>
      </c>
      <c r="D317" s="8"/>
      <c r="E317" s="23">
        <v>44271</v>
      </c>
      <c r="G317" s="42">
        <v>2245870</v>
      </c>
      <c r="I317" s="42">
        <v>3041090</v>
      </c>
      <c r="K317" s="42">
        <v>0</v>
      </c>
      <c r="M317" s="42">
        <f t="shared" si="60"/>
        <v>5286960</v>
      </c>
      <c r="O317" s="42">
        <f>24397206+2121299+2894513</f>
        <v>29413018</v>
      </c>
      <c r="Q317" s="42">
        <v>0</v>
      </c>
      <c r="S317" s="42">
        <v>14421694</v>
      </c>
      <c r="U317" s="42">
        <v>8204</v>
      </c>
      <c r="W317" s="42">
        <v>147833</v>
      </c>
      <c r="Y317" s="42">
        <v>12705</v>
      </c>
      <c r="AA317" s="42">
        <v>58499</v>
      </c>
      <c r="AB317" s="37"/>
      <c r="AC317" s="42">
        <v>0</v>
      </c>
      <c r="AE317" s="42">
        <v>0</v>
      </c>
      <c r="AG317" s="42">
        <f t="shared" si="61"/>
        <v>44061953</v>
      </c>
      <c r="AH317" s="42"/>
      <c r="AI317" s="42">
        <f t="shared" si="62"/>
        <v>49348913</v>
      </c>
    </row>
    <row r="318" spans="1:35" ht="12" customHeight="1">
      <c r="A318" s="8" t="s">
        <v>679</v>
      </c>
      <c r="B318" s="8"/>
      <c r="C318" s="8" t="s">
        <v>45</v>
      </c>
      <c r="D318" s="8"/>
      <c r="E318" s="23">
        <v>48330</v>
      </c>
      <c r="G318" s="42">
        <v>1791643</v>
      </c>
      <c r="I318" s="42">
        <v>593296</v>
      </c>
      <c r="K318" s="42">
        <v>0</v>
      </c>
      <c r="M318" s="42">
        <f t="shared" si="60"/>
        <v>2384939</v>
      </c>
      <c r="O318" s="42">
        <f>862753+152413+12550</f>
        <v>1027716</v>
      </c>
      <c r="Q318" s="42">
        <v>0</v>
      </c>
      <c r="S318" s="42">
        <v>2108570</v>
      </c>
      <c r="U318" s="42">
        <f>27586-42105</f>
        <v>-14519</v>
      </c>
      <c r="W318" s="42">
        <v>0</v>
      </c>
      <c r="Y318" s="42">
        <v>0</v>
      </c>
      <c r="AA318" s="42">
        <v>10518</v>
      </c>
      <c r="AB318" s="37"/>
      <c r="AC318" s="42">
        <v>0</v>
      </c>
      <c r="AE318" s="42">
        <v>0</v>
      </c>
      <c r="AG318" s="42">
        <f t="shared" si="61"/>
        <v>3132285</v>
      </c>
      <c r="AH318" s="42"/>
      <c r="AI318" s="42">
        <f t="shared" si="62"/>
        <v>5517224</v>
      </c>
    </row>
    <row r="319" spans="1:35" ht="12" customHeight="1">
      <c r="A319" s="8" t="s">
        <v>795</v>
      </c>
      <c r="B319" s="8"/>
      <c r="C319" s="8" t="s">
        <v>109</v>
      </c>
      <c r="D319" s="8"/>
      <c r="E319" s="23">
        <v>49445</v>
      </c>
      <c r="G319" s="42">
        <v>553352</v>
      </c>
      <c r="I319" s="42">
        <v>546338</v>
      </c>
      <c r="K319" s="42">
        <v>11550</v>
      </c>
      <c r="M319" s="42">
        <f t="shared" si="60"/>
        <v>1111240</v>
      </c>
      <c r="O319" s="42">
        <v>2740671</v>
      </c>
      <c r="Q319" s="42">
        <v>0</v>
      </c>
      <c r="S319" s="42">
        <v>2212274</v>
      </c>
      <c r="U319" s="42">
        <v>14211</v>
      </c>
      <c r="W319" s="42">
        <v>0</v>
      </c>
      <c r="Y319" s="42">
        <v>0</v>
      </c>
      <c r="AA319" s="42">
        <v>24621</v>
      </c>
      <c r="AB319" s="37"/>
      <c r="AC319" s="42">
        <v>0</v>
      </c>
      <c r="AE319" s="42">
        <v>0</v>
      </c>
      <c r="AG319" s="42">
        <f t="shared" si="61"/>
        <v>4991777</v>
      </c>
      <c r="AH319" s="42"/>
      <c r="AI319" s="42">
        <f t="shared" si="62"/>
        <v>6103017</v>
      </c>
    </row>
    <row r="320" spans="1:35" ht="12" customHeight="1">
      <c r="A320" s="8" t="s">
        <v>349</v>
      </c>
      <c r="B320" s="8"/>
      <c r="C320" s="8" t="s">
        <v>346</v>
      </c>
      <c r="D320" s="8"/>
      <c r="E320" s="23">
        <v>47639</v>
      </c>
      <c r="G320" s="42">
        <v>946216</v>
      </c>
      <c r="I320" s="42">
        <v>1840295</v>
      </c>
      <c r="K320" s="42">
        <v>10000</v>
      </c>
      <c r="M320" s="42">
        <f t="shared" si="60"/>
        <v>2796511</v>
      </c>
      <c r="O320" s="42">
        <f>1860773+137887+38342</f>
        <v>2037002</v>
      </c>
      <c r="Q320" s="42">
        <v>0</v>
      </c>
      <c r="S320" s="42">
        <v>7437764</v>
      </c>
      <c r="U320" s="42">
        <v>-600</v>
      </c>
      <c r="W320" s="42">
        <v>0</v>
      </c>
      <c r="Y320" s="42">
        <v>0</v>
      </c>
      <c r="AA320" s="42">
        <v>90505</v>
      </c>
      <c r="AB320" s="37"/>
      <c r="AC320" s="42">
        <v>0</v>
      </c>
      <c r="AE320" s="42">
        <v>0</v>
      </c>
      <c r="AG320" s="42">
        <f t="shared" si="61"/>
        <v>9564671</v>
      </c>
      <c r="AH320" s="42"/>
      <c r="AI320" s="42">
        <f t="shared" si="62"/>
        <v>12361182</v>
      </c>
    </row>
    <row r="321" spans="1:36" ht="12" customHeight="1">
      <c r="A321" s="9" t="s">
        <v>705</v>
      </c>
      <c r="B321" s="8"/>
      <c r="C321" s="8" t="s">
        <v>50</v>
      </c>
      <c r="D321" s="8"/>
      <c r="E321" s="23">
        <v>48702</v>
      </c>
      <c r="G321" s="42">
        <v>3654999</v>
      </c>
      <c r="I321" s="42">
        <v>7646596</v>
      </c>
      <c r="K321" s="42">
        <v>0</v>
      </c>
      <c r="M321" s="42">
        <f t="shared" ref="M321:M376" si="63">SUM(G321:L321)</f>
        <v>11301595</v>
      </c>
      <c r="O321" s="42">
        <f>8428924+88670+1110549</f>
        <v>9628143</v>
      </c>
      <c r="Q321" s="42">
        <v>0</v>
      </c>
      <c r="S321" s="42">
        <v>21092125</v>
      </c>
      <c r="U321" s="42">
        <v>8527</v>
      </c>
      <c r="W321" s="42">
        <v>0</v>
      </c>
      <c r="Y321" s="42">
        <v>16651</v>
      </c>
      <c r="AA321" s="42">
        <v>305663</v>
      </c>
      <c r="AB321" s="37"/>
      <c r="AC321" s="42">
        <v>0</v>
      </c>
      <c r="AE321" s="42">
        <v>0</v>
      </c>
      <c r="AG321" s="42">
        <f t="shared" ref="AG321:AG377" si="64">SUM(O321:AE321)</f>
        <v>31051109</v>
      </c>
      <c r="AH321" s="42"/>
      <c r="AI321" s="42">
        <f t="shared" ref="AI321:AI376" si="65">+AG321+M321</f>
        <v>42352704</v>
      </c>
    </row>
    <row r="322" spans="1:36" ht="12" customHeight="1">
      <c r="A322" s="8" t="s">
        <v>323</v>
      </c>
      <c r="B322" s="8"/>
      <c r="C322" s="8" t="s">
        <v>32</v>
      </c>
      <c r="D322" s="8"/>
      <c r="E322" s="23">
        <v>44289</v>
      </c>
      <c r="G322" s="42">
        <v>991744</v>
      </c>
      <c r="I322" s="42">
        <v>716877</v>
      </c>
      <c r="K322" s="42">
        <v>0</v>
      </c>
      <c r="M322" s="42">
        <f t="shared" si="63"/>
        <v>1708621</v>
      </c>
      <c r="O322" s="42">
        <f>13013460+1884335</f>
        <v>14897795</v>
      </c>
      <c r="Q322" s="42">
        <v>0</v>
      </c>
      <c r="S322" s="42">
        <v>4775967</v>
      </c>
      <c r="U322" s="42">
        <v>-1216</v>
      </c>
      <c r="W322" s="42">
        <v>322324</v>
      </c>
      <c r="Y322" s="42">
        <v>58743</v>
      </c>
      <c r="AA322" s="42">
        <v>244972</v>
      </c>
      <c r="AB322" s="37"/>
      <c r="AC322" s="42">
        <v>0</v>
      </c>
      <c r="AE322" s="42">
        <v>0</v>
      </c>
      <c r="AG322" s="42">
        <f t="shared" si="64"/>
        <v>20298585</v>
      </c>
      <c r="AH322" s="42"/>
      <c r="AI322" s="42">
        <f t="shared" si="65"/>
        <v>22007206</v>
      </c>
    </row>
    <row r="323" spans="1:36" ht="12" customHeight="1">
      <c r="A323" s="8" t="s">
        <v>223</v>
      </c>
      <c r="B323" s="8"/>
      <c r="C323" s="8" t="s">
        <v>220</v>
      </c>
      <c r="D323" s="8"/>
      <c r="E323" s="23">
        <v>46128</v>
      </c>
      <c r="G323" s="42">
        <v>1391774</v>
      </c>
      <c r="I323" s="42">
        <v>1616899</v>
      </c>
      <c r="K323" s="42">
        <v>0</v>
      </c>
      <c r="M323" s="42">
        <f t="shared" si="63"/>
        <v>3008673</v>
      </c>
      <c r="O323" s="42">
        <f>3906986+81837+1060090+546597</f>
        <v>5595510</v>
      </c>
      <c r="Q323" s="42">
        <v>893294</v>
      </c>
      <c r="S323" s="42">
        <v>6325809</v>
      </c>
      <c r="U323" s="42">
        <v>2439</v>
      </c>
      <c r="W323" s="42">
        <v>0</v>
      </c>
      <c r="Y323" s="42">
        <v>650</v>
      </c>
      <c r="AA323" s="42">
        <v>155138</v>
      </c>
      <c r="AB323" s="37"/>
      <c r="AC323" s="42">
        <v>0</v>
      </c>
      <c r="AE323" s="42">
        <v>0</v>
      </c>
      <c r="AG323" s="42">
        <f t="shared" si="64"/>
        <v>12972840</v>
      </c>
      <c r="AH323" s="42"/>
      <c r="AI323" s="42">
        <f t="shared" si="65"/>
        <v>15981513</v>
      </c>
    </row>
    <row r="324" spans="1:36" ht="12" hidden="1" customHeight="1">
      <c r="A324" s="8" t="s">
        <v>724</v>
      </c>
      <c r="B324" s="8"/>
      <c r="C324" s="8" t="s">
        <v>41</v>
      </c>
      <c r="D324" s="8"/>
      <c r="E324" s="23">
        <v>47886</v>
      </c>
      <c r="G324" s="42">
        <v>0</v>
      </c>
      <c r="I324" s="42">
        <v>0</v>
      </c>
      <c r="K324" s="42">
        <v>0</v>
      </c>
      <c r="M324" s="42">
        <f t="shared" si="63"/>
        <v>0</v>
      </c>
      <c r="O324" s="42">
        <v>0</v>
      </c>
      <c r="Q324" s="42">
        <v>0</v>
      </c>
      <c r="S324" s="42">
        <v>0</v>
      </c>
      <c r="U324" s="42">
        <v>0</v>
      </c>
      <c r="W324" s="42">
        <v>0</v>
      </c>
      <c r="Y324" s="42">
        <v>0</v>
      </c>
      <c r="AA324" s="42">
        <v>0</v>
      </c>
      <c r="AB324" s="37"/>
      <c r="AC324" s="42">
        <v>0</v>
      </c>
      <c r="AE324" s="42">
        <v>0</v>
      </c>
      <c r="AG324" s="42">
        <f t="shared" si="64"/>
        <v>0</v>
      </c>
      <c r="AH324" s="42"/>
      <c r="AI324" s="42">
        <f t="shared" si="65"/>
        <v>0</v>
      </c>
    </row>
    <row r="325" spans="1:36" ht="12" customHeight="1">
      <c r="A325" s="8" t="s">
        <v>223</v>
      </c>
      <c r="B325" s="8"/>
      <c r="C325" s="8" t="s">
        <v>109</v>
      </c>
      <c r="D325" s="8"/>
      <c r="E325" s="23">
        <v>49452</v>
      </c>
      <c r="F325" s="59"/>
      <c r="G325" s="42">
        <v>1803199</v>
      </c>
      <c r="I325" s="42">
        <v>5381260</v>
      </c>
      <c r="K325" s="42">
        <v>0</v>
      </c>
      <c r="M325" s="42">
        <f t="shared" si="63"/>
        <v>7184459</v>
      </c>
      <c r="O325" s="42">
        <f>10065572+962867+130758</f>
        <v>11159197</v>
      </c>
      <c r="Q325" s="42">
        <v>0</v>
      </c>
      <c r="S325" s="42">
        <v>16379955</v>
      </c>
      <c r="U325" s="42">
        <f>75185-62157</f>
        <v>13028</v>
      </c>
      <c r="W325" s="42">
        <v>251084</v>
      </c>
      <c r="Y325" s="42">
        <v>0</v>
      </c>
      <c r="AA325" s="42">
        <v>160434</v>
      </c>
      <c r="AB325" s="37"/>
      <c r="AC325" s="42">
        <v>-25000</v>
      </c>
      <c r="AE325" s="42">
        <v>0</v>
      </c>
      <c r="AG325" s="42">
        <f t="shared" si="64"/>
        <v>27938698</v>
      </c>
      <c r="AH325" s="42"/>
      <c r="AI325" s="42">
        <f t="shared" si="65"/>
        <v>35123157</v>
      </c>
    </row>
    <row r="326" spans="1:36" ht="12" customHeight="1">
      <c r="A326" s="8" t="s">
        <v>688</v>
      </c>
      <c r="B326" s="8"/>
      <c r="C326" s="8" t="s">
        <v>395</v>
      </c>
      <c r="D326" s="8"/>
      <c r="E326" s="23">
        <v>48272</v>
      </c>
      <c r="F326" s="59"/>
      <c r="G326" s="42">
        <v>1525678</v>
      </c>
      <c r="I326" s="42">
        <v>899326</v>
      </c>
      <c r="K326" s="42">
        <v>29147</v>
      </c>
      <c r="M326" s="42">
        <f t="shared" si="63"/>
        <v>2454151</v>
      </c>
      <c r="O326" s="42">
        <f>5782227+281500</f>
        <v>6063727</v>
      </c>
      <c r="Q326" s="42">
        <v>0</v>
      </c>
      <c r="S326" s="42">
        <v>5991004</v>
      </c>
      <c r="U326" s="42">
        <v>30600</v>
      </c>
      <c r="W326" s="42">
        <v>7029</v>
      </c>
      <c r="Y326" s="42">
        <v>0</v>
      </c>
      <c r="AA326" s="42">
        <v>72340</v>
      </c>
      <c r="AB326" s="37"/>
      <c r="AC326" s="42">
        <v>0</v>
      </c>
      <c r="AE326" s="42">
        <v>0</v>
      </c>
      <c r="AG326" s="42">
        <f t="shared" si="64"/>
        <v>12164700</v>
      </c>
      <c r="AH326" s="42"/>
      <c r="AI326" s="42">
        <f t="shared" si="65"/>
        <v>14618851</v>
      </c>
    </row>
    <row r="327" spans="1:36" ht="12" customHeight="1">
      <c r="A327" s="8" t="s">
        <v>600</v>
      </c>
      <c r="B327" s="8"/>
      <c r="C327" s="8" t="s">
        <v>199</v>
      </c>
      <c r="D327" s="8"/>
      <c r="E327" s="54" t="s">
        <v>870</v>
      </c>
      <c r="F327" s="59"/>
      <c r="G327" s="42">
        <v>693922</v>
      </c>
      <c r="I327" s="42">
        <v>1779145</v>
      </c>
      <c r="K327" s="42">
        <v>0</v>
      </c>
      <c r="M327" s="42">
        <f t="shared" si="63"/>
        <v>2473067</v>
      </c>
      <c r="O327" s="42">
        <f>8129630+1336418+7</f>
        <v>9466055</v>
      </c>
      <c r="Q327" s="42">
        <v>0</v>
      </c>
      <c r="S327" s="42">
        <v>4652714</v>
      </c>
      <c r="U327" s="42">
        <v>24311</v>
      </c>
      <c r="W327" s="42">
        <v>0</v>
      </c>
      <c r="Y327" s="42">
        <v>0</v>
      </c>
      <c r="AA327" s="42">
        <v>9438</v>
      </c>
      <c r="AB327" s="37"/>
      <c r="AC327" s="42">
        <v>0</v>
      </c>
      <c r="AE327" s="42">
        <v>0</v>
      </c>
      <c r="AG327" s="42">
        <f t="shared" si="64"/>
        <v>14152518</v>
      </c>
      <c r="AH327" s="42"/>
      <c r="AI327" s="42">
        <f t="shared" si="65"/>
        <v>16625585</v>
      </c>
    </row>
    <row r="328" spans="1:36" ht="12" hidden="1" customHeight="1">
      <c r="A328" s="8" t="s">
        <v>799</v>
      </c>
      <c r="B328" s="8"/>
      <c r="C328" s="8" t="s">
        <v>63</v>
      </c>
      <c r="D328" s="8"/>
      <c r="E328" s="54">
        <v>50005</v>
      </c>
      <c r="G328" s="42">
        <v>0</v>
      </c>
      <c r="I328" s="42">
        <v>0</v>
      </c>
      <c r="K328" s="42">
        <v>0</v>
      </c>
      <c r="M328" s="42">
        <f t="shared" ref="M328" si="66">SUM(G328:L328)</f>
        <v>0</v>
      </c>
      <c r="O328" s="42">
        <v>0</v>
      </c>
      <c r="Q328" s="42">
        <v>0</v>
      </c>
      <c r="S328" s="42">
        <v>0</v>
      </c>
      <c r="U328" s="42">
        <v>0</v>
      </c>
      <c r="W328" s="42">
        <v>0</v>
      </c>
      <c r="Y328" s="42">
        <v>0</v>
      </c>
      <c r="AA328" s="42">
        <v>0</v>
      </c>
      <c r="AB328" s="37"/>
      <c r="AC328" s="42">
        <v>0</v>
      </c>
      <c r="AE328" s="42">
        <v>0</v>
      </c>
      <c r="AG328" s="42">
        <f t="shared" ref="AG328" si="67">SUM(O328:AE328)</f>
        <v>0</v>
      </c>
      <c r="AH328" s="42"/>
      <c r="AI328" s="42">
        <f t="shared" ref="AI328" si="68">+AG328+M328</f>
        <v>0</v>
      </c>
    </row>
    <row r="329" spans="1:36" ht="12" customHeight="1">
      <c r="A329" s="8" t="s">
        <v>466</v>
      </c>
      <c r="B329" s="8"/>
      <c r="C329" s="8" t="s">
        <v>109</v>
      </c>
      <c r="D329" s="8"/>
      <c r="E329" s="23">
        <v>44297</v>
      </c>
      <c r="G329" s="42">
        <v>1942484</v>
      </c>
      <c r="I329" s="42">
        <v>11689284</v>
      </c>
      <c r="K329" s="42">
        <v>3801</v>
      </c>
      <c r="M329" s="42">
        <f t="shared" si="63"/>
        <v>13635569</v>
      </c>
      <c r="O329" s="42">
        <f>13788844+121936+348474+1089744</f>
        <v>15348998</v>
      </c>
      <c r="Q329" s="42">
        <v>0</v>
      </c>
      <c r="S329" s="42">
        <v>30697183</v>
      </c>
      <c r="U329" s="42">
        <v>16273</v>
      </c>
      <c r="W329" s="42">
        <v>0</v>
      </c>
      <c r="Y329" s="42">
        <v>0</v>
      </c>
      <c r="AA329" s="42">
        <v>1383271</v>
      </c>
      <c r="AB329" s="37"/>
      <c r="AC329" s="42">
        <v>0</v>
      </c>
      <c r="AE329" s="42">
        <v>0</v>
      </c>
      <c r="AG329" s="42">
        <f t="shared" si="64"/>
        <v>47445725</v>
      </c>
      <c r="AH329" s="42"/>
      <c r="AI329" s="42">
        <f t="shared" si="65"/>
        <v>61081294</v>
      </c>
    </row>
    <row r="330" spans="1:36" ht="12" customHeight="1">
      <c r="A330" s="8" t="s">
        <v>716</v>
      </c>
      <c r="B330" s="8"/>
      <c r="C330" s="8" t="s">
        <v>20</v>
      </c>
      <c r="D330" s="8"/>
      <c r="E330" s="23">
        <v>44305</v>
      </c>
      <c r="G330" s="42">
        <v>993846</v>
      </c>
      <c r="I330" s="42">
        <v>5503370</v>
      </c>
      <c r="K330" s="42">
        <v>0</v>
      </c>
      <c r="M330" s="42">
        <f t="shared" si="63"/>
        <v>6497216</v>
      </c>
      <c r="O330" s="42">
        <f>12443739+95341+2688304+376901</f>
        <v>15604285</v>
      </c>
      <c r="Q330" s="42">
        <v>0</v>
      </c>
      <c r="S330" s="42">
        <v>21502971</v>
      </c>
      <c r="U330" s="42">
        <v>8480</v>
      </c>
      <c r="W330" s="42">
        <v>0</v>
      </c>
      <c r="Y330" s="42">
        <v>9745</v>
      </c>
      <c r="AA330" s="42">
        <v>1794758</v>
      </c>
      <c r="AB330" s="37"/>
      <c r="AC330" s="42">
        <v>0</v>
      </c>
      <c r="AE330" s="42">
        <v>0</v>
      </c>
      <c r="AG330" s="42">
        <f t="shared" si="64"/>
        <v>38920239</v>
      </c>
      <c r="AH330" s="42"/>
      <c r="AI330" s="42">
        <f t="shared" si="65"/>
        <v>45417455</v>
      </c>
    </row>
    <row r="331" spans="1:36" ht="12" customHeight="1">
      <c r="A331" s="8" t="s">
        <v>204</v>
      </c>
      <c r="B331" s="8"/>
      <c r="C331" s="8" t="s">
        <v>11</v>
      </c>
      <c r="D331" s="8"/>
      <c r="E331" s="23">
        <v>45831</v>
      </c>
      <c r="F331" s="59"/>
      <c r="G331" s="42">
        <v>923160</v>
      </c>
      <c r="I331" s="42">
        <v>1040693</v>
      </c>
      <c r="K331" s="42">
        <v>0</v>
      </c>
      <c r="M331" s="42">
        <f t="shared" si="63"/>
        <v>1963853</v>
      </c>
      <c r="O331" s="42">
        <f>2408530+44018+326123+220800</f>
        <v>2999471</v>
      </c>
      <c r="Q331" s="42">
        <v>0</v>
      </c>
      <c r="S331" s="42">
        <v>4347603</v>
      </c>
      <c r="U331" s="42">
        <v>4623</v>
      </c>
      <c r="W331" s="42">
        <v>0</v>
      </c>
      <c r="Y331" s="42">
        <v>0</v>
      </c>
      <c r="AA331" s="42">
        <v>24152</v>
      </c>
      <c r="AB331" s="37"/>
      <c r="AC331" s="42">
        <v>0</v>
      </c>
      <c r="AE331" s="42">
        <v>0</v>
      </c>
      <c r="AG331" s="42">
        <f t="shared" si="64"/>
        <v>7375849</v>
      </c>
      <c r="AH331" s="42"/>
      <c r="AI331" s="42">
        <f t="shared" si="65"/>
        <v>9339702</v>
      </c>
    </row>
    <row r="332" spans="1:36" ht="12" customHeight="1">
      <c r="A332" s="8" t="s">
        <v>524</v>
      </c>
      <c r="B332" s="8"/>
      <c r="C332" s="8" t="s">
        <v>64</v>
      </c>
      <c r="D332" s="8"/>
      <c r="E332" s="23">
        <v>50211</v>
      </c>
      <c r="G332" s="42">
        <v>572469</v>
      </c>
      <c r="I332" s="42">
        <v>705426</v>
      </c>
      <c r="K332" s="42">
        <v>0</v>
      </c>
      <c r="M332" s="42">
        <f t="shared" si="63"/>
        <v>1277895</v>
      </c>
      <c r="O332" s="42">
        <f>2337635+176764+148406+32249</f>
        <v>2695054</v>
      </c>
      <c r="Q332" s="42">
        <v>0</v>
      </c>
      <c r="S332" s="42">
        <v>5751033</v>
      </c>
      <c r="U332" s="42">
        <v>-2401</v>
      </c>
      <c r="W332" s="42">
        <v>0</v>
      </c>
      <c r="Y332" s="42">
        <v>0</v>
      </c>
      <c r="AA332" s="42">
        <v>151784</v>
      </c>
      <c r="AB332" s="37"/>
      <c r="AC332" s="42">
        <v>0</v>
      </c>
      <c r="AE332" s="42">
        <v>160477</v>
      </c>
      <c r="AG332" s="42">
        <f t="shared" si="64"/>
        <v>8755947</v>
      </c>
      <c r="AH332" s="42"/>
      <c r="AI332" s="42">
        <f t="shared" si="65"/>
        <v>10033842</v>
      </c>
    </row>
    <row r="333" spans="1:36" ht="12" customHeight="1">
      <c r="A333" s="8" t="s">
        <v>286</v>
      </c>
      <c r="B333" s="8"/>
      <c r="C333" s="8" t="s">
        <v>24</v>
      </c>
      <c r="D333" s="8"/>
      <c r="E333" s="23">
        <v>46805</v>
      </c>
      <c r="G333" s="42">
        <v>1976824</v>
      </c>
      <c r="I333" s="42">
        <v>1169145</v>
      </c>
      <c r="K333" s="42">
        <v>0</v>
      </c>
      <c r="M333" s="42">
        <f t="shared" si="63"/>
        <v>3145969</v>
      </c>
      <c r="O333" s="42">
        <f>5377977+141035</f>
        <v>5519012</v>
      </c>
      <c r="Q333" s="42">
        <v>0</v>
      </c>
      <c r="S333" s="42">
        <v>5989140</v>
      </c>
      <c r="U333" s="42">
        <v>1700</v>
      </c>
      <c r="W333" s="42">
        <v>0</v>
      </c>
      <c r="Y333" s="42">
        <v>0</v>
      </c>
      <c r="AA333" s="42">
        <v>229736</v>
      </c>
      <c r="AB333" s="37"/>
      <c r="AC333" s="42">
        <v>0</v>
      </c>
      <c r="AE333" s="42">
        <v>0</v>
      </c>
      <c r="AG333" s="42">
        <f t="shared" si="64"/>
        <v>11739588</v>
      </c>
      <c r="AH333" s="42"/>
      <c r="AI333" s="42">
        <f t="shared" si="65"/>
        <v>14885557</v>
      </c>
    </row>
    <row r="334" spans="1:36" ht="12" customHeight="1">
      <c r="A334" s="8" t="s">
        <v>324</v>
      </c>
      <c r="B334" s="8"/>
      <c r="C334" s="8" t="s">
        <v>32</v>
      </c>
      <c r="D334" s="8"/>
      <c r="E334" s="23">
        <v>44313</v>
      </c>
      <c r="G334" s="42">
        <v>762262</v>
      </c>
      <c r="I334" s="42">
        <v>481455</v>
      </c>
      <c r="K334" s="42">
        <v>0</v>
      </c>
      <c r="M334" s="42">
        <f t="shared" si="63"/>
        <v>1243717</v>
      </c>
      <c r="O334" s="42">
        <f>14701953+1943292</f>
        <v>16645245</v>
      </c>
      <c r="Q334" s="42">
        <v>0</v>
      </c>
      <c r="S334" s="42">
        <v>5044331</v>
      </c>
      <c r="U334" s="42">
        <v>0</v>
      </c>
      <c r="W334" s="42">
        <v>0</v>
      </c>
      <c r="Y334" s="42">
        <v>0</v>
      </c>
      <c r="AA334" s="42">
        <v>1544549</v>
      </c>
      <c r="AB334" s="37"/>
      <c r="AC334" s="42">
        <v>0</v>
      </c>
      <c r="AE334" s="42">
        <v>0</v>
      </c>
      <c r="AG334" s="42">
        <f t="shared" si="64"/>
        <v>23234125</v>
      </c>
      <c r="AH334" s="42"/>
      <c r="AI334" s="42">
        <f t="shared" si="65"/>
        <v>24477842</v>
      </c>
    </row>
    <row r="335" spans="1:36" ht="12" hidden="1" customHeight="1">
      <c r="A335" s="8" t="s">
        <v>607</v>
      </c>
      <c r="B335" s="8"/>
      <c r="C335" s="8" t="s">
        <v>70</v>
      </c>
      <c r="D335" s="8"/>
      <c r="E335" s="23">
        <v>44321</v>
      </c>
      <c r="G335" s="42">
        <v>0</v>
      </c>
      <c r="I335" s="42">
        <v>0</v>
      </c>
      <c r="K335" s="42">
        <v>0</v>
      </c>
      <c r="M335" s="42">
        <f t="shared" si="63"/>
        <v>0</v>
      </c>
      <c r="O335" s="42">
        <v>0</v>
      </c>
      <c r="Q335" s="42">
        <v>0</v>
      </c>
      <c r="S335" s="42">
        <v>0</v>
      </c>
      <c r="U335" s="42">
        <v>0</v>
      </c>
      <c r="W335" s="42">
        <v>0</v>
      </c>
      <c r="Y335" s="42">
        <v>0</v>
      </c>
      <c r="AA335" s="42">
        <v>0</v>
      </c>
      <c r="AB335" s="37"/>
      <c r="AC335" s="42">
        <v>0</v>
      </c>
      <c r="AE335" s="42">
        <v>0</v>
      </c>
      <c r="AG335" s="42">
        <f t="shared" si="64"/>
        <v>0</v>
      </c>
      <c r="AH335" s="42"/>
      <c r="AI335" s="42">
        <f t="shared" si="65"/>
        <v>0</v>
      </c>
      <c r="AJ335" s="42"/>
    </row>
    <row r="336" spans="1:36" ht="12" customHeight="1">
      <c r="A336" s="8" t="s">
        <v>407</v>
      </c>
      <c r="B336" s="8"/>
      <c r="C336" s="8" t="s">
        <v>46</v>
      </c>
      <c r="D336" s="8"/>
      <c r="E336" s="23">
        <v>44339</v>
      </c>
      <c r="G336" s="42">
        <v>1808882</v>
      </c>
      <c r="I336" s="42">
        <v>9637046</v>
      </c>
      <c r="K336" s="42">
        <v>0</v>
      </c>
      <c r="M336" s="42">
        <f t="shared" si="63"/>
        <v>11445928</v>
      </c>
      <c r="O336" s="42">
        <f>8166883+120435+1103358</f>
        <v>9390676</v>
      </c>
      <c r="Q336" s="42">
        <v>0</v>
      </c>
      <c r="S336" s="42">
        <v>30067794</v>
      </c>
      <c r="U336" s="42">
        <v>45113</v>
      </c>
      <c r="W336" s="42">
        <v>93475</v>
      </c>
      <c r="Y336" s="42">
        <v>0</v>
      </c>
      <c r="AA336" s="42">
        <v>494957</v>
      </c>
      <c r="AB336" s="37"/>
      <c r="AC336" s="42">
        <v>0</v>
      </c>
      <c r="AE336" s="42">
        <v>0</v>
      </c>
      <c r="AG336" s="42">
        <f t="shared" si="64"/>
        <v>40092015</v>
      </c>
      <c r="AH336" s="42"/>
      <c r="AI336" s="42">
        <f t="shared" si="65"/>
        <v>51537943</v>
      </c>
    </row>
    <row r="337" spans="1:35" ht="12" hidden="1" customHeight="1">
      <c r="A337" s="8" t="s">
        <v>680</v>
      </c>
      <c r="B337" s="8"/>
      <c r="C337" s="8" t="s">
        <v>419</v>
      </c>
      <c r="D337" s="8"/>
      <c r="E337" s="23">
        <v>48553</v>
      </c>
      <c r="G337" s="42">
        <v>0</v>
      </c>
      <c r="I337" s="42">
        <v>0</v>
      </c>
      <c r="K337" s="42">
        <v>0</v>
      </c>
      <c r="M337" s="42">
        <f t="shared" si="63"/>
        <v>0</v>
      </c>
      <c r="O337" s="42">
        <v>0</v>
      </c>
      <c r="Q337" s="42">
        <v>0</v>
      </c>
      <c r="S337" s="42">
        <v>0</v>
      </c>
      <c r="U337" s="42">
        <v>0</v>
      </c>
      <c r="W337" s="42">
        <v>0</v>
      </c>
      <c r="Y337" s="42">
        <v>0</v>
      </c>
      <c r="AA337" s="42">
        <v>0</v>
      </c>
      <c r="AB337" s="37"/>
      <c r="AC337" s="42">
        <v>0</v>
      </c>
      <c r="AE337" s="42">
        <v>0</v>
      </c>
      <c r="AG337" s="42">
        <f t="shared" si="64"/>
        <v>0</v>
      </c>
      <c r="AH337" s="42"/>
      <c r="AI337" s="42">
        <f t="shared" si="65"/>
        <v>0</v>
      </c>
    </row>
    <row r="338" spans="1:35" ht="12" customHeight="1">
      <c r="A338" s="8" t="s">
        <v>496</v>
      </c>
      <c r="B338" s="8"/>
      <c r="C338" s="8" t="s">
        <v>62</v>
      </c>
      <c r="D338" s="8"/>
      <c r="E338" s="23">
        <v>49882</v>
      </c>
      <c r="G338" s="42">
        <v>2441270</v>
      </c>
      <c r="I338" s="42">
        <v>1927463</v>
      </c>
      <c r="K338" s="42">
        <v>0</v>
      </c>
      <c r="M338" s="42">
        <f t="shared" si="63"/>
        <v>4368733</v>
      </c>
      <c r="O338" s="42">
        <f>7811650+424581</f>
        <v>8236231</v>
      </c>
      <c r="Q338" s="42">
        <v>0</v>
      </c>
      <c r="S338" s="42">
        <v>11088121</v>
      </c>
      <c r="U338" s="42">
        <v>22299</v>
      </c>
      <c r="W338" s="42">
        <v>0</v>
      </c>
      <c r="Y338" s="42">
        <v>6000</v>
      </c>
      <c r="AA338" s="42">
        <v>142806</v>
      </c>
      <c r="AB338" s="37"/>
      <c r="AC338" s="42">
        <v>0</v>
      </c>
      <c r="AE338" s="42">
        <v>0</v>
      </c>
      <c r="AG338" s="42">
        <f t="shared" si="64"/>
        <v>19495457</v>
      </c>
      <c r="AH338" s="42"/>
      <c r="AI338" s="42">
        <f t="shared" si="65"/>
        <v>23864190</v>
      </c>
    </row>
    <row r="339" spans="1:35" ht="12" customHeight="1">
      <c r="A339" s="8" t="s">
        <v>215</v>
      </c>
      <c r="B339" s="8"/>
      <c r="C339" s="8" t="s">
        <v>15</v>
      </c>
      <c r="D339" s="8"/>
      <c r="E339" s="23">
        <v>44347</v>
      </c>
      <c r="F339" s="59"/>
      <c r="G339" s="42">
        <v>1569002</v>
      </c>
      <c r="I339" s="42">
        <v>2314965</v>
      </c>
      <c r="K339" s="42">
        <v>0</v>
      </c>
      <c r="M339" s="42">
        <f t="shared" si="63"/>
        <v>3883967</v>
      </c>
      <c r="O339" s="42">
        <f>2214542+76629+556559+54589</f>
        <v>2902319</v>
      </c>
      <c r="Q339" s="42">
        <v>0</v>
      </c>
      <c r="S339" s="42">
        <v>9156004</v>
      </c>
      <c r="U339" s="42">
        <v>2558</v>
      </c>
      <c r="W339" s="42">
        <v>0</v>
      </c>
      <c r="Y339" s="42">
        <v>10292</v>
      </c>
      <c r="AA339" s="42">
        <f>10500+173603</f>
        <v>184103</v>
      </c>
      <c r="AB339" s="37"/>
      <c r="AC339" s="42">
        <v>0</v>
      </c>
      <c r="AE339" s="42">
        <v>0</v>
      </c>
      <c r="AG339" s="42">
        <f t="shared" si="64"/>
        <v>12255276</v>
      </c>
      <c r="AH339" s="42"/>
      <c r="AI339" s="42">
        <f t="shared" si="65"/>
        <v>16139243</v>
      </c>
    </row>
    <row r="340" spans="1:35" ht="12" customHeight="1">
      <c r="A340" s="8" t="s">
        <v>761</v>
      </c>
      <c r="B340" s="8"/>
      <c r="C340" s="8" t="s">
        <v>66</v>
      </c>
      <c r="D340" s="8"/>
      <c r="E340" s="23">
        <v>45476</v>
      </c>
      <c r="G340" s="42">
        <v>2851418</v>
      </c>
      <c r="I340" s="42">
        <v>4864283</v>
      </c>
      <c r="K340" s="42">
        <v>0</v>
      </c>
      <c r="M340" s="42">
        <f t="shared" si="63"/>
        <v>7715701</v>
      </c>
      <c r="O340" s="42">
        <f>22989601+4240105+2460654</f>
        <v>29690360</v>
      </c>
      <c r="Q340" s="42">
        <v>0</v>
      </c>
      <c r="S340" s="42">
        <v>24040003</v>
      </c>
      <c r="U340" s="42">
        <v>27292</v>
      </c>
      <c r="W340" s="42">
        <v>1180263</v>
      </c>
      <c r="Y340" s="42">
        <v>0</v>
      </c>
      <c r="AA340" s="42">
        <v>328371</v>
      </c>
      <c r="AB340" s="37"/>
      <c r="AC340" s="42">
        <v>0</v>
      </c>
      <c r="AE340" s="42">
        <v>0</v>
      </c>
      <c r="AG340" s="42">
        <f t="shared" si="64"/>
        <v>55266289</v>
      </c>
      <c r="AH340" s="42"/>
      <c r="AI340" s="42">
        <f t="shared" si="65"/>
        <v>62981990</v>
      </c>
    </row>
    <row r="341" spans="1:35" ht="12" customHeight="1">
      <c r="A341" s="8" t="s">
        <v>542</v>
      </c>
      <c r="B341" s="8"/>
      <c r="C341" s="8" t="s">
        <v>69</v>
      </c>
      <c r="D341" s="8"/>
      <c r="E341" s="23">
        <v>50450</v>
      </c>
      <c r="G341" s="42">
        <v>9818679</v>
      </c>
      <c r="I341" s="42">
        <v>5360476</v>
      </c>
      <c r="K341" s="42">
        <v>0</v>
      </c>
      <c r="M341" s="42">
        <f t="shared" si="63"/>
        <v>15179155</v>
      </c>
      <c r="O341" s="42">
        <f>50625797+11837442+572491</f>
        <v>63035730</v>
      </c>
      <c r="Q341" s="42">
        <v>0</v>
      </c>
      <c r="S341" s="42">
        <v>41301384</v>
      </c>
      <c r="U341" s="42">
        <v>21871</v>
      </c>
      <c r="W341" s="42">
        <v>5555468</v>
      </c>
      <c r="Y341" s="42">
        <v>101247</v>
      </c>
      <c r="AA341" s="42">
        <v>393022</v>
      </c>
      <c r="AB341" s="37"/>
      <c r="AC341" s="42">
        <v>0</v>
      </c>
      <c r="AE341" s="42">
        <v>0</v>
      </c>
      <c r="AG341" s="42">
        <f t="shared" si="64"/>
        <v>110408722</v>
      </c>
      <c r="AH341" s="42"/>
      <c r="AI341" s="42">
        <f t="shared" si="65"/>
        <v>125587877</v>
      </c>
    </row>
    <row r="342" spans="1:35" ht="12" customHeight="1">
      <c r="A342" s="8" t="s">
        <v>497</v>
      </c>
      <c r="B342" s="8"/>
      <c r="C342" s="8" t="s">
        <v>62</v>
      </c>
      <c r="D342" s="8"/>
      <c r="E342" s="23">
        <v>44354</v>
      </c>
      <c r="G342" s="42">
        <v>2791672</v>
      </c>
      <c r="I342" s="42">
        <v>4779769</v>
      </c>
      <c r="K342" s="42">
        <v>0</v>
      </c>
      <c r="M342" s="42">
        <f t="shared" si="63"/>
        <v>7571441</v>
      </c>
      <c r="O342" s="42">
        <f>13335336+612209+1422504</f>
        <v>15370049</v>
      </c>
      <c r="Q342" s="42">
        <v>25302</v>
      </c>
      <c r="S342" s="42">
        <v>23673717</v>
      </c>
      <c r="U342" s="42">
        <v>24312</v>
      </c>
      <c r="W342" s="42">
        <v>0</v>
      </c>
      <c r="Y342" s="42">
        <v>0</v>
      </c>
      <c r="AA342" s="42">
        <v>229970</v>
      </c>
      <c r="AB342" s="37"/>
      <c r="AC342" s="42">
        <v>0</v>
      </c>
      <c r="AE342" s="42">
        <v>0</v>
      </c>
      <c r="AG342" s="42">
        <f t="shared" si="64"/>
        <v>39323350</v>
      </c>
      <c r="AH342" s="42"/>
      <c r="AI342" s="42">
        <f t="shared" si="65"/>
        <v>46894791</v>
      </c>
    </row>
    <row r="343" spans="1:35" ht="12" customHeight="1">
      <c r="A343" s="8" t="s">
        <v>525</v>
      </c>
      <c r="B343" s="8"/>
      <c r="C343" s="8" t="s">
        <v>64</v>
      </c>
      <c r="D343" s="8"/>
      <c r="E343" s="23">
        <v>50153</v>
      </c>
      <c r="G343" s="42">
        <v>660613</v>
      </c>
      <c r="I343" s="42">
        <v>467624</v>
      </c>
      <c r="K343" s="42">
        <v>30703</v>
      </c>
      <c r="M343" s="42">
        <f t="shared" si="63"/>
        <v>1158940</v>
      </c>
      <c r="O343" s="42">
        <f>4435235+144421</f>
        <v>4579656</v>
      </c>
      <c r="Q343" s="42">
        <v>0</v>
      </c>
      <c r="S343" s="42">
        <v>3450659</v>
      </c>
      <c r="U343" s="42">
        <v>2756</v>
      </c>
      <c r="W343" s="42">
        <v>0</v>
      </c>
      <c r="Y343" s="42">
        <v>0</v>
      </c>
      <c r="AA343" s="42">
        <f>4000+354375+53561</f>
        <v>411936</v>
      </c>
      <c r="AB343" s="37"/>
      <c r="AC343" s="42">
        <v>0</v>
      </c>
      <c r="AE343" s="42">
        <v>0</v>
      </c>
      <c r="AG343" s="42">
        <f t="shared" si="64"/>
        <v>8445007</v>
      </c>
      <c r="AH343" s="42"/>
      <c r="AI343" s="42">
        <f t="shared" si="65"/>
        <v>9603947</v>
      </c>
    </row>
    <row r="344" spans="1:35" ht="12" hidden="1" customHeight="1">
      <c r="A344" s="8" t="s">
        <v>865</v>
      </c>
      <c r="B344" s="8"/>
      <c r="C344" s="8" t="s">
        <v>114</v>
      </c>
      <c r="D344" s="8"/>
      <c r="E344" s="23">
        <v>44362</v>
      </c>
      <c r="G344" s="42">
        <v>0</v>
      </c>
      <c r="I344" s="42">
        <v>0</v>
      </c>
      <c r="K344" s="42">
        <v>0</v>
      </c>
      <c r="M344" s="42">
        <f t="shared" si="63"/>
        <v>0</v>
      </c>
      <c r="O344" s="42">
        <v>0</v>
      </c>
      <c r="Q344" s="42">
        <v>0</v>
      </c>
      <c r="S344" s="42">
        <v>0</v>
      </c>
      <c r="U344" s="42">
        <v>0</v>
      </c>
      <c r="W344" s="42">
        <v>0</v>
      </c>
      <c r="Y344" s="42">
        <v>0</v>
      </c>
      <c r="AA344" s="42">
        <v>0</v>
      </c>
      <c r="AB344" s="37"/>
      <c r="AC344" s="42">
        <v>0</v>
      </c>
      <c r="AE344" s="42">
        <v>0</v>
      </c>
      <c r="AG344" s="42">
        <f t="shared" si="64"/>
        <v>0</v>
      </c>
      <c r="AH344" s="42"/>
      <c r="AI344" s="42">
        <f t="shared" si="65"/>
        <v>0</v>
      </c>
    </row>
    <row r="345" spans="1:35" ht="12" customHeight="1">
      <c r="A345" s="8" t="s">
        <v>717</v>
      </c>
      <c r="B345" s="8"/>
      <c r="C345" s="8" t="s">
        <v>20</v>
      </c>
      <c r="D345" s="8"/>
      <c r="E345" s="23">
        <v>44370</v>
      </c>
      <c r="G345" s="42">
        <v>10684387</v>
      </c>
      <c r="I345" s="42">
        <v>7650517</v>
      </c>
      <c r="K345" s="42">
        <v>468498</v>
      </c>
      <c r="M345" s="42">
        <f t="shared" si="63"/>
        <v>18803402</v>
      </c>
      <c r="O345" s="42">
        <f>48491317+198074+4191829</f>
        <v>52881220</v>
      </c>
      <c r="Q345" s="42">
        <v>0</v>
      </c>
      <c r="S345" s="42">
        <v>11077489</v>
      </c>
      <c r="U345" s="42">
        <v>65643</v>
      </c>
      <c r="W345" s="42">
        <v>3774635</v>
      </c>
      <c r="Y345" s="42">
        <v>0</v>
      </c>
      <c r="AA345" s="42">
        <v>673740</v>
      </c>
      <c r="AB345" s="37"/>
      <c r="AC345" s="42">
        <v>0</v>
      </c>
      <c r="AE345" s="42">
        <v>0</v>
      </c>
      <c r="AG345" s="42">
        <f t="shared" si="64"/>
        <v>68472727</v>
      </c>
      <c r="AH345" s="42"/>
      <c r="AI345" s="42">
        <f t="shared" si="65"/>
        <v>87276129</v>
      </c>
    </row>
    <row r="346" spans="1:35" ht="12" customHeight="1">
      <c r="A346" s="8" t="s">
        <v>442</v>
      </c>
      <c r="B346" s="8"/>
      <c r="C346" s="8" t="s">
        <v>51</v>
      </c>
      <c r="D346" s="8"/>
      <c r="E346" s="23">
        <v>48850</v>
      </c>
      <c r="G346" s="42">
        <v>4067719</v>
      </c>
      <c r="I346" s="42">
        <v>3154166</v>
      </c>
      <c r="K346" s="42">
        <v>0</v>
      </c>
      <c r="M346" s="42">
        <f t="shared" si="63"/>
        <v>7221885</v>
      </c>
      <c r="O346" s="42">
        <f>2939307+301033+58227</f>
        <v>3298567</v>
      </c>
      <c r="Q346" s="42">
        <v>0</v>
      </c>
      <c r="S346" s="42">
        <v>11371670</v>
      </c>
      <c r="U346" s="42">
        <v>22136</v>
      </c>
      <c r="W346" s="42">
        <v>3587</v>
      </c>
      <c r="Y346" s="42">
        <v>0</v>
      </c>
      <c r="AA346" s="42">
        <v>175520</v>
      </c>
      <c r="AB346" s="37"/>
      <c r="AC346" s="42">
        <v>0</v>
      </c>
      <c r="AE346" s="42">
        <v>0</v>
      </c>
      <c r="AG346" s="42">
        <f t="shared" si="64"/>
        <v>14871480</v>
      </c>
      <c r="AH346" s="42"/>
      <c r="AI346" s="42">
        <f t="shared" si="65"/>
        <v>22093365</v>
      </c>
    </row>
    <row r="347" spans="1:35" ht="12" hidden="1" customHeight="1">
      <c r="A347" s="8" t="s">
        <v>800</v>
      </c>
      <c r="B347" s="8"/>
      <c r="C347" s="8" t="s">
        <v>33</v>
      </c>
      <c r="D347" s="8"/>
      <c r="E347" s="23">
        <v>47456</v>
      </c>
      <c r="G347" s="42">
        <v>0</v>
      </c>
      <c r="I347" s="42">
        <v>0</v>
      </c>
      <c r="K347" s="42">
        <v>0</v>
      </c>
      <c r="M347" s="42">
        <f t="shared" si="63"/>
        <v>0</v>
      </c>
      <c r="O347" s="42">
        <v>0</v>
      </c>
      <c r="Q347" s="42">
        <v>0</v>
      </c>
      <c r="S347" s="42">
        <v>0</v>
      </c>
      <c r="U347" s="42">
        <v>0</v>
      </c>
      <c r="W347" s="42">
        <v>0</v>
      </c>
      <c r="Y347" s="42">
        <v>0</v>
      </c>
      <c r="AA347" s="42">
        <v>0</v>
      </c>
      <c r="AB347" s="37"/>
      <c r="AC347" s="42">
        <v>0</v>
      </c>
      <c r="AE347" s="42">
        <v>0</v>
      </c>
      <c r="AG347" s="42">
        <f t="shared" si="64"/>
        <v>0</v>
      </c>
      <c r="AH347" s="42"/>
      <c r="AI347" s="42">
        <f t="shared" si="65"/>
        <v>0</v>
      </c>
    </row>
    <row r="348" spans="1:35" ht="12" customHeight="1">
      <c r="A348" s="8" t="s">
        <v>633</v>
      </c>
      <c r="B348" s="8"/>
      <c r="C348" s="8" t="s">
        <v>64</v>
      </c>
      <c r="D348" s="8"/>
      <c r="E348" s="23">
        <v>50229</v>
      </c>
      <c r="G348" s="42">
        <v>1224012</v>
      </c>
      <c r="I348" s="42">
        <v>474495</v>
      </c>
      <c r="K348" s="42">
        <v>0</v>
      </c>
      <c r="M348" s="42">
        <f t="shared" si="63"/>
        <v>1698507</v>
      </c>
      <c r="O348" s="42">
        <f>1702527+166255+18180</f>
        <v>1886962</v>
      </c>
      <c r="Q348" s="42">
        <v>0</v>
      </c>
      <c r="S348" s="42">
        <v>3974211</v>
      </c>
      <c r="U348" s="42">
        <v>1490</v>
      </c>
      <c r="W348" s="42">
        <v>0</v>
      </c>
      <c r="Y348" s="42">
        <v>0</v>
      </c>
      <c r="AA348" s="42">
        <v>4352</v>
      </c>
      <c r="AB348" s="37"/>
      <c r="AC348" s="42">
        <v>0</v>
      </c>
      <c r="AE348" s="42">
        <v>0</v>
      </c>
      <c r="AG348" s="42">
        <f t="shared" si="64"/>
        <v>5867015</v>
      </c>
      <c r="AH348" s="42"/>
      <c r="AI348" s="42">
        <f t="shared" si="65"/>
        <v>7565522</v>
      </c>
    </row>
    <row r="349" spans="1:35" ht="12" customHeight="1">
      <c r="A349" s="8" t="s">
        <v>762</v>
      </c>
      <c r="B349" s="8"/>
      <c r="C349" s="8" t="s">
        <v>227</v>
      </c>
      <c r="D349" s="8"/>
      <c r="E349" s="23">
        <v>45484</v>
      </c>
      <c r="F349" s="59"/>
      <c r="G349" s="42">
        <v>1284905</v>
      </c>
      <c r="I349" s="42">
        <v>1078565</v>
      </c>
      <c r="K349" s="42">
        <v>0</v>
      </c>
      <c r="M349" s="42">
        <f t="shared" si="63"/>
        <v>2363470</v>
      </c>
      <c r="O349" s="42">
        <f>1682298+433026+30724+168415</f>
        <v>2314463</v>
      </c>
      <c r="Q349" s="42">
        <v>1480545</v>
      </c>
      <c r="S349" s="42">
        <v>4068934</v>
      </c>
      <c r="U349" s="42">
        <v>2010</v>
      </c>
      <c r="W349" s="42">
        <v>0</v>
      </c>
      <c r="Y349" s="42">
        <v>0</v>
      </c>
      <c r="AA349" s="42">
        <v>76806</v>
      </c>
      <c r="AB349" s="37"/>
      <c r="AC349" s="42">
        <v>0</v>
      </c>
      <c r="AE349" s="42">
        <v>0</v>
      </c>
      <c r="AG349" s="42">
        <f t="shared" si="64"/>
        <v>7942758</v>
      </c>
      <c r="AH349" s="42"/>
      <c r="AI349" s="42">
        <f t="shared" si="65"/>
        <v>10306228</v>
      </c>
    </row>
    <row r="350" spans="1:35" ht="12" customHeight="1">
      <c r="A350" s="8" t="s">
        <v>415</v>
      </c>
      <c r="B350" s="8"/>
      <c r="C350" s="8" t="s">
        <v>47</v>
      </c>
      <c r="D350" s="8"/>
      <c r="E350" s="23">
        <v>44388</v>
      </c>
      <c r="G350" s="42">
        <v>4566514</v>
      </c>
      <c r="I350" s="42">
        <v>4000445</v>
      </c>
      <c r="K350" s="42">
        <v>0</v>
      </c>
      <c r="M350" s="42">
        <f t="shared" si="63"/>
        <v>8566959</v>
      </c>
      <c r="O350" s="42">
        <f>41229567+5424367</f>
        <v>46653934</v>
      </c>
      <c r="Q350" s="42">
        <v>0</v>
      </c>
      <c r="S350" s="42">
        <v>25249091</v>
      </c>
      <c r="U350" s="42">
        <v>32413</v>
      </c>
      <c r="W350" s="42">
        <v>0</v>
      </c>
      <c r="Y350" s="42">
        <v>121420</v>
      </c>
      <c r="AA350" s="42">
        <f>2529018+628550</f>
        <v>3157568</v>
      </c>
      <c r="AB350" s="37"/>
      <c r="AC350" s="42">
        <v>0</v>
      </c>
      <c r="AE350" s="42">
        <v>0</v>
      </c>
      <c r="AG350" s="42">
        <f t="shared" si="64"/>
        <v>75214426</v>
      </c>
      <c r="AH350" s="42"/>
      <c r="AI350" s="42">
        <f t="shared" si="65"/>
        <v>83781385</v>
      </c>
    </row>
    <row r="351" spans="1:35" ht="12" customHeight="1">
      <c r="A351" s="8" t="s">
        <v>418</v>
      </c>
      <c r="B351" s="8"/>
      <c r="C351" s="8" t="s">
        <v>417</v>
      </c>
      <c r="D351" s="8"/>
      <c r="E351" s="23">
        <v>48520</v>
      </c>
      <c r="G351" s="42">
        <v>1003574</v>
      </c>
      <c r="I351" s="42">
        <v>4221546</v>
      </c>
      <c r="K351" s="42">
        <v>0</v>
      </c>
      <c r="M351" s="42">
        <f t="shared" si="63"/>
        <v>5225120</v>
      </c>
      <c r="O351" s="42">
        <f>2408845+760522+48016</f>
        <v>3217383</v>
      </c>
      <c r="Q351" s="42">
        <v>0</v>
      </c>
      <c r="S351" s="42">
        <v>14391374</v>
      </c>
      <c r="U351" s="42">
        <v>36316</v>
      </c>
      <c r="W351" s="42">
        <v>0</v>
      </c>
      <c r="Y351" s="42">
        <v>44595</v>
      </c>
      <c r="AA351" s="42">
        <f>82049+12325+9292</f>
        <v>103666</v>
      </c>
      <c r="AB351" s="37"/>
      <c r="AC351" s="42">
        <v>0</v>
      </c>
      <c r="AE351" s="42">
        <v>0</v>
      </c>
      <c r="AG351" s="42">
        <f t="shared" si="64"/>
        <v>17793334</v>
      </c>
      <c r="AH351" s="42"/>
      <c r="AI351" s="42">
        <f t="shared" si="65"/>
        <v>23018454</v>
      </c>
    </row>
    <row r="352" spans="1:35" ht="12" customHeight="1">
      <c r="A352" s="8" t="s">
        <v>763</v>
      </c>
      <c r="B352" s="8"/>
      <c r="C352" s="8" t="s">
        <v>41</v>
      </c>
      <c r="D352" s="8"/>
      <c r="E352" s="23">
        <v>45492</v>
      </c>
      <c r="G352" s="42">
        <v>4799917</v>
      </c>
      <c r="I352" s="42">
        <v>5850694</v>
      </c>
      <c r="K352" s="42">
        <v>173146</v>
      </c>
      <c r="M352" s="42">
        <f t="shared" si="63"/>
        <v>10823757</v>
      </c>
      <c r="O352" s="42">
        <f>61192737+35877+1200902</f>
        <v>62429516</v>
      </c>
      <c r="Q352" s="42">
        <v>0</v>
      </c>
      <c r="S352" s="42">
        <v>29779970</v>
      </c>
      <c r="U352" s="42">
        <v>240583</v>
      </c>
      <c r="W352" s="42">
        <v>810267</v>
      </c>
      <c r="Y352" s="42">
        <v>46175</v>
      </c>
      <c r="AA352" s="42">
        <v>1006391</v>
      </c>
      <c r="AB352" s="37"/>
      <c r="AC352" s="42">
        <v>-2137</v>
      </c>
      <c r="AE352" s="42">
        <v>0</v>
      </c>
      <c r="AG352" s="42">
        <f t="shared" si="64"/>
        <v>94310765</v>
      </c>
      <c r="AH352" s="42"/>
      <c r="AI352" s="42">
        <f t="shared" si="65"/>
        <v>105134522</v>
      </c>
    </row>
    <row r="353" spans="1:35" ht="12" customHeight="1">
      <c r="A353" s="8" t="s">
        <v>421</v>
      </c>
      <c r="B353" s="8"/>
      <c r="C353" s="8" t="s">
        <v>48</v>
      </c>
      <c r="D353" s="8"/>
      <c r="E353" s="23">
        <v>48629</v>
      </c>
      <c r="G353" s="42">
        <v>1035441</v>
      </c>
      <c r="I353" s="42">
        <v>899139</v>
      </c>
      <c r="K353" s="42">
        <v>1715</v>
      </c>
      <c r="M353" s="42">
        <f t="shared" si="63"/>
        <v>1936295</v>
      </c>
      <c r="O353" s="42">
        <f>3407676+76074+1192419+122308</f>
        <v>4798477</v>
      </c>
      <c r="Q353" s="42">
        <v>2754293</v>
      </c>
      <c r="S353" s="42">
        <v>5075820</v>
      </c>
      <c r="U353" s="42">
        <v>7626</v>
      </c>
      <c r="W353" s="42">
        <v>0</v>
      </c>
      <c r="Y353" s="42">
        <v>0</v>
      </c>
      <c r="AA353" s="42">
        <v>81908</v>
      </c>
      <c r="AB353" s="37"/>
      <c r="AC353" s="42">
        <v>0</v>
      </c>
      <c r="AE353" s="42">
        <v>0</v>
      </c>
      <c r="AG353" s="42">
        <f t="shared" si="64"/>
        <v>12718124</v>
      </c>
      <c r="AH353" s="42"/>
      <c r="AI353" s="42">
        <f t="shared" si="65"/>
        <v>14654419</v>
      </c>
    </row>
    <row r="354" spans="1:35" ht="12" customHeight="1">
      <c r="A354" s="8" t="s">
        <v>295</v>
      </c>
      <c r="B354" s="8"/>
      <c r="C354" s="8" t="s">
        <v>26</v>
      </c>
      <c r="D354" s="8"/>
      <c r="E354" s="23">
        <v>46920</v>
      </c>
      <c r="G354" s="42">
        <v>2621302</v>
      </c>
      <c r="I354" s="42">
        <v>3102933</v>
      </c>
      <c r="K354" s="42">
        <v>0</v>
      </c>
      <c r="M354" s="42">
        <f t="shared" si="63"/>
        <v>5724235</v>
      </c>
      <c r="O354" s="42">
        <f>11654640+336388+1630072+444472</f>
        <v>14065572</v>
      </c>
      <c r="Q354" s="42">
        <v>0</v>
      </c>
      <c r="S354" s="42">
        <v>10120073</v>
      </c>
      <c r="U354" s="42">
        <v>32001</v>
      </c>
      <c r="W354" s="42">
        <v>491915</v>
      </c>
      <c r="Y354" s="42">
        <v>14283</v>
      </c>
      <c r="AA354" s="42">
        <v>129085</v>
      </c>
      <c r="AB354" s="37"/>
      <c r="AC354" s="42">
        <v>0</v>
      </c>
      <c r="AE354" s="42">
        <v>0</v>
      </c>
      <c r="AG354" s="42">
        <f t="shared" si="64"/>
        <v>24852929</v>
      </c>
      <c r="AH354" s="42"/>
      <c r="AI354" s="42">
        <f t="shared" si="65"/>
        <v>30577164</v>
      </c>
    </row>
    <row r="355" spans="1:35" ht="12" customHeight="1">
      <c r="A355" s="8" t="s">
        <v>429</v>
      </c>
      <c r="B355" s="8"/>
      <c r="C355" s="8" t="s">
        <v>50</v>
      </c>
      <c r="D355" s="8"/>
      <c r="E355" s="23">
        <v>44396</v>
      </c>
      <c r="G355" s="42">
        <v>2484311</v>
      </c>
      <c r="I355" s="42">
        <v>6699154</v>
      </c>
      <c r="K355" s="42">
        <v>0</v>
      </c>
      <c r="M355" s="42">
        <f t="shared" si="63"/>
        <v>9183465</v>
      </c>
      <c r="O355" s="42">
        <f>28470980+4159596+2536500</f>
        <v>35167076</v>
      </c>
      <c r="Q355" s="42">
        <v>0</v>
      </c>
      <c r="S355" s="42">
        <v>15208280</v>
      </c>
      <c r="U355" s="42">
        <v>13812</v>
      </c>
      <c r="W355" s="42">
        <v>744901</v>
      </c>
      <c r="Y355" s="42">
        <v>0</v>
      </c>
      <c r="AA355" s="42">
        <v>209488</v>
      </c>
      <c r="AB355" s="37"/>
      <c r="AC355" s="42">
        <v>0</v>
      </c>
      <c r="AE355" s="42">
        <v>0</v>
      </c>
      <c r="AG355" s="42">
        <f t="shared" si="64"/>
        <v>51343557</v>
      </c>
      <c r="AH355" s="42"/>
      <c r="AI355" s="42">
        <f t="shared" si="65"/>
        <v>60527022</v>
      </c>
    </row>
    <row r="356" spans="1:35" ht="12" hidden="1" customHeight="1">
      <c r="A356" s="8" t="s">
        <v>806</v>
      </c>
      <c r="B356" s="9"/>
      <c r="C356" s="9" t="s">
        <v>53</v>
      </c>
      <c r="D356" s="8"/>
      <c r="E356" s="23">
        <v>48959</v>
      </c>
      <c r="G356" s="42">
        <v>0</v>
      </c>
      <c r="I356" s="42">
        <v>0</v>
      </c>
      <c r="K356" s="42">
        <v>0</v>
      </c>
      <c r="M356" s="42">
        <f t="shared" si="63"/>
        <v>0</v>
      </c>
      <c r="O356" s="42">
        <v>0</v>
      </c>
      <c r="Q356" s="42">
        <v>0</v>
      </c>
      <c r="S356" s="42">
        <v>0</v>
      </c>
      <c r="U356" s="42">
        <v>0</v>
      </c>
      <c r="W356" s="42">
        <v>0</v>
      </c>
      <c r="Y356" s="42">
        <v>0</v>
      </c>
      <c r="AA356" s="42">
        <v>0</v>
      </c>
      <c r="AB356" s="37"/>
      <c r="AC356" s="42">
        <v>0</v>
      </c>
      <c r="AE356" s="42">
        <v>0</v>
      </c>
      <c r="AG356" s="42">
        <f t="shared" ref="AG356" si="69">SUM(O356:AE356)</f>
        <v>0</v>
      </c>
      <c r="AH356" s="42"/>
      <c r="AI356" s="42">
        <f t="shared" ref="AI356" si="70">+AG356+M356</f>
        <v>0</v>
      </c>
    </row>
    <row r="357" spans="1:35" ht="12" customHeight="1">
      <c r="A357" s="8" t="s">
        <v>224</v>
      </c>
      <c r="B357" s="8"/>
      <c r="C357" s="8" t="s">
        <v>220</v>
      </c>
      <c r="D357" s="8"/>
      <c r="E357" s="23">
        <v>44404</v>
      </c>
      <c r="F357" s="59"/>
      <c r="G357" s="42">
        <v>1480690</v>
      </c>
      <c r="I357" s="42">
        <v>10881913</v>
      </c>
      <c r="K357" s="42">
        <v>0</v>
      </c>
      <c r="M357" s="42">
        <f t="shared" si="63"/>
        <v>12362603</v>
      </c>
      <c r="O357" s="42">
        <f>26836512+2907788+132316</f>
        <v>29876616</v>
      </c>
      <c r="Q357" s="42">
        <v>0</v>
      </c>
      <c r="S357" s="42">
        <v>37215406</v>
      </c>
      <c r="U357" s="42">
        <v>1923</v>
      </c>
      <c r="W357" s="42">
        <v>303813</v>
      </c>
      <c r="Y357" s="42">
        <v>0</v>
      </c>
      <c r="AA357" s="42">
        <v>117880</v>
      </c>
      <c r="AB357" s="37"/>
      <c r="AC357" s="42">
        <v>0</v>
      </c>
      <c r="AE357" s="42">
        <v>0</v>
      </c>
      <c r="AG357" s="42">
        <f t="shared" si="64"/>
        <v>67515638</v>
      </c>
      <c r="AH357" s="42"/>
      <c r="AI357" s="42">
        <f t="shared" si="65"/>
        <v>79878241</v>
      </c>
    </row>
    <row r="358" spans="1:35" ht="12" customHeight="1">
      <c r="A358" s="8" t="s">
        <v>384</v>
      </c>
      <c r="B358" s="8"/>
      <c r="C358" s="8" t="s">
        <v>44</v>
      </c>
      <c r="D358" s="8"/>
      <c r="E358" s="23">
        <v>48173</v>
      </c>
      <c r="G358" s="42">
        <v>2982912</v>
      </c>
      <c r="I358" s="42">
        <v>1307504</v>
      </c>
      <c r="K358" s="42">
        <v>847419</v>
      </c>
      <c r="M358" s="42">
        <f t="shared" si="63"/>
        <v>5137835</v>
      </c>
      <c r="O358" s="42">
        <f>9937078+1366868+244658</f>
        <v>11548604</v>
      </c>
      <c r="Q358" s="42">
        <v>0</v>
      </c>
      <c r="S358" s="42">
        <v>13489396</v>
      </c>
      <c r="U358" s="42">
        <v>7586</v>
      </c>
      <c r="W358" s="42">
        <v>0</v>
      </c>
      <c r="Y358" s="42">
        <v>0</v>
      </c>
      <c r="AA358" s="42">
        <v>776616</v>
      </c>
      <c r="AB358" s="37"/>
      <c r="AC358" s="42">
        <v>-168835</v>
      </c>
      <c r="AE358" s="42">
        <v>0</v>
      </c>
      <c r="AG358" s="42">
        <f t="shared" si="64"/>
        <v>25653367</v>
      </c>
      <c r="AH358" s="42"/>
      <c r="AI358" s="42">
        <f t="shared" si="65"/>
        <v>30791202</v>
      </c>
    </row>
    <row r="359" spans="1:35" ht="12" customHeight="1">
      <c r="A359" s="9" t="s">
        <v>764</v>
      </c>
      <c r="B359" s="8"/>
      <c r="C359" s="8" t="s">
        <v>112</v>
      </c>
      <c r="D359" s="8"/>
      <c r="E359" s="23">
        <v>45500</v>
      </c>
      <c r="F359" s="59"/>
      <c r="G359" s="42">
        <v>4688197</v>
      </c>
      <c r="I359" s="42">
        <v>4983731</v>
      </c>
      <c r="K359" s="42">
        <v>0</v>
      </c>
      <c r="M359" s="42">
        <f t="shared" si="63"/>
        <v>9671928</v>
      </c>
      <c r="O359" s="42">
        <f>31962969+3264706+384934</f>
        <v>35612609</v>
      </c>
      <c r="Q359" s="42">
        <v>0</v>
      </c>
      <c r="S359" s="42">
        <v>19984094</v>
      </c>
      <c r="U359" s="42">
        <v>30837</v>
      </c>
      <c r="W359" s="42">
        <v>2072239</v>
      </c>
      <c r="Y359" s="42">
        <v>564625</v>
      </c>
      <c r="AA359" s="42">
        <v>659404</v>
      </c>
      <c r="AB359" s="37"/>
      <c r="AC359" s="42">
        <v>0</v>
      </c>
      <c r="AE359" s="42">
        <v>0</v>
      </c>
      <c r="AG359" s="42">
        <f t="shared" si="64"/>
        <v>58923808</v>
      </c>
      <c r="AH359" s="42"/>
      <c r="AI359" s="42">
        <f t="shared" si="65"/>
        <v>68595736</v>
      </c>
    </row>
    <row r="360" spans="1:35" ht="12" hidden="1" customHeight="1">
      <c r="A360" s="8" t="s">
        <v>608</v>
      </c>
      <c r="B360" s="8"/>
      <c r="C360" s="8" t="s">
        <v>548</v>
      </c>
      <c r="D360" s="8"/>
      <c r="E360" s="23">
        <v>50633</v>
      </c>
      <c r="G360" s="42">
        <v>0</v>
      </c>
      <c r="I360" s="42">
        <v>0</v>
      </c>
      <c r="K360" s="42">
        <v>0</v>
      </c>
      <c r="M360" s="42">
        <f t="shared" si="63"/>
        <v>0</v>
      </c>
      <c r="O360" s="42">
        <v>0</v>
      </c>
      <c r="Q360" s="42">
        <v>0</v>
      </c>
      <c r="S360" s="42">
        <v>0</v>
      </c>
      <c r="U360" s="42">
        <v>0</v>
      </c>
      <c r="W360" s="42">
        <v>0</v>
      </c>
      <c r="Y360" s="42">
        <v>0</v>
      </c>
      <c r="AA360" s="42">
        <v>0</v>
      </c>
      <c r="AB360" s="37"/>
      <c r="AC360" s="42">
        <v>0</v>
      </c>
      <c r="AE360" s="42">
        <v>0</v>
      </c>
      <c r="AG360" s="42">
        <f t="shared" si="64"/>
        <v>0</v>
      </c>
      <c r="AH360" s="42"/>
      <c r="AI360" s="42">
        <f t="shared" si="65"/>
        <v>0</v>
      </c>
    </row>
    <row r="361" spans="1:35" ht="12" hidden="1" customHeight="1">
      <c r="A361" s="9" t="s">
        <v>880</v>
      </c>
      <c r="B361" s="8"/>
      <c r="C361" s="8" t="s">
        <v>464</v>
      </c>
      <c r="D361" s="8"/>
      <c r="E361" s="23">
        <v>49361</v>
      </c>
      <c r="G361" s="42">
        <v>0</v>
      </c>
      <c r="I361" s="42">
        <v>0</v>
      </c>
      <c r="K361" s="42">
        <v>0</v>
      </c>
      <c r="M361" s="42">
        <f t="shared" si="63"/>
        <v>0</v>
      </c>
      <c r="O361" s="42">
        <v>0</v>
      </c>
      <c r="Q361" s="42">
        <v>0</v>
      </c>
      <c r="S361" s="42">
        <v>0</v>
      </c>
      <c r="U361" s="42">
        <v>0</v>
      </c>
      <c r="W361" s="42">
        <v>0</v>
      </c>
      <c r="Y361" s="42">
        <v>0</v>
      </c>
      <c r="AA361" s="42">
        <v>0</v>
      </c>
      <c r="AB361" s="37"/>
      <c r="AC361" s="42">
        <v>0</v>
      </c>
      <c r="AE361" s="42">
        <v>0</v>
      </c>
      <c r="AG361" s="42">
        <f t="shared" si="64"/>
        <v>0</v>
      </c>
      <c r="AH361" s="42"/>
      <c r="AI361" s="42">
        <f t="shared" si="65"/>
        <v>0</v>
      </c>
    </row>
    <row r="362" spans="1:35" ht="12" hidden="1" customHeight="1">
      <c r="A362" s="8" t="s">
        <v>801</v>
      </c>
      <c r="B362" s="8"/>
      <c r="C362" s="8" t="s">
        <v>48</v>
      </c>
      <c r="D362" s="8"/>
      <c r="E362" s="23">
        <v>45518</v>
      </c>
      <c r="G362" s="42">
        <v>0</v>
      </c>
      <c r="I362" s="42">
        <v>0</v>
      </c>
      <c r="K362" s="42">
        <v>0</v>
      </c>
      <c r="M362" s="42">
        <f t="shared" si="63"/>
        <v>0</v>
      </c>
      <c r="O362" s="42">
        <v>0</v>
      </c>
      <c r="Q362" s="42">
        <v>0</v>
      </c>
      <c r="S362" s="42">
        <v>0</v>
      </c>
      <c r="U362" s="42">
        <v>0</v>
      </c>
      <c r="W362" s="42">
        <v>0</v>
      </c>
      <c r="Y362" s="42">
        <v>0</v>
      </c>
      <c r="AA362" s="42">
        <v>0</v>
      </c>
      <c r="AB362" s="37"/>
      <c r="AC362" s="42">
        <v>0</v>
      </c>
      <c r="AE362" s="42">
        <v>0</v>
      </c>
      <c r="AG362" s="42">
        <f t="shared" si="64"/>
        <v>0</v>
      </c>
      <c r="AH362" s="42"/>
      <c r="AI362" s="42">
        <f t="shared" si="65"/>
        <v>0</v>
      </c>
    </row>
    <row r="363" spans="1:35" ht="12" customHeight="1">
      <c r="A363" s="8" t="s">
        <v>498</v>
      </c>
      <c r="B363" s="8"/>
      <c r="C363" s="8" t="s">
        <v>62</v>
      </c>
      <c r="D363" s="8"/>
      <c r="E363" s="23">
        <v>49890</v>
      </c>
      <c r="G363" s="42">
        <v>1455717</v>
      </c>
      <c r="I363" s="42">
        <v>1784390</v>
      </c>
      <c r="K363" s="42">
        <v>281849</v>
      </c>
      <c r="M363" s="42">
        <f t="shared" si="63"/>
        <v>3521956</v>
      </c>
      <c r="O363" s="42">
        <f>4947826+745831+81355</f>
        <v>5775012</v>
      </c>
      <c r="Q363" s="42">
        <v>0</v>
      </c>
      <c r="S363" s="42">
        <v>10095575</v>
      </c>
      <c r="U363" s="42">
        <v>4312</v>
      </c>
      <c r="W363" s="42">
        <v>0</v>
      </c>
      <c r="Y363" s="42">
        <v>0</v>
      </c>
      <c r="AA363" s="42">
        <v>92402</v>
      </c>
      <c r="AB363" s="37"/>
      <c r="AC363" s="42">
        <v>0</v>
      </c>
      <c r="AE363" s="42">
        <v>0</v>
      </c>
      <c r="AG363" s="42">
        <f t="shared" si="64"/>
        <v>15967301</v>
      </c>
      <c r="AH363" s="42"/>
      <c r="AI363" s="42">
        <f t="shared" si="65"/>
        <v>19489257</v>
      </c>
    </row>
    <row r="364" spans="1:35" ht="12" customHeight="1">
      <c r="A364" s="8" t="s">
        <v>479</v>
      </c>
      <c r="B364" s="8"/>
      <c r="C364" s="8" t="s">
        <v>59</v>
      </c>
      <c r="D364" s="8"/>
      <c r="E364" s="23">
        <v>49627</v>
      </c>
      <c r="G364" s="42">
        <v>2478523</v>
      </c>
      <c r="I364" s="42">
        <v>1437830</v>
      </c>
      <c r="K364" s="42">
        <v>0</v>
      </c>
      <c r="M364" s="42">
        <f t="shared" si="63"/>
        <v>3916353</v>
      </c>
      <c r="O364" s="42">
        <f>1782642+29948+115282</f>
        <v>1927872</v>
      </c>
      <c r="Q364" s="42">
        <v>0</v>
      </c>
      <c r="S364" s="42">
        <v>9412855</v>
      </c>
      <c r="U364" s="42">
        <v>0</v>
      </c>
      <c r="W364" s="42">
        <v>0</v>
      </c>
      <c r="Y364" s="42">
        <v>8352</v>
      </c>
      <c r="AA364" s="42">
        <v>258287</v>
      </c>
      <c r="AB364" s="37"/>
      <c r="AC364" s="42">
        <v>0</v>
      </c>
      <c r="AE364" s="42">
        <v>0</v>
      </c>
      <c r="AG364" s="42">
        <f t="shared" si="64"/>
        <v>11607366</v>
      </c>
      <c r="AH364" s="42"/>
      <c r="AI364" s="42">
        <f t="shared" si="65"/>
        <v>15523719</v>
      </c>
    </row>
    <row r="365" spans="1:35" ht="12" customHeight="1">
      <c r="A365" s="8" t="s">
        <v>212</v>
      </c>
      <c r="B365" s="8"/>
      <c r="C365" s="8" t="s">
        <v>14</v>
      </c>
      <c r="D365" s="8"/>
      <c r="E365" s="23">
        <v>45948</v>
      </c>
      <c r="F365" s="59"/>
      <c r="G365" s="42">
        <v>464578</v>
      </c>
      <c r="I365" s="42">
        <v>624024</v>
      </c>
      <c r="K365" s="42">
        <v>854389</v>
      </c>
      <c r="M365" s="42">
        <f t="shared" si="63"/>
        <v>1942991</v>
      </c>
      <c r="O365" s="42">
        <f>3503796+12332+889566+31902</f>
        <v>4437596</v>
      </c>
      <c r="Q365" s="42">
        <v>1504271</v>
      </c>
      <c r="S365" s="42">
        <v>3690315</v>
      </c>
      <c r="U365" s="42">
        <v>4384</v>
      </c>
      <c r="W365" s="42">
        <v>45445</v>
      </c>
      <c r="Y365" s="42">
        <v>0</v>
      </c>
      <c r="AA365" s="42">
        <v>178980</v>
      </c>
      <c r="AB365" s="37"/>
      <c r="AC365" s="42">
        <v>0</v>
      </c>
      <c r="AE365" s="42">
        <v>0</v>
      </c>
      <c r="AG365" s="42">
        <f t="shared" si="64"/>
        <v>9860991</v>
      </c>
      <c r="AH365" s="42"/>
      <c r="AI365" s="42">
        <f t="shared" si="65"/>
        <v>11803982</v>
      </c>
    </row>
    <row r="366" spans="1:35" ht="12" hidden="1" customHeight="1">
      <c r="A366" s="8" t="s">
        <v>635</v>
      </c>
      <c r="B366" s="8"/>
      <c r="C366" s="8" t="s">
        <v>21</v>
      </c>
      <c r="D366" s="8"/>
      <c r="E366" s="23">
        <v>46672</v>
      </c>
      <c r="G366" s="42">
        <v>0</v>
      </c>
      <c r="I366" s="42">
        <v>0</v>
      </c>
      <c r="K366" s="42">
        <v>0</v>
      </c>
      <c r="M366" s="42">
        <f t="shared" si="63"/>
        <v>0</v>
      </c>
      <c r="O366" s="42">
        <v>0</v>
      </c>
      <c r="Q366" s="42">
        <v>0</v>
      </c>
      <c r="S366" s="42">
        <v>0</v>
      </c>
      <c r="U366" s="42">
        <v>0</v>
      </c>
      <c r="W366" s="42">
        <v>0</v>
      </c>
      <c r="Y366" s="42">
        <v>0</v>
      </c>
      <c r="AA366" s="42">
        <v>0</v>
      </c>
      <c r="AB366" s="37"/>
      <c r="AC366" s="42">
        <v>0</v>
      </c>
      <c r="AE366" s="42">
        <v>0</v>
      </c>
      <c r="AG366" s="42">
        <f t="shared" si="64"/>
        <v>0</v>
      </c>
      <c r="AH366" s="42"/>
      <c r="AI366" s="42">
        <f t="shared" si="65"/>
        <v>0</v>
      </c>
    </row>
    <row r="367" spans="1:35" ht="12" customHeight="1">
      <c r="A367" s="8" t="s">
        <v>506</v>
      </c>
      <c r="B367" s="8"/>
      <c r="C367" s="8" t="s">
        <v>63</v>
      </c>
      <c r="D367" s="8"/>
      <c r="E367" s="23">
        <v>50039</v>
      </c>
      <c r="G367" s="42">
        <v>1881149</v>
      </c>
      <c r="I367" s="42">
        <v>489151</v>
      </c>
      <c r="K367" s="42">
        <v>0</v>
      </c>
      <c r="M367" s="42">
        <f t="shared" si="63"/>
        <v>2370300</v>
      </c>
      <c r="O367" s="42">
        <f>2786890+427277+162181</f>
        <v>3376348</v>
      </c>
      <c r="Q367" s="42">
        <v>0</v>
      </c>
      <c r="S367" s="42">
        <v>4295040</v>
      </c>
      <c r="U367" s="42">
        <v>17517</v>
      </c>
      <c r="W367" s="42">
        <v>0</v>
      </c>
      <c r="Y367" s="42">
        <v>0</v>
      </c>
      <c r="AA367" s="42">
        <v>45385</v>
      </c>
      <c r="AB367" s="37"/>
      <c r="AC367" s="42">
        <v>0</v>
      </c>
      <c r="AE367" s="42">
        <v>0</v>
      </c>
      <c r="AG367" s="42">
        <f t="shared" si="64"/>
        <v>7734290</v>
      </c>
      <c r="AH367" s="42"/>
      <c r="AI367" s="42">
        <f t="shared" si="65"/>
        <v>10104590</v>
      </c>
    </row>
    <row r="368" spans="1:35" ht="12" hidden="1" customHeight="1">
      <c r="A368" s="8" t="s">
        <v>616</v>
      </c>
      <c r="B368" s="8"/>
      <c r="C368" s="8" t="s">
        <v>553</v>
      </c>
      <c r="D368" s="8"/>
      <c r="E368" s="23">
        <v>50740</v>
      </c>
      <c r="G368" s="42">
        <v>0</v>
      </c>
      <c r="I368" s="42">
        <v>0</v>
      </c>
      <c r="K368" s="42">
        <v>0</v>
      </c>
      <c r="M368" s="42">
        <f t="shared" si="63"/>
        <v>0</v>
      </c>
      <c r="O368" s="42">
        <v>0</v>
      </c>
      <c r="Q368" s="42">
        <v>0</v>
      </c>
      <c r="S368" s="42">
        <v>0</v>
      </c>
      <c r="U368" s="42">
        <v>0</v>
      </c>
      <c r="W368" s="42">
        <v>0</v>
      </c>
      <c r="Y368" s="42">
        <v>0</v>
      </c>
      <c r="AA368" s="42">
        <v>0</v>
      </c>
      <c r="AB368" s="37"/>
      <c r="AC368" s="42">
        <v>0</v>
      </c>
      <c r="AE368" s="42">
        <v>0</v>
      </c>
      <c r="AG368" s="42">
        <f t="shared" si="64"/>
        <v>0</v>
      </c>
      <c r="AH368" s="42"/>
      <c r="AI368" s="42">
        <f t="shared" si="65"/>
        <v>0</v>
      </c>
    </row>
    <row r="369" spans="1:36" ht="12" customHeight="1">
      <c r="A369" s="8" t="s">
        <v>905</v>
      </c>
      <c r="B369" s="8"/>
      <c r="C369" s="8" t="s">
        <v>220</v>
      </c>
      <c r="D369" s="8"/>
      <c r="E369" s="23">
        <v>139303</v>
      </c>
      <c r="F369" s="59"/>
      <c r="G369" s="42">
        <v>2168320</v>
      </c>
      <c r="I369" s="42">
        <v>1463650</v>
      </c>
      <c r="K369" s="42">
        <v>0</v>
      </c>
      <c r="M369" s="42">
        <f t="shared" si="63"/>
        <v>3631970</v>
      </c>
      <c r="O369" s="42">
        <f>10465541+948853+565703</f>
        <v>11980097</v>
      </c>
      <c r="Q369" s="42">
        <v>0</v>
      </c>
      <c r="S369" s="42">
        <v>6713662</v>
      </c>
      <c r="U369" s="42">
        <v>4875</v>
      </c>
      <c r="W369" s="42">
        <v>1223376</v>
      </c>
      <c r="Y369" s="42">
        <v>10323</v>
      </c>
      <c r="AA369" s="42">
        <v>71912</v>
      </c>
      <c r="AB369" s="37"/>
      <c r="AC369" s="42">
        <v>0</v>
      </c>
      <c r="AE369" s="42">
        <v>0</v>
      </c>
      <c r="AG369" s="42">
        <f t="shared" si="64"/>
        <v>20004245</v>
      </c>
      <c r="AH369" s="42"/>
      <c r="AI369" s="42">
        <f t="shared" si="65"/>
        <v>23636215</v>
      </c>
    </row>
    <row r="370" spans="1:36" s="24" customFormat="1" ht="12" customHeight="1">
      <c r="A370" s="51" t="s">
        <v>354</v>
      </c>
      <c r="B370" s="51"/>
      <c r="C370" s="51" t="s">
        <v>37</v>
      </c>
      <c r="D370" s="51"/>
      <c r="E370" s="23">
        <v>47712</v>
      </c>
      <c r="G370" s="42">
        <v>775820</v>
      </c>
      <c r="H370" s="42"/>
      <c r="I370" s="42">
        <v>603971</v>
      </c>
      <c r="J370" s="42"/>
      <c r="K370" s="42">
        <v>0</v>
      </c>
      <c r="L370" s="42"/>
      <c r="M370" s="42">
        <f t="shared" si="63"/>
        <v>1379791</v>
      </c>
      <c r="N370" s="42"/>
      <c r="O370" s="42">
        <f>2051520+152317+68844</f>
        <v>2272681</v>
      </c>
      <c r="P370" s="42"/>
      <c r="Q370" s="42">
        <v>1243901</v>
      </c>
      <c r="R370" s="42"/>
      <c r="S370" s="42">
        <v>2365775</v>
      </c>
      <c r="T370" s="42"/>
      <c r="U370" s="42">
        <v>1372</v>
      </c>
      <c r="V370" s="42"/>
      <c r="W370" s="42">
        <v>0</v>
      </c>
      <c r="X370" s="42"/>
      <c r="Y370" s="42">
        <v>0</v>
      </c>
      <c r="Z370" s="42"/>
      <c r="AA370" s="42">
        <v>34631</v>
      </c>
      <c r="AB370" s="37"/>
      <c r="AC370" s="42">
        <v>0</v>
      </c>
      <c r="AD370" s="42"/>
      <c r="AE370" s="42">
        <v>0</v>
      </c>
      <c r="AF370" s="42"/>
      <c r="AG370" s="42">
        <f t="shared" si="64"/>
        <v>5918360</v>
      </c>
      <c r="AH370" s="42"/>
      <c r="AI370" s="42">
        <f t="shared" si="65"/>
        <v>7298151</v>
      </c>
    </row>
    <row r="371" spans="1:36" ht="11.25" hidden="1" customHeight="1">
      <c r="A371" s="8" t="s">
        <v>802</v>
      </c>
      <c r="B371" s="8"/>
      <c r="C371" s="8" t="s">
        <v>548</v>
      </c>
      <c r="D371" s="8"/>
      <c r="E371" s="23">
        <v>45526</v>
      </c>
      <c r="G371" s="42">
        <v>0</v>
      </c>
      <c r="I371" s="42">
        <v>0</v>
      </c>
      <c r="K371" s="42">
        <v>0</v>
      </c>
      <c r="M371" s="42">
        <f t="shared" si="63"/>
        <v>0</v>
      </c>
      <c r="O371" s="42">
        <v>0</v>
      </c>
      <c r="Q371" s="42">
        <v>0</v>
      </c>
      <c r="S371" s="42">
        <v>0</v>
      </c>
      <c r="U371" s="42">
        <v>0</v>
      </c>
      <c r="W371" s="42">
        <v>0</v>
      </c>
      <c r="Y371" s="42">
        <v>0</v>
      </c>
      <c r="AA371" s="42">
        <v>0</v>
      </c>
      <c r="AB371" s="37"/>
      <c r="AC371" s="42">
        <v>0</v>
      </c>
      <c r="AE371" s="42">
        <v>0</v>
      </c>
      <c r="AG371" s="42">
        <f t="shared" si="64"/>
        <v>0</v>
      </c>
      <c r="AH371" s="42"/>
      <c r="AI371" s="42">
        <f t="shared" si="65"/>
        <v>0</v>
      </c>
    </row>
    <row r="372" spans="1:36" s="24" customFormat="1" ht="12" customHeight="1">
      <c r="A372" s="51" t="s">
        <v>436</v>
      </c>
      <c r="B372" s="51"/>
      <c r="C372" s="51" t="s">
        <v>437</v>
      </c>
      <c r="D372" s="51"/>
      <c r="E372" s="51">
        <v>48777</v>
      </c>
      <c r="G372" s="24">
        <v>734586</v>
      </c>
      <c r="I372" s="24">
        <v>3496946</v>
      </c>
      <c r="K372" s="24">
        <v>0</v>
      </c>
      <c r="M372" s="24">
        <f t="shared" si="63"/>
        <v>4231532</v>
      </c>
      <c r="O372" s="24">
        <f>3441154+813451+143372</f>
        <v>4397977</v>
      </c>
      <c r="Q372" s="24">
        <v>0</v>
      </c>
      <c r="S372" s="24">
        <v>14831544</v>
      </c>
      <c r="U372" s="24">
        <v>96573</v>
      </c>
      <c r="W372" s="24">
        <v>0</v>
      </c>
      <c r="Y372" s="24">
        <v>2592</v>
      </c>
      <c r="AA372" s="24">
        <f>2677+70124</f>
        <v>72801</v>
      </c>
      <c r="AB372" s="58"/>
      <c r="AC372" s="24">
        <v>0</v>
      </c>
      <c r="AE372" s="24">
        <v>0</v>
      </c>
      <c r="AG372" s="24">
        <f t="shared" si="64"/>
        <v>19401487</v>
      </c>
      <c r="AI372" s="24">
        <f t="shared" si="65"/>
        <v>23633019</v>
      </c>
    </row>
    <row r="373" spans="1:36" ht="12" customHeight="1">
      <c r="A373" s="9" t="s">
        <v>765</v>
      </c>
      <c r="B373" s="8"/>
      <c r="C373" s="8" t="s">
        <v>78</v>
      </c>
      <c r="D373" s="8"/>
      <c r="E373" s="23">
        <v>45534</v>
      </c>
      <c r="G373" s="42">
        <v>969006</v>
      </c>
      <c r="I373" s="42">
        <v>1660445</v>
      </c>
      <c r="K373" s="42">
        <v>0</v>
      </c>
      <c r="M373" s="42">
        <f t="shared" si="63"/>
        <v>2629451</v>
      </c>
      <c r="O373" s="42">
        <f>2882391+56609+751074+29810</f>
        <v>3719884</v>
      </c>
      <c r="Q373" s="42">
        <v>1016853</v>
      </c>
      <c r="S373" s="42">
        <v>5983062</v>
      </c>
      <c r="U373" s="42">
        <v>10133</v>
      </c>
      <c r="W373" s="42">
        <v>0</v>
      </c>
      <c r="Y373" s="42">
        <v>0</v>
      </c>
      <c r="AA373" s="42">
        <v>651061</v>
      </c>
      <c r="AB373" s="37"/>
      <c r="AC373" s="42">
        <v>0</v>
      </c>
      <c r="AE373" s="42">
        <v>0</v>
      </c>
      <c r="AG373" s="42">
        <f t="shared" si="64"/>
        <v>11380993</v>
      </c>
      <c r="AH373" s="42"/>
      <c r="AI373" s="42">
        <f t="shared" si="65"/>
        <v>14010444</v>
      </c>
    </row>
    <row r="374" spans="1:36" ht="12" hidden="1" customHeight="1">
      <c r="A374" s="8" t="s">
        <v>866</v>
      </c>
      <c r="B374" s="8"/>
      <c r="C374" s="8" t="s">
        <v>40</v>
      </c>
      <c r="D374" s="8"/>
      <c r="E374" s="23">
        <v>44420</v>
      </c>
      <c r="G374" s="42">
        <v>0</v>
      </c>
      <c r="I374" s="42">
        <v>0</v>
      </c>
      <c r="K374" s="42">
        <v>0</v>
      </c>
      <c r="M374" s="42">
        <f t="shared" si="63"/>
        <v>0</v>
      </c>
      <c r="O374" s="42">
        <v>0</v>
      </c>
      <c r="Q374" s="42">
        <v>0</v>
      </c>
      <c r="S374" s="42">
        <v>0</v>
      </c>
      <c r="U374" s="42">
        <v>0</v>
      </c>
      <c r="W374" s="42">
        <v>0</v>
      </c>
      <c r="Y374" s="42">
        <v>0</v>
      </c>
      <c r="AA374" s="42">
        <v>0</v>
      </c>
      <c r="AB374" s="37"/>
      <c r="AC374" s="42">
        <v>0</v>
      </c>
      <c r="AE374" s="42">
        <v>0</v>
      </c>
      <c r="AG374" s="42">
        <f t="shared" si="64"/>
        <v>0</v>
      </c>
      <c r="AH374" s="42"/>
      <c r="AI374" s="42">
        <f t="shared" si="65"/>
        <v>0</v>
      </c>
    </row>
    <row r="375" spans="1:36" ht="12" customHeight="1">
      <c r="A375" s="9" t="s">
        <v>706</v>
      </c>
      <c r="B375" s="8"/>
      <c r="C375" s="8" t="s">
        <v>32</v>
      </c>
      <c r="D375" s="8"/>
      <c r="E375" s="23">
        <v>44412</v>
      </c>
      <c r="G375" s="42">
        <v>1162513</v>
      </c>
      <c r="I375" s="42">
        <v>8758817</v>
      </c>
      <c r="K375" s="42">
        <v>0</v>
      </c>
      <c r="M375" s="42">
        <f t="shared" si="63"/>
        <v>9921330</v>
      </c>
      <c r="O375" s="42">
        <f>10590501+129984+1936483</f>
        <v>12656968</v>
      </c>
      <c r="Q375" s="42">
        <v>0</v>
      </c>
      <c r="S375" s="42">
        <v>19617840</v>
      </c>
      <c r="U375" s="42">
        <v>15681</v>
      </c>
      <c r="W375" s="42">
        <v>0</v>
      </c>
      <c r="Y375" s="42">
        <v>24729</v>
      </c>
      <c r="AA375" s="42">
        <v>521742</v>
      </c>
      <c r="AB375" s="37"/>
      <c r="AC375" s="42">
        <v>0</v>
      </c>
      <c r="AE375" s="42">
        <v>0</v>
      </c>
      <c r="AG375" s="42">
        <f t="shared" si="64"/>
        <v>32836960</v>
      </c>
      <c r="AH375" s="42"/>
      <c r="AI375" s="42">
        <f t="shared" si="65"/>
        <v>42758290</v>
      </c>
    </row>
    <row r="376" spans="1:36" ht="12" customHeight="1">
      <c r="A376" s="8" t="s">
        <v>344</v>
      </c>
      <c r="B376" s="8"/>
      <c r="C376" s="8" t="s">
        <v>34</v>
      </c>
      <c r="D376" s="8"/>
      <c r="E376" s="23">
        <v>44438</v>
      </c>
      <c r="G376" s="42">
        <v>1510553</v>
      </c>
      <c r="I376" s="42">
        <v>1814502</v>
      </c>
      <c r="K376" s="42">
        <v>0</v>
      </c>
      <c r="M376" s="42">
        <f t="shared" si="63"/>
        <v>3325055</v>
      </c>
      <c r="O376" s="42">
        <f>7475239+362637+1441647</f>
        <v>9279523</v>
      </c>
      <c r="Q376" s="42">
        <v>0</v>
      </c>
      <c r="S376" s="42">
        <v>13249852</v>
      </c>
      <c r="U376" s="42">
        <v>180106</v>
      </c>
      <c r="W376" s="42">
        <v>138727</v>
      </c>
      <c r="Y376" s="42">
        <v>69149</v>
      </c>
      <c r="AA376" s="42">
        <f>71862+1327568+1528</f>
        <v>1400958</v>
      </c>
      <c r="AB376" s="37"/>
      <c r="AC376" s="42">
        <v>0</v>
      </c>
      <c r="AE376" s="42">
        <v>0</v>
      </c>
      <c r="AG376" s="42">
        <f t="shared" si="64"/>
        <v>24318315</v>
      </c>
      <c r="AH376" s="42"/>
      <c r="AI376" s="42">
        <f t="shared" si="65"/>
        <v>27643370</v>
      </c>
    </row>
    <row r="377" spans="1:36" ht="12" hidden="1" customHeight="1">
      <c r="A377" s="9" t="s">
        <v>759</v>
      </c>
      <c r="B377" s="9"/>
      <c r="C377" s="9" t="s">
        <v>57</v>
      </c>
      <c r="D377" s="8"/>
      <c r="E377" s="23">
        <v>49270</v>
      </c>
      <c r="G377" s="42">
        <v>0</v>
      </c>
      <c r="I377" s="42">
        <v>0</v>
      </c>
      <c r="K377" s="42">
        <v>0</v>
      </c>
      <c r="O377" s="42">
        <v>0</v>
      </c>
      <c r="Q377" s="42">
        <v>0</v>
      </c>
      <c r="S377" s="42">
        <v>0</v>
      </c>
      <c r="U377" s="42">
        <v>0</v>
      </c>
      <c r="W377" s="42">
        <v>0</v>
      </c>
      <c r="Y377" s="42">
        <v>0</v>
      </c>
      <c r="AA377" s="42">
        <v>0</v>
      </c>
      <c r="AB377" s="37"/>
      <c r="AC377" s="42">
        <v>0</v>
      </c>
      <c r="AE377" s="42">
        <v>0</v>
      </c>
      <c r="AG377" s="42">
        <f t="shared" si="64"/>
        <v>0</v>
      </c>
      <c r="AH377" s="42"/>
    </row>
    <row r="378" spans="1:36" ht="12" customHeight="1">
      <c r="A378" s="8" t="s">
        <v>210</v>
      </c>
      <c r="B378" s="8"/>
      <c r="C378" s="8" t="s">
        <v>13</v>
      </c>
      <c r="D378" s="8"/>
      <c r="E378" s="23">
        <v>44446</v>
      </c>
      <c r="F378" s="59"/>
      <c r="G378" s="42">
        <v>886288</v>
      </c>
      <c r="I378" s="42">
        <v>2848944</v>
      </c>
      <c r="K378" s="42">
        <v>0</v>
      </c>
      <c r="M378" s="42">
        <f>SUM(G378:L378)</f>
        <v>3735232</v>
      </c>
      <c r="O378" s="42">
        <f>1889427+489158+35436</f>
        <v>2414021</v>
      </c>
      <c r="Q378" s="42">
        <v>0</v>
      </c>
      <c r="S378" s="42">
        <v>7906990</v>
      </c>
      <c r="U378" s="42">
        <v>6661</v>
      </c>
      <c r="W378" s="42">
        <v>0</v>
      </c>
      <c r="Y378" s="42">
        <v>0</v>
      </c>
      <c r="AA378" s="42">
        <v>141684</v>
      </c>
      <c r="AB378" s="37"/>
      <c r="AC378" s="42">
        <v>0</v>
      </c>
      <c r="AE378" s="42">
        <v>0</v>
      </c>
      <c r="AG378" s="42">
        <f>SUM(O378:AE378)</f>
        <v>10469356</v>
      </c>
      <c r="AH378" s="42"/>
      <c r="AI378" s="42">
        <f>+AG378+M378</f>
        <v>14204588</v>
      </c>
    </row>
    <row r="379" spans="1:36" ht="12" customHeight="1">
      <c r="A379" s="8" t="s">
        <v>603</v>
      </c>
      <c r="B379" s="8"/>
      <c r="C379" s="8" t="s">
        <v>27</v>
      </c>
      <c r="D379" s="8"/>
      <c r="E379" s="23">
        <v>46995</v>
      </c>
      <c r="G379" s="42">
        <v>2888452</v>
      </c>
      <c r="I379" s="42">
        <v>1194640</v>
      </c>
      <c r="K379" s="42">
        <v>0</v>
      </c>
      <c r="M379" s="42">
        <f>SUM(G379:L379)</f>
        <v>4083092</v>
      </c>
      <c r="O379" s="42">
        <f>35280403+8141142</f>
        <v>43421545</v>
      </c>
      <c r="Q379" s="42">
        <v>0</v>
      </c>
      <c r="S379" s="42">
        <v>8177095</v>
      </c>
      <c r="U379" s="42">
        <v>38037</v>
      </c>
      <c r="W379" s="42">
        <v>6329122</v>
      </c>
      <c r="Y379" s="42">
        <v>0</v>
      </c>
      <c r="AA379" s="42">
        <v>506257</v>
      </c>
      <c r="AB379" s="37"/>
      <c r="AC379" s="42">
        <v>0</v>
      </c>
      <c r="AE379" s="42">
        <v>0</v>
      </c>
      <c r="AG379" s="42">
        <f>SUM(O379:AE379)</f>
        <v>58472056</v>
      </c>
      <c r="AH379" s="42"/>
      <c r="AI379" s="42">
        <f>+AG379+M379</f>
        <v>62555148</v>
      </c>
    </row>
    <row r="380" spans="1:36" ht="12" customHeight="1">
      <c r="A380" s="8" t="s">
        <v>480</v>
      </c>
      <c r="B380" s="8"/>
      <c r="C380" s="8" t="s">
        <v>59</v>
      </c>
      <c r="D380" s="8"/>
      <c r="E380" s="23">
        <v>44461</v>
      </c>
      <c r="G380" s="42">
        <v>1477436</v>
      </c>
      <c r="I380" s="42">
        <v>1328487</v>
      </c>
      <c r="K380" s="42">
        <v>0</v>
      </c>
      <c r="M380" s="42">
        <f>SUM(G380:L380)</f>
        <v>2805923</v>
      </c>
      <c r="O380" s="42">
        <f>802156+193118+13582</f>
        <v>1008856</v>
      </c>
      <c r="Q380" s="42">
        <v>0</v>
      </c>
      <c r="S380" s="42">
        <v>1760495</v>
      </c>
      <c r="U380" s="42">
        <v>25327</v>
      </c>
      <c r="W380" s="42">
        <v>0</v>
      </c>
      <c r="Y380" s="42">
        <v>13774</v>
      </c>
      <c r="AA380" s="42">
        <v>218433</v>
      </c>
      <c r="AB380" s="37"/>
      <c r="AC380" s="42">
        <v>0</v>
      </c>
      <c r="AE380" s="42">
        <v>0</v>
      </c>
      <c r="AG380" s="42">
        <f>SUM(O380:AE380)</f>
        <v>3026885</v>
      </c>
      <c r="AH380" s="42"/>
      <c r="AI380" s="42">
        <f>+AG380+M380</f>
        <v>5832808</v>
      </c>
    </row>
    <row r="381" spans="1:36" ht="12" customHeight="1">
      <c r="A381" s="8" t="s">
        <v>213</v>
      </c>
      <c r="B381" s="8"/>
      <c r="C381" s="8" t="s">
        <v>14</v>
      </c>
      <c r="D381" s="8"/>
      <c r="E381" s="23">
        <v>45955</v>
      </c>
      <c r="F381" s="59"/>
      <c r="G381" s="42">
        <v>816278</v>
      </c>
      <c r="I381" s="42">
        <v>836990</v>
      </c>
      <c r="K381" s="42">
        <v>0</v>
      </c>
      <c r="M381" s="42">
        <f>SUM(G381:L381)</f>
        <v>1653268</v>
      </c>
      <c r="O381" s="42">
        <f>2137646+687793+77263</f>
        <v>2902702</v>
      </c>
      <c r="Q381" s="42">
        <v>1594013</v>
      </c>
      <c r="S381" s="42">
        <v>3911331</v>
      </c>
      <c r="U381" s="42">
        <v>9429</v>
      </c>
      <c r="W381" s="42">
        <v>30952</v>
      </c>
      <c r="Y381" s="42">
        <v>0</v>
      </c>
      <c r="AA381" s="42">
        <v>81350</v>
      </c>
      <c r="AB381" s="37"/>
      <c r="AC381" s="42">
        <v>0</v>
      </c>
      <c r="AE381" s="42">
        <v>0</v>
      </c>
      <c r="AG381" s="42">
        <f>SUM(O381:AE381)</f>
        <v>8529777</v>
      </c>
      <c r="AH381" s="42"/>
      <c r="AI381" s="42">
        <f>+AG381+M381</f>
        <v>10183045</v>
      </c>
    </row>
    <row r="382" spans="1:36" ht="12" hidden="1" customHeight="1">
      <c r="A382" s="8" t="s">
        <v>700</v>
      </c>
      <c r="B382" s="8"/>
      <c r="C382" s="8" t="s">
        <v>14</v>
      </c>
      <c r="D382" s="8"/>
      <c r="E382" s="23">
        <v>45963</v>
      </c>
      <c r="F382" s="59"/>
      <c r="G382" s="42">
        <v>0</v>
      </c>
      <c r="I382" s="42">
        <v>0</v>
      </c>
      <c r="K382" s="42">
        <v>0</v>
      </c>
      <c r="M382" s="42">
        <f t="shared" ref="M382:M403" si="71">SUM(G382:L382)</f>
        <v>0</v>
      </c>
      <c r="O382" s="42">
        <v>0</v>
      </c>
      <c r="Q382" s="42">
        <v>0</v>
      </c>
      <c r="S382" s="42">
        <v>0</v>
      </c>
      <c r="U382" s="42">
        <v>0</v>
      </c>
      <c r="W382" s="42">
        <v>0</v>
      </c>
      <c r="Y382" s="42">
        <v>0</v>
      </c>
      <c r="AA382" s="42">
        <v>0</v>
      </c>
      <c r="AB382" s="37"/>
      <c r="AC382" s="42">
        <v>0</v>
      </c>
      <c r="AE382" s="42">
        <v>0</v>
      </c>
      <c r="AG382" s="42">
        <f t="shared" ref="AG382:AG403" si="72">SUM(O382:AE382)</f>
        <v>0</v>
      </c>
      <c r="AH382" s="42"/>
      <c r="AI382" s="42">
        <f t="shared" ref="AI382:AI403" si="73">+AG382+M382</f>
        <v>0</v>
      </c>
    </row>
    <row r="383" spans="1:36" ht="12" customHeight="1">
      <c r="A383" s="8" t="s">
        <v>430</v>
      </c>
      <c r="B383" s="8"/>
      <c r="C383" s="8" t="s">
        <v>50</v>
      </c>
      <c r="D383" s="8"/>
      <c r="E383" s="23">
        <v>48710</v>
      </c>
      <c r="G383" s="42">
        <v>1291633</v>
      </c>
      <c r="I383" s="42">
        <v>1832396</v>
      </c>
      <c r="K383" s="42">
        <v>0</v>
      </c>
      <c r="M383" s="42">
        <f t="shared" si="71"/>
        <v>3124029</v>
      </c>
      <c r="O383" s="42">
        <f>2094850+15597+337406+232177</f>
        <v>2680030</v>
      </c>
      <c r="Q383" s="42">
        <v>1392510</v>
      </c>
      <c r="S383" s="42">
        <v>5648248</v>
      </c>
      <c r="U383" s="42">
        <v>6478</v>
      </c>
      <c r="W383" s="42">
        <v>0</v>
      </c>
      <c r="Y383" s="42">
        <v>0</v>
      </c>
      <c r="AA383" s="42">
        <v>88373</v>
      </c>
      <c r="AB383" s="37"/>
      <c r="AC383" s="42">
        <v>0</v>
      </c>
      <c r="AE383" s="42">
        <v>0</v>
      </c>
      <c r="AG383" s="42">
        <f t="shared" si="72"/>
        <v>9815639</v>
      </c>
      <c r="AH383" s="42"/>
      <c r="AI383" s="42">
        <f t="shared" si="73"/>
        <v>12939668</v>
      </c>
    </row>
    <row r="384" spans="1:36" ht="12" hidden="1" customHeight="1">
      <c r="A384" s="8" t="s">
        <v>803</v>
      </c>
      <c r="B384" s="8"/>
      <c r="C384" s="8" t="s">
        <v>448</v>
      </c>
      <c r="D384" s="8"/>
      <c r="E384" s="23">
        <v>44479</v>
      </c>
      <c r="G384" s="42">
        <v>0</v>
      </c>
      <c r="I384" s="42">
        <v>0</v>
      </c>
      <c r="K384" s="42">
        <v>0</v>
      </c>
      <c r="M384" s="42">
        <f t="shared" si="71"/>
        <v>0</v>
      </c>
      <c r="O384" s="42">
        <v>0</v>
      </c>
      <c r="Q384" s="42">
        <v>0</v>
      </c>
      <c r="S384" s="42">
        <v>0</v>
      </c>
      <c r="U384" s="42">
        <v>0</v>
      </c>
      <c r="W384" s="42">
        <v>0</v>
      </c>
      <c r="Y384" s="42">
        <v>0</v>
      </c>
      <c r="AA384" s="42">
        <v>0</v>
      </c>
      <c r="AB384" s="37"/>
      <c r="AC384" s="42">
        <v>0</v>
      </c>
      <c r="AE384" s="42">
        <v>0</v>
      </c>
      <c r="AG384" s="42">
        <f t="shared" si="72"/>
        <v>0</v>
      </c>
      <c r="AH384" s="42"/>
      <c r="AI384" s="42">
        <f t="shared" si="73"/>
        <v>0</v>
      </c>
      <c r="AJ384" s="24"/>
    </row>
    <row r="385" spans="1:35" s="42" customFormat="1" ht="12" customHeight="1">
      <c r="A385" s="9" t="s">
        <v>355</v>
      </c>
      <c r="B385" s="9"/>
      <c r="C385" s="9" t="s">
        <v>37</v>
      </c>
      <c r="D385" s="9"/>
      <c r="E385" s="23">
        <v>47720</v>
      </c>
      <c r="G385" s="42">
        <v>772428</v>
      </c>
      <c r="I385" s="42">
        <v>835067</v>
      </c>
      <c r="K385" s="42">
        <v>0</v>
      </c>
      <c r="M385" s="42">
        <f t="shared" si="71"/>
        <v>1607495</v>
      </c>
      <c r="O385" s="42">
        <f>1959808+224184+37224</f>
        <v>2221216</v>
      </c>
      <c r="Q385" s="42">
        <v>1108837</v>
      </c>
      <c r="S385" s="42">
        <v>5606068</v>
      </c>
      <c r="U385" s="42">
        <v>9070</v>
      </c>
      <c r="W385" s="42">
        <v>0</v>
      </c>
      <c r="Y385" s="42">
        <v>0</v>
      </c>
      <c r="AA385" s="42">
        <v>51981</v>
      </c>
      <c r="AB385" s="37"/>
      <c r="AC385" s="42">
        <v>0</v>
      </c>
      <c r="AE385" s="42">
        <v>0</v>
      </c>
      <c r="AG385" s="42">
        <f t="shared" si="72"/>
        <v>8997172</v>
      </c>
      <c r="AI385" s="42">
        <f t="shared" si="73"/>
        <v>10604667</v>
      </c>
    </row>
    <row r="386" spans="1:35" ht="12" customHeight="1">
      <c r="A386" s="8" t="s">
        <v>225</v>
      </c>
      <c r="B386" s="8"/>
      <c r="C386" s="8" t="s">
        <v>220</v>
      </c>
      <c r="D386" s="8"/>
      <c r="E386" s="23">
        <v>46136</v>
      </c>
      <c r="F386" s="59"/>
      <c r="G386" s="42">
        <v>94152</v>
      </c>
      <c r="I386" s="42">
        <v>1341057</v>
      </c>
      <c r="K386" s="42">
        <v>0</v>
      </c>
      <c r="M386" s="42">
        <f t="shared" si="71"/>
        <v>1435209</v>
      </c>
      <c r="O386" s="42">
        <f>906794+117941+16606</f>
        <v>1041341</v>
      </c>
      <c r="Q386" s="42">
        <v>468984</v>
      </c>
      <c r="S386" s="42">
        <v>4564024</v>
      </c>
      <c r="U386" s="42">
        <v>2182</v>
      </c>
      <c r="W386" s="42">
        <v>0</v>
      </c>
      <c r="Y386" s="42">
        <v>0</v>
      </c>
      <c r="AA386" s="42">
        <v>81187</v>
      </c>
      <c r="AB386" s="37"/>
      <c r="AC386" s="42">
        <v>0</v>
      </c>
      <c r="AE386" s="42">
        <v>0</v>
      </c>
      <c r="AG386" s="42">
        <f t="shared" si="72"/>
        <v>6157718</v>
      </c>
      <c r="AH386" s="42"/>
      <c r="AI386" s="42">
        <f t="shared" si="73"/>
        <v>7592927</v>
      </c>
    </row>
    <row r="387" spans="1:35" s="42" customFormat="1" ht="12" customHeight="1">
      <c r="A387" s="9" t="s">
        <v>533</v>
      </c>
      <c r="B387" s="9"/>
      <c r="C387" s="9" t="s">
        <v>65</v>
      </c>
      <c r="D387" s="9"/>
      <c r="E387" s="23">
        <v>44487</v>
      </c>
      <c r="G387" s="42">
        <v>2739108</v>
      </c>
      <c r="I387" s="42">
        <v>2708870</v>
      </c>
      <c r="K387" s="42">
        <v>12600</v>
      </c>
      <c r="M387" s="42">
        <f t="shared" si="71"/>
        <v>5460578</v>
      </c>
      <c r="O387" s="42">
        <f>11330461+537886+160962</f>
        <v>12029309</v>
      </c>
      <c r="Q387" s="42">
        <v>0</v>
      </c>
      <c r="S387" s="42">
        <v>10893412</v>
      </c>
      <c r="U387" s="42">
        <v>26656</v>
      </c>
      <c r="W387" s="42">
        <v>0</v>
      </c>
      <c r="Y387" s="42">
        <v>0</v>
      </c>
      <c r="AA387" s="42">
        <v>626973</v>
      </c>
      <c r="AB387" s="37"/>
      <c r="AC387" s="42">
        <v>0</v>
      </c>
      <c r="AE387" s="42">
        <v>0</v>
      </c>
      <c r="AG387" s="42">
        <f t="shared" si="72"/>
        <v>23576350</v>
      </c>
      <c r="AI387" s="42">
        <f t="shared" si="73"/>
        <v>29036928</v>
      </c>
    </row>
    <row r="388" spans="1:35" ht="12" customHeight="1">
      <c r="A388" s="8" t="s">
        <v>766</v>
      </c>
      <c r="B388" s="8"/>
      <c r="C388" s="8" t="s">
        <v>112</v>
      </c>
      <c r="D388" s="8"/>
      <c r="E388" s="23">
        <v>45559</v>
      </c>
      <c r="F388" s="59"/>
      <c r="G388" s="42">
        <v>1812739</v>
      </c>
      <c r="I388" s="42">
        <v>1334792</v>
      </c>
      <c r="K388" s="42">
        <v>0</v>
      </c>
      <c r="M388" s="42">
        <f t="shared" si="71"/>
        <v>3147531</v>
      </c>
      <c r="O388" s="42">
        <v>14795221</v>
      </c>
      <c r="Q388" s="42">
        <v>0</v>
      </c>
      <c r="S388" s="42">
        <v>11858328</v>
      </c>
      <c r="U388" s="42">
        <v>147373</v>
      </c>
      <c r="W388" s="42">
        <v>0</v>
      </c>
      <c r="Y388" s="42">
        <v>0</v>
      </c>
      <c r="AA388" s="42">
        <v>134884</v>
      </c>
      <c r="AB388" s="37"/>
      <c r="AC388" s="42">
        <v>0</v>
      </c>
      <c r="AE388" s="42">
        <v>0</v>
      </c>
      <c r="AG388" s="42">
        <f t="shared" si="72"/>
        <v>26935806</v>
      </c>
      <c r="AH388" s="42"/>
      <c r="AI388" s="42">
        <f t="shared" si="73"/>
        <v>30083337</v>
      </c>
    </row>
    <row r="389" spans="1:35" ht="12" hidden="1" customHeight="1">
      <c r="A389" s="8" t="s">
        <v>804</v>
      </c>
      <c r="B389" s="8"/>
      <c r="C389" s="8" t="s">
        <v>60</v>
      </c>
      <c r="D389" s="8"/>
      <c r="E389" s="23">
        <v>49718</v>
      </c>
      <c r="F389" s="59"/>
      <c r="G389" s="42">
        <v>0</v>
      </c>
      <c r="I389" s="42">
        <v>0</v>
      </c>
      <c r="K389" s="42">
        <v>0</v>
      </c>
      <c r="M389" s="42">
        <f t="shared" ref="M389" si="74">SUM(G389:L389)</f>
        <v>0</v>
      </c>
      <c r="O389" s="42">
        <v>0</v>
      </c>
      <c r="Q389" s="42">
        <v>0</v>
      </c>
      <c r="S389" s="42">
        <v>0</v>
      </c>
      <c r="U389" s="42">
        <v>0</v>
      </c>
      <c r="W389" s="42">
        <v>0</v>
      </c>
      <c r="Y389" s="42">
        <v>0</v>
      </c>
      <c r="AA389" s="42">
        <v>0</v>
      </c>
      <c r="AB389" s="37"/>
      <c r="AC389" s="42">
        <v>0</v>
      </c>
      <c r="AE389" s="42">
        <v>0</v>
      </c>
      <c r="AG389" s="42">
        <f t="shared" ref="AG389" si="75">SUM(O389:AE389)</f>
        <v>0</v>
      </c>
      <c r="AH389" s="42"/>
      <c r="AI389" s="42">
        <f t="shared" ref="AI389" si="76">+AG389+M389</f>
        <v>0</v>
      </c>
    </row>
    <row r="390" spans="1:35" ht="12" customHeight="1">
      <c r="A390" s="8" t="s">
        <v>374</v>
      </c>
      <c r="B390" s="8"/>
      <c r="C390" s="8" t="s">
        <v>42</v>
      </c>
      <c r="D390" s="8"/>
      <c r="E390" s="23">
        <v>44453</v>
      </c>
      <c r="G390" s="42">
        <v>1763834</v>
      </c>
      <c r="I390" s="42">
        <v>11169227</v>
      </c>
      <c r="K390" s="42">
        <v>405000</v>
      </c>
      <c r="M390" s="42">
        <f t="shared" si="71"/>
        <v>13338061</v>
      </c>
      <c r="O390" s="42">
        <f>19435032+3521282+943709+412881</f>
        <v>24312904</v>
      </c>
      <c r="Q390" s="42">
        <v>8119680</v>
      </c>
      <c r="S390" s="42">
        <v>28256565</v>
      </c>
      <c r="U390" s="42">
        <v>48591</v>
      </c>
      <c r="W390" s="42">
        <v>8504</v>
      </c>
      <c r="Y390" s="42">
        <v>0</v>
      </c>
      <c r="AA390" s="42">
        <f>56789+461302</f>
        <v>518091</v>
      </c>
      <c r="AB390" s="37"/>
      <c r="AC390" s="42">
        <v>0</v>
      </c>
      <c r="AE390" s="42">
        <v>0</v>
      </c>
      <c r="AG390" s="42">
        <f t="shared" si="72"/>
        <v>61264335</v>
      </c>
      <c r="AH390" s="42"/>
      <c r="AI390" s="42">
        <f t="shared" si="73"/>
        <v>74602396</v>
      </c>
    </row>
    <row r="391" spans="1:35" ht="12" hidden="1" customHeight="1">
      <c r="A391" s="8" t="s">
        <v>867</v>
      </c>
      <c r="B391" s="8"/>
      <c r="C391" s="8" t="s">
        <v>30</v>
      </c>
      <c r="D391" s="8"/>
      <c r="E391" s="23">
        <v>47217</v>
      </c>
      <c r="G391" s="42">
        <v>0</v>
      </c>
      <c r="I391" s="42">
        <v>0</v>
      </c>
      <c r="K391" s="42">
        <v>0</v>
      </c>
      <c r="M391" s="42">
        <f t="shared" si="71"/>
        <v>0</v>
      </c>
      <c r="O391" s="42">
        <v>0</v>
      </c>
      <c r="Q391" s="42">
        <v>0</v>
      </c>
      <c r="S391" s="42">
        <v>0</v>
      </c>
      <c r="U391" s="42">
        <v>0</v>
      </c>
      <c r="W391" s="42">
        <v>0</v>
      </c>
      <c r="Y391" s="42">
        <v>0</v>
      </c>
      <c r="AA391" s="42">
        <v>0</v>
      </c>
      <c r="AB391" s="37"/>
      <c r="AC391" s="42">
        <v>0</v>
      </c>
      <c r="AE391" s="42">
        <v>0</v>
      </c>
      <c r="AG391" s="42">
        <f t="shared" si="72"/>
        <v>0</v>
      </c>
      <c r="AH391" s="42"/>
      <c r="AI391" s="42">
        <f t="shared" si="73"/>
        <v>0</v>
      </c>
    </row>
    <row r="392" spans="1:35" ht="12" customHeight="1">
      <c r="A392" s="8" t="s">
        <v>767</v>
      </c>
      <c r="B392" s="8"/>
      <c r="C392" s="8" t="s">
        <v>65</v>
      </c>
      <c r="D392" s="8"/>
      <c r="E392" s="23">
        <v>45542</v>
      </c>
      <c r="G392" s="42">
        <v>1109373</v>
      </c>
      <c r="I392" s="42">
        <v>2229157</v>
      </c>
      <c r="K392" s="42">
        <v>0</v>
      </c>
      <c r="M392" s="42">
        <f t="shared" si="71"/>
        <v>3338530</v>
      </c>
      <c r="O392" s="42">
        <f>2681202+35058+179631</f>
        <v>2895891</v>
      </c>
      <c r="Q392" s="42">
        <v>0</v>
      </c>
      <c r="S392" s="42">
        <v>5327727</v>
      </c>
      <c r="U392" s="42">
        <v>17</v>
      </c>
      <c r="W392" s="42">
        <v>0</v>
      </c>
      <c r="Y392" s="42">
        <v>0</v>
      </c>
      <c r="AA392" s="42">
        <v>150229</v>
      </c>
      <c r="AB392" s="37"/>
      <c r="AC392" s="42">
        <v>0</v>
      </c>
      <c r="AE392" s="42">
        <v>0</v>
      </c>
      <c r="AG392" s="42">
        <f t="shared" si="72"/>
        <v>8373864</v>
      </c>
      <c r="AH392" s="42"/>
      <c r="AI392" s="42">
        <f t="shared" si="73"/>
        <v>11712394</v>
      </c>
    </row>
    <row r="393" spans="1:35" ht="12" customHeight="1">
      <c r="A393" s="8" t="s">
        <v>768</v>
      </c>
      <c r="B393" s="8"/>
      <c r="C393" s="8" t="s">
        <v>64</v>
      </c>
      <c r="D393" s="8"/>
      <c r="E393" s="23">
        <v>45567</v>
      </c>
      <c r="G393" s="42">
        <v>660756</v>
      </c>
      <c r="I393" s="42">
        <v>1169353</v>
      </c>
      <c r="K393" s="42">
        <v>0</v>
      </c>
      <c r="M393" s="42">
        <f t="shared" si="71"/>
        <v>1830109</v>
      </c>
      <c r="O393" s="42">
        <f>2645880+236529+44049</f>
        <v>2926458</v>
      </c>
      <c r="Q393" s="42">
        <v>0</v>
      </c>
      <c r="S393" s="42">
        <v>7714092</v>
      </c>
      <c r="U393" s="42">
        <v>4901</v>
      </c>
      <c r="W393" s="42">
        <v>0</v>
      </c>
      <c r="Y393" s="42">
        <v>0</v>
      </c>
      <c r="AA393" s="42">
        <v>45879</v>
      </c>
      <c r="AB393" s="37"/>
      <c r="AC393" s="42">
        <v>0</v>
      </c>
      <c r="AE393" s="42">
        <v>0</v>
      </c>
      <c r="AG393" s="42">
        <f t="shared" si="72"/>
        <v>10691330</v>
      </c>
      <c r="AH393" s="42"/>
      <c r="AI393" s="42">
        <f t="shared" si="73"/>
        <v>12521439</v>
      </c>
    </row>
    <row r="394" spans="1:35" ht="12" hidden="1" customHeight="1">
      <c r="A394" s="8" t="s">
        <v>805</v>
      </c>
      <c r="B394" s="8"/>
      <c r="C394" s="8" t="s">
        <v>48</v>
      </c>
      <c r="D394" s="8"/>
      <c r="E394" s="23">
        <v>48637</v>
      </c>
      <c r="G394" s="42">
        <v>0</v>
      </c>
      <c r="I394" s="42">
        <v>0</v>
      </c>
      <c r="K394" s="42">
        <v>0</v>
      </c>
      <c r="M394" s="42">
        <f t="shared" si="71"/>
        <v>0</v>
      </c>
      <c r="O394" s="42">
        <v>0</v>
      </c>
      <c r="Q394" s="42">
        <v>0</v>
      </c>
      <c r="S394" s="42">
        <v>0</v>
      </c>
      <c r="U394" s="42">
        <v>0</v>
      </c>
      <c r="W394" s="42">
        <v>0</v>
      </c>
      <c r="Y394" s="42">
        <v>0</v>
      </c>
      <c r="AA394" s="42">
        <v>0</v>
      </c>
      <c r="AB394" s="37"/>
      <c r="AC394" s="42">
        <v>0</v>
      </c>
      <c r="AE394" s="42">
        <v>0</v>
      </c>
      <c r="AG394" s="42">
        <f t="shared" si="72"/>
        <v>0</v>
      </c>
      <c r="AH394" s="42"/>
      <c r="AI394" s="42">
        <f t="shared" si="73"/>
        <v>0</v>
      </c>
    </row>
    <row r="395" spans="1:35" ht="12" customHeight="1">
      <c r="A395" s="8" t="s">
        <v>601</v>
      </c>
      <c r="B395" s="8"/>
      <c r="C395" s="8" t="s">
        <v>64</v>
      </c>
      <c r="D395" s="8"/>
      <c r="E395" s="23">
        <v>44495</v>
      </c>
      <c r="G395" s="42">
        <v>1451966</v>
      </c>
      <c r="I395" s="42">
        <v>2447592</v>
      </c>
      <c r="K395" s="42">
        <v>0</v>
      </c>
      <c r="M395" s="42">
        <f t="shared" si="71"/>
        <v>3899558</v>
      </c>
      <c r="O395" s="42">
        <f>6644374+1498001+195533</f>
        <v>8337908</v>
      </c>
      <c r="Q395" s="42">
        <v>0</v>
      </c>
      <c r="S395" s="42">
        <v>15597254</v>
      </c>
      <c r="U395" s="42">
        <v>477951</v>
      </c>
      <c r="W395" s="42">
        <v>0</v>
      </c>
      <c r="Y395" s="42">
        <v>0</v>
      </c>
      <c r="AA395" s="42">
        <v>46829</v>
      </c>
      <c r="AB395" s="37"/>
      <c r="AC395" s="42">
        <v>0</v>
      </c>
      <c r="AE395" s="42">
        <v>0</v>
      </c>
      <c r="AG395" s="42">
        <f t="shared" si="72"/>
        <v>24459942</v>
      </c>
      <c r="AH395" s="42"/>
      <c r="AI395" s="42">
        <f t="shared" si="73"/>
        <v>28359500</v>
      </c>
    </row>
    <row r="396" spans="1:35" ht="12" customHeight="1">
      <c r="A396" s="8" t="s">
        <v>446</v>
      </c>
      <c r="B396" s="8"/>
      <c r="C396" s="8" t="s">
        <v>52</v>
      </c>
      <c r="D396" s="8"/>
      <c r="E396" s="23">
        <v>48900</v>
      </c>
      <c r="G396" s="42">
        <v>1094922</v>
      </c>
      <c r="I396" s="42">
        <v>1535676</v>
      </c>
      <c r="K396" s="42">
        <v>0</v>
      </c>
      <c r="M396" s="42">
        <f t="shared" si="71"/>
        <v>2630598</v>
      </c>
      <c r="O396" s="42">
        <v>4344265</v>
      </c>
      <c r="Q396" s="42">
        <v>0</v>
      </c>
      <c r="S396" s="42">
        <v>5497963</v>
      </c>
      <c r="U396" s="42">
        <v>30473</v>
      </c>
      <c r="W396" s="42">
        <v>0</v>
      </c>
      <c r="Y396" s="42">
        <v>2948</v>
      </c>
      <c r="AA396" s="42">
        <v>42381</v>
      </c>
      <c r="AB396" s="37"/>
      <c r="AC396" s="42">
        <v>0</v>
      </c>
      <c r="AE396" s="42">
        <v>0</v>
      </c>
      <c r="AG396" s="42">
        <f t="shared" si="72"/>
        <v>9918030</v>
      </c>
      <c r="AH396" s="42"/>
      <c r="AI396" s="42">
        <f t="shared" si="73"/>
        <v>12548628</v>
      </c>
    </row>
    <row r="397" spans="1:35" ht="12" customHeight="1">
      <c r="A397" s="8" t="s">
        <v>507</v>
      </c>
      <c r="B397" s="8"/>
      <c r="C397" s="8" t="s">
        <v>63</v>
      </c>
      <c r="D397" s="8"/>
      <c r="E397" s="23">
        <v>50047</v>
      </c>
      <c r="G397" s="42">
        <v>2928659</v>
      </c>
      <c r="I397" s="42">
        <v>2728430</v>
      </c>
      <c r="K397" s="42">
        <v>0</v>
      </c>
      <c r="M397" s="42">
        <f t="shared" si="71"/>
        <v>5657089</v>
      </c>
      <c r="O397" s="42">
        <f>26454225+2785818+15</f>
        <v>29240058</v>
      </c>
      <c r="Q397" s="42">
        <v>0</v>
      </c>
      <c r="S397" s="42">
        <v>11278886</v>
      </c>
      <c r="U397" s="42">
        <v>13741</v>
      </c>
      <c r="W397" s="42">
        <v>225094</v>
      </c>
      <c r="Y397" s="42">
        <v>0</v>
      </c>
      <c r="AA397" s="42">
        <f>5295+77924</f>
        <v>83219</v>
      </c>
      <c r="AB397" s="37"/>
      <c r="AC397" s="42">
        <v>0</v>
      </c>
      <c r="AE397" s="42">
        <v>0</v>
      </c>
      <c r="AG397" s="42">
        <f t="shared" si="72"/>
        <v>40840998</v>
      </c>
      <c r="AH397" s="42"/>
      <c r="AI397" s="42">
        <f t="shared" si="73"/>
        <v>46498087</v>
      </c>
    </row>
    <row r="398" spans="1:35" ht="12" customHeight="1">
      <c r="A398" s="8" t="s">
        <v>551</v>
      </c>
      <c r="B398" s="8"/>
      <c r="C398" s="8" t="s">
        <v>72</v>
      </c>
      <c r="D398" s="8"/>
      <c r="E398" s="23">
        <v>50708</v>
      </c>
      <c r="G398" s="42">
        <v>351699</v>
      </c>
      <c r="I398" s="42">
        <v>575807</v>
      </c>
      <c r="K398" s="42">
        <v>0</v>
      </c>
      <c r="M398" s="42">
        <f t="shared" si="71"/>
        <v>927506</v>
      </c>
      <c r="O398" s="42">
        <f>2370397+602085+97826</f>
        <v>3070308</v>
      </c>
      <c r="Q398" s="42">
        <v>867473</v>
      </c>
      <c r="S398" s="42">
        <v>4222026</v>
      </c>
      <c r="U398" s="42">
        <v>5166</v>
      </c>
      <c r="W398" s="42">
        <v>413736</v>
      </c>
      <c r="Y398" s="42">
        <v>0</v>
      </c>
      <c r="AA398" s="42">
        <v>156044</v>
      </c>
      <c r="AB398" s="37"/>
      <c r="AC398" s="42">
        <v>0</v>
      </c>
      <c r="AE398" s="42">
        <v>0</v>
      </c>
      <c r="AG398" s="42">
        <f t="shared" si="72"/>
        <v>8734753</v>
      </c>
      <c r="AH398" s="42"/>
      <c r="AI398" s="42">
        <f t="shared" si="73"/>
        <v>9662259</v>
      </c>
    </row>
    <row r="399" spans="1:35" ht="12" hidden="1" customHeight="1">
      <c r="A399" s="8" t="s">
        <v>807</v>
      </c>
      <c r="B399" s="8"/>
      <c r="C399" s="8" t="s">
        <v>53</v>
      </c>
      <c r="D399" s="8"/>
      <c r="E399" s="23">
        <v>48967</v>
      </c>
      <c r="G399" s="42">
        <v>0</v>
      </c>
      <c r="I399" s="42">
        <v>0</v>
      </c>
      <c r="K399" s="42">
        <v>0</v>
      </c>
      <c r="M399" s="42">
        <f t="shared" si="71"/>
        <v>0</v>
      </c>
      <c r="O399" s="42">
        <v>0</v>
      </c>
      <c r="Q399" s="42">
        <v>0</v>
      </c>
      <c r="S399" s="42">
        <v>0</v>
      </c>
      <c r="U399" s="42">
        <v>0</v>
      </c>
      <c r="W399" s="42">
        <v>0</v>
      </c>
      <c r="Y399" s="42">
        <v>0</v>
      </c>
      <c r="AA399" s="42">
        <v>0</v>
      </c>
      <c r="AB399" s="37"/>
      <c r="AC399" s="42">
        <v>0</v>
      </c>
      <c r="AE399" s="42">
        <v>0</v>
      </c>
      <c r="AG399" s="42">
        <f t="shared" si="72"/>
        <v>0</v>
      </c>
      <c r="AH399" s="42"/>
      <c r="AI399" s="42">
        <f t="shared" si="73"/>
        <v>0</v>
      </c>
    </row>
    <row r="400" spans="1:35" ht="12" customHeight="1">
      <c r="A400" s="8" t="s">
        <v>499</v>
      </c>
      <c r="B400" s="8"/>
      <c r="C400" s="8" t="s">
        <v>62</v>
      </c>
      <c r="D400" s="8"/>
      <c r="E400" s="23">
        <v>44503</v>
      </c>
      <c r="G400" s="42">
        <v>2665000</v>
      </c>
      <c r="I400" s="42">
        <v>3296032</v>
      </c>
      <c r="K400" s="42">
        <v>0</v>
      </c>
      <c r="M400" s="42">
        <f t="shared" si="71"/>
        <v>5961032</v>
      </c>
      <c r="O400" s="42">
        <f>21481060+1290340</f>
        <v>22771400</v>
      </c>
      <c r="Q400" s="42">
        <v>0</v>
      </c>
      <c r="S400" s="42">
        <v>15765598</v>
      </c>
      <c r="U400" s="42">
        <v>26809</v>
      </c>
      <c r="W400" s="42">
        <v>0</v>
      </c>
      <c r="Y400" s="42">
        <v>0</v>
      </c>
      <c r="AA400" s="42">
        <v>264279</v>
      </c>
      <c r="AB400" s="37"/>
      <c r="AC400" s="42">
        <v>0</v>
      </c>
      <c r="AE400" s="42">
        <v>0</v>
      </c>
      <c r="AG400" s="42">
        <f t="shared" si="72"/>
        <v>38828086</v>
      </c>
      <c r="AH400" s="42"/>
      <c r="AI400" s="42">
        <f t="shared" si="73"/>
        <v>44789118</v>
      </c>
    </row>
    <row r="401" spans="1:35" ht="12" hidden="1" customHeight="1">
      <c r="A401" s="8" t="s">
        <v>808</v>
      </c>
      <c r="B401" s="8"/>
      <c r="C401" s="8" t="s">
        <v>548</v>
      </c>
      <c r="D401" s="8"/>
      <c r="E401" s="23">
        <v>50641</v>
      </c>
      <c r="G401" s="42">
        <v>0</v>
      </c>
      <c r="I401" s="42">
        <v>0</v>
      </c>
      <c r="K401" s="42">
        <v>0</v>
      </c>
      <c r="M401" s="42">
        <f t="shared" si="71"/>
        <v>0</v>
      </c>
      <c r="O401" s="42">
        <v>0</v>
      </c>
      <c r="Q401" s="42">
        <v>0</v>
      </c>
      <c r="S401" s="42">
        <v>0</v>
      </c>
      <c r="U401" s="42">
        <v>0</v>
      </c>
      <c r="W401" s="42">
        <v>0</v>
      </c>
      <c r="Y401" s="42">
        <v>0</v>
      </c>
      <c r="AA401" s="42">
        <v>0</v>
      </c>
      <c r="AB401" s="37"/>
      <c r="AC401" s="42">
        <v>0</v>
      </c>
      <c r="AE401" s="42">
        <v>0</v>
      </c>
      <c r="AG401" s="42">
        <f t="shared" si="72"/>
        <v>0</v>
      </c>
      <c r="AH401" s="42"/>
      <c r="AI401" s="42">
        <f t="shared" si="73"/>
        <v>0</v>
      </c>
    </row>
    <row r="402" spans="1:35" ht="12" customHeight="1">
      <c r="A402" s="8" t="s">
        <v>703</v>
      </c>
      <c r="B402" s="8"/>
      <c r="C402" s="8" t="s">
        <v>32</v>
      </c>
      <c r="D402" s="8"/>
      <c r="E402" s="23">
        <v>44511</v>
      </c>
      <c r="G402" s="42">
        <v>438687</v>
      </c>
      <c r="I402" s="42">
        <v>2316044</v>
      </c>
      <c r="K402" s="42">
        <v>56579</v>
      </c>
      <c r="M402" s="42">
        <f t="shared" si="71"/>
        <v>2811310</v>
      </c>
      <c r="O402" s="42">
        <f>3401651+366718+585826</f>
        <v>4354195</v>
      </c>
      <c r="Q402" s="42">
        <v>0</v>
      </c>
      <c r="S402" s="42">
        <v>8411191</v>
      </c>
      <c r="U402" s="42">
        <v>1560</v>
      </c>
      <c r="W402" s="42">
        <v>0</v>
      </c>
      <c r="Y402" s="42">
        <v>0</v>
      </c>
      <c r="AA402" s="42">
        <v>108413</v>
      </c>
      <c r="AB402" s="37"/>
      <c r="AC402" s="42">
        <v>0</v>
      </c>
      <c r="AE402" s="42">
        <v>0</v>
      </c>
      <c r="AG402" s="42">
        <f t="shared" si="72"/>
        <v>12875359</v>
      </c>
      <c r="AH402" s="42"/>
      <c r="AI402" s="42">
        <f t="shared" si="73"/>
        <v>15686669</v>
      </c>
    </row>
    <row r="403" spans="1:35" ht="12" customHeight="1">
      <c r="A403" s="8" t="s">
        <v>375</v>
      </c>
      <c r="B403" s="8"/>
      <c r="C403" s="8" t="s">
        <v>42</v>
      </c>
      <c r="D403" s="8"/>
      <c r="E403" s="23">
        <v>48025</v>
      </c>
      <c r="G403" s="42">
        <v>1334708</v>
      </c>
      <c r="I403" s="42">
        <v>2272363</v>
      </c>
      <c r="K403" s="42">
        <v>0</v>
      </c>
      <c r="M403" s="42">
        <f t="shared" si="71"/>
        <v>3607071</v>
      </c>
      <c r="O403" s="42">
        <f>4454242+748180+100810+90572</f>
        <v>5393804</v>
      </c>
      <c r="Q403" s="42">
        <v>1944326</v>
      </c>
      <c r="S403" s="42">
        <v>7860513</v>
      </c>
      <c r="U403" s="42">
        <v>12949</v>
      </c>
      <c r="W403" s="42">
        <v>0</v>
      </c>
      <c r="Y403" s="42">
        <v>0</v>
      </c>
      <c r="AA403" s="42">
        <v>170772</v>
      </c>
      <c r="AB403" s="37"/>
      <c r="AC403" s="42">
        <v>0</v>
      </c>
      <c r="AE403" s="42">
        <v>0</v>
      </c>
      <c r="AG403" s="42">
        <f t="shared" si="72"/>
        <v>15382364</v>
      </c>
      <c r="AH403" s="42"/>
      <c r="AI403" s="42">
        <f t="shared" si="73"/>
        <v>18989435</v>
      </c>
    </row>
    <row r="404" spans="1:35" ht="12" customHeight="1">
      <c r="A404" s="8" t="s">
        <v>269</v>
      </c>
      <c r="B404" s="8"/>
      <c r="C404" s="8" t="s">
        <v>20</v>
      </c>
      <c r="D404" s="8"/>
      <c r="E404" s="23">
        <v>44529</v>
      </c>
      <c r="G404" s="42">
        <v>1994224</v>
      </c>
      <c r="I404" s="42">
        <v>3139788</v>
      </c>
      <c r="K404" s="42">
        <v>0</v>
      </c>
      <c r="M404" s="42">
        <f t="shared" ref="M404:M408" si="77">SUM(G404:L404)</f>
        <v>5134012</v>
      </c>
      <c r="O404" s="42">
        <f>38849652+985522</f>
        <v>39835174</v>
      </c>
      <c r="Q404" s="42">
        <v>0</v>
      </c>
      <c r="S404" s="42">
        <v>13332467</v>
      </c>
      <c r="U404" s="42">
        <v>35853</v>
      </c>
      <c r="W404" s="42">
        <v>0</v>
      </c>
      <c r="Y404" s="42">
        <v>0</v>
      </c>
      <c r="AA404" s="42">
        <v>590392</v>
      </c>
      <c r="AB404" s="37"/>
      <c r="AC404" s="42">
        <v>0</v>
      </c>
      <c r="AE404" s="42">
        <v>0</v>
      </c>
      <c r="AG404" s="42">
        <f t="shared" ref="AG404:AG450" si="78">SUM(O404:AE404)</f>
        <v>53793886</v>
      </c>
      <c r="AH404" s="42"/>
      <c r="AI404" s="42">
        <f t="shared" ref="AI404:AI450" si="79">+AG404+M404</f>
        <v>58927898</v>
      </c>
    </row>
    <row r="405" spans="1:35" ht="12" customHeight="1">
      <c r="A405" s="8" t="s">
        <v>385</v>
      </c>
      <c r="B405" s="8"/>
      <c r="C405" s="8" t="s">
        <v>44</v>
      </c>
      <c r="D405" s="8"/>
      <c r="E405" s="23">
        <v>44537</v>
      </c>
      <c r="G405" s="42">
        <v>1979203</v>
      </c>
      <c r="I405" s="42">
        <v>2280113</v>
      </c>
      <c r="K405" s="42">
        <v>0</v>
      </c>
      <c r="M405" s="42">
        <f t="shared" si="77"/>
        <v>4259316</v>
      </c>
      <c r="O405" s="42">
        <f>20843196+310975+658964</f>
        <v>21813135</v>
      </c>
      <c r="Q405" s="42">
        <v>0</v>
      </c>
      <c r="S405" s="42">
        <v>12191341</v>
      </c>
      <c r="U405" s="42">
        <v>7968</v>
      </c>
      <c r="W405" s="42">
        <v>0</v>
      </c>
      <c r="Y405" s="42">
        <v>0</v>
      </c>
      <c r="AA405" s="42">
        <v>899686</v>
      </c>
      <c r="AB405" s="37"/>
      <c r="AC405" s="42">
        <v>0</v>
      </c>
      <c r="AE405" s="42">
        <v>0</v>
      </c>
      <c r="AG405" s="42">
        <f t="shared" si="78"/>
        <v>34912130</v>
      </c>
      <c r="AH405" s="42"/>
      <c r="AI405" s="42">
        <f t="shared" si="79"/>
        <v>39171446</v>
      </c>
    </row>
    <row r="406" spans="1:35" ht="12" customHeight="1">
      <c r="A406" s="8" t="s">
        <v>270</v>
      </c>
      <c r="B406" s="8"/>
      <c r="C406" s="8" t="s">
        <v>20</v>
      </c>
      <c r="D406" s="8"/>
      <c r="E406" s="23">
        <v>44545</v>
      </c>
      <c r="G406" s="42">
        <v>2125027</v>
      </c>
      <c r="I406" s="42">
        <v>2683068</v>
      </c>
      <c r="K406" s="42">
        <v>314693</v>
      </c>
      <c r="M406" s="42">
        <f t="shared" si="77"/>
        <v>5122788</v>
      </c>
      <c r="O406" s="42">
        <f>35512106+1643245+919978</f>
        <v>38075329</v>
      </c>
      <c r="Q406" s="42">
        <v>0</v>
      </c>
      <c r="S406" s="42">
        <v>10352797</v>
      </c>
      <c r="U406" s="42">
        <v>2574</v>
      </c>
      <c r="W406" s="42">
        <v>0</v>
      </c>
      <c r="Y406" s="42">
        <v>0</v>
      </c>
      <c r="AA406" s="42">
        <v>186824</v>
      </c>
      <c r="AB406" s="37"/>
      <c r="AC406" s="42">
        <v>0</v>
      </c>
      <c r="AE406" s="42">
        <v>0</v>
      </c>
      <c r="AG406" s="42">
        <f t="shared" si="78"/>
        <v>48617524</v>
      </c>
      <c r="AH406" s="42"/>
      <c r="AI406" s="42">
        <f t="shared" si="79"/>
        <v>53740312</v>
      </c>
    </row>
    <row r="407" spans="1:35" ht="12" customHeight="1">
      <c r="A407" s="8" t="s">
        <v>536</v>
      </c>
      <c r="B407" s="8"/>
      <c r="C407" s="8" t="s">
        <v>66</v>
      </c>
      <c r="D407" s="8"/>
      <c r="E407" s="23">
        <v>50336</v>
      </c>
      <c r="G407" s="42">
        <v>1508238</v>
      </c>
      <c r="I407" s="42">
        <v>1614914</v>
      </c>
      <c r="K407" s="42">
        <v>4698</v>
      </c>
      <c r="M407" s="42">
        <f t="shared" si="77"/>
        <v>3127850</v>
      </c>
      <c r="O407" s="42">
        <f>4109653+65039+769464+163536</f>
        <v>5107692</v>
      </c>
      <c r="Q407" s="42">
        <v>1772446</v>
      </c>
      <c r="S407" s="42">
        <v>7239482</v>
      </c>
      <c r="U407" s="42">
        <v>70277</v>
      </c>
      <c r="W407" s="42">
        <v>0</v>
      </c>
      <c r="Y407" s="42">
        <v>28825</v>
      </c>
      <c r="AA407" s="42">
        <v>146523</v>
      </c>
      <c r="AB407" s="37"/>
      <c r="AC407" s="42">
        <v>0</v>
      </c>
      <c r="AE407" s="42">
        <v>0</v>
      </c>
      <c r="AG407" s="42">
        <f t="shared" si="78"/>
        <v>14365245</v>
      </c>
      <c r="AH407" s="42"/>
      <c r="AI407" s="42">
        <f t="shared" si="79"/>
        <v>17493095</v>
      </c>
    </row>
    <row r="408" spans="1:35" ht="12" customHeight="1">
      <c r="A408" s="8" t="s">
        <v>231</v>
      </c>
      <c r="B408" s="8"/>
      <c r="C408" s="8" t="s">
        <v>17</v>
      </c>
      <c r="D408" s="8"/>
      <c r="E408" s="23">
        <v>46250</v>
      </c>
      <c r="F408" s="59"/>
      <c r="G408" s="42">
        <v>3231941</v>
      </c>
      <c r="I408" s="42">
        <v>2221943</v>
      </c>
      <c r="K408" s="42">
        <v>0</v>
      </c>
      <c r="M408" s="42">
        <f t="shared" si="77"/>
        <v>5453884</v>
      </c>
      <c r="O408" s="42">
        <v>10512421</v>
      </c>
      <c r="Q408" s="42">
        <v>0</v>
      </c>
      <c r="S408" s="42">
        <v>14768569</v>
      </c>
      <c r="U408" s="42">
        <v>13787</v>
      </c>
      <c r="W408" s="42">
        <v>0</v>
      </c>
      <c r="Y408" s="42">
        <v>87209</v>
      </c>
      <c r="AA408" s="42">
        <f>9716+240+36545</f>
        <v>46501</v>
      </c>
      <c r="AB408" s="37"/>
      <c r="AC408" s="42">
        <v>0</v>
      </c>
      <c r="AE408" s="42">
        <v>0</v>
      </c>
      <c r="AG408" s="42">
        <f t="shared" si="78"/>
        <v>25428487</v>
      </c>
      <c r="AH408" s="42"/>
      <c r="AI408" s="42">
        <f t="shared" si="79"/>
        <v>30882371</v>
      </c>
    </row>
    <row r="409" spans="1:35" ht="12" hidden="1" customHeight="1">
      <c r="A409" s="8" t="s">
        <v>809</v>
      </c>
      <c r="B409" s="8"/>
      <c r="C409" s="8" t="s">
        <v>22</v>
      </c>
      <c r="D409" s="8"/>
      <c r="E409" s="23">
        <v>46722</v>
      </c>
      <c r="G409" s="42">
        <v>0</v>
      </c>
      <c r="I409" s="42">
        <v>0</v>
      </c>
      <c r="K409" s="42">
        <v>0</v>
      </c>
      <c r="M409" s="42">
        <f t="shared" ref="M409:M450" si="80">SUM(G409:L409)</f>
        <v>0</v>
      </c>
      <c r="O409" s="42">
        <v>0</v>
      </c>
      <c r="Q409" s="42">
        <v>0</v>
      </c>
      <c r="S409" s="42">
        <v>0</v>
      </c>
      <c r="U409" s="42">
        <v>0</v>
      </c>
      <c r="W409" s="42">
        <v>0</v>
      </c>
      <c r="Y409" s="42">
        <v>0</v>
      </c>
      <c r="AA409" s="42">
        <v>0</v>
      </c>
      <c r="AB409" s="37"/>
      <c r="AC409" s="42">
        <v>0</v>
      </c>
      <c r="AE409" s="42">
        <v>0</v>
      </c>
      <c r="AG409" s="42">
        <f t="shared" si="78"/>
        <v>0</v>
      </c>
      <c r="AH409" s="42"/>
      <c r="AI409" s="42">
        <f t="shared" si="79"/>
        <v>0</v>
      </c>
    </row>
    <row r="410" spans="1:35" ht="12" hidden="1" customHeight="1">
      <c r="A410" s="8" t="s">
        <v>810</v>
      </c>
      <c r="B410" s="8"/>
      <c r="C410" s="8" t="s">
        <v>448</v>
      </c>
      <c r="D410" s="8"/>
      <c r="E410" s="23">
        <v>49056</v>
      </c>
      <c r="G410" s="42">
        <v>0</v>
      </c>
      <c r="I410" s="42">
        <v>0</v>
      </c>
      <c r="K410" s="42">
        <v>0</v>
      </c>
      <c r="M410" s="42">
        <f t="shared" si="80"/>
        <v>0</v>
      </c>
      <c r="O410" s="42">
        <v>0</v>
      </c>
      <c r="Q410" s="42">
        <v>0</v>
      </c>
      <c r="S410" s="42">
        <v>0</v>
      </c>
      <c r="U410" s="42">
        <v>0</v>
      </c>
      <c r="W410" s="42">
        <v>0</v>
      </c>
      <c r="Y410" s="42">
        <v>0</v>
      </c>
      <c r="AA410" s="42">
        <v>0</v>
      </c>
      <c r="AB410" s="37"/>
      <c r="AC410" s="42">
        <v>0</v>
      </c>
      <c r="AE410" s="42">
        <v>0</v>
      </c>
      <c r="AG410" s="42">
        <f t="shared" ref="AG410" si="81">SUM(O410:AE410)</f>
        <v>0</v>
      </c>
      <c r="AH410" s="42"/>
      <c r="AI410" s="42">
        <f t="shared" ref="AI410" si="82">+AG410+M410</f>
        <v>0</v>
      </c>
    </row>
    <row r="411" spans="1:35" ht="12" customHeight="1">
      <c r="A411" s="8" t="s">
        <v>431</v>
      </c>
      <c r="B411" s="8"/>
      <c r="C411" s="8" t="s">
        <v>50</v>
      </c>
      <c r="D411" s="8"/>
      <c r="E411" s="23">
        <v>48728</v>
      </c>
      <c r="G411" s="42">
        <v>3866968</v>
      </c>
      <c r="I411" s="42">
        <v>4928181</v>
      </c>
      <c r="K411" s="42">
        <v>0</v>
      </c>
      <c r="M411" s="42">
        <f t="shared" si="80"/>
        <v>8795149</v>
      </c>
      <c r="O411" s="42">
        <f>23717368+2225162+587798</f>
        <v>26530328</v>
      </c>
      <c r="Q411" s="42">
        <v>0</v>
      </c>
      <c r="S411" s="42">
        <v>21882885</v>
      </c>
      <c r="U411" s="42">
        <v>18110</v>
      </c>
      <c r="W411" s="42">
        <v>881063</v>
      </c>
      <c r="Y411" s="42">
        <v>116271</v>
      </c>
      <c r="AA411" s="42">
        <v>212389</v>
      </c>
      <c r="AB411" s="37"/>
      <c r="AC411" s="42">
        <v>0</v>
      </c>
      <c r="AE411" s="42">
        <v>0</v>
      </c>
      <c r="AG411" s="42">
        <f t="shared" ref="AG411:AG413" si="83">SUM(O411:AE411)</f>
        <v>49641046</v>
      </c>
      <c r="AH411" s="42"/>
      <c r="AI411" s="42">
        <f t="shared" si="79"/>
        <v>58436195</v>
      </c>
    </row>
    <row r="412" spans="1:35" ht="12" customHeight="1">
      <c r="A412" s="8" t="s">
        <v>439</v>
      </c>
      <c r="B412" s="8"/>
      <c r="C412" s="8" t="s">
        <v>78</v>
      </c>
      <c r="D412" s="8"/>
      <c r="E412" s="23">
        <v>48819</v>
      </c>
      <c r="G412" s="42">
        <v>1130656</v>
      </c>
      <c r="I412" s="42">
        <v>1660178</v>
      </c>
      <c r="K412" s="42">
        <v>0</v>
      </c>
      <c r="M412" s="42">
        <f t="shared" si="80"/>
        <v>2790834</v>
      </c>
      <c r="O412" s="42">
        <f>2879325+69974+998187+83023</f>
        <v>4030509</v>
      </c>
      <c r="Q412" s="42">
        <v>1469388</v>
      </c>
      <c r="S412" s="42">
        <v>5203204</v>
      </c>
      <c r="U412" s="42">
        <f>1707-290</f>
        <v>1417</v>
      </c>
      <c r="W412" s="42">
        <v>0</v>
      </c>
      <c r="Y412" s="42">
        <v>0</v>
      </c>
      <c r="AA412" s="42">
        <v>32612</v>
      </c>
      <c r="AB412" s="37"/>
      <c r="AC412" s="42">
        <v>0</v>
      </c>
      <c r="AE412" s="42">
        <v>-1524951</v>
      </c>
      <c r="AG412" s="42">
        <f t="shared" si="83"/>
        <v>9212179</v>
      </c>
      <c r="AH412" s="42"/>
      <c r="AI412" s="42">
        <f t="shared" si="79"/>
        <v>12003013</v>
      </c>
    </row>
    <row r="413" spans="1:35" ht="12" customHeight="1">
      <c r="A413" s="8" t="s">
        <v>376</v>
      </c>
      <c r="B413" s="8"/>
      <c r="C413" s="9" t="s">
        <v>42</v>
      </c>
      <c r="D413" s="8"/>
      <c r="E413" s="23">
        <v>48033</v>
      </c>
      <c r="G413" s="42">
        <v>1262966</v>
      </c>
      <c r="I413" s="42">
        <v>856249</v>
      </c>
      <c r="K413" s="42">
        <v>0</v>
      </c>
      <c r="M413" s="42">
        <f t="shared" si="80"/>
        <v>2119215</v>
      </c>
      <c r="O413" s="42">
        <f>6364553+611658+83211</f>
        <v>7059422</v>
      </c>
      <c r="Q413" s="42">
        <v>106857</v>
      </c>
      <c r="S413" s="42">
        <v>5053204</v>
      </c>
      <c r="U413" s="42">
        <v>4368</v>
      </c>
      <c r="W413" s="42">
        <v>0</v>
      </c>
      <c r="Y413" s="42">
        <v>0</v>
      </c>
      <c r="AA413" s="42">
        <f>2142+35977</f>
        <v>38119</v>
      </c>
      <c r="AB413" s="37"/>
      <c r="AC413" s="42">
        <v>0</v>
      </c>
      <c r="AE413" s="42">
        <v>0</v>
      </c>
      <c r="AG413" s="42">
        <f t="shared" si="83"/>
        <v>12261970</v>
      </c>
      <c r="AH413" s="42"/>
      <c r="AI413" s="42">
        <f t="shared" si="79"/>
        <v>14381185</v>
      </c>
    </row>
    <row r="414" spans="1:35" ht="12" customHeight="1">
      <c r="A414" s="8" t="s">
        <v>376</v>
      </c>
      <c r="B414" s="8"/>
      <c r="C414" s="9" t="s">
        <v>50</v>
      </c>
      <c r="D414" s="8"/>
      <c r="E414" s="23">
        <v>48736</v>
      </c>
      <c r="G414" s="42">
        <v>1731036</v>
      </c>
      <c r="I414" s="42">
        <v>3510620</v>
      </c>
      <c r="K414" s="42">
        <v>15</v>
      </c>
      <c r="M414" s="42">
        <f t="shared" ref="M414" si="84">SUM(G414:L414)</f>
        <v>5241671</v>
      </c>
      <c r="O414" s="42">
        <f>7116024+452350</f>
        <v>7568374</v>
      </c>
      <c r="Q414" s="42">
        <v>0</v>
      </c>
      <c r="S414" s="42">
        <v>10455906</v>
      </c>
      <c r="U414" s="42">
        <v>99152</v>
      </c>
      <c r="W414" s="42">
        <v>0</v>
      </c>
      <c r="Y414" s="42">
        <v>9567</v>
      </c>
      <c r="AA414" s="42">
        <f>23041+280081</f>
        <v>303122</v>
      </c>
      <c r="AB414" s="37"/>
      <c r="AC414" s="42">
        <v>0</v>
      </c>
      <c r="AE414" s="42">
        <v>0</v>
      </c>
      <c r="AG414" s="42">
        <f t="shared" ref="AG414" si="85">SUM(O414:AE414)</f>
        <v>18436121</v>
      </c>
      <c r="AH414" s="42"/>
      <c r="AI414" s="42">
        <f t="shared" si="79"/>
        <v>23677792</v>
      </c>
    </row>
    <row r="415" spans="1:35" ht="12" customHeight="1">
      <c r="A415" s="8" t="s">
        <v>325</v>
      </c>
      <c r="B415" s="8"/>
      <c r="C415" s="8" t="s">
        <v>32</v>
      </c>
      <c r="D415" s="8"/>
      <c r="E415" s="23">
        <v>47365</v>
      </c>
      <c r="G415" s="42">
        <v>4924213</v>
      </c>
      <c r="I415" s="42">
        <v>10694778</v>
      </c>
      <c r="K415" s="42">
        <v>0</v>
      </c>
      <c r="M415" s="42">
        <f t="shared" si="80"/>
        <v>15618991</v>
      </c>
      <c r="O415" s="42">
        <f>43920672+2544368+1725996</f>
        <v>48191036</v>
      </c>
      <c r="Q415" s="42">
        <v>0</v>
      </c>
      <c r="S415" s="42">
        <v>32831800</v>
      </c>
      <c r="U415" s="42">
        <v>-20926</v>
      </c>
      <c r="W415" s="42">
        <v>3464114</v>
      </c>
      <c r="Y415" s="42">
        <v>167983</v>
      </c>
      <c r="AA415" s="42">
        <v>1036780</v>
      </c>
      <c r="AB415" s="37"/>
      <c r="AC415" s="42">
        <v>0</v>
      </c>
      <c r="AE415" s="42">
        <v>0</v>
      </c>
      <c r="AG415" s="42">
        <f t="shared" si="78"/>
        <v>85670787</v>
      </c>
      <c r="AH415" s="42"/>
      <c r="AI415" s="42">
        <f t="shared" si="79"/>
        <v>101289778</v>
      </c>
    </row>
    <row r="416" spans="1:35" ht="12" customHeight="1">
      <c r="A416" s="8" t="s">
        <v>592</v>
      </c>
      <c r="B416" s="8"/>
      <c r="C416" s="8" t="s">
        <v>59</v>
      </c>
      <c r="D416" s="8"/>
      <c r="E416" s="23">
        <v>49635</v>
      </c>
      <c r="G416" s="42">
        <v>1115121</v>
      </c>
      <c r="I416" s="42">
        <v>3414363</v>
      </c>
      <c r="K416" s="42">
        <v>0</v>
      </c>
      <c r="M416" s="42">
        <f t="shared" si="80"/>
        <v>4529484</v>
      </c>
      <c r="O416" s="42">
        <f>1871490+33577+46610</f>
        <v>1951677</v>
      </c>
      <c r="Q416" s="42">
        <v>0</v>
      </c>
      <c r="S416" s="42">
        <v>11744569</v>
      </c>
      <c r="U416" s="42">
        <v>3883</v>
      </c>
      <c r="W416" s="42">
        <v>0</v>
      </c>
      <c r="Y416" s="42">
        <v>0</v>
      </c>
      <c r="AA416" s="42">
        <f>9968+43486</f>
        <v>53454</v>
      </c>
      <c r="AB416" s="37"/>
      <c r="AC416" s="42">
        <v>0</v>
      </c>
      <c r="AE416" s="42">
        <v>0</v>
      </c>
      <c r="AG416" s="42">
        <f t="shared" si="78"/>
        <v>13753583</v>
      </c>
      <c r="AH416" s="42"/>
      <c r="AI416" s="42">
        <f t="shared" si="79"/>
        <v>18283067</v>
      </c>
    </row>
    <row r="417" spans="1:35">
      <c r="A417" s="8" t="s">
        <v>325</v>
      </c>
      <c r="B417" s="8"/>
      <c r="C417" s="8" t="s">
        <v>62</v>
      </c>
      <c r="D417" s="8"/>
      <c r="E417" s="23">
        <v>49908</v>
      </c>
      <c r="G417" s="42">
        <v>729203</v>
      </c>
      <c r="I417" s="42">
        <v>2016981</v>
      </c>
      <c r="K417" s="42">
        <v>219</v>
      </c>
      <c r="M417" s="42">
        <f t="shared" si="80"/>
        <v>2746403</v>
      </c>
      <c r="O417" s="42">
        <f>5942348+1080037+170697+139355</f>
        <v>7332437</v>
      </c>
      <c r="Q417" s="42">
        <v>2269255</v>
      </c>
      <c r="S417" s="42">
        <v>9143063</v>
      </c>
      <c r="U417" s="42">
        <v>5928</v>
      </c>
      <c r="W417" s="42">
        <v>0</v>
      </c>
      <c r="Y417" s="42">
        <v>0</v>
      </c>
      <c r="AA417" s="42">
        <v>95094</v>
      </c>
      <c r="AB417" s="37"/>
      <c r="AC417" s="42">
        <v>0</v>
      </c>
      <c r="AE417" s="42">
        <v>0</v>
      </c>
      <c r="AG417" s="42">
        <f t="shared" ref="AG417:AG421" si="86">SUM(O417:AE417)</f>
        <v>18845777</v>
      </c>
      <c r="AH417" s="42"/>
      <c r="AI417" s="42">
        <f t="shared" si="79"/>
        <v>21592180</v>
      </c>
    </row>
    <row r="418" spans="1:35" ht="12" customHeight="1">
      <c r="A418" s="8" t="s">
        <v>232</v>
      </c>
      <c r="B418" s="8"/>
      <c r="C418" s="8" t="s">
        <v>17</v>
      </c>
      <c r="D418" s="8"/>
      <c r="E418" s="23">
        <v>46268</v>
      </c>
      <c r="F418" s="59"/>
      <c r="G418" s="42">
        <v>2132236</v>
      </c>
      <c r="I418" s="42">
        <v>1053513</v>
      </c>
      <c r="K418" s="42">
        <v>0</v>
      </c>
      <c r="M418" s="42">
        <f t="shared" si="80"/>
        <v>3185749</v>
      </c>
      <c r="O418" s="42">
        <f>5477355+1257209+186529</f>
        <v>6921093</v>
      </c>
      <c r="Q418" s="42">
        <v>2077304</v>
      </c>
      <c r="S418" s="42">
        <v>8471835</v>
      </c>
      <c r="U418" s="42">
        <v>-45434</v>
      </c>
      <c r="W418" s="42">
        <v>0</v>
      </c>
      <c r="Y418" s="42">
        <v>0</v>
      </c>
      <c r="AA418" s="42">
        <f>108618+69714</f>
        <v>178332</v>
      </c>
      <c r="AB418" s="37"/>
      <c r="AC418" s="42">
        <v>0</v>
      </c>
      <c r="AE418" s="42">
        <v>0</v>
      </c>
      <c r="AG418" s="42">
        <f t="shared" si="86"/>
        <v>17603130</v>
      </c>
      <c r="AH418" s="42"/>
      <c r="AI418" s="42">
        <f t="shared" si="79"/>
        <v>20788879</v>
      </c>
    </row>
    <row r="419" spans="1:35" ht="12" hidden="1" customHeight="1">
      <c r="A419" s="8" t="s">
        <v>733</v>
      </c>
      <c r="B419" s="8"/>
      <c r="C419" s="8" t="s">
        <v>71</v>
      </c>
      <c r="D419" s="8"/>
      <c r="E419" s="23">
        <v>50575</v>
      </c>
      <c r="F419" s="59"/>
      <c r="G419" s="42">
        <v>0</v>
      </c>
      <c r="I419" s="42">
        <v>0</v>
      </c>
      <c r="K419" s="42">
        <v>0</v>
      </c>
      <c r="O419" s="42">
        <v>0</v>
      </c>
      <c r="Q419" s="42">
        <v>0</v>
      </c>
      <c r="S419" s="42">
        <v>0</v>
      </c>
      <c r="U419" s="42">
        <v>0</v>
      </c>
      <c r="W419" s="42">
        <v>0</v>
      </c>
      <c r="Y419" s="42">
        <v>0</v>
      </c>
      <c r="AA419" s="42">
        <v>0</v>
      </c>
      <c r="AB419" s="37"/>
      <c r="AC419" s="42">
        <v>0</v>
      </c>
      <c r="AE419" s="42">
        <v>0</v>
      </c>
      <c r="AG419" s="42">
        <f t="shared" si="86"/>
        <v>0</v>
      </c>
      <c r="AH419" s="42"/>
    </row>
    <row r="420" spans="1:35" ht="12" hidden="1" customHeight="1">
      <c r="A420" s="8" t="s">
        <v>868</v>
      </c>
      <c r="B420" s="8"/>
      <c r="C420" s="8" t="s">
        <v>72</v>
      </c>
      <c r="D420" s="8"/>
      <c r="E420" s="23">
        <v>50716</v>
      </c>
      <c r="G420" s="42">
        <v>0</v>
      </c>
      <c r="I420" s="42">
        <v>0</v>
      </c>
      <c r="K420" s="42">
        <v>0</v>
      </c>
      <c r="M420" s="42">
        <f t="shared" si="80"/>
        <v>0</v>
      </c>
      <c r="O420" s="42">
        <v>0</v>
      </c>
      <c r="Q420" s="42">
        <v>0</v>
      </c>
      <c r="S420" s="42">
        <v>0</v>
      </c>
      <c r="U420" s="42">
        <v>0</v>
      </c>
      <c r="W420" s="42">
        <v>0</v>
      </c>
      <c r="Y420" s="42">
        <v>0</v>
      </c>
      <c r="AA420" s="42">
        <v>0</v>
      </c>
      <c r="AB420" s="37"/>
      <c r="AC420" s="42">
        <v>0</v>
      </c>
      <c r="AE420" s="42">
        <v>0</v>
      </c>
      <c r="AG420" s="42">
        <f t="shared" si="86"/>
        <v>0</v>
      </c>
      <c r="AH420" s="42"/>
      <c r="AI420" s="42">
        <f t="shared" si="79"/>
        <v>0</v>
      </c>
    </row>
    <row r="421" spans="1:35" ht="12" customHeight="1">
      <c r="A421" s="8" t="s">
        <v>508</v>
      </c>
      <c r="B421" s="8"/>
      <c r="C421" s="8" t="s">
        <v>63</v>
      </c>
      <c r="D421" s="8"/>
      <c r="E421" s="23">
        <v>44552</v>
      </c>
      <c r="G421" s="42">
        <v>4838110</v>
      </c>
      <c r="I421" s="42">
        <v>1430059</v>
      </c>
      <c r="K421" s="42">
        <v>0</v>
      </c>
      <c r="M421" s="42">
        <f t="shared" si="80"/>
        <v>6268169</v>
      </c>
      <c r="O421" s="42">
        <f>7560978+579753</f>
        <v>8140731</v>
      </c>
      <c r="Q421" s="42">
        <v>0</v>
      </c>
      <c r="S421" s="42">
        <v>8143285</v>
      </c>
      <c r="U421" s="42">
        <v>11621</v>
      </c>
      <c r="W421" s="42">
        <v>0</v>
      </c>
      <c r="Y421" s="42">
        <v>0</v>
      </c>
      <c r="AA421" s="42">
        <v>36750</v>
      </c>
      <c r="AB421" s="37"/>
      <c r="AC421" s="42">
        <v>0</v>
      </c>
      <c r="AE421" s="42">
        <v>0</v>
      </c>
      <c r="AG421" s="42">
        <f t="shared" si="86"/>
        <v>16332387</v>
      </c>
      <c r="AH421" s="42"/>
      <c r="AI421" s="42">
        <f t="shared" si="79"/>
        <v>22600556</v>
      </c>
    </row>
    <row r="422" spans="1:35" ht="12" customHeight="1">
      <c r="A422" s="8" t="s">
        <v>356</v>
      </c>
      <c r="B422" s="8"/>
      <c r="C422" s="8" t="s">
        <v>37</v>
      </c>
      <c r="D422" s="8"/>
      <c r="E422" s="23">
        <v>44560</v>
      </c>
      <c r="G422" s="42">
        <v>1819308</v>
      </c>
      <c r="I422" s="42">
        <v>3056204</v>
      </c>
      <c r="K422" s="42">
        <v>99140</v>
      </c>
      <c r="M422" s="42">
        <f t="shared" si="80"/>
        <v>4974652</v>
      </c>
      <c r="O422" s="42">
        <f>6030593+928728+395170</f>
        <v>7354491</v>
      </c>
      <c r="Q422" s="42">
        <v>1878015</v>
      </c>
      <c r="S422" s="42">
        <v>12664156</v>
      </c>
      <c r="U422" s="42">
        <v>17992</v>
      </c>
      <c r="W422" s="42">
        <v>0</v>
      </c>
      <c r="Y422" s="42">
        <v>0</v>
      </c>
      <c r="AA422" s="42">
        <v>118956</v>
      </c>
      <c r="AB422" s="37"/>
      <c r="AC422" s="42">
        <v>0</v>
      </c>
      <c r="AE422" s="42">
        <v>0</v>
      </c>
      <c r="AG422" s="42">
        <f t="shared" si="78"/>
        <v>22033610</v>
      </c>
      <c r="AH422" s="42"/>
      <c r="AI422" s="42">
        <f t="shared" si="79"/>
        <v>27008262</v>
      </c>
    </row>
    <row r="423" spans="1:35" ht="12" hidden="1" customHeight="1">
      <c r="A423" s="8" t="s">
        <v>811</v>
      </c>
      <c r="B423" s="8"/>
      <c r="C423" s="8" t="s">
        <v>71</v>
      </c>
      <c r="D423" s="8"/>
      <c r="E423" s="23">
        <v>50567</v>
      </c>
      <c r="G423" s="42">
        <v>0</v>
      </c>
      <c r="I423" s="42">
        <v>0</v>
      </c>
      <c r="K423" s="42">
        <v>0</v>
      </c>
      <c r="M423" s="42">
        <f t="shared" ref="M423" si="87">SUM(G423:L423)</f>
        <v>0</v>
      </c>
      <c r="O423" s="42">
        <v>0</v>
      </c>
      <c r="Q423" s="42">
        <v>0</v>
      </c>
      <c r="S423" s="42">
        <v>0</v>
      </c>
      <c r="U423" s="42">
        <v>0</v>
      </c>
      <c r="W423" s="42">
        <v>0</v>
      </c>
      <c r="Y423" s="42">
        <v>0</v>
      </c>
      <c r="AA423" s="42">
        <v>0</v>
      </c>
      <c r="AB423" s="37"/>
      <c r="AC423" s="42">
        <v>0</v>
      </c>
      <c r="AE423" s="42">
        <v>0</v>
      </c>
      <c r="AG423" s="42">
        <f t="shared" ref="AG423" si="88">SUM(O423:AE423)</f>
        <v>0</v>
      </c>
      <c r="AH423" s="42"/>
      <c r="AI423" s="42">
        <f t="shared" ref="AI423" si="89">+AG423+M423</f>
        <v>0</v>
      </c>
    </row>
    <row r="424" spans="1:35" ht="12" customHeight="1">
      <c r="A424" s="8" t="s">
        <v>626</v>
      </c>
      <c r="B424" s="8"/>
      <c r="C424" s="8" t="s">
        <v>32</v>
      </c>
      <c r="D424" s="8"/>
      <c r="E424" s="23">
        <v>44578</v>
      </c>
      <c r="G424" s="42">
        <v>741266</v>
      </c>
      <c r="I424" s="42">
        <v>2746311</v>
      </c>
      <c r="K424" s="42">
        <v>0</v>
      </c>
      <c r="M424" s="42">
        <f t="shared" si="80"/>
        <v>3487577</v>
      </c>
      <c r="O424" s="42">
        <v>13628162</v>
      </c>
      <c r="Q424" s="42">
        <v>0</v>
      </c>
      <c r="S424" s="42">
        <v>10831445</v>
      </c>
      <c r="U424" s="42">
        <v>92546</v>
      </c>
      <c r="W424" s="42">
        <v>439518</v>
      </c>
      <c r="Y424" s="42">
        <v>141846</v>
      </c>
      <c r="AA424" s="42">
        <v>265451</v>
      </c>
      <c r="AB424" s="37"/>
      <c r="AC424" s="42">
        <v>0</v>
      </c>
      <c r="AE424" s="42">
        <v>0</v>
      </c>
      <c r="AG424" s="42">
        <f t="shared" si="78"/>
        <v>25398968</v>
      </c>
      <c r="AH424" s="42"/>
      <c r="AI424" s="42">
        <f t="shared" si="79"/>
        <v>28886545</v>
      </c>
    </row>
    <row r="425" spans="1:35" ht="12" hidden="1" customHeight="1">
      <c r="A425" s="8" t="s">
        <v>732</v>
      </c>
      <c r="B425" s="8"/>
      <c r="C425" s="8" t="s">
        <v>38</v>
      </c>
      <c r="D425" s="8"/>
      <c r="E425" s="23">
        <v>47761</v>
      </c>
      <c r="G425" s="42">
        <v>0</v>
      </c>
      <c r="I425" s="42">
        <v>0</v>
      </c>
      <c r="K425" s="42">
        <v>0</v>
      </c>
      <c r="O425" s="42">
        <v>0</v>
      </c>
      <c r="Q425" s="42">
        <v>0</v>
      </c>
      <c r="S425" s="42">
        <v>0</v>
      </c>
      <c r="U425" s="42">
        <v>0</v>
      </c>
      <c r="W425" s="42">
        <v>0</v>
      </c>
      <c r="Y425" s="42">
        <v>0</v>
      </c>
      <c r="AA425" s="42">
        <v>0</v>
      </c>
      <c r="AB425" s="37"/>
      <c r="AC425" s="42">
        <v>0</v>
      </c>
      <c r="AE425" s="42">
        <v>0</v>
      </c>
      <c r="AG425" s="42">
        <f t="shared" si="78"/>
        <v>0</v>
      </c>
      <c r="AH425" s="42"/>
    </row>
    <row r="426" spans="1:35" ht="12" customHeight="1">
      <c r="A426" s="8" t="s">
        <v>326</v>
      </c>
      <c r="B426" s="8"/>
      <c r="C426" s="8" t="s">
        <v>32</v>
      </c>
      <c r="D426" s="8"/>
      <c r="E426" s="23">
        <v>47373</v>
      </c>
      <c r="G426" s="42">
        <v>4859822</v>
      </c>
      <c r="I426" s="42">
        <v>6542478</v>
      </c>
      <c r="K426" s="42">
        <v>0</v>
      </c>
      <c r="M426" s="42">
        <f t="shared" si="80"/>
        <v>11402300</v>
      </c>
      <c r="O426" s="42">
        <f>20671331+2767198+4158680</f>
        <v>27597209</v>
      </c>
      <c r="Q426" s="42">
        <v>0</v>
      </c>
      <c r="S426" s="42">
        <v>27809237</v>
      </c>
      <c r="U426" s="42">
        <v>8590</v>
      </c>
      <c r="W426" s="42">
        <v>9694573</v>
      </c>
      <c r="Y426" s="42">
        <v>123009</v>
      </c>
      <c r="AA426" s="42">
        <v>752693</v>
      </c>
      <c r="AB426" s="37"/>
      <c r="AC426" s="42">
        <v>0</v>
      </c>
      <c r="AE426" s="42">
        <v>0</v>
      </c>
      <c r="AG426" s="42">
        <f t="shared" si="78"/>
        <v>65985311</v>
      </c>
      <c r="AH426" s="42"/>
      <c r="AI426" s="42">
        <f t="shared" si="79"/>
        <v>77387611</v>
      </c>
    </row>
    <row r="427" spans="1:35" ht="12" customHeight="1">
      <c r="A427" s="8" t="s">
        <v>432</v>
      </c>
      <c r="B427" s="8"/>
      <c r="C427" s="8" t="s">
        <v>50</v>
      </c>
      <c r="D427" s="8"/>
      <c r="E427" s="23">
        <v>44586</v>
      </c>
      <c r="G427" s="42">
        <v>1059422</v>
      </c>
      <c r="I427" s="42">
        <v>1185232</v>
      </c>
      <c r="K427" s="42">
        <v>0</v>
      </c>
      <c r="M427" s="42">
        <f t="shared" si="80"/>
        <v>2244654</v>
      </c>
      <c r="O427" s="42">
        <f>13751931+448798+1831059</f>
        <v>16031788</v>
      </c>
      <c r="Q427" s="42">
        <v>0</v>
      </c>
      <c r="S427" s="42">
        <v>7376647</v>
      </c>
      <c r="U427" s="42">
        <v>2619</v>
      </c>
      <c r="W427" s="42">
        <v>0</v>
      </c>
      <c r="Y427" s="42">
        <v>1000</v>
      </c>
      <c r="AA427" s="42">
        <v>182106</v>
      </c>
      <c r="AB427" s="37"/>
      <c r="AC427" s="42">
        <v>0</v>
      </c>
      <c r="AE427" s="42">
        <v>0</v>
      </c>
      <c r="AG427" s="42">
        <f t="shared" si="78"/>
        <v>23594160</v>
      </c>
      <c r="AH427" s="42"/>
      <c r="AI427" s="42">
        <f t="shared" si="79"/>
        <v>25838814</v>
      </c>
    </row>
    <row r="428" spans="1:35" ht="12" customHeight="1">
      <c r="A428" s="8" t="s">
        <v>386</v>
      </c>
      <c r="B428" s="8"/>
      <c r="C428" s="8" t="s">
        <v>44</v>
      </c>
      <c r="D428" s="8"/>
      <c r="E428" s="23">
        <v>44594</v>
      </c>
      <c r="G428" s="42">
        <v>577927</v>
      </c>
      <c r="I428" s="42">
        <v>1549358</v>
      </c>
      <c r="K428" s="42">
        <v>0</v>
      </c>
      <c r="M428" s="42">
        <f t="shared" si="80"/>
        <v>2127285</v>
      </c>
      <c r="O428" s="42">
        <f>4548360+328788+205229</f>
        <v>5082377</v>
      </c>
      <c r="Q428" s="42">
        <v>3760528</v>
      </c>
      <c r="S428" s="42">
        <v>4157537</v>
      </c>
      <c r="U428" s="42">
        <v>4232</v>
      </c>
      <c r="W428" s="42">
        <v>0</v>
      </c>
      <c r="Y428" s="42">
        <v>0</v>
      </c>
      <c r="AA428" s="42">
        <v>376919</v>
      </c>
      <c r="AB428" s="37"/>
      <c r="AC428" s="42">
        <v>0</v>
      </c>
      <c r="AE428" s="42">
        <v>0</v>
      </c>
      <c r="AG428" s="42">
        <f t="shared" si="78"/>
        <v>13381593</v>
      </c>
      <c r="AH428" s="42"/>
      <c r="AI428" s="42">
        <f t="shared" si="79"/>
        <v>15508878</v>
      </c>
    </row>
    <row r="429" spans="1:35" ht="12" hidden="1" customHeight="1">
      <c r="A429" s="9" t="s">
        <v>609</v>
      </c>
      <c r="B429" s="8"/>
      <c r="C429" s="8" t="s">
        <v>60</v>
      </c>
      <c r="D429" s="8"/>
      <c r="E429" s="23">
        <v>49726</v>
      </c>
      <c r="G429" s="42">
        <v>0</v>
      </c>
      <c r="I429" s="42">
        <v>0</v>
      </c>
      <c r="K429" s="42">
        <v>0</v>
      </c>
      <c r="M429" s="42">
        <f t="shared" si="80"/>
        <v>0</v>
      </c>
      <c r="O429" s="42">
        <v>0</v>
      </c>
      <c r="Q429" s="42">
        <v>0</v>
      </c>
      <c r="S429" s="42">
        <v>0</v>
      </c>
      <c r="U429" s="42">
        <v>0</v>
      </c>
      <c r="W429" s="42">
        <v>0</v>
      </c>
      <c r="Y429" s="42">
        <v>0</v>
      </c>
      <c r="AA429" s="42">
        <v>0</v>
      </c>
      <c r="AB429" s="37"/>
      <c r="AC429" s="42">
        <v>0</v>
      </c>
      <c r="AE429" s="42">
        <v>0</v>
      </c>
      <c r="AG429" s="42">
        <f t="shared" si="78"/>
        <v>0</v>
      </c>
      <c r="AH429" s="42"/>
      <c r="AI429" s="42">
        <f t="shared" si="79"/>
        <v>0</v>
      </c>
    </row>
    <row r="430" spans="1:35" ht="12" customHeight="1">
      <c r="A430" s="8" t="s">
        <v>282</v>
      </c>
      <c r="B430" s="8"/>
      <c r="C430" s="8" t="s">
        <v>23</v>
      </c>
      <c r="D430" s="8"/>
      <c r="E430" s="23">
        <v>46763</v>
      </c>
      <c r="G430" s="42">
        <v>9605547</v>
      </c>
      <c r="I430" s="42">
        <v>4417528</v>
      </c>
      <c r="K430" s="42">
        <v>65748</v>
      </c>
      <c r="M430" s="42">
        <f t="shared" si="80"/>
        <v>14088823</v>
      </c>
      <c r="O430" s="42">
        <f>131353248+25118766</f>
        <v>156472014</v>
      </c>
      <c r="Q430" s="42">
        <v>0</v>
      </c>
      <c r="S430" s="42">
        <v>26713772</v>
      </c>
      <c r="U430" s="42">
        <v>248054</v>
      </c>
      <c r="W430" s="42">
        <v>17969609</v>
      </c>
      <c r="Y430" s="42">
        <v>33756</v>
      </c>
      <c r="AA430" s="42">
        <v>947888</v>
      </c>
      <c r="AB430" s="37"/>
      <c r="AC430" s="42">
        <v>0</v>
      </c>
      <c r="AE430" s="42">
        <v>0</v>
      </c>
      <c r="AG430" s="42">
        <f t="shared" si="78"/>
        <v>202385093</v>
      </c>
      <c r="AH430" s="42"/>
      <c r="AI430" s="42">
        <f t="shared" si="79"/>
        <v>216473916</v>
      </c>
    </row>
    <row r="431" spans="1:35" ht="12" customHeight="1">
      <c r="A431" s="8" t="s">
        <v>271</v>
      </c>
      <c r="B431" s="8"/>
      <c r="C431" s="8" t="s">
        <v>20</v>
      </c>
      <c r="D431" s="8"/>
      <c r="E431" s="23">
        <v>46573</v>
      </c>
      <c r="G431" s="42">
        <v>2728797</v>
      </c>
      <c r="I431" s="42">
        <v>1545447</v>
      </c>
      <c r="K431" s="42">
        <v>0</v>
      </c>
      <c r="M431" s="42">
        <f t="shared" si="80"/>
        <v>4274244</v>
      </c>
      <c r="O431" s="42">
        <f>22688589+233152+1887775+1236066</f>
        <v>26045582</v>
      </c>
      <c r="Q431" s="42">
        <v>0</v>
      </c>
      <c r="S431" s="42">
        <v>14350819</v>
      </c>
      <c r="U431" s="42">
        <v>48824</v>
      </c>
      <c r="W431" s="42">
        <v>0</v>
      </c>
      <c r="Y431" s="42">
        <v>0</v>
      </c>
      <c r="AA431" s="42">
        <v>0</v>
      </c>
      <c r="AB431" s="37"/>
      <c r="AC431" s="42">
        <v>0</v>
      </c>
      <c r="AE431" s="42">
        <v>0</v>
      </c>
      <c r="AG431" s="42">
        <f t="shared" si="78"/>
        <v>40445225</v>
      </c>
      <c r="AH431" s="42"/>
      <c r="AI431" s="42">
        <f t="shared" si="79"/>
        <v>44719469</v>
      </c>
    </row>
    <row r="432" spans="1:35" ht="12" customHeight="1">
      <c r="A432" s="8" t="s">
        <v>467</v>
      </c>
      <c r="B432" s="8"/>
      <c r="C432" s="8" t="s">
        <v>109</v>
      </c>
      <c r="D432" s="8"/>
      <c r="E432" s="23">
        <v>49478</v>
      </c>
      <c r="G432" s="42">
        <v>2306859</v>
      </c>
      <c r="I432" s="42">
        <v>980994</v>
      </c>
      <c r="K432" s="42">
        <v>2988</v>
      </c>
      <c r="M432" s="42">
        <f t="shared" si="80"/>
        <v>3290841</v>
      </c>
      <c r="O432" s="42">
        <f>8765511+1107095+252941</f>
        <v>10125547</v>
      </c>
      <c r="Q432" s="42">
        <v>0</v>
      </c>
      <c r="S432" s="42">
        <v>5283824</v>
      </c>
      <c r="U432" s="42">
        <v>22852</v>
      </c>
      <c r="W432" s="42">
        <v>50312</v>
      </c>
      <c r="Y432" s="42">
        <v>0</v>
      </c>
      <c r="AA432" s="42">
        <v>100132</v>
      </c>
      <c r="AB432" s="37"/>
      <c r="AC432" s="42">
        <v>0</v>
      </c>
      <c r="AE432" s="42">
        <v>0</v>
      </c>
      <c r="AG432" s="42">
        <f t="shared" si="78"/>
        <v>15582667</v>
      </c>
      <c r="AH432" s="42"/>
      <c r="AI432" s="42">
        <f t="shared" si="79"/>
        <v>18873508</v>
      </c>
    </row>
    <row r="433" spans="1:35" ht="12" customHeight="1">
      <c r="A433" s="8" t="s">
        <v>272</v>
      </c>
      <c r="B433" s="8"/>
      <c r="C433" s="8" t="s">
        <v>20</v>
      </c>
      <c r="D433" s="8"/>
      <c r="E433" s="23">
        <v>46581</v>
      </c>
      <c r="G433" s="42">
        <v>4238065</v>
      </c>
      <c r="I433" s="42">
        <v>1743500</v>
      </c>
      <c r="K433" s="42">
        <v>20060</v>
      </c>
      <c r="M433" s="42">
        <f t="shared" si="80"/>
        <v>6001625</v>
      </c>
      <c r="O433" s="42">
        <f>39691542+2359811+608515</f>
        <v>42659868</v>
      </c>
      <c r="Q433" s="42">
        <v>0</v>
      </c>
      <c r="S433" s="42">
        <v>7707534</v>
      </c>
      <c r="U433" s="42">
        <f>258742-332887</f>
        <v>-74145</v>
      </c>
      <c r="W433" s="42">
        <v>0</v>
      </c>
      <c r="Y433" s="42">
        <v>0</v>
      </c>
      <c r="AA433" s="42">
        <v>46084</v>
      </c>
      <c r="AB433" s="37"/>
      <c r="AC433" s="42">
        <v>0</v>
      </c>
      <c r="AE433" s="42">
        <v>0</v>
      </c>
      <c r="AG433" s="42">
        <f t="shared" si="78"/>
        <v>50339341</v>
      </c>
      <c r="AH433" s="42"/>
      <c r="AI433" s="42">
        <f t="shared" si="79"/>
        <v>56340966</v>
      </c>
    </row>
    <row r="434" spans="1:35" ht="12" customHeight="1">
      <c r="A434" s="8" t="s">
        <v>388</v>
      </c>
      <c r="B434" s="8"/>
      <c r="C434" s="8" t="s">
        <v>114</v>
      </c>
      <c r="D434" s="8"/>
      <c r="E434" s="23">
        <v>44602</v>
      </c>
      <c r="G434" s="42">
        <v>2566139</v>
      </c>
      <c r="I434" s="42">
        <v>4217733</v>
      </c>
      <c r="K434" s="42">
        <v>0</v>
      </c>
      <c r="M434" s="42">
        <f t="shared" si="80"/>
        <v>6783872</v>
      </c>
      <c r="O434" s="42">
        <f>18685948+2223021+869757</f>
        <v>21778726</v>
      </c>
      <c r="Q434" s="42">
        <v>0</v>
      </c>
      <c r="S434" s="42">
        <v>15842210</v>
      </c>
      <c r="U434" s="42">
        <v>30829</v>
      </c>
      <c r="W434" s="42">
        <v>202383</v>
      </c>
      <c r="Y434" s="42">
        <v>0</v>
      </c>
      <c r="AA434" s="42">
        <v>75031</v>
      </c>
      <c r="AB434" s="37"/>
      <c r="AC434" s="42">
        <v>0</v>
      </c>
      <c r="AE434" s="42">
        <v>0</v>
      </c>
      <c r="AG434" s="42">
        <f t="shared" si="78"/>
        <v>37929179</v>
      </c>
      <c r="AH434" s="42"/>
      <c r="AI434" s="42">
        <f t="shared" si="79"/>
        <v>44713051</v>
      </c>
    </row>
    <row r="435" spans="1:35" ht="12" hidden="1" customHeight="1">
      <c r="A435" s="8" t="s">
        <v>812</v>
      </c>
      <c r="B435" s="8"/>
      <c r="C435" s="8" t="s">
        <v>71</v>
      </c>
      <c r="D435" s="8"/>
      <c r="E435" s="23">
        <v>44610</v>
      </c>
      <c r="G435" s="42">
        <v>0</v>
      </c>
      <c r="I435" s="42">
        <v>0</v>
      </c>
      <c r="K435" s="42">
        <v>0</v>
      </c>
      <c r="M435" s="42">
        <f t="shared" si="80"/>
        <v>0</v>
      </c>
      <c r="O435" s="42">
        <v>0</v>
      </c>
      <c r="Q435" s="42">
        <v>0</v>
      </c>
      <c r="S435" s="42">
        <v>0</v>
      </c>
      <c r="U435" s="42">
        <v>0</v>
      </c>
      <c r="W435" s="42">
        <v>0</v>
      </c>
      <c r="Y435" s="42">
        <v>0</v>
      </c>
      <c r="AA435" s="42">
        <v>0</v>
      </c>
      <c r="AB435" s="37"/>
      <c r="AC435" s="42">
        <v>0</v>
      </c>
      <c r="AE435" s="42">
        <v>0</v>
      </c>
      <c r="AG435" s="42">
        <f t="shared" si="78"/>
        <v>0</v>
      </c>
      <c r="AH435" s="42"/>
      <c r="AI435" s="42">
        <f t="shared" si="79"/>
        <v>0</v>
      </c>
    </row>
    <row r="436" spans="1:35" ht="12" hidden="1" customHeight="1">
      <c r="A436" s="8" t="s">
        <v>869</v>
      </c>
      <c r="B436" s="8"/>
      <c r="C436" s="8" t="s">
        <v>62</v>
      </c>
      <c r="D436" s="8"/>
      <c r="E436" s="23">
        <v>49916</v>
      </c>
      <c r="G436" s="42">
        <v>0</v>
      </c>
      <c r="I436" s="42">
        <v>0</v>
      </c>
      <c r="K436" s="42">
        <v>0</v>
      </c>
      <c r="M436" s="42">
        <f t="shared" si="80"/>
        <v>0</v>
      </c>
      <c r="O436" s="42">
        <v>0</v>
      </c>
      <c r="Q436" s="42">
        <v>0</v>
      </c>
      <c r="S436" s="42">
        <v>0</v>
      </c>
      <c r="U436" s="42">
        <v>0</v>
      </c>
      <c r="W436" s="42">
        <v>0</v>
      </c>
      <c r="Y436" s="42">
        <v>0</v>
      </c>
      <c r="AA436" s="42">
        <v>0</v>
      </c>
      <c r="AB436" s="37"/>
      <c r="AC436" s="42">
        <v>0</v>
      </c>
      <c r="AE436" s="42">
        <v>0</v>
      </c>
      <c r="AG436" s="42">
        <f t="shared" si="78"/>
        <v>0</v>
      </c>
      <c r="AH436" s="42"/>
      <c r="AI436" s="42">
        <f t="shared" si="79"/>
        <v>0</v>
      </c>
    </row>
    <row r="437" spans="1:35" ht="12" customHeight="1">
      <c r="A437" s="8" t="s">
        <v>552</v>
      </c>
      <c r="B437" s="8"/>
      <c r="C437" s="8" t="s">
        <v>72</v>
      </c>
      <c r="D437" s="8"/>
      <c r="E437" s="23">
        <v>50724</v>
      </c>
      <c r="G437" s="42">
        <v>1103933</v>
      </c>
      <c r="I437" s="42">
        <v>1619480</v>
      </c>
      <c r="K437" s="42">
        <v>12422</v>
      </c>
      <c r="M437" s="42">
        <f t="shared" si="80"/>
        <v>2735835</v>
      </c>
      <c r="O437" s="42">
        <f>4319089+1037808+102298</f>
        <v>5459195</v>
      </c>
      <c r="Q437" s="42">
        <v>2536174</v>
      </c>
      <c r="S437" s="42">
        <v>5490051</v>
      </c>
      <c r="U437" s="42">
        <v>7896</v>
      </c>
      <c r="W437" s="42">
        <v>0</v>
      </c>
      <c r="Y437" s="42">
        <v>9822</v>
      </c>
      <c r="AA437" s="42">
        <v>172971</v>
      </c>
      <c r="AB437" s="37"/>
      <c r="AC437" s="42">
        <v>0</v>
      </c>
      <c r="AE437" s="42">
        <v>0</v>
      </c>
      <c r="AG437" s="42">
        <f t="shared" si="78"/>
        <v>13676109</v>
      </c>
      <c r="AH437" s="42"/>
      <c r="AI437" s="42">
        <f t="shared" si="79"/>
        <v>16411944</v>
      </c>
    </row>
    <row r="438" spans="1:35" ht="12" customHeight="1">
      <c r="A438" s="8" t="s">
        <v>389</v>
      </c>
      <c r="B438" s="8"/>
      <c r="C438" s="8" t="s">
        <v>114</v>
      </c>
      <c r="D438" s="8"/>
      <c r="E438" s="23">
        <v>48215</v>
      </c>
      <c r="G438" s="42">
        <v>409058</v>
      </c>
      <c r="I438" s="42">
        <v>710563</v>
      </c>
      <c r="K438" s="42">
        <v>0</v>
      </c>
      <c r="M438" s="42">
        <f t="shared" si="80"/>
        <v>1119621</v>
      </c>
      <c r="O438" s="42">
        <f>9705842+447390+508489</f>
        <v>10661721</v>
      </c>
      <c r="Q438" s="42">
        <v>0</v>
      </c>
      <c r="S438" s="42">
        <v>3244060</v>
      </c>
      <c r="U438" s="42">
        <v>37079</v>
      </c>
      <c r="W438" s="42">
        <v>0</v>
      </c>
      <c r="Y438" s="42">
        <v>0</v>
      </c>
      <c r="AA438" s="42">
        <v>218594</v>
      </c>
      <c r="AB438" s="37"/>
      <c r="AC438" s="42">
        <v>0</v>
      </c>
      <c r="AE438" s="42">
        <v>0</v>
      </c>
      <c r="AG438" s="42">
        <f t="shared" si="78"/>
        <v>14161454</v>
      </c>
      <c r="AH438" s="42"/>
      <c r="AI438" s="42">
        <f t="shared" si="79"/>
        <v>15281075</v>
      </c>
    </row>
    <row r="439" spans="1:35" ht="12" hidden="1" customHeight="1">
      <c r="A439" s="9" t="s">
        <v>704</v>
      </c>
      <c r="B439" s="8"/>
      <c r="C439" s="8" t="s">
        <v>464</v>
      </c>
      <c r="D439" s="8"/>
      <c r="E439" s="23">
        <v>49379</v>
      </c>
      <c r="G439" s="42">
        <v>0</v>
      </c>
      <c r="I439" s="42">
        <v>0</v>
      </c>
      <c r="K439" s="42">
        <v>0</v>
      </c>
      <c r="M439" s="42">
        <f t="shared" si="80"/>
        <v>0</v>
      </c>
      <c r="O439" s="42">
        <v>0</v>
      </c>
      <c r="Q439" s="42">
        <v>0</v>
      </c>
      <c r="S439" s="42">
        <v>0</v>
      </c>
      <c r="U439" s="42">
        <v>0</v>
      </c>
      <c r="W439" s="42">
        <v>0</v>
      </c>
      <c r="Y439" s="42">
        <v>0</v>
      </c>
      <c r="AA439" s="42">
        <v>0</v>
      </c>
      <c r="AB439" s="37"/>
      <c r="AC439" s="42">
        <v>0</v>
      </c>
      <c r="AE439" s="42">
        <v>0</v>
      </c>
      <c r="AG439" s="42">
        <f t="shared" si="78"/>
        <v>0</v>
      </c>
      <c r="AH439" s="42"/>
      <c r="AI439" s="42">
        <f t="shared" si="79"/>
        <v>0</v>
      </c>
    </row>
    <row r="440" spans="1:35" ht="12" hidden="1" customHeight="1">
      <c r="A440" s="9" t="s">
        <v>813</v>
      </c>
      <c r="B440" s="8"/>
      <c r="C440" s="8" t="s">
        <v>464</v>
      </c>
      <c r="D440" s="8"/>
      <c r="E440" s="23">
        <v>49387</v>
      </c>
      <c r="G440" s="42">
        <v>0</v>
      </c>
      <c r="I440" s="42">
        <v>0</v>
      </c>
      <c r="K440" s="42">
        <v>0</v>
      </c>
      <c r="M440" s="42">
        <f t="shared" si="80"/>
        <v>0</v>
      </c>
      <c r="O440" s="42">
        <v>0</v>
      </c>
      <c r="Q440" s="42">
        <v>0</v>
      </c>
      <c r="S440" s="42">
        <v>0</v>
      </c>
      <c r="U440" s="42">
        <v>0</v>
      </c>
      <c r="W440" s="42">
        <v>0</v>
      </c>
      <c r="Y440" s="42">
        <v>0</v>
      </c>
      <c r="AA440" s="42">
        <v>0</v>
      </c>
      <c r="AB440" s="37"/>
      <c r="AC440" s="42">
        <v>0</v>
      </c>
      <c r="AE440" s="42">
        <v>0</v>
      </c>
      <c r="AG440" s="42">
        <f t="shared" si="78"/>
        <v>0</v>
      </c>
      <c r="AH440" s="42"/>
      <c r="AI440" s="42">
        <f t="shared" si="79"/>
        <v>0</v>
      </c>
    </row>
    <row r="441" spans="1:35" ht="12" hidden="1" customHeight="1">
      <c r="A441" s="8" t="s">
        <v>814</v>
      </c>
      <c r="B441" s="8"/>
      <c r="C441" s="8" t="s">
        <v>41</v>
      </c>
      <c r="D441" s="8"/>
      <c r="E441" s="23">
        <v>44628</v>
      </c>
      <c r="G441" s="42">
        <v>0</v>
      </c>
      <c r="I441" s="42">
        <v>0</v>
      </c>
      <c r="K441" s="42">
        <v>0</v>
      </c>
      <c r="M441" s="42">
        <f t="shared" si="80"/>
        <v>0</v>
      </c>
      <c r="O441" s="42">
        <v>0</v>
      </c>
      <c r="Q441" s="42">
        <v>0</v>
      </c>
      <c r="S441" s="42">
        <v>0</v>
      </c>
      <c r="U441" s="42">
        <v>0</v>
      </c>
      <c r="W441" s="42">
        <v>0</v>
      </c>
      <c r="Y441" s="42">
        <v>0</v>
      </c>
      <c r="AA441" s="42">
        <v>0</v>
      </c>
      <c r="AB441" s="37"/>
      <c r="AC441" s="42">
        <v>0</v>
      </c>
      <c r="AE441" s="42">
        <v>0</v>
      </c>
      <c r="AG441" s="42">
        <f t="shared" si="78"/>
        <v>0</v>
      </c>
      <c r="AH441" s="42"/>
      <c r="AI441" s="42">
        <f t="shared" si="79"/>
        <v>0</v>
      </c>
    </row>
    <row r="442" spans="1:35" ht="12" hidden="1" customHeight="1">
      <c r="A442" s="8" t="s">
        <v>778</v>
      </c>
      <c r="B442" s="8"/>
      <c r="C442" s="8" t="s">
        <v>41</v>
      </c>
      <c r="D442" s="8"/>
      <c r="E442" s="23">
        <v>47894</v>
      </c>
      <c r="G442" s="42">
        <v>0</v>
      </c>
      <c r="I442" s="42">
        <v>0</v>
      </c>
      <c r="K442" s="42">
        <v>0</v>
      </c>
      <c r="M442" s="42">
        <f t="shared" si="80"/>
        <v>0</v>
      </c>
      <c r="O442" s="42">
        <v>0</v>
      </c>
      <c r="Q442" s="42">
        <v>0</v>
      </c>
      <c r="S442" s="42">
        <v>0</v>
      </c>
      <c r="U442" s="42">
        <v>0</v>
      </c>
      <c r="W442" s="42">
        <v>0</v>
      </c>
      <c r="Y442" s="42">
        <v>0</v>
      </c>
      <c r="AA442" s="42">
        <v>0</v>
      </c>
      <c r="AB442" s="37"/>
      <c r="AC442" s="42">
        <v>0</v>
      </c>
      <c r="AE442" s="42">
        <v>0</v>
      </c>
      <c r="AG442" s="42">
        <f t="shared" si="78"/>
        <v>0</v>
      </c>
      <c r="AH442" s="42"/>
      <c r="AI442" s="42">
        <f t="shared" si="79"/>
        <v>0</v>
      </c>
    </row>
    <row r="443" spans="1:35" ht="12" customHeight="1">
      <c r="A443" s="8" t="s">
        <v>472</v>
      </c>
      <c r="B443" s="8"/>
      <c r="C443" s="8" t="s">
        <v>58</v>
      </c>
      <c r="D443" s="8"/>
      <c r="E443" s="23">
        <v>49510</v>
      </c>
      <c r="G443" s="42">
        <v>853904</v>
      </c>
      <c r="I443" s="42">
        <v>1121286</v>
      </c>
      <c r="K443" s="42">
        <v>25000</v>
      </c>
      <c r="M443" s="42">
        <f t="shared" si="80"/>
        <v>2000190</v>
      </c>
      <c r="O443" s="42">
        <f>1541901+100828+27214+127044</f>
        <v>1796987</v>
      </c>
      <c r="Q443" s="42">
        <v>0</v>
      </c>
      <c r="S443" s="42">
        <v>7012288</v>
      </c>
      <c r="U443" s="42">
        <v>3253</v>
      </c>
      <c r="W443" s="42">
        <v>0</v>
      </c>
      <c r="Y443" s="42">
        <v>1350</v>
      </c>
      <c r="AA443" s="42">
        <v>46186</v>
      </c>
      <c r="AB443" s="37"/>
      <c r="AC443" s="42">
        <v>0</v>
      </c>
      <c r="AE443" s="42">
        <v>0</v>
      </c>
      <c r="AG443" s="42">
        <f t="shared" si="78"/>
        <v>8860064</v>
      </c>
      <c r="AH443" s="42"/>
      <c r="AI443" s="42">
        <f t="shared" si="79"/>
        <v>10860254</v>
      </c>
    </row>
    <row r="444" spans="1:35" ht="12" hidden="1" customHeight="1">
      <c r="A444" s="8" t="s">
        <v>681</v>
      </c>
      <c r="B444" s="8"/>
      <c r="C444" s="8" t="s">
        <v>464</v>
      </c>
      <c r="D444" s="8"/>
      <c r="E444" s="23">
        <v>49395</v>
      </c>
      <c r="G444" s="42">
        <v>0</v>
      </c>
      <c r="I444" s="42">
        <v>0</v>
      </c>
      <c r="K444" s="42">
        <v>0</v>
      </c>
      <c r="M444" s="42">
        <f t="shared" si="80"/>
        <v>0</v>
      </c>
      <c r="O444" s="42">
        <v>0</v>
      </c>
      <c r="Q444" s="42">
        <v>0</v>
      </c>
      <c r="S444" s="42">
        <v>0</v>
      </c>
      <c r="U444" s="42">
        <v>0</v>
      </c>
      <c r="W444" s="42">
        <v>0</v>
      </c>
      <c r="Y444" s="42">
        <v>0</v>
      </c>
      <c r="AA444" s="42">
        <v>0</v>
      </c>
      <c r="AB444" s="37"/>
      <c r="AC444" s="42">
        <v>0</v>
      </c>
      <c r="AE444" s="42">
        <v>0</v>
      </c>
      <c r="AG444" s="42">
        <f t="shared" si="78"/>
        <v>0</v>
      </c>
      <c r="AH444" s="42"/>
      <c r="AI444" s="42">
        <f t="shared" si="79"/>
        <v>0</v>
      </c>
    </row>
    <row r="445" spans="1:35" ht="12" hidden="1" customHeight="1">
      <c r="A445" s="8" t="s">
        <v>682</v>
      </c>
      <c r="B445" s="8"/>
      <c r="C445" s="8" t="s">
        <v>419</v>
      </c>
      <c r="D445" s="8"/>
      <c r="E445" s="23">
        <v>48579</v>
      </c>
      <c r="G445" s="42">
        <v>0</v>
      </c>
      <c r="I445" s="42">
        <v>0</v>
      </c>
      <c r="K445" s="42">
        <v>0</v>
      </c>
      <c r="M445" s="42">
        <f t="shared" si="80"/>
        <v>0</v>
      </c>
      <c r="O445" s="42">
        <v>0</v>
      </c>
      <c r="Q445" s="42">
        <v>0</v>
      </c>
      <c r="S445" s="42">
        <v>0</v>
      </c>
      <c r="U445" s="42">
        <v>0</v>
      </c>
      <c r="W445" s="42">
        <v>0</v>
      </c>
      <c r="Y445" s="42">
        <v>0</v>
      </c>
      <c r="AA445" s="42">
        <v>0</v>
      </c>
      <c r="AB445" s="37"/>
      <c r="AC445" s="42">
        <v>0</v>
      </c>
      <c r="AE445" s="42">
        <v>0</v>
      </c>
      <c r="AG445" s="42">
        <f t="shared" si="78"/>
        <v>0</v>
      </c>
      <c r="AH445" s="42"/>
      <c r="AI445" s="42">
        <f t="shared" si="79"/>
        <v>0</v>
      </c>
    </row>
    <row r="446" spans="1:35" ht="12" customHeight="1">
      <c r="A446" s="8" t="s">
        <v>273</v>
      </c>
      <c r="B446" s="8"/>
      <c r="C446" s="8" t="s">
        <v>20</v>
      </c>
      <c r="D446" s="8"/>
      <c r="E446" s="23">
        <v>44636</v>
      </c>
      <c r="G446" s="42">
        <v>5661967</v>
      </c>
      <c r="I446" s="42">
        <v>11665078</v>
      </c>
      <c r="K446" s="42">
        <v>926309</v>
      </c>
      <c r="M446" s="42">
        <f t="shared" si="80"/>
        <v>18253354</v>
      </c>
      <c r="O446" s="42">
        <f>88706247+5097121</f>
        <v>93803368</v>
      </c>
      <c r="Q446" s="42">
        <v>0</v>
      </c>
      <c r="S446" s="42">
        <v>40378880</v>
      </c>
      <c r="U446" s="42">
        <v>49387</v>
      </c>
      <c r="W446" s="42">
        <v>85512</v>
      </c>
      <c r="Y446" s="42">
        <v>75980</v>
      </c>
      <c r="AA446" s="42">
        <v>1559137</v>
      </c>
      <c r="AB446" s="37"/>
      <c r="AC446" s="42">
        <v>0</v>
      </c>
      <c r="AE446" s="42">
        <v>0</v>
      </c>
      <c r="AG446" s="42">
        <f t="shared" si="78"/>
        <v>135952264</v>
      </c>
      <c r="AH446" s="42"/>
      <c r="AI446" s="42">
        <f t="shared" si="79"/>
        <v>154205618</v>
      </c>
    </row>
    <row r="447" spans="1:35" ht="12" customHeight="1">
      <c r="A447" s="8" t="s">
        <v>345</v>
      </c>
      <c r="B447" s="8"/>
      <c r="C447" s="8" t="s">
        <v>34</v>
      </c>
      <c r="D447" s="8"/>
      <c r="E447" s="23">
        <v>47597</v>
      </c>
      <c r="G447" s="42">
        <v>1084973</v>
      </c>
      <c r="I447" s="42">
        <v>699255</v>
      </c>
      <c r="K447" s="42">
        <v>0</v>
      </c>
      <c r="M447" s="42">
        <f t="shared" si="80"/>
        <v>1784228</v>
      </c>
      <c r="O447" s="42">
        <f>2990369+126173+316504+40594</f>
        <v>3473640</v>
      </c>
      <c r="Q447" s="42">
        <v>1965635</v>
      </c>
      <c r="S447" s="42">
        <v>5011423</v>
      </c>
      <c r="U447" s="42">
        <v>6568</v>
      </c>
      <c r="W447" s="42">
        <v>0</v>
      </c>
      <c r="Y447" s="42">
        <v>10</v>
      </c>
      <c r="AA447" s="42">
        <f>47277-10968</f>
        <v>36309</v>
      </c>
      <c r="AB447" s="37"/>
      <c r="AC447" s="42">
        <v>0</v>
      </c>
      <c r="AE447" s="42">
        <v>0</v>
      </c>
      <c r="AG447" s="42">
        <f t="shared" si="78"/>
        <v>10493585</v>
      </c>
      <c r="AH447" s="42"/>
      <c r="AI447" s="42">
        <f t="shared" si="79"/>
        <v>12277813</v>
      </c>
    </row>
    <row r="448" spans="1:35" ht="12" hidden="1" customHeight="1">
      <c r="A448" s="8" t="s">
        <v>769</v>
      </c>
      <c r="B448" s="8"/>
      <c r="C448" s="8" t="s">
        <v>447</v>
      </c>
      <c r="D448" s="8"/>
      <c r="E448" s="23">
        <v>45575</v>
      </c>
      <c r="G448" s="42">
        <v>0</v>
      </c>
      <c r="I448" s="42">
        <v>0</v>
      </c>
      <c r="K448" s="42">
        <v>0</v>
      </c>
      <c r="M448" s="42">
        <f t="shared" si="80"/>
        <v>0</v>
      </c>
      <c r="O448" s="42">
        <v>0</v>
      </c>
      <c r="Q448" s="42">
        <v>0</v>
      </c>
      <c r="S448" s="42">
        <v>0</v>
      </c>
      <c r="U448" s="42">
        <v>0</v>
      </c>
      <c r="W448" s="42">
        <v>0</v>
      </c>
      <c r="Y448" s="42">
        <v>0</v>
      </c>
      <c r="AA448" s="42">
        <v>0</v>
      </c>
      <c r="AB448" s="37"/>
      <c r="AC448" s="42">
        <v>0</v>
      </c>
      <c r="AE448" s="42">
        <v>0</v>
      </c>
      <c r="AG448" s="42">
        <f>SUM(O448:AE448)</f>
        <v>0</v>
      </c>
      <c r="AH448" s="42"/>
      <c r="AI448" s="42">
        <f t="shared" si="79"/>
        <v>0</v>
      </c>
    </row>
    <row r="449" spans="1:35" ht="12" customHeight="1">
      <c r="A449" s="8" t="s">
        <v>287</v>
      </c>
      <c r="B449" s="8"/>
      <c r="C449" s="8" t="s">
        <v>24</v>
      </c>
      <c r="D449" s="8"/>
      <c r="E449" s="23">
        <v>46813</v>
      </c>
      <c r="G449" s="42">
        <v>4590207</v>
      </c>
      <c r="I449" s="42">
        <v>1478531</v>
      </c>
      <c r="K449" s="42">
        <v>242801</v>
      </c>
      <c r="M449" s="42">
        <f t="shared" si="80"/>
        <v>6311539</v>
      </c>
      <c r="O449" s="42">
        <f>9469360+2832727</f>
        <v>12302087</v>
      </c>
      <c r="Q449" s="42">
        <v>0</v>
      </c>
      <c r="S449" s="42">
        <v>6829493</v>
      </c>
      <c r="U449" s="42">
        <v>7236</v>
      </c>
      <c r="W449" s="42">
        <v>313302</v>
      </c>
      <c r="Y449" s="42">
        <v>0</v>
      </c>
      <c r="AA449" s="42">
        <v>79078</v>
      </c>
      <c r="AB449" s="37"/>
      <c r="AC449" s="42">
        <v>0</v>
      </c>
      <c r="AE449" s="42">
        <v>122438</v>
      </c>
      <c r="AG449" s="42">
        <f t="shared" si="78"/>
        <v>19653634</v>
      </c>
      <c r="AH449" s="42"/>
      <c r="AI449" s="42">
        <f t="shared" si="79"/>
        <v>25965173</v>
      </c>
    </row>
    <row r="450" spans="1:35" ht="12" hidden="1" customHeight="1">
      <c r="A450" s="8" t="s">
        <v>683</v>
      </c>
      <c r="B450" s="8"/>
      <c r="C450" s="8" t="s">
        <v>10</v>
      </c>
      <c r="D450" s="8"/>
      <c r="E450" s="23">
        <v>45781</v>
      </c>
      <c r="G450" s="42">
        <v>0</v>
      </c>
      <c r="I450" s="42">
        <v>0</v>
      </c>
      <c r="K450" s="42">
        <v>0</v>
      </c>
      <c r="M450" s="42">
        <f t="shared" si="80"/>
        <v>0</v>
      </c>
      <c r="O450" s="42">
        <v>0</v>
      </c>
      <c r="Q450" s="42">
        <v>0</v>
      </c>
      <c r="S450" s="42">
        <v>0</v>
      </c>
      <c r="U450" s="42">
        <v>0</v>
      </c>
      <c r="W450" s="42">
        <v>0</v>
      </c>
      <c r="Y450" s="42">
        <v>0</v>
      </c>
      <c r="AA450" s="42">
        <v>0</v>
      </c>
      <c r="AB450" s="37"/>
      <c r="AC450" s="42">
        <v>0</v>
      </c>
      <c r="AE450" s="42">
        <v>0</v>
      </c>
      <c r="AG450" s="42">
        <f t="shared" si="78"/>
        <v>0</v>
      </c>
      <c r="AH450" s="42"/>
      <c r="AI450" s="42">
        <f t="shared" si="79"/>
        <v>0</v>
      </c>
    </row>
    <row r="451" spans="1:35" ht="12" customHeight="1">
      <c r="A451" s="8" t="s">
        <v>201</v>
      </c>
      <c r="B451" s="8"/>
      <c r="C451" s="8" t="s">
        <v>41</v>
      </c>
      <c r="D451" s="8"/>
      <c r="E451" s="23">
        <v>47902</v>
      </c>
      <c r="G451" s="42">
        <v>1070356</v>
      </c>
      <c r="I451" s="42">
        <v>1216471</v>
      </c>
      <c r="K451" s="42">
        <v>0</v>
      </c>
      <c r="M451" s="42">
        <f>SUM(G451:L451)</f>
        <v>2286827</v>
      </c>
      <c r="O451" s="42">
        <f>13872789+1029871</f>
        <v>14902660</v>
      </c>
      <c r="Q451" s="42">
        <v>0</v>
      </c>
      <c r="S451" s="42">
        <v>10674069</v>
      </c>
      <c r="U451" s="42">
        <v>-87578</v>
      </c>
      <c r="W451" s="42">
        <v>0</v>
      </c>
      <c r="Y451" s="42">
        <v>0</v>
      </c>
      <c r="AA451" s="42">
        <v>419188</v>
      </c>
      <c r="AB451" s="37"/>
      <c r="AC451" s="42">
        <v>0</v>
      </c>
      <c r="AE451" s="42">
        <v>0</v>
      </c>
      <c r="AG451" s="42">
        <f>SUM(O451:AE451)</f>
        <v>25908339</v>
      </c>
      <c r="AH451" s="42"/>
      <c r="AI451" s="42">
        <f>+AG451+M451</f>
        <v>28195166</v>
      </c>
    </row>
    <row r="452" spans="1:35" ht="12" customHeight="1">
      <c r="A452" s="8" t="s">
        <v>201</v>
      </c>
      <c r="B452" s="8"/>
      <c r="C452" s="8" t="s">
        <v>62</v>
      </c>
      <c r="D452" s="8"/>
      <c r="E452" s="23">
        <v>49924</v>
      </c>
      <c r="G452" s="42">
        <v>3736043</v>
      </c>
      <c r="I452" s="42">
        <v>3293925</v>
      </c>
      <c r="K452" s="42">
        <v>0</v>
      </c>
      <c r="M452" s="42">
        <f>SUM(G452:L452)</f>
        <v>7029968</v>
      </c>
      <c r="O452" s="42">
        <f>17441338+727101</f>
        <v>18168439</v>
      </c>
      <c r="Q452" s="42">
        <v>0</v>
      </c>
      <c r="S452" s="42">
        <v>18572907</v>
      </c>
      <c r="U452" s="42">
        <v>131199</v>
      </c>
      <c r="W452" s="42">
        <v>0</v>
      </c>
      <c r="Y452" s="42">
        <v>0</v>
      </c>
      <c r="AA452" s="42">
        <v>208599</v>
      </c>
      <c r="AB452" s="37"/>
      <c r="AC452" s="42">
        <v>0</v>
      </c>
      <c r="AE452" s="42">
        <v>0</v>
      </c>
      <c r="AG452" s="42">
        <f>SUM(O452:AE452)</f>
        <v>37081144</v>
      </c>
      <c r="AH452" s="42"/>
      <c r="AI452" s="42">
        <f>+AG452+M452</f>
        <v>44111112</v>
      </c>
    </row>
    <row r="453" spans="1:35" ht="12" customHeight="1">
      <c r="A453" s="8" t="s">
        <v>770</v>
      </c>
      <c r="B453" s="8"/>
      <c r="C453" s="8" t="s">
        <v>72</v>
      </c>
      <c r="D453" s="8"/>
      <c r="E453" s="23">
        <v>45583</v>
      </c>
      <c r="G453" s="42">
        <v>2979507</v>
      </c>
      <c r="I453" s="42">
        <v>2259237</v>
      </c>
      <c r="K453" s="42">
        <v>61757</v>
      </c>
      <c r="M453" s="42">
        <f>SUM(G453:L453)</f>
        <v>5300501</v>
      </c>
      <c r="O453" s="42">
        <f>26165810+3305434+1821390</f>
        <v>31292634</v>
      </c>
      <c r="Q453" s="42">
        <v>5761176</v>
      </c>
      <c r="S453" s="42">
        <v>11889084</v>
      </c>
      <c r="U453" s="42">
        <v>18528</v>
      </c>
      <c r="W453" s="42">
        <v>415189</v>
      </c>
      <c r="Y453" s="42">
        <v>0</v>
      </c>
      <c r="AA453" s="42">
        <v>121067</v>
      </c>
      <c r="AB453" s="37"/>
      <c r="AC453" s="42">
        <v>0</v>
      </c>
      <c r="AE453" s="42">
        <v>0</v>
      </c>
      <c r="AG453" s="42">
        <f>SUM(O453:AE453)</f>
        <v>49497678</v>
      </c>
      <c r="AH453" s="42"/>
      <c r="AI453" s="42">
        <f>+AG453+M453</f>
        <v>54798179</v>
      </c>
    </row>
    <row r="454" spans="1:35" ht="12" hidden="1" customHeight="1">
      <c r="A454" s="9" t="s">
        <v>884</v>
      </c>
      <c r="B454" s="8"/>
      <c r="C454" s="8" t="s">
        <v>28</v>
      </c>
      <c r="D454" s="8"/>
      <c r="E454" s="23">
        <v>47076</v>
      </c>
      <c r="G454" s="42">
        <v>0</v>
      </c>
      <c r="I454" s="42">
        <v>0</v>
      </c>
      <c r="K454" s="42">
        <v>0</v>
      </c>
      <c r="M454" s="42">
        <f>SUM(G454:L454)</f>
        <v>0</v>
      </c>
      <c r="O454" s="42">
        <v>0</v>
      </c>
      <c r="Q454" s="42">
        <v>0</v>
      </c>
      <c r="S454" s="42">
        <v>0</v>
      </c>
      <c r="U454" s="42">
        <v>0</v>
      </c>
      <c r="W454" s="42">
        <v>0</v>
      </c>
      <c r="Y454" s="42">
        <v>0</v>
      </c>
      <c r="AA454" s="42">
        <v>0</v>
      </c>
      <c r="AB454" s="37"/>
      <c r="AC454" s="42">
        <v>0</v>
      </c>
      <c r="AE454" s="42">
        <v>0</v>
      </c>
      <c r="AG454" s="42">
        <f>SUM(O454:AE454)</f>
        <v>0</v>
      </c>
      <c r="AH454" s="42"/>
      <c r="AI454" s="42">
        <f>+AG454+M454</f>
        <v>0</v>
      </c>
    </row>
    <row r="455" spans="1:35" ht="12" customHeight="1">
      <c r="A455" s="8" t="s">
        <v>294</v>
      </c>
      <c r="B455" s="8"/>
      <c r="C455" s="8" t="s">
        <v>25</v>
      </c>
      <c r="D455" s="8"/>
      <c r="E455" s="23">
        <v>46896</v>
      </c>
      <c r="G455" s="42">
        <v>5923538</v>
      </c>
      <c r="I455" s="42">
        <v>7900829</v>
      </c>
      <c r="K455" s="42">
        <v>0</v>
      </c>
      <c r="M455" s="42">
        <f>SUM(G455:L455)</f>
        <v>13824367</v>
      </c>
      <c r="O455" s="42">
        <f>35135446+13164444+390768</f>
        <v>48690658</v>
      </c>
      <c r="Q455" s="42">
        <v>14590961</v>
      </c>
      <c r="S455" s="42">
        <v>46307569</v>
      </c>
      <c r="U455" s="42">
        <v>109951</v>
      </c>
      <c r="W455" s="42">
        <v>250434</v>
      </c>
      <c r="Y455" s="42">
        <v>0</v>
      </c>
      <c r="AA455" s="42">
        <v>141291</v>
      </c>
      <c r="AB455" s="37"/>
      <c r="AC455" s="42">
        <v>0</v>
      </c>
      <c r="AE455" s="42">
        <v>0</v>
      </c>
      <c r="AG455" s="42">
        <f>SUM(O455:AE455)</f>
        <v>110090864</v>
      </c>
      <c r="AH455" s="42"/>
      <c r="AI455" s="42">
        <f>+AG455+M455</f>
        <v>123915231</v>
      </c>
    </row>
    <row r="456" spans="1:35" s="42" customFormat="1" ht="12" hidden="1" customHeight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42">
        <v>0</v>
      </c>
      <c r="M456" s="42">
        <f t="shared" ref="M456:M489" si="90">SUM(G456:L456)</f>
        <v>0</v>
      </c>
      <c r="O456" s="42">
        <v>0</v>
      </c>
      <c r="Q456" s="42">
        <v>0</v>
      </c>
      <c r="S456" s="42">
        <v>0</v>
      </c>
      <c r="U456" s="42">
        <v>0</v>
      </c>
      <c r="W456" s="42">
        <v>0</v>
      </c>
      <c r="Y456" s="42">
        <v>0</v>
      </c>
      <c r="AA456" s="42">
        <v>0</v>
      </c>
      <c r="AB456" s="37"/>
      <c r="AC456" s="42">
        <v>0</v>
      </c>
      <c r="AE456" s="42">
        <v>0</v>
      </c>
      <c r="AG456" s="42">
        <f t="shared" ref="AG456:AG523" si="91">SUM(O456:AE456)</f>
        <v>0</v>
      </c>
      <c r="AI456" s="42">
        <f t="shared" ref="AI456:AI523" si="92">+AG456+M456</f>
        <v>0</v>
      </c>
    </row>
    <row r="457" spans="1:35" ht="12" customHeight="1">
      <c r="A457" s="8" t="s">
        <v>422</v>
      </c>
      <c r="B457" s="8"/>
      <c r="C457" s="8" t="s">
        <v>48</v>
      </c>
      <c r="D457" s="8"/>
      <c r="E457" s="23">
        <v>44644</v>
      </c>
      <c r="G457" s="42">
        <v>965931</v>
      </c>
      <c r="I457" s="42">
        <v>2825291</v>
      </c>
      <c r="K457" s="42">
        <v>0</v>
      </c>
      <c r="M457" s="42">
        <f t="shared" si="90"/>
        <v>3791222</v>
      </c>
      <c r="O457" s="42">
        <f>8829511+195212+2501125+917366</f>
        <v>12443214</v>
      </c>
      <c r="Q457" s="42">
        <v>5390586</v>
      </c>
      <c r="S457" s="42">
        <v>15381921</v>
      </c>
      <c r="U457" s="42">
        <v>156983</v>
      </c>
      <c r="W457" s="42">
        <v>0</v>
      </c>
      <c r="Y457" s="42">
        <v>0</v>
      </c>
      <c r="AA457" s="42">
        <v>471174</v>
      </c>
      <c r="AB457" s="37"/>
      <c r="AC457" s="42">
        <v>0</v>
      </c>
      <c r="AE457" s="42">
        <v>0</v>
      </c>
      <c r="AG457" s="42">
        <f t="shared" si="91"/>
        <v>33843878</v>
      </c>
      <c r="AH457" s="42"/>
      <c r="AI457" s="42">
        <f t="shared" si="92"/>
        <v>37635100</v>
      </c>
    </row>
    <row r="458" spans="1:35" s="42" customFormat="1" ht="12" customHeight="1">
      <c r="A458" s="9" t="s">
        <v>304</v>
      </c>
      <c r="B458" s="9"/>
      <c r="C458" s="9" t="s">
        <v>62</v>
      </c>
      <c r="D458" s="9"/>
      <c r="E458" s="23">
        <v>49932</v>
      </c>
      <c r="F458" s="6"/>
      <c r="G458" s="42">
        <v>3540229</v>
      </c>
      <c r="I458" s="42">
        <v>6687727</v>
      </c>
      <c r="K458" s="42">
        <v>162469</v>
      </c>
      <c r="M458" s="42">
        <f t="shared" si="90"/>
        <v>10390425</v>
      </c>
      <c r="O458" s="42">
        <f>25686689+3046218</f>
        <v>28732907</v>
      </c>
      <c r="Q458" s="42">
        <v>0</v>
      </c>
      <c r="S458" s="42">
        <v>19080616</v>
      </c>
      <c r="U458" s="42">
        <v>29187</v>
      </c>
      <c r="W458" s="42">
        <v>0</v>
      </c>
      <c r="Y458" s="42">
        <v>0</v>
      </c>
      <c r="AA458" s="42">
        <v>101143</v>
      </c>
      <c r="AB458" s="37"/>
      <c r="AC458" s="42">
        <v>0</v>
      </c>
      <c r="AE458" s="42">
        <v>0</v>
      </c>
      <c r="AG458" s="42">
        <f t="shared" si="91"/>
        <v>47943853</v>
      </c>
      <c r="AI458" s="42">
        <f t="shared" si="92"/>
        <v>58334278</v>
      </c>
    </row>
    <row r="459" spans="1:35" ht="12" customHeight="1">
      <c r="A459" s="8" t="s">
        <v>408</v>
      </c>
      <c r="B459" s="8"/>
      <c r="C459" s="8" t="s">
        <v>46</v>
      </c>
      <c r="D459" s="8"/>
      <c r="E459" s="23">
        <v>48421</v>
      </c>
      <c r="G459" s="42">
        <v>2534580</v>
      </c>
      <c r="I459" s="42">
        <v>1068673</v>
      </c>
      <c r="K459" s="42">
        <v>0</v>
      </c>
      <c r="M459" s="42">
        <f t="shared" si="90"/>
        <v>3603253</v>
      </c>
      <c r="O459" s="42">
        <f>3739704+214776</f>
        <v>3954480</v>
      </c>
      <c r="Q459" s="42">
        <v>0</v>
      </c>
      <c r="S459" s="42">
        <v>4322446</v>
      </c>
      <c r="U459" s="42">
        <v>12277</v>
      </c>
      <c r="W459" s="42">
        <v>0</v>
      </c>
      <c r="Y459" s="42">
        <v>0</v>
      </c>
      <c r="AA459" s="42">
        <v>252685</v>
      </c>
      <c r="AB459" s="37"/>
      <c r="AC459" s="42">
        <v>0</v>
      </c>
      <c r="AE459" s="42">
        <v>0</v>
      </c>
      <c r="AG459" s="42">
        <f t="shared" si="91"/>
        <v>8541888</v>
      </c>
      <c r="AH459" s="42"/>
      <c r="AI459" s="42">
        <f t="shared" si="92"/>
        <v>12145141</v>
      </c>
    </row>
    <row r="460" spans="1:35" ht="12" customHeight="1">
      <c r="A460" s="8" t="s">
        <v>468</v>
      </c>
      <c r="B460" s="8"/>
      <c r="C460" s="8" t="s">
        <v>109</v>
      </c>
      <c r="D460" s="8"/>
      <c r="E460" s="23">
        <v>49460</v>
      </c>
      <c r="G460" s="42">
        <v>774134</v>
      </c>
      <c r="I460" s="42">
        <v>1514942</v>
      </c>
      <c r="K460" s="42">
        <v>0</v>
      </c>
      <c r="M460" s="42">
        <f t="shared" si="90"/>
        <v>2289076</v>
      </c>
      <c r="O460" s="42">
        <f>1614784+24891+124413</f>
        <v>1764088</v>
      </c>
      <c r="Q460" s="42">
        <v>909707</v>
      </c>
      <c r="S460" s="42">
        <v>4679391</v>
      </c>
      <c r="U460" s="42">
        <v>4006</v>
      </c>
      <c r="W460" s="42">
        <v>0</v>
      </c>
      <c r="Y460" s="42">
        <v>0</v>
      </c>
      <c r="AA460" s="42">
        <v>11950</v>
      </c>
      <c r="AB460" s="37"/>
      <c r="AC460" s="42">
        <v>0</v>
      </c>
      <c r="AE460" s="42">
        <v>0</v>
      </c>
      <c r="AG460" s="42">
        <f t="shared" si="91"/>
        <v>7369142</v>
      </c>
      <c r="AH460" s="42"/>
      <c r="AI460" s="42">
        <f t="shared" si="92"/>
        <v>9658218</v>
      </c>
    </row>
    <row r="461" spans="1:35" ht="12" customHeight="1">
      <c r="A461" s="8" t="s">
        <v>718</v>
      </c>
      <c r="B461" s="8"/>
      <c r="C461" s="8" t="s">
        <v>45</v>
      </c>
      <c r="D461" s="8"/>
      <c r="E461" s="23">
        <v>48348</v>
      </c>
      <c r="G461" s="42">
        <v>1206471</v>
      </c>
      <c r="I461" s="42">
        <v>1142590</v>
      </c>
      <c r="K461" s="42">
        <v>0</v>
      </c>
      <c r="M461" s="42">
        <f t="shared" si="90"/>
        <v>2349061</v>
      </c>
      <c r="O461" s="42">
        <f>11291077+656157+426918</f>
        <v>12374152</v>
      </c>
      <c r="Q461" s="42">
        <v>0</v>
      </c>
      <c r="S461" s="42">
        <v>7438401</v>
      </c>
      <c r="U461" s="42">
        <v>2219</v>
      </c>
      <c r="W461" s="42">
        <v>0</v>
      </c>
      <c r="Y461" s="42">
        <v>0</v>
      </c>
      <c r="AA461" s="42">
        <v>23311</v>
      </c>
      <c r="AB461" s="37"/>
      <c r="AC461" s="42">
        <v>0</v>
      </c>
      <c r="AE461" s="42">
        <v>0</v>
      </c>
      <c r="AG461" s="42">
        <f t="shared" si="91"/>
        <v>19838083</v>
      </c>
      <c r="AH461" s="42"/>
      <c r="AI461" s="42">
        <f t="shared" si="92"/>
        <v>22187144</v>
      </c>
    </row>
    <row r="462" spans="1:35" ht="12" hidden="1" customHeight="1">
      <c r="A462" s="8" t="s">
        <v>816</v>
      </c>
      <c r="B462" s="8"/>
      <c r="C462" s="8" t="s">
        <v>53</v>
      </c>
      <c r="D462" s="8"/>
      <c r="E462" s="23">
        <v>44651</v>
      </c>
      <c r="G462" s="42">
        <v>0</v>
      </c>
      <c r="I462" s="42">
        <v>0</v>
      </c>
      <c r="K462" s="42">
        <v>0</v>
      </c>
      <c r="M462" s="42">
        <f t="shared" si="90"/>
        <v>0</v>
      </c>
      <c r="O462" s="42">
        <v>0</v>
      </c>
      <c r="Q462" s="42">
        <v>0</v>
      </c>
      <c r="S462" s="42">
        <v>0</v>
      </c>
      <c r="U462" s="42">
        <v>0</v>
      </c>
      <c r="W462" s="42">
        <v>0</v>
      </c>
      <c r="Y462" s="42">
        <v>0</v>
      </c>
      <c r="AA462" s="42">
        <v>0</v>
      </c>
      <c r="AB462" s="37"/>
      <c r="AC462" s="42">
        <v>0</v>
      </c>
      <c r="AE462" s="42">
        <v>0</v>
      </c>
      <c r="AG462" s="42">
        <f t="shared" si="91"/>
        <v>0</v>
      </c>
      <c r="AH462" s="42"/>
      <c r="AI462" s="42">
        <f t="shared" si="92"/>
        <v>0</v>
      </c>
    </row>
    <row r="463" spans="1:35" ht="12" customHeight="1">
      <c r="A463" s="8" t="s">
        <v>481</v>
      </c>
      <c r="B463" s="8"/>
      <c r="C463" s="8" t="s">
        <v>59</v>
      </c>
      <c r="D463" s="8"/>
      <c r="E463" s="23">
        <v>44669</v>
      </c>
      <c r="G463" s="42">
        <v>1074052</v>
      </c>
      <c r="I463" s="42">
        <v>6369831</v>
      </c>
      <c r="K463" s="42">
        <v>750</v>
      </c>
      <c r="M463" s="42">
        <f t="shared" si="90"/>
        <v>7444633</v>
      </c>
      <c r="O463" s="42">
        <f>4167324+741284+453010</f>
        <v>5361618</v>
      </c>
      <c r="Q463" s="42">
        <v>0</v>
      </c>
      <c r="S463" s="42">
        <v>16737958</v>
      </c>
      <c r="U463" s="42">
        <v>20862</v>
      </c>
      <c r="W463" s="42">
        <v>0</v>
      </c>
      <c r="Y463" s="42">
        <v>13553</v>
      </c>
      <c r="AA463" s="42">
        <f>72261+120931</f>
        <v>193192</v>
      </c>
      <c r="AB463" s="37"/>
      <c r="AC463" s="42">
        <v>0</v>
      </c>
      <c r="AE463" s="42">
        <v>0</v>
      </c>
      <c r="AG463" s="42">
        <f t="shared" si="91"/>
        <v>22327183</v>
      </c>
      <c r="AH463" s="42"/>
      <c r="AI463" s="42">
        <f t="shared" si="92"/>
        <v>29771816</v>
      </c>
    </row>
    <row r="464" spans="1:35" ht="12" hidden="1" customHeight="1">
      <c r="A464" s="8" t="s">
        <v>684</v>
      </c>
      <c r="B464" s="8"/>
      <c r="C464" s="8" t="s">
        <v>57</v>
      </c>
      <c r="D464" s="8"/>
      <c r="E464" s="23">
        <v>49288</v>
      </c>
      <c r="G464" s="42">
        <v>0</v>
      </c>
      <c r="I464" s="42">
        <v>0</v>
      </c>
      <c r="K464" s="42">
        <v>0</v>
      </c>
      <c r="M464" s="42">
        <f t="shared" si="90"/>
        <v>0</v>
      </c>
      <c r="O464" s="42">
        <v>0</v>
      </c>
      <c r="Q464" s="42">
        <v>0</v>
      </c>
      <c r="S464" s="42">
        <v>0</v>
      </c>
      <c r="U464" s="42">
        <v>0</v>
      </c>
      <c r="W464" s="42">
        <v>0</v>
      </c>
      <c r="Y464" s="42">
        <v>0</v>
      </c>
      <c r="AA464" s="42">
        <v>0</v>
      </c>
      <c r="AB464" s="37"/>
      <c r="AC464" s="42">
        <v>0</v>
      </c>
      <c r="AE464" s="42">
        <v>0</v>
      </c>
      <c r="AG464" s="42">
        <f t="shared" si="91"/>
        <v>0</v>
      </c>
      <c r="AH464" s="42"/>
      <c r="AI464" s="42">
        <f t="shared" si="92"/>
        <v>0</v>
      </c>
    </row>
    <row r="465" spans="1:35" ht="12" customHeight="1">
      <c r="A465" s="8" t="s">
        <v>327</v>
      </c>
      <c r="B465" s="8"/>
      <c r="C465" s="8" t="s">
        <v>32</v>
      </c>
      <c r="D465" s="8"/>
      <c r="E465" s="23">
        <v>44677</v>
      </c>
      <c r="G465" s="42">
        <v>5622637</v>
      </c>
      <c r="I465" s="42">
        <v>7828636</v>
      </c>
      <c r="K465" s="42">
        <v>0</v>
      </c>
      <c r="M465" s="42">
        <f t="shared" si="90"/>
        <v>13451273</v>
      </c>
      <c r="O465" s="42">
        <f>46417776+9173651+1947911</f>
        <v>57539338</v>
      </c>
      <c r="Q465" s="42">
        <v>0</v>
      </c>
      <c r="S465" s="42">
        <v>26600918</v>
      </c>
      <c r="U465" s="42">
        <v>353627</v>
      </c>
      <c r="W465" s="42">
        <v>294599</v>
      </c>
      <c r="Y465" s="42">
        <v>54317</v>
      </c>
      <c r="AA465" s="42">
        <v>1128591</v>
      </c>
      <c r="AB465" s="37"/>
      <c r="AC465" s="42">
        <v>0</v>
      </c>
      <c r="AE465" s="42">
        <v>0</v>
      </c>
      <c r="AG465" s="42">
        <f t="shared" si="91"/>
        <v>85971390</v>
      </c>
      <c r="AH465" s="42"/>
      <c r="AI465" s="42">
        <f t="shared" si="92"/>
        <v>99422663</v>
      </c>
    </row>
    <row r="466" spans="1:35" ht="12" hidden="1" customHeight="1">
      <c r="A466" s="8" t="s">
        <v>817</v>
      </c>
      <c r="B466" s="9"/>
      <c r="C466" s="9" t="s">
        <v>53</v>
      </c>
      <c r="D466" s="9"/>
      <c r="E466" s="23">
        <v>48975</v>
      </c>
      <c r="G466" s="42">
        <v>0</v>
      </c>
      <c r="I466" s="42">
        <v>0</v>
      </c>
      <c r="K466" s="42">
        <v>0</v>
      </c>
      <c r="M466" s="42">
        <f t="shared" ref="M466" si="93">SUM(G466:L466)</f>
        <v>0</v>
      </c>
      <c r="O466" s="42">
        <v>0</v>
      </c>
      <c r="Q466" s="42">
        <v>0</v>
      </c>
      <c r="S466" s="42">
        <v>0</v>
      </c>
      <c r="U466" s="42">
        <v>0</v>
      </c>
      <c r="W466" s="42">
        <v>0</v>
      </c>
      <c r="Y466" s="42">
        <v>0</v>
      </c>
      <c r="AA466" s="42">
        <v>0</v>
      </c>
      <c r="AB466" s="37"/>
      <c r="AC466" s="42">
        <v>0</v>
      </c>
      <c r="AE466" s="42">
        <v>0</v>
      </c>
      <c r="AG466" s="42">
        <f t="shared" ref="AG466" si="94">SUM(O466:AE466)</f>
        <v>0</v>
      </c>
      <c r="AH466" s="42"/>
      <c r="AI466" s="42">
        <f t="shared" ref="AI466" si="95">+AG466+M466</f>
        <v>0</v>
      </c>
    </row>
    <row r="467" spans="1:35" ht="12" hidden="1" customHeight="1">
      <c r="A467" s="8" t="s">
        <v>818</v>
      </c>
      <c r="B467" s="8"/>
      <c r="C467" s="8" t="s">
        <v>12</v>
      </c>
      <c r="D467" s="8"/>
      <c r="E467" s="23">
        <v>45880</v>
      </c>
      <c r="G467" s="42">
        <v>0</v>
      </c>
      <c r="I467" s="42">
        <v>0</v>
      </c>
      <c r="K467" s="42">
        <v>0</v>
      </c>
      <c r="M467" s="42">
        <f t="shared" si="90"/>
        <v>0</v>
      </c>
      <c r="O467" s="42">
        <v>0</v>
      </c>
      <c r="Q467" s="42">
        <v>0</v>
      </c>
      <c r="S467" s="42">
        <v>0</v>
      </c>
      <c r="U467" s="42">
        <v>0</v>
      </c>
      <c r="W467" s="42">
        <v>0</v>
      </c>
      <c r="Y467" s="42">
        <v>0</v>
      </c>
      <c r="AA467" s="42">
        <v>0</v>
      </c>
      <c r="AB467" s="37"/>
      <c r="AC467" s="42">
        <v>0</v>
      </c>
      <c r="AE467" s="42">
        <v>0</v>
      </c>
      <c r="AG467" s="42">
        <f t="shared" si="91"/>
        <v>0</v>
      </c>
      <c r="AH467" s="42"/>
      <c r="AI467" s="42">
        <f t="shared" si="92"/>
        <v>0</v>
      </c>
    </row>
    <row r="468" spans="1:35" s="24" customFormat="1" ht="12" customHeight="1">
      <c r="A468" s="51" t="s">
        <v>627</v>
      </c>
      <c r="B468" s="51"/>
      <c r="C468" s="51" t="s">
        <v>56</v>
      </c>
      <c r="D468" s="51"/>
      <c r="E468" s="23">
        <v>44685</v>
      </c>
      <c r="G468" s="42">
        <v>1441722</v>
      </c>
      <c r="H468" s="42"/>
      <c r="I468" s="42">
        <v>4385466</v>
      </c>
      <c r="J468" s="42"/>
      <c r="K468" s="42">
        <v>77207</v>
      </c>
      <c r="L468" s="42"/>
      <c r="M468" s="42">
        <f t="shared" si="90"/>
        <v>5904395</v>
      </c>
      <c r="N468" s="42"/>
      <c r="O468" s="42">
        <f>9718519+962745+129610+250842</f>
        <v>11061716</v>
      </c>
      <c r="P468" s="42"/>
      <c r="Q468" s="42">
        <v>0</v>
      </c>
      <c r="R468" s="42"/>
      <c r="S468" s="42">
        <v>13571784</v>
      </c>
      <c r="T468" s="42"/>
      <c r="U468" s="42">
        <v>14425</v>
      </c>
      <c r="V468" s="42"/>
      <c r="W468" s="42">
        <v>63411</v>
      </c>
      <c r="X468" s="42"/>
      <c r="Y468" s="42">
        <v>0</v>
      </c>
      <c r="Z468" s="42"/>
      <c r="AA468" s="42">
        <v>74933</v>
      </c>
      <c r="AB468" s="37"/>
      <c r="AC468" s="42">
        <v>0</v>
      </c>
      <c r="AD468" s="42"/>
      <c r="AE468" s="42">
        <v>0</v>
      </c>
      <c r="AF468" s="42"/>
      <c r="AG468" s="42">
        <f t="shared" si="91"/>
        <v>24786269</v>
      </c>
      <c r="AH468" s="42"/>
      <c r="AI468" s="42">
        <f t="shared" si="92"/>
        <v>30690664</v>
      </c>
    </row>
    <row r="469" spans="1:35" ht="12" customHeight="1">
      <c r="A469" s="8" t="s">
        <v>328</v>
      </c>
      <c r="B469" s="8"/>
      <c r="C469" s="8" t="s">
        <v>32</v>
      </c>
      <c r="D469" s="8"/>
      <c r="E469" s="23">
        <v>44693</v>
      </c>
      <c r="G469" s="42">
        <v>2208896</v>
      </c>
      <c r="I469" s="42">
        <v>2605244</v>
      </c>
      <c r="K469" s="42">
        <v>0</v>
      </c>
      <c r="M469" s="42">
        <f t="shared" si="90"/>
        <v>4814140</v>
      </c>
      <c r="O469" s="42">
        <v>7575700</v>
      </c>
      <c r="Q469" s="42">
        <v>0</v>
      </c>
      <c r="S469" s="42">
        <v>4960259</v>
      </c>
      <c r="U469" s="42">
        <v>17189</v>
      </c>
      <c r="W469" s="42">
        <v>0</v>
      </c>
      <c r="Y469" s="42">
        <v>375</v>
      </c>
      <c r="AA469" s="42">
        <v>213987</v>
      </c>
      <c r="AB469" s="37"/>
      <c r="AC469" s="42">
        <v>0</v>
      </c>
      <c r="AE469" s="42">
        <v>0</v>
      </c>
      <c r="AG469" s="42">
        <f t="shared" si="91"/>
        <v>12767510</v>
      </c>
      <c r="AH469" s="42"/>
      <c r="AI469" s="42">
        <f t="shared" si="92"/>
        <v>17581650</v>
      </c>
    </row>
    <row r="470" spans="1:35" ht="12" customHeight="1">
      <c r="A470" s="8" t="s">
        <v>509</v>
      </c>
      <c r="B470" s="8"/>
      <c r="C470" s="8" t="s">
        <v>63</v>
      </c>
      <c r="D470" s="8"/>
      <c r="E470" s="23">
        <v>50054</v>
      </c>
      <c r="G470" s="42">
        <v>1717766</v>
      </c>
      <c r="I470" s="42">
        <v>1290114</v>
      </c>
      <c r="K470" s="42">
        <v>75659</v>
      </c>
      <c r="M470" s="42">
        <f t="shared" si="90"/>
        <v>3083539</v>
      </c>
      <c r="O470" s="42">
        <f>25418090+1219641+1135791</f>
        <v>27773522</v>
      </c>
      <c r="Q470" s="42">
        <v>0</v>
      </c>
      <c r="S470" s="42">
        <v>6656378</v>
      </c>
      <c r="U470" s="42">
        <v>56068</v>
      </c>
      <c r="W470" s="42">
        <v>0</v>
      </c>
      <c r="Y470" s="42">
        <v>0</v>
      </c>
      <c r="AA470" s="42">
        <f>2380+99705</f>
        <v>102085</v>
      </c>
      <c r="AB470" s="37"/>
      <c r="AC470" s="42">
        <v>0</v>
      </c>
      <c r="AE470" s="42">
        <v>0</v>
      </c>
      <c r="AG470" s="42">
        <f t="shared" si="91"/>
        <v>34588053</v>
      </c>
      <c r="AH470" s="42"/>
      <c r="AI470" s="42">
        <f t="shared" si="92"/>
        <v>37671592</v>
      </c>
    </row>
    <row r="471" spans="1:35" ht="12" hidden="1" customHeight="1">
      <c r="A471" s="8" t="s">
        <v>819</v>
      </c>
      <c r="B471" s="8"/>
      <c r="C471" s="8" t="s">
        <v>27</v>
      </c>
      <c r="D471" s="8"/>
      <c r="E471" s="23">
        <v>47001</v>
      </c>
      <c r="G471" s="42">
        <v>0</v>
      </c>
      <c r="I471" s="42">
        <v>0</v>
      </c>
      <c r="K471" s="42">
        <v>0</v>
      </c>
      <c r="M471" s="42">
        <f t="shared" si="90"/>
        <v>0</v>
      </c>
      <c r="O471" s="42">
        <v>0</v>
      </c>
      <c r="Q471" s="42">
        <v>0</v>
      </c>
      <c r="S471" s="42">
        <v>0</v>
      </c>
      <c r="U471" s="42">
        <v>0</v>
      </c>
      <c r="W471" s="42">
        <v>0</v>
      </c>
      <c r="Y471" s="42">
        <v>0</v>
      </c>
      <c r="AA471" s="42">
        <v>0</v>
      </c>
      <c r="AB471" s="37"/>
      <c r="AC471" s="42">
        <v>0</v>
      </c>
      <c r="AE471" s="42">
        <v>0</v>
      </c>
      <c r="AG471" s="42">
        <f t="shared" si="91"/>
        <v>0</v>
      </c>
      <c r="AH471" s="42"/>
      <c r="AI471" s="42">
        <f t="shared" si="92"/>
        <v>0</v>
      </c>
    </row>
    <row r="472" spans="1:35" ht="12" customHeight="1">
      <c r="A472" s="8" t="s">
        <v>274</v>
      </c>
      <c r="B472" s="8"/>
      <c r="C472" s="8" t="s">
        <v>20</v>
      </c>
      <c r="D472" s="8"/>
      <c r="E472" s="23">
        <v>46599</v>
      </c>
      <c r="G472" s="42">
        <v>470627</v>
      </c>
      <c r="I472" s="42">
        <v>327354</v>
      </c>
      <c r="K472" s="42">
        <v>26556</v>
      </c>
      <c r="M472" s="42">
        <f t="shared" si="90"/>
        <v>824537</v>
      </c>
      <c r="O472" s="42">
        <f>10023740+112932</f>
        <v>10136672</v>
      </c>
      <c r="Q472" s="42">
        <v>0</v>
      </c>
      <c r="S472" s="42">
        <v>3255751</v>
      </c>
      <c r="U472" s="42">
        <v>1832</v>
      </c>
      <c r="W472" s="42">
        <v>0</v>
      </c>
      <c r="Y472" s="42">
        <v>0</v>
      </c>
      <c r="AA472" s="42">
        <v>98565</v>
      </c>
      <c r="AB472" s="37"/>
      <c r="AC472" s="42">
        <v>0</v>
      </c>
      <c r="AE472" s="42">
        <v>0</v>
      </c>
      <c r="AG472" s="42">
        <f t="shared" si="91"/>
        <v>13492820</v>
      </c>
      <c r="AH472" s="42"/>
      <c r="AI472" s="42">
        <f t="shared" si="92"/>
        <v>14317357</v>
      </c>
    </row>
    <row r="473" spans="1:35" s="24" customFormat="1" ht="12" customHeight="1">
      <c r="A473" s="51" t="s">
        <v>409</v>
      </c>
      <c r="B473" s="51"/>
      <c r="C473" s="51" t="s">
        <v>46</v>
      </c>
      <c r="D473" s="51"/>
      <c r="E473" s="51">
        <v>48439</v>
      </c>
      <c r="G473" s="24">
        <v>1468697</v>
      </c>
      <c r="I473" s="24">
        <v>510137</v>
      </c>
      <c r="K473" s="24">
        <v>0</v>
      </c>
      <c r="M473" s="24">
        <f t="shared" si="90"/>
        <v>1978834</v>
      </c>
      <c r="O473" s="24">
        <v>2783726</v>
      </c>
      <c r="Q473" s="24">
        <v>0</v>
      </c>
      <c r="S473" s="24">
        <v>3470316</v>
      </c>
      <c r="U473" s="24">
        <v>8995</v>
      </c>
      <c r="W473" s="24">
        <v>139130</v>
      </c>
      <c r="Y473" s="24">
        <v>0</v>
      </c>
      <c r="AA473" s="24">
        <v>24516</v>
      </c>
      <c r="AB473" s="58"/>
      <c r="AC473" s="24">
        <v>0</v>
      </c>
      <c r="AE473" s="24">
        <v>0</v>
      </c>
      <c r="AG473" s="24">
        <f t="shared" si="91"/>
        <v>6426683</v>
      </c>
      <c r="AI473" s="24">
        <f t="shared" si="92"/>
        <v>8405517</v>
      </c>
    </row>
    <row r="474" spans="1:35" ht="12" hidden="1" customHeight="1">
      <c r="A474" s="9" t="s">
        <v>885</v>
      </c>
      <c r="B474" s="8"/>
      <c r="C474" s="8" t="s">
        <v>337</v>
      </c>
      <c r="D474" s="8"/>
      <c r="E474" s="23">
        <v>47506</v>
      </c>
      <c r="G474" s="42">
        <v>0</v>
      </c>
      <c r="I474" s="42">
        <v>0</v>
      </c>
      <c r="K474" s="42">
        <v>0</v>
      </c>
      <c r="M474" s="42">
        <f t="shared" si="90"/>
        <v>0</v>
      </c>
      <c r="O474" s="42">
        <v>0</v>
      </c>
      <c r="Q474" s="42">
        <v>0</v>
      </c>
      <c r="S474" s="42">
        <v>0</v>
      </c>
      <c r="U474" s="42">
        <v>0</v>
      </c>
      <c r="W474" s="42">
        <v>0</v>
      </c>
      <c r="Y474" s="42">
        <v>0</v>
      </c>
      <c r="AA474" s="42">
        <v>0</v>
      </c>
      <c r="AB474" s="37"/>
      <c r="AC474" s="42">
        <v>0</v>
      </c>
      <c r="AE474" s="42">
        <v>0</v>
      </c>
      <c r="AG474" s="42">
        <f t="shared" si="91"/>
        <v>0</v>
      </c>
      <c r="AH474" s="42"/>
      <c r="AI474" s="42">
        <f t="shared" si="92"/>
        <v>0</v>
      </c>
    </row>
    <row r="475" spans="1:35" ht="12" customHeight="1">
      <c r="A475" s="8" t="s">
        <v>252</v>
      </c>
      <c r="B475" s="8"/>
      <c r="C475" s="8" t="s">
        <v>19</v>
      </c>
      <c r="D475" s="8"/>
      <c r="E475" s="23">
        <v>46474</v>
      </c>
      <c r="G475" s="42">
        <v>822506</v>
      </c>
      <c r="I475" s="42">
        <v>1516816</v>
      </c>
      <c r="K475" s="42">
        <v>0</v>
      </c>
      <c r="M475" s="42">
        <f t="shared" si="90"/>
        <v>2339322</v>
      </c>
      <c r="O475" s="42">
        <f>2465560+219737+45916</f>
        <v>2731213</v>
      </c>
      <c r="Q475" s="42">
        <v>0</v>
      </c>
      <c r="S475" s="42">
        <v>7233845</v>
      </c>
      <c r="U475" s="42">
        <v>2239</v>
      </c>
      <c r="W475" s="42">
        <v>0</v>
      </c>
      <c r="Y475" s="42">
        <v>0</v>
      </c>
      <c r="AA475" s="42">
        <v>4124</v>
      </c>
      <c r="AB475" s="37"/>
      <c r="AC475" s="42">
        <v>0</v>
      </c>
      <c r="AE475" s="42">
        <v>0</v>
      </c>
      <c r="AG475" s="42">
        <f t="shared" si="91"/>
        <v>9971421</v>
      </c>
      <c r="AH475" s="42"/>
      <c r="AI475" s="42">
        <f t="shared" si="92"/>
        <v>12310743</v>
      </c>
    </row>
    <row r="476" spans="1:35" ht="12" hidden="1" customHeight="1">
      <c r="A476" s="8" t="s">
        <v>820</v>
      </c>
      <c r="B476" s="8"/>
      <c r="C476" s="8" t="s">
        <v>77</v>
      </c>
      <c r="D476" s="8"/>
      <c r="E476" s="23">
        <v>46078</v>
      </c>
      <c r="G476" s="42">
        <v>0</v>
      </c>
      <c r="I476" s="42">
        <v>0</v>
      </c>
      <c r="K476" s="42">
        <v>0</v>
      </c>
      <c r="M476" s="42">
        <f t="shared" si="90"/>
        <v>0</v>
      </c>
      <c r="O476" s="42">
        <v>0</v>
      </c>
      <c r="Q476" s="42">
        <v>0</v>
      </c>
      <c r="S476" s="42">
        <v>0</v>
      </c>
      <c r="U476" s="42">
        <v>0</v>
      </c>
      <c r="W476" s="42">
        <v>0</v>
      </c>
      <c r="Y476" s="42">
        <v>0</v>
      </c>
      <c r="AA476" s="42">
        <v>0</v>
      </c>
      <c r="AB476" s="37"/>
      <c r="AC476" s="42">
        <v>0</v>
      </c>
      <c r="AE476" s="42">
        <v>0</v>
      </c>
      <c r="AG476" s="42">
        <f t="shared" si="91"/>
        <v>0</v>
      </c>
      <c r="AH476" s="42"/>
      <c r="AI476" s="42">
        <f t="shared" si="92"/>
        <v>0</v>
      </c>
    </row>
    <row r="477" spans="1:35" ht="12" hidden="1" customHeight="1">
      <c r="A477" s="8" t="s">
        <v>821</v>
      </c>
      <c r="B477" s="8"/>
      <c r="C477" s="8" t="s">
        <v>71</v>
      </c>
      <c r="D477" s="8"/>
      <c r="E477" s="23">
        <v>45591</v>
      </c>
      <c r="G477" s="42">
        <v>0</v>
      </c>
      <c r="I477" s="42">
        <v>0</v>
      </c>
      <c r="K477" s="42">
        <v>0</v>
      </c>
      <c r="M477" s="42">
        <f t="shared" si="90"/>
        <v>0</v>
      </c>
      <c r="O477" s="42">
        <v>0</v>
      </c>
      <c r="Q477" s="42">
        <v>0</v>
      </c>
      <c r="S477" s="42">
        <v>0</v>
      </c>
      <c r="U477" s="42">
        <v>0</v>
      </c>
      <c r="W477" s="42">
        <v>0</v>
      </c>
      <c r="Y477" s="42">
        <v>0</v>
      </c>
      <c r="AA477" s="42">
        <v>0</v>
      </c>
      <c r="AB477" s="37"/>
      <c r="AC477" s="42">
        <v>0</v>
      </c>
      <c r="AE477" s="42">
        <v>0</v>
      </c>
      <c r="AG477" s="42">
        <f t="shared" si="91"/>
        <v>0</v>
      </c>
      <c r="AH477" s="42"/>
      <c r="AI477" s="42">
        <f t="shared" si="92"/>
        <v>0</v>
      </c>
    </row>
    <row r="478" spans="1:35" ht="12" customHeight="1">
      <c r="A478" s="8" t="s">
        <v>410</v>
      </c>
      <c r="B478" s="8"/>
      <c r="C478" s="8" t="s">
        <v>46</v>
      </c>
      <c r="D478" s="8"/>
      <c r="E478" s="23">
        <v>48447</v>
      </c>
      <c r="G478" s="42">
        <v>3423875</v>
      </c>
      <c r="I478" s="42">
        <v>1334258</v>
      </c>
      <c r="K478" s="42">
        <v>2750</v>
      </c>
      <c r="M478" s="42">
        <f t="shared" si="90"/>
        <v>4760883</v>
      </c>
      <c r="O478" s="42">
        <f>5485311+95927+1034770</f>
        <v>6616008</v>
      </c>
      <c r="Q478" s="42">
        <v>0</v>
      </c>
      <c r="S478" s="42">
        <v>5898570</v>
      </c>
      <c r="U478" s="42">
        <v>8108</v>
      </c>
      <c r="W478" s="42">
        <v>229297</v>
      </c>
      <c r="Y478" s="42">
        <v>725</v>
      </c>
      <c r="AA478" s="42">
        <v>214262</v>
      </c>
      <c r="AB478" s="37"/>
      <c r="AC478" s="42">
        <v>-36602</v>
      </c>
      <c r="AE478" s="42">
        <v>0</v>
      </c>
      <c r="AG478" s="42">
        <f t="shared" si="91"/>
        <v>12930368</v>
      </c>
      <c r="AH478" s="42"/>
      <c r="AI478" s="42">
        <f t="shared" si="92"/>
        <v>17691251</v>
      </c>
    </row>
    <row r="479" spans="1:35" s="24" customFormat="1" ht="12" customHeight="1">
      <c r="A479" s="8" t="s">
        <v>253</v>
      </c>
      <c r="B479" s="51"/>
      <c r="C479" s="51" t="s">
        <v>19</v>
      </c>
      <c r="D479" s="51"/>
      <c r="E479" s="23">
        <v>46482</v>
      </c>
      <c r="G479" s="42">
        <v>1567460</v>
      </c>
      <c r="H479" s="42"/>
      <c r="I479" s="42">
        <v>2862100</v>
      </c>
      <c r="J479" s="42"/>
      <c r="K479" s="42">
        <v>0</v>
      </c>
      <c r="L479" s="42"/>
      <c r="M479" s="42">
        <f t="shared" si="90"/>
        <v>4429560</v>
      </c>
      <c r="N479" s="42"/>
      <c r="O479" s="42">
        <f>8618970+483955</f>
        <v>9102925</v>
      </c>
      <c r="P479" s="42"/>
      <c r="Q479" s="42">
        <v>0</v>
      </c>
      <c r="R479" s="42"/>
      <c r="S479" s="42">
        <v>9599388</v>
      </c>
      <c r="T479" s="42"/>
      <c r="U479" s="42">
        <v>17285</v>
      </c>
      <c r="V479" s="42"/>
      <c r="W479" s="42">
        <v>0</v>
      </c>
      <c r="X479" s="42"/>
      <c r="Y479" s="42">
        <v>0</v>
      </c>
      <c r="Z479" s="42"/>
      <c r="AA479" s="42">
        <v>253605</v>
      </c>
      <c r="AB479" s="37"/>
      <c r="AC479" s="42">
        <v>0</v>
      </c>
      <c r="AD479" s="42"/>
      <c r="AE479" s="42">
        <v>0</v>
      </c>
      <c r="AF479" s="42"/>
      <c r="AG479" s="42">
        <f t="shared" si="91"/>
        <v>18973203</v>
      </c>
      <c r="AH479" s="42"/>
      <c r="AI479" s="42">
        <f t="shared" si="92"/>
        <v>23402763</v>
      </c>
    </row>
    <row r="480" spans="1:35" ht="12" hidden="1" customHeight="1">
      <c r="A480" s="8" t="s">
        <v>822</v>
      </c>
      <c r="B480" s="8"/>
      <c r="C480" s="8" t="s">
        <v>337</v>
      </c>
      <c r="D480" s="8"/>
      <c r="E480" s="23">
        <v>47514</v>
      </c>
      <c r="G480" s="42">
        <v>0</v>
      </c>
      <c r="I480" s="42">
        <v>0</v>
      </c>
      <c r="K480" s="42">
        <v>0</v>
      </c>
      <c r="M480" s="42">
        <f t="shared" si="90"/>
        <v>0</v>
      </c>
      <c r="O480" s="42">
        <v>0</v>
      </c>
      <c r="Q480" s="42">
        <v>0</v>
      </c>
      <c r="S480" s="42">
        <v>0</v>
      </c>
      <c r="U480" s="42">
        <v>0</v>
      </c>
      <c r="W480" s="42">
        <v>0</v>
      </c>
      <c r="Y480" s="42">
        <v>0</v>
      </c>
      <c r="AA480" s="42">
        <v>0</v>
      </c>
      <c r="AB480" s="37"/>
      <c r="AC480" s="42">
        <v>0</v>
      </c>
      <c r="AE480" s="42">
        <v>0</v>
      </c>
      <c r="AG480" s="42">
        <f t="shared" si="91"/>
        <v>0</v>
      </c>
      <c r="AH480" s="42"/>
      <c r="AI480" s="42">
        <f t="shared" si="92"/>
        <v>0</v>
      </c>
    </row>
    <row r="481" spans="1:35" ht="12" customHeight="1">
      <c r="A481" s="8" t="s">
        <v>377</v>
      </c>
      <c r="B481" s="8"/>
      <c r="C481" s="8" t="s">
        <v>41</v>
      </c>
      <c r="D481" s="8"/>
      <c r="E481" s="23">
        <v>47894</v>
      </c>
      <c r="G481" s="42">
        <v>1952187</v>
      </c>
      <c r="I481" s="42">
        <v>1589491</v>
      </c>
      <c r="K481" s="42">
        <v>264645</v>
      </c>
      <c r="M481" s="42">
        <f t="shared" si="90"/>
        <v>3806323</v>
      </c>
      <c r="O481" s="42">
        <f>23441407+709062+1375920+2527672</f>
        <v>28054061</v>
      </c>
      <c r="Q481" s="42">
        <v>0</v>
      </c>
      <c r="S481" s="42">
        <v>12044905</v>
      </c>
      <c r="U481" s="42">
        <v>1098</v>
      </c>
      <c r="W481" s="42">
        <v>98206</v>
      </c>
      <c r="Y481" s="42">
        <v>0</v>
      </c>
      <c r="AA481" s="42">
        <f>6394+297996</f>
        <v>304390</v>
      </c>
      <c r="AB481" s="37"/>
      <c r="AC481" s="42">
        <v>0</v>
      </c>
      <c r="AE481" s="42">
        <v>0</v>
      </c>
      <c r="AG481" s="42">
        <f t="shared" si="91"/>
        <v>40502660</v>
      </c>
      <c r="AH481" s="42"/>
      <c r="AI481" s="42">
        <f t="shared" si="92"/>
        <v>44308983</v>
      </c>
    </row>
    <row r="482" spans="1:35" ht="12" customHeight="1">
      <c r="A482" s="8" t="s">
        <v>377</v>
      </c>
      <c r="B482" s="8"/>
      <c r="C482" s="8" t="s">
        <v>43</v>
      </c>
      <c r="D482" s="8"/>
      <c r="E482" s="23">
        <v>48090</v>
      </c>
      <c r="G482" s="42">
        <v>654656</v>
      </c>
      <c r="I482" s="42">
        <v>972229</v>
      </c>
      <c r="K482" s="42">
        <v>0</v>
      </c>
      <c r="M482" s="42">
        <f t="shared" si="90"/>
        <v>1626885</v>
      </c>
      <c r="O482" s="42">
        <f>1372103+281153+82297+20148</f>
        <v>1755701</v>
      </c>
      <c r="Q482" s="42">
        <v>1442088</v>
      </c>
      <c r="S482" s="42">
        <v>3770012</v>
      </c>
      <c r="U482" s="42">
        <v>5617</v>
      </c>
      <c r="W482" s="42">
        <v>0</v>
      </c>
      <c r="Y482" s="42">
        <v>0</v>
      </c>
      <c r="AA482" s="42">
        <v>33384</v>
      </c>
      <c r="AB482" s="37"/>
      <c r="AC482" s="42">
        <v>0</v>
      </c>
      <c r="AE482" s="42">
        <v>0</v>
      </c>
      <c r="AG482" s="42">
        <f t="shared" si="91"/>
        <v>7006802</v>
      </c>
      <c r="AH482" s="42"/>
      <c r="AI482" s="42">
        <f t="shared" si="92"/>
        <v>8633687</v>
      </c>
    </row>
    <row r="483" spans="1:35" ht="12" customHeight="1">
      <c r="A483" s="8" t="s">
        <v>368</v>
      </c>
      <c r="B483" s="8"/>
      <c r="C483" s="8" t="s">
        <v>364</v>
      </c>
      <c r="D483" s="8"/>
      <c r="E483" s="23">
        <v>47944</v>
      </c>
      <c r="G483" s="42">
        <v>1049535</v>
      </c>
      <c r="I483" s="42">
        <v>3811647</v>
      </c>
      <c r="K483" s="42">
        <v>0</v>
      </c>
      <c r="M483" s="42">
        <f t="shared" si="90"/>
        <v>4861182</v>
      </c>
      <c r="O483" s="42">
        <f>2247276+41111</f>
        <v>2288387</v>
      </c>
      <c r="Q483" s="42">
        <v>0</v>
      </c>
      <c r="S483" s="42">
        <v>12385174</v>
      </c>
      <c r="U483" s="42">
        <v>14005</v>
      </c>
      <c r="W483" s="42">
        <v>0</v>
      </c>
      <c r="Y483" s="42">
        <v>94</v>
      </c>
      <c r="AA483" s="42">
        <v>277744</v>
      </c>
      <c r="AB483" s="37"/>
      <c r="AC483" s="42">
        <v>0</v>
      </c>
      <c r="AE483" s="42">
        <v>0</v>
      </c>
      <c r="AG483" s="42">
        <f t="shared" si="91"/>
        <v>14965404</v>
      </c>
      <c r="AH483" s="42"/>
      <c r="AI483" s="42">
        <f t="shared" si="92"/>
        <v>19826586</v>
      </c>
    </row>
    <row r="484" spans="1:35" ht="12" customHeight="1">
      <c r="A484" s="9" t="s">
        <v>707</v>
      </c>
      <c r="B484" s="8"/>
      <c r="C484" s="8" t="s">
        <v>20</v>
      </c>
      <c r="D484" s="8"/>
      <c r="E484" s="23">
        <v>44701</v>
      </c>
      <c r="G484" s="42">
        <v>1262188</v>
      </c>
      <c r="I484" s="42">
        <v>2787634</v>
      </c>
      <c r="K484" s="42">
        <v>0</v>
      </c>
      <c r="M484" s="42">
        <f t="shared" si="90"/>
        <v>4049822</v>
      </c>
      <c r="O484" s="42">
        <f>26812721+3757568</f>
        <v>30570289</v>
      </c>
      <c r="Q484" s="42">
        <v>0</v>
      </c>
      <c r="S484" s="42">
        <v>6615122</v>
      </c>
      <c r="U484" s="42">
        <v>64417</v>
      </c>
      <c r="W484" s="42">
        <v>0</v>
      </c>
      <c r="Y484" s="42">
        <v>0</v>
      </c>
      <c r="AA484" s="42">
        <f>495579+241628</f>
        <v>737207</v>
      </c>
      <c r="AB484" s="37"/>
      <c r="AC484" s="42">
        <v>0</v>
      </c>
      <c r="AE484" s="42">
        <v>0</v>
      </c>
      <c r="AG484" s="42">
        <f t="shared" si="91"/>
        <v>37987035</v>
      </c>
      <c r="AH484" s="42"/>
      <c r="AI484" s="42">
        <f t="shared" si="92"/>
        <v>42036857</v>
      </c>
    </row>
    <row r="485" spans="1:35" ht="12" customHeight="1">
      <c r="A485" s="8" t="s">
        <v>319</v>
      </c>
      <c r="B485" s="8"/>
      <c r="C485" s="8" t="s">
        <v>31</v>
      </c>
      <c r="D485" s="8"/>
      <c r="E485" s="23">
        <v>47308</v>
      </c>
      <c r="G485" s="42">
        <v>1396998</v>
      </c>
      <c r="I485" s="42">
        <v>2827736</v>
      </c>
      <c r="K485" s="42">
        <v>635922</v>
      </c>
      <c r="M485" s="42">
        <f t="shared" si="90"/>
        <v>4860656</v>
      </c>
      <c r="O485" s="42">
        <f>5716284+50395</f>
        <v>5766679</v>
      </c>
      <c r="Q485" s="42">
        <v>0</v>
      </c>
      <c r="S485" s="42">
        <v>9846520</v>
      </c>
      <c r="U485" s="42">
        <v>9266</v>
      </c>
      <c r="W485" s="42">
        <v>0</v>
      </c>
      <c r="Y485" s="42">
        <v>0</v>
      </c>
      <c r="AA485" s="42">
        <v>36913</v>
      </c>
      <c r="AB485" s="37"/>
      <c r="AC485" s="42">
        <v>0</v>
      </c>
      <c r="AE485" s="42">
        <v>0</v>
      </c>
      <c r="AG485" s="42">
        <f t="shared" si="91"/>
        <v>15659378</v>
      </c>
      <c r="AH485" s="42"/>
      <c r="AI485" s="42">
        <f t="shared" si="92"/>
        <v>20520034</v>
      </c>
    </row>
    <row r="486" spans="1:35" ht="12" customHeight="1">
      <c r="A486" s="8" t="s">
        <v>459</v>
      </c>
      <c r="B486" s="8"/>
      <c r="C486" s="8" t="s">
        <v>56</v>
      </c>
      <c r="D486" s="8"/>
      <c r="E486" s="23">
        <v>49213</v>
      </c>
      <c r="G486" s="42">
        <v>772975</v>
      </c>
      <c r="I486" s="42">
        <v>598815</v>
      </c>
      <c r="K486" s="42">
        <v>0</v>
      </c>
      <c r="M486" s="42">
        <f t="shared" si="90"/>
        <v>1371790</v>
      </c>
      <c r="O486" s="42">
        <f>5124460+52166+271687</f>
        <v>5448313</v>
      </c>
      <c r="Q486" s="42">
        <v>0</v>
      </c>
      <c r="S486" s="42">
        <v>5112033</v>
      </c>
      <c r="U486" s="42">
        <v>832</v>
      </c>
      <c r="W486" s="42">
        <v>0</v>
      </c>
      <c r="Y486" s="42">
        <v>0</v>
      </c>
      <c r="AA486" s="42">
        <v>85599</v>
      </c>
      <c r="AB486" s="37"/>
      <c r="AC486" s="42">
        <v>0</v>
      </c>
      <c r="AE486" s="42">
        <v>0</v>
      </c>
      <c r="AG486" s="42">
        <f t="shared" si="91"/>
        <v>10646777</v>
      </c>
      <c r="AH486" s="42"/>
      <c r="AI486" s="42">
        <f t="shared" si="92"/>
        <v>12018567</v>
      </c>
    </row>
    <row r="487" spans="1:35" ht="12" customHeight="1">
      <c r="A487" s="8" t="s">
        <v>708</v>
      </c>
      <c r="B487" s="8"/>
      <c r="C487" s="8" t="s">
        <v>220</v>
      </c>
      <c r="D487" s="8"/>
      <c r="E487" s="23">
        <v>46144</v>
      </c>
      <c r="G487" s="42">
        <v>1572932</v>
      </c>
      <c r="I487" s="42">
        <v>1565970</v>
      </c>
      <c r="K487" s="42">
        <v>0</v>
      </c>
      <c r="M487" s="42">
        <f t="shared" si="90"/>
        <v>3138902</v>
      </c>
      <c r="O487" s="42">
        <f>7036508+1204324+210427</f>
        <v>8451259</v>
      </c>
      <c r="Q487" s="42">
        <v>2770012</v>
      </c>
      <c r="S487" s="42">
        <v>12122593</v>
      </c>
      <c r="U487" s="42">
        <v>-4688</v>
      </c>
      <c r="W487" s="42">
        <v>0</v>
      </c>
      <c r="Y487" s="42">
        <v>0</v>
      </c>
      <c r="AA487" s="42">
        <v>1742338</v>
      </c>
      <c r="AB487" s="37"/>
      <c r="AC487" s="42">
        <v>0</v>
      </c>
      <c r="AE487" s="42">
        <v>0</v>
      </c>
      <c r="AG487" s="42">
        <f t="shared" si="91"/>
        <v>25081514</v>
      </c>
      <c r="AH487" s="42"/>
      <c r="AI487" s="42">
        <f t="shared" si="92"/>
        <v>28220416</v>
      </c>
    </row>
    <row r="488" spans="1:35" ht="12" customHeight="1">
      <c r="A488" s="8" t="s">
        <v>771</v>
      </c>
      <c r="B488" s="8"/>
      <c r="C488" s="8" t="s">
        <v>72</v>
      </c>
      <c r="D488" s="8"/>
      <c r="E488" s="23">
        <v>45609</v>
      </c>
      <c r="G488" s="42">
        <v>972451</v>
      </c>
      <c r="I488" s="42">
        <v>1761292</v>
      </c>
      <c r="K488" s="42">
        <v>0</v>
      </c>
      <c r="M488" s="42">
        <f t="shared" si="90"/>
        <v>2733743</v>
      </c>
      <c r="O488" s="42">
        <v>13181167</v>
      </c>
      <c r="Q488" s="42">
        <v>0</v>
      </c>
      <c r="S488" s="42">
        <v>7445263</v>
      </c>
      <c r="U488" s="42">
        <v>0</v>
      </c>
      <c r="W488" s="42">
        <v>594055</v>
      </c>
      <c r="Y488" s="42">
        <v>1570783</v>
      </c>
      <c r="AA488" s="42">
        <v>322956</v>
      </c>
      <c r="AB488" s="37"/>
      <c r="AC488" s="42">
        <v>0</v>
      </c>
      <c r="AE488" s="42">
        <v>0</v>
      </c>
      <c r="AG488" s="42">
        <f t="shared" si="91"/>
        <v>23114224</v>
      </c>
      <c r="AH488" s="42"/>
      <c r="AI488" s="42">
        <f t="shared" si="92"/>
        <v>25847967</v>
      </c>
    </row>
    <row r="489" spans="1:35" ht="12" customHeight="1">
      <c r="A489" s="8" t="s">
        <v>488</v>
      </c>
      <c r="B489" s="8"/>
      <c r="C489" s="8" t="s">
        <v>61</v>
      </c>
      <c r="D489" s="8"/>
      <c r="E489" s="23">
        <v>49817</v>
      </c>
      <c r="G489" s="42">
        <v>517286</v>
      </c>
      <c r="I489" s="42">
        <v>317824</v>
      </c>
      <c r="K489" s="42">
        <v>0</v>
      </c>
      <c r="M489" s="42">
        <f t="shared" si="90"/>
        <v>835110</v>
      </c>
      <c r="O489" s="42">
        <f>931910+467843+18610</f>
        <v>1418363</v>
      </c>
      <c r="Q489" s="42">
        <v>375594</v>
      </c>
      <c r="S489" s="42">
        <v>2313753</v>
      </c>
      <c r="U489" s="42">
        <v>204</v>
      </c>
      <c r="W489" s="42">
        <v>0</v>
      </c>
      <c r="Y489" s="42">
        <v>7312</v>
      </c>
      <c r="AA489" s="42">
        <v>44786</v>
      </c>
      <c r="AB489" s="37"/>
      <c r="AC489" s="42">
        <v>0</v>
      </c>
      <c r="AE489" s="42">
        <v>0</v>
      </c>
      <c r="AG489" s="42">
        <f t="shared" si="91"/>
        <v>4160012</v>
      </c>
      <c r="AH489" s="42"/>
      <c r="AI489" s="42">
        <f t="shared" si="92"/>
        <v>4995122</v>
      </c>
    </row>
    <row r="490" spans="1:35" ht="12" customHeight="1">
      <c r="A490" s="8" t="s">
        <v>602</v>
      </c>
      <c r="B490" s="8"/>
      <c r="C490" s="8" t="s">
        <v>111</v>
      </c>
      <c r="D490" s="8"/>
      <c r="E490" s="23">
        <v>44735</v>
      </c>
      <c r="G490" s="42">
        <v>1860882</v>
      </c>
      <c r="I490" s="42">
        <v>2593392</v>
      </c>
      <c r="K490" s="42">
        <v>37592</v>
      </c>
      <c r="M490" s="42">
        <f t="shared" ref="M490:M539" si="96">SUM(G490:L490)</f>
        <v>4491866</v>
      </c>
      <c r="O490" s="42">
        <f>8512093+540621</f>
        <v>9052714</v>
      </c>
      <c r="Q490" s="42">
        <v>8719</v>
      </c>
      <c r="S490" s="42">
        <v>8721454</v>
      </c>
      <c r="U490" s="42">
        <v>864</v>
      </c>
      <c r="W490" s="42">
        <v>0</v>
      </c>
      <c r="Y490" s="42">
        <v>0</v>
      </c>
      <c r="AA490" s="42">
        <v>426754</v>
      </c>
      <c r="AB490" s="37"/>
      <c r="AC490" s="42">
        <v>0</v>
      </c>
      <c r="AE490" s="42">
        <v>0</v>
      </c>
      <c r="AG490" s="42">
        <f t="shared" si="91"/>
        <v>18210505</v>
      </c>
      <c r="AH490" s="42"/>
      <c r="AI490" s="42">
        <f t="shared" si="92"/>
        <v>22702371</v>
      </c>
    </row>
    <row r="491" spans="1:35" ht="12" customHeight="1">
      <c r="A491" s="8" t="s">
        <v>288</v>
      </c>
      <c r="B491" s="8"/>
      <c r="C491" s="8" t="s">
        <v>24</v>
      </c>
      <c r="D491" s="8"/>
      <c r="E491" s="23">
        <v>44743</v>
      </c>
      <c r="G491" s="42">
        <v>1871892</v>
      </c>
      <c r="I491" s="42">
        <v>8411980</v>
      </c>
      <c r="K491" s="42">
        <v>0</v>
      </c>
      <c r="M491" s="42">
        <f t="shared" si="96"/>
        <v>10283872</v>
      </c>
      <c r="O491" s="42">
        <f>18220036+823323</f>
        <v>19043359</v>
      </c>
      <c r="Q491" s="42">
        <v>0</v>
      </c>
      <c r="S491" s="42">
        <v>18356668</v>
      </c>
      <c r="U491" s="42">
        <v>9650</v>
      </c>
      <c r="W491" s="42">
        <v>102072</v>
      </c>
      <c r="Y491" s="42">
        <v>104515</v>
      </c>
      <c r="AA491" s="42">
        <v>589425</v>
      </c>
      <c r="AB491" s="37"/>
      <c r="AC491" s="42">
        <v>0</v>
      </c>
      <c r="AE491" s="42">
        <v>0</v>
      </c>
      <c r="AG491" s="42">
        <f t="shared" si="91"/>
        <v>38205689</v>
      </c>
      <c r="AH491" s="42"/>
      <c r="AI491" s="42">
        <f t="shared" si="92"/>
        <v>48489561</v>
      </c>
    </row>
    <row r="492" spans="1:35" ht="12" customHeight="1">
      <c r="A492" s="8" t="s">
        <v>500</v>
      </c>
      <c r="B492" s="8"/>
      <c r="C492" s="8" t="s">
        <v>62</v>
      </c>
      <c r="D492" s="8"/>
      <c r="E492" s="23">
        <v>49940</v>
      </c>
      <c r="G492" s="42">
        <v>1521415</v>
      </c>
      <c r="I492" s="42">
        <v>2521712</v>
      </c>
      <c r="K492" s="42">
        <v>331303</v>
      </c>
      <c r="M492" s="42">
        <f t="shared" si="96"/>
        <v>4374430</v>
      </c>
      <c r="O492" s="42">
        <f>3533290+707176+148506+59346</f>
        <v>4448318</v>
      </c>
      <c r="Q492" s="42">
        <v>0</v>
      </c>
      <c r="S492" s="42">
        <v>7652258</v>
      </c>
      <c r="U492" s="42">
        <v>9011</v>
      </c>
      <c r="W492" s="42">
        <v>0</v>
      </c>
      <c r="Y492" s="42">
        <v>0</v>
      </c>
      <c r="AA492" s="42">
        <v>53313</v>
      </c>
      <c r="AB492" s="37"/>
      <c r="AC492" s="42">
        <v>0</v>
      </c>
      <c r="AE492" s="42">
        <v>0</v>
      </c>
      <c r="AG492" s="42">
        <f t="shared" si="91"/>
        <v>12162900</v>
      </c>
      <c r="AH492" s="42"/>
      <c r="AI492" s="42">
        <f t="shared" si="92"/>
        <v>16537330</v>
      </c>
    </row>
    <row r="493" spans="1:35" ht="12" customHeight="1">
      <c r="A493" s="8" t="s">
        <v>453</v>
      </c>
      <c r="B493" s="8"/>
      <c r="C493" s="8" t="s">
        <v>55</v>
      </c>
      <c r="D493" s="8"/>
      <c r="E493" s="23">
        <v>49130</v>
      </c>
      <c r="G493" s="42">
        <v>977736</v>
      </c>
      <c r="I493" s="42">
        <v>1722307</v>
      </c>
      <c r="K493" s="42">
        <v>0</v>
      </c>
      <c r="M493" s="42">
        <f t="shared" si="96"/>
        <v>2700043</v>
      </c>
      <c r="O493" s="42">
        <f>2113199+40453</f>
        <v>2153652</v>
      </c>
      <c r="Q493" s="42">
        <v>0</v>
      </c>
      <c r="S493" s="42">
        <v>10946724</v>
      </c>
      <c r="U493" s="42">
        <v>8162</v>
      </c>
      <c r="W493" s="42">
        <v>0</v>
      </c>
      <c r="Y493" s="42">
        <v>0</v>
      </c>
      <c r="AA493" s="42">
        <f>6000+89674</f>
        <v>95674</v>
      </c>
      <c r="AB493" s="37"/>
      <c r="AC493" s="42">
        <v>0</v>
      </c>
      <c r="AE493" s="42">
        <v>0</v>
      </c>
      <c r="AG493" s="42">
        <f t="shared" si="91"/>
        <v>13204212</v>
      </c>
      <c r="AH493" s="42"/>
      <c r="AI493" s="42">
        <f t="shared" si="92"/>
        <v>15904255</v>
      </c>
    </row>
    <row r="494" spans="1:35" ht="12" customHeight="1">
      <c r="A494" s="8" t="s">
        <v>402</v>
      </c>
      <c r="B494" s="8"/>
      <c r="C494" s="8" t="s">
        <v>45</v>
      </c>
      <c r="D494" s="8"/>
      <c r="E494" s="23">
        <v>48355</v>
      </c>
      <c r="G494" s="42">
        <v>474796</v>
      </c>
      <c r="I494" s="42">
        <v>636537</v>
      </c>
      <c r="K494" s="42">
        <v>0</v>
      </c>
      <c r="M494" s="42">
        <f t="shared" si="96"/>
        <v>1111333</v>
      </c>
      <c r="O494" s="42">
        <f>919379+147291+71608+15732</f>
        <v>1154010</v>
      </c>
      <c r="Q494" s="42">
        <v>465565</v>
      </c>
      <c r="S494" s="42">
        <v>4199549</v>
      </c>
      <c r="U494" s="42">
        <v>398</v>
      </c>
      <c r="W494" s="42">
        <v>0</v>
      </c>
      <c r="Y494" s="42">
        <v>0</v>
      </c>
      <c r="AA494" s="42">
        <v>207327</v>
      </c>
      <c r="AB494" s="37"/>
      <c r="AC494" s="42">
        <v>0</v>
      </c>
      <c r="AE494" s="42">
        <v>0</v>
      </c>
      <c r="AG494" s="42">
        <f t="shared" si="91"/>
        <v>6026849</v>
      </c>
      <c r="AH494" s="42"/>
      <c r="AI494" s="42">
        <f t="shared" si="92"/>
        <v>7138182</v>
      </c>
    </row>
    <row r="495" spans="1:35" ht="12" customHeight="1">
      <c r="A495" s="8" t="s">
        <v>484</v>
      </c>
      <c r="B495" s="8"/>
      <c r="C495" s="8" t="s">
        <v>60</v>
      </c>
      <c r="D495" s="8"/>
      <c r="E495" s="23">
        <v>49684</v>
      </c>
      <c r="G495" s="42">
        <v>1207127</v>
      </c>
      <c r="I495" s="42">
        <v>981760</v>
      </c>
      <c r="K495" s="42">
        <v>0</v>
      </c>
      <c r="M495" s="42">
        <f t="shared" si="96"/>
        <v>2188887</v>
      </c>
      <c r="O495" s="42">
        <f>2322480+41646+918546</f>
        <v>3282672</v>
      </c>
      <c r="Q495" s="42">
        <v>1094316</v>
      </c>
      <c r="S495" s="42">
        <v>4237879</v>
      </c>
      <c r="U495" s="42">
        <v>12172</v>
      </c>
      <c r="W495" s="42">
        <v>0</v>
      </c>
      <c r="Y495" s="42">
        <v>0</v>
      </c>
      <c r="AA495" s="42">
        <v>22038</v>
      </c>
      <c r="AB495" s="37"/>
      <c r="AC495" s="42">
        <v>0</v>
      </c>
      <c r="AE495" s="42">
        <v>0</v>
      </c>
      <c r="AG495" s="42">
        <f t="shared" si="91"/>
        <v>8649077</v>
      </c>
      <c r="AH495" s="42"/>
      <c r="AI495" s="42">
        <f t="shared" si="92"/>
        <v>10837964</v>
      </c>
    </row>
    <row r="496" spans="1:35" ht="12" customHeight="1">
      <c r="A496" s="8" t="s">
        <v>216</v>
      </c>
      <c r="B496" s="8"/>
      <c r="C496" s="8" t="s">
        <v>15</v>
      </c>
      <c r="D496" s="8"/>
      <c r="E496" s="23">
        <v>46003</v>
      </c>
      <c r="G496" s="42">
        <v>1529571</v>
      </c>
      <c r="I496" s="42">
        <v>651756</v>
      </c>
      <c r="K496" s="42">
        <v>22450</v>
      </c>
      <c r="M496" s="42">
        <f t="shared" si="96"/>
        <v>2203777</v>
      </c>
      <c r="O496" s="42">
        <f>1597353+225122</f>
        <v>1822475</v>
      </c>
      <c r="Q496" s="42">
        <v>0</v>
      </c>
      <c r="S496" s="42">
        <v>2571590</v>
      </c>
      <c r="U496" s="42">
        <v>11823</v>
      </c>
      <c r="W496" s="42">
        <v>0</v>
      </c>
      <c r="Y496" s="42">
        <v>7437</v>
      </c>
      <c r="AA496" s="42">
        <v>9428</v>
      </c>
      <c r="AB496" s="37"/>
      <c r="AC496" s="42">
        <v>0</v>
      </c>
      <c r="AE496" s="42">
        <v>0</v>
      </c>
      <c r="AG496" s="42">
        <f t="shared" si="91"/>
        <v>4422753</v>
      </c>
      <c r="AH496" s="42"/>
      <c r="AI496" s="42">
        <f t="shared" si="92"/>
        <v>6626530</v>
      </c>
    </row>
    <row r="497" spans="1:35" ht="12" customHeight="1">
      <c r="A497" s="8" t="s">
        <v>709</v>
      </c>
      <c r="B497" s="8"/>
      <c r="C497" s="8" t="s">
        <v>20</v>
      </c>
      <c r="D497" s="8"/>
      <c r="E497" s="23">
        <v>44750</v>
      </c>
      <c r="G497" s="42">
        <v>2911871</v>
      </c>
      <c r="I497" s="42">
        <v>5087485</v>
      </c>
      <c r="K497" s="42">
        <v>152620</v>
      </c>
      <c r="M497" s="42">
        <f t="shared" si="96"/>
        <v>8151976</v>
      </c>
      <c r="O497" s="42">
        <f>63408623+2524431</f>
        <v>65933054</v>
      </c>
      <c r="Q497" s="42">
        <v>0</v>
      </c>
      <c r="S497" s="42">
        <v>23839415</v>
      </c>
      <c r="U497" s="42">
        <v>124229</v>
      </c>
      <c r="W497" s="42">
        <v>0</v>
      </c>
      <c r="Y497" s="42">
        <v>0</v>
      </c>
      <c r="AA497" s="42">
        <v>458080</v>
      </c>
      <c r="AB497" s="37"/>
      <c r="AC497" s="42">
        <v>0</v>
      </c>
      <c r="AE497" s="42">
        <v>0</v>
      </c>
      <c r="AG497" s="42">
        <f t="shared" si="91"/>
        <v>90354778</v>
      </c>
      <c r="AH497" s="42"/>
      <c r="AI497" s="42">
        <f t="shared" si="92"/>
        <v>98506754</v>
      </c>
    </row>
    <row r="498" spans="1:35" ht="12" hidden="1" customHeight="1">
      <c r="A498" s="8" t="s">
        <v>694</v>
      </c>
      <c r="B498" s="8"/>
      <c r="C498" s="8" t="s">
        <v>10</v>
      </c>
      <c r="D498" s="8"/>
      <c r="E498" s="23">
        <v>45779</v>
      </c>
      <c r="G498" s="42">
        <v>0</v>
      </c>
      <c r="I498" s="42">
        <v>0</v>
      </c>
      <c r="K498" s="42">
        <v>0</v>
      </c>
      <c r="M498" s="42">
        <f t="shared" si="96"/>
        <v>0</v>
      </c>
      <c r="O498" s="42">
        <v>0</v>
      </c>
      <c r="Q498" s="42">
        <v>0</v>
      </c>
      <c r="S498" s="42">
        <v>0</v>
      </c>
      <c r="U498" s="42">
        <v>0</v>
      </c>
      <c r="W498" s="42">
        <v>0</v>
      </c>
      <c r="Y498" s="42">
        <v>0</v>
      </c>
      <c r="AA498" s="42">
        <v>0</v>
      </c>
      <c r="AB498" s="37"/>
      <c r="AC498" s="42">
        <v>0</v>
      </c>
      <c r="AE498" s="42">
        <v>0</v>
      </c>
      <c r="AG498" s="42">
        <f t="shared" si="91"/>
        <v>0</v>
      </c>
      <c r="AH498" s="42"/>
      <c r="AI498" s="42">
        <f t="shared" si="92"/>
        <v>0</v>
      </c>
    </row>
    <row r="499" spans="1:35" ht="12" customHeight="1">
      <c r="A499" s="8" t="s">
        <v>783</v>
      </c>
      <c r="B499" s="8"/>
      <c r="C499" s="8" t="s">
        <v>44</v>
      </c>
      <c r="D499" s="8"/>
      <c r="E499" s="23">
        <v>44768</v>
      </c>
      <c r="G499" s="42">
        <v>1705934</v>
      </c>
      <c r="I499" s="42">
        <v>1000556</v>
      </c>
      <c r="K499" s="42">
        <v>0</v>
      </c>
      <c r="M499" s="42">
        <f t="shared" si="96"/>
        <v>2706490</v>
      </c>
      <c r="O499" s="42">
        <f>10233317+1527563+283258</f>
        <v>12044138</v>
      </c>
      <c r="Q499" s="42">
        <v>0</v>
      </c>
      <c r="S499" s="42">
        <v>6836514</v>
      </c>
      <c r="U499" s="42">
        <v>43731</v>
      </c>
      <c r="W499" s="42">
        <v>0</v>
      </c>
      <c r="Y499" s="42">
        <v>0</v>
      </c>
      <c r="AA499" s="42">
        <v>196095</v>
      </c>
      <c r="AB499" s="37"/>
      <c r="AC499" s="42">
        <v>0</v>
      </c>
      <c r="AE499" s="42">
        <v>0</v>
      </c>
      <c r="AG499" s="42">
        <f t="shared" si="91"/>
        <v>19120478</v>
      </c>
      <c r="AH499" s="42"/>
      <c r="AI499" s="42">
        <f t="shared" si="92"/>
        <v>21826968</v>
      </c>
    </row>
    <row r="500" spans="1:35" ht="12" customHeight="1">
      <c r="A500" s="8" t="s">
        <v>469</v>
      </c>
      <c r="B500" s="8"/>
      <c r="C500" s="8" t="s">
        <v>109</v>
      </c>
      <c r="D500" s="8"/>
      <c r="E500" s="23">
        <v>44776</v>
      </c>
      <c r="G500" s="42">
        <v>1321642</v>
      </c>
      <c r="I500" s="42">
        <v>3106593</v>
      </c>
      <c r="K500" s="42">
        <v>450104</v>
      </c>
      <c r="M500" s="42">
        <f t="shared" si="96"/>
        <v>4878339</v>
      </c>
      <c r="O500" s="42">
        <f>5274797+19742+929056+329646</f>
        <v>6553241</v>
      </c>
      <c r="Q500" s="42">
        <v>2482903</v>
      </c>
      <c r="S500" s="42">
        <v>8416107</v>
      </c>
      <c r="U500" s="42">
        <v>20680</v>
      </c>
      <c r="W500" s="42">
        <v>0</v>
      </c>
      <c r="Y500" s="42">
        <v>0</v>
      </c>
      <c r="AA500" s="42">
        <v>19835</v>
      </c>
      <c r="AB500" s="37"/>
      <c r="AC500" s="42">
        <v>0</v>
      </c>
      <c r="AE500" s="42">
        <v>0</v>
      </c>
      <c r="AG500" s="42">
        <f t="shared" si="91"/>
        <v>17492766</v>
      </c>
      <c r="AH500" s="42"/>
      <c r="AI500" s="42">
        <f t="shared" si="92"/>
        <v>22371105</v>
      </c>
    </row>
    <row r="501" spans="1:35" ht="12" hidden="1" customHeight="1">
      <c r="A501" s="8" t="s">
        <v>827</v>
      </c>
      <c r="B501" s="8"/>
      <c r="C501" s="8" t="s">
        <v>61</v>
      </c>
      <c r="D501" s="8"/>
      <c r="E501" s="23">
        <v>44784</v>
      </c>
      <c r="G501" s="42">
        <v>0</v>
      </c>
      <c r="I501" s="42">
        <v>0</v>
      </c>
      <c r="K501" s="42">
        <v>0</v>
      </c>
      <c r="M501" s="42">
        <f t="shared" si="96"/>
        <v>0</v>
      </c>
      <c r="O501" s="42">
        <v>0</v>
      </c>
      <c r="Q501" s="42">
        <v>0</v>
      </c>
      <c r="S501" s="42">
        <v>0</v>
      </c>
      <c r="U501" s="42">
        <v>0</v>
      </c>
      <c r="W501" s="42">
        <v>0</v>
      </c>
      <c r="Y501" s="42">
        <v>0</v>
      </c>
      <c r="AA501" s="42">
        <v>0</v>
      </c>
      <c r="AB501" s="37"/>
      <c r="AC501" s="42">
        <v>0</v>
      </c>
      <c r="AE501" s="42">
        <v>0</v>
      </c>
      <c r="AG501" s="42">
        <f t="shared" si="91"/>
        <v>0</v>
      </c>
      <c r="AH501" s="42"/>
      <c r="AI501" s="42">
        <f t="shared" si="92"/>
        <v>0</v>
      </c>
    </row>
    <row r="502" spans="1:35" ht="12" customHeight="1">
      <c r="A502" s="8" t="s">
        <v>275</v>
      </c>
      <c r="B502" s="8"/>
      <c r="C502" s="8" t="s">
        <v>20</v>
      </c>
      <c r="D502" s="8"/>
      <c r="E502" s="23">
        <v>46607</v>
      </c>
      <c r="G502" s="42">
        <v>3127576</v>
      </c>
      <c r="I502" s="42">
        <v>2376744</v>
      </c>
      <c r="K502" s="42">
        <v>0</v>
      </c>
      <c r="M502" s="42">
        <f t="shared" si="96"/>
        <v>5504320</v>
      </c>
      <c r="O502" s="42">
        <f>48168288+2635584+1210872</f>
        <v>52014744</v>
      </c>
      <c r="Q502" s="42">
        <v>0</v>
      </c>
      <c r="S502" s="42">
        <v>16664713</v>
      </c>
      <c r="U502" s="42">
        <v>82802</v>
      </c>
      <c r="W502" s="42">
        <v>1092128</v>
      </c>
      <c r="Y502" s="42">
        <v>0</v>
      </c>
      <c r="AA502" s="42">
        <f>412111+8752</f>
        <v>420863</v>
      </c>
      <c r="AB502" s="37"/>
      <c r="AC502" s="42">
        <v>0</v>
      </c>
      <c r="AE502" s="42">
        <v>0</v>
      </c>
      <c r="AG502" s="42">
        <f t="shared" si="91"/>
        <v>70275250</v>
      </c>
      <c r="AH502" s="42"/>
      <c r="AI502" s="42">
        <f t="shared" si="92"/>
        <v>75779570</v>
      </c>
    </row>
    <row r="503" spans="1:35" ht="12" customHeight="1">
      <c r="A503" s="8" t="s">
        <v>628</v>
      </c>
      <c r="B503" s="8"/>
      <c r="C503" s="9" t="s">
        <v>37</v>
      </c>
      <c r="D503" s="8"/>
      <c r="E503" s="23">
        <v>47738</v>
      </c>
      <c r="G503" s="42">
        <v>593419</v>
      </c>
      <c r="I503" s="42">
        <v>1390749</v>
      </c>
      <c r="K503" s="42">
        <v>0</v>
      </c>
      <c r="M503" s="42">
        <f t="shared" si="96"/>
        <v>1984168</v>
      </c>
      <c r="O503" s="42">
        <f>1418619+132102+26900</f>
        <v>1577621</v>
      </c>
      <c r="Q503" s="42">
        <v>955329</v>
      </c>
      <c r="S503" s="42">
        <v>4599350</v>
      </c>
      <c r="U503" s="42">
        <v>5268</v>
      </c>
      <c r="W503" s="42">
        <v>0</v>
      </c>
      <c r="Y503" s="42">
        <v>0</v>
      </c>
      <c r="AA503" s="42">
        <v>39697</v>
      </c>
      <c r="AB503" s="37"/>
      <c r="AC503" s="42">
        <v>0</v>
      </c>
      <c r="AE503" s="42">
        <v>0</v>
      </c>
      <c r="AG503" s="42">
        <f t="shared" si="91"/>
        <v>7177265</v>
      </c>
      <c r="AH503" s="42"/>
      <c r="AI503" s="42">
        <f t="shared" si="92"/>
        <v>9161433</v>
      </c>
    </row>
    <row r="504" spans="1:35" ht="12" customHeight="1">
      <c r="A504" s="8" t="s">
        <v>276</v>
      </c>
      <c r="B504" s="8"/>
      <c r="C504" s="8" t="s">
        <v>20</v>
      </c>
      <c r="D504" s="8"/>
      <c r="E504" s="23">
        <v>44792</v>
      </c>
      <c r="G504" s="42">
        <v>2834813</v>
      </c>
      <c r="I504" s="42">
        <v>4045203</v>
      </c>
      <c r="K504" s="42">
        <v>291994</v>
      </c>
      <c r="M504" s="42">
        <f t="shared" si="96"/>
        <v>7172010</v>
      </c>
      <c r="O504" s="42">
        <f>45806764+729175+1970085</f>
        <v>48506024</v>
      </c>
      <c r="Q504" s="42">
        <v>0</v>
      </c>
      <c r="S504" s="42">
        <v>13314604</v>
      </c>
      <c r="U504" s="42">
        <v>58000</v>
      </c>
      <c r="W504" s="42">
        <v>504000</v>
      </c>
      <c r="Y504" s="42">
        <v>0</v>
      </c>
      <c r="AA504" s="42">
        <v>1104517</v>
      </c>
      <c r="AB504" s="37"/>
      <c r="AC504" s="42">
        <v>0</v>
      </c>
      <c r="AE504" s="42">
        <v>0</v>
      </c>
      <c r="AG504" s="42">
        <f t="shared" si="91"/>
        <v>63487145</v>
      </c>
      <c r="AH504" s="42"/>
      <c r="AI504" s="42">
        <f t="shared" si="92"/>
        <v>70659155</v>
      </c>
    </row>
    <row r="505" spans="1:35" ht="12" customHeight="1">
      <c r="A505" s="8" t="s">
        <v>369</v>
      </c>
      <c r="B505" s="8"/>
      <c r="C505" s="8" t="s">
        <v>364</v>
      </c>
      <c r="D505" s="8"/>
      <c r="E505" s="23">
        <v>47951</v>
      </c>
      <c r="G505" s="42">
        <v>371645</v>
      </c>
      <c r="I505" s="42">
        <v>2240276</v>
      </c>
      <c r="K505" s="42">
        <v>0</v>
      </c>
      <c r="M505" s="42">
        <f t="shared" si="96"/>
        <v>2611921</v>
      </c>
      <c r="O505" s="42">
        <v>3743502</v>
      </c>
      <c r="Q505" s="42">
        <v>0</v>
      </c>
      <c r="S505" s="42">
        <v>12689802</v>
      </c>
      <c r="U505" s="42">
        <v>20586</v>
      </c>
      <c r="W505" s="42">
        <v>0</v>
      </c>
      <c r="Y505" s="42">
        <v>0</v>
      </c>
      <c r="AA505" s="42">
        <f>93003+194988</f>
        <v>287991</v>
      </c>
      <c r="AB505" s="37"/>
      <c r="AC505" s="42">
        <v>0</v>
      </c>
      <c r="AE505" s="42">
        <v>0</v>
      </c>
      <c r="AG505" s="42">
        <f t="shared" si="91"/>
        <v>16741881</v>
      </c>
      <c r="AH505" s="42"/>
      <c r="AI505" s="42">
        <f t="shared" si="92"/>
        <v>19353802</v>
      </c>
    </row>
    <row r="506" spans="1:35" ht="12" customHeight="1">
      <c r="A506" s="8" t="s">
        <v>403</v>
      </c>
      <c r="B506" s="8"/>
      <c r="C506" s="8" t="s">
        <v>45</v>
      </c>
      <c r="D506" s="8"/>
      <c r="E506" s="23">
        <v>48363</v>
      </c>
      <c r="G506" s="42">
        <v>432749</v>
      </c>
      <c r="I506" s="42">
        <v>882394</v>
      </c>
      <c r="K506" s="42">
        <v>0</v>
      </c>
      <c r="M506" s="42">
        <f t="shared" si="96"/>
        <v>1315143</v>
      </c>
      <c r="O506" s="42">
        <f>4904441+73074+1176926</f>
        <v>6154441</v>
      </c>
      <c r="Q506" s="42">
        <v>0</v>
      </c>
      <c r="S506" s="42">
        <v>5323510</v>
      </c>
      <c r="U506" s="42">
        <v>1787</v>
      </c>
      <c r="W506" s="42">
        <v>0</v>
      </c>
      <c r="Y506" s="42">
        <v>0</v>
      </c>
      <c r="AA506" s="42">
        <f>70924+5161</f>
        <v>76085</v>
      </c>
      <c r="AB506" s="37"/>
      <c r="AC506" s="42">
        <v>0</v>
      </c>
      <c r="AE506" s="42">
        <v>0</v>
      </c>
      <c r="AG506" s="42">
        <f t="shared" si="91"/>
        <v>11555823</v>
      </c>
      <c r="AH506" s="42"/>
      <c r="AI506" s="42">
        <f t="shared" si="92"/>
        <v>12870966</v>
      </c>
    </row>
    <row r="507" spans="1:35" ht="12" customHeight="1">
      <c r="A507" s="8" t="s">
        <v>460</v>
      </c>
      <c r="B507" s="8"/>
      <c r="C507" s="8" t="s">
        <v>56</v>
      </c>
      <c r="D507" s="8"/>
      <c r="E507" s="23">
        <v>49221</v>
      </c>
      <c r="G507" s="42">
        <v>1029298</v>
      </c>
      <c r="I507" s="42">
        <v>1290999</v>
      </c>
      <c r="K507" s="42">
        <v>1238</v>
      </c>
      <c r="M507" s="42">
        <f t="shared" si="96"/>
        <v>2321535</v>
      </c>
      <c r="O507" s="42">
        <f>5759254+434926+81262</f>
        <v>6275442</v>
      </c>
      <c r="Q507" s="42">
        <v>0</v>
      </c>
      <c r="S507" s="42">
        <v>12449109</v>
      </c>
      <c r="U507" s="42">
        <v>15298</v>
      </c>
      <c r="W507" s="42">
        <v>0</v>
      </c>
      <c r="Y507" s="42">
        <v>0</v>
      </c>
      <c r="AA507" s="42">
        <f>97796+2758</f>
        <v>100554</v>
      </c>
      <c r="AB507" s="37"/>
      <c r="AC507" s="42">
        <v>0</v>
      </c>
      <c r="AE507" s="42">
        <v>0</v>
      </c>
      <c r="AG507" s="42">
        <f t="shared" si="91"/>
        <v>18840403</v>
      </c>
      <c r="AH507" s="42"/>
      <c r="AI507" s="42">
        <f t="shared" si="92"/>
        <v>21161938</v>
      </c>
    </row>
    <row r="508" spans="1:35" ht="12" customHeight="1">
      <c r="A508" s="8" t="s">
        <v>460</v>
      </c>
      <c r="B508" s="8"/>
      <c r="C508" s="8" t="s">
        <v>71</v>
      </c>
      <c r="D508" s="8"/>
      <c r="E508" s="23">
        <v>50583</v>
      </c>
      <c r="G508" s="42">
        <v>1705284</v>
      </c>
      <c r="I508" s="42">
        <v>2711565</v>
      </c>
      <c r="K508" s="42">
        <v>0</v>
      </c>
      <c r="M508" s="42">
        <f t="shared" si="96"/>
        <v>4416849</v>
      </c>
      <c r="O508" s="42">
        <f>7470218+270321</f>
        <v>7740539</v>
      </c>
      <c r="Q508" s="42">
        <v>0</v>
      </c>
      <c r="S508" s="42">
        <v>5793013</v>
      </c>
      <c r="U508" s="42">
        <v>6768</v>
      </c>
      <c r="W508" s="42">
        <v>0</v>
      </c>
      <c r="Y508" s="42">
        <v>0</v>
      </c>
      <c r="AA508" s="42">
        <v>45328</v>
      </c>
      <c r="AB508" s="37"/>
      <c r="AC508" s="42">
        <v>0</v>
      </c>
      <c r="AE508" s="42">
        <v>0</v>
      </c>
      <c r="AG508" s="42">
        <f t="shared" si="91"/>
        <v>13585648</v>
      </c>
      <c r="AH508" s="42"/>
      <c r="AI508" s="42">
        <f t="shared" si="92"/>
        <v>18002497</v>
      </c>
    </row>
    <row r="509" spans="1:35" ht="12" customHeight="1">
      <c r="A509" s="8" t="s">
        <v>233</v>
      </c>
      <c r="B509" s="8"/>
      <c r="C509" s="8" t="s">
        <v>17</v>
      </c>
      <c r="D509" s="8"/>
      <c r="E509" s="23">
        <v>46276</v>
      </c>
      <c r="G509" s="42">
        <v>630952</v>
      </c>
      <c r="I509" s="42">
        <v>610924</v>
      </c>
      <c r="K509" s="42">
        <v>0</v>
      </c>
      <c r="M509" s="42">
        <f t="shared" si="96"/>
        <v>1241876</v>
      </c>
      <c r="O509" s="42">
        <f>2151380+249282</f>
        <v>2400662</v>
      </c>
      <c r="Q509" s="42">
        <v>929897</v>
      </c>
      <c r="S509" s="42">
        <v>3525090</v>
      </c>
      <c r="U509" s="42">
        <v>17027</v>
      </c>
      <c r="W509" s="42">
        <v>0</v>
      </c>
      <c r="Y509" s="42">
        <v>0</v>
      </c>
      <c r="AA509" s="42">
        <v>31336</v>
      </c>
      <c r="AB509" s="37"/>
      <c r="AC509" s="42">
        <v>0</v>
      </c>
      <c r="AE509" s="42">
        <v>0</v>
      </c>
      <c r="AG509" s="42">
        <f t="shared" si="91"/>
        <v>6904012</v>
      </c>
      <c r="AH509" s="42"/>
      <c r="AI509" s="42">
        <f t="shared" si="92"/>
        <v>8145888</v>
      </c>
    </row>
    <row r="510" spans="1:35" ht="12" customHeight="1">
      <c r="A510" s="8" t="s">
        <v>233</v>
      </c>
      <c r="B510" s="8"/>
      <c r="C510" s="8" t="s">
        <v>58</v>
      </c>
      <c r="D510" s="8"/>
      <c r="E510" s="23">
        <v>49528</v>
      </c>
      <c r="G510" s="42">
        <v>1216859</v>
      </c>
      <c r="I510" s="42">
        <v>897718</v>
      </c>
      <c r="K510" s="42">
        <v>0</v>
      </c>
      <c r="M510" s="42">
        <f t="shared" si="96"/>
        <v>2114577</v>
      </c>
      <c r="O510" s="42">
        <f>1641737+301489+29147</f>
        <v>1972373</v>
      </c>
      <c r="Q510" s="42">
        <v>27417</v>
      </c>
      <c r="S510" s="42">
        <v>7945208</v>
      </c>
      <c r="U510" s="42">
        <v>15351</v>
      </c>
      <c r="W510" s="42">
        <v>0</v>
      </c>
      <c r="Y510" s="42">
        <v>0</v>
      </c>
      <c r="AA510" s="42">
        <v>250377</v>
      </c>
      <c r="AB510" s="37"/>
      <c r="AC510" s="42">
        <v>0</v>
      </c>
      <c r="AE510" s="42">
        <v>0</v>
      </c>
      <c r="AG510" s="42">
        <f t="shared" si="91"/>
        <v>10210726</v>
      </c>
      <c r="AH510" s="42"/>
      <c r="AI510" s="42">
        <f t="shared" si="92"/>
        <v>12325303</v>
      </c>
    </row>
    <row r="511" spans="1:35">
      <c r="A511" s="8" t="s">
        <v>640</v>
      </c>
      <c r="B511" s="8"/>
      <c r="C511" s="8" t="s">
        <v>111</v>
      </c>
      <c r="D511" s="8"/>
      <c r="E511" s="23">
        <v>46441</v>
      </c>
      <c r="G511" s="42">
        <v>808249</v>
      </c>
      <c r="I511" s="42">
        <v>2696544</v>
      </c>
      <c r="K511" s="42">
        <v>0</v>
      </c>
      <c r="M511" s="42">
        <f>SUM(G511:L511)</f>
        <v>3504793</v>
      </c>
      <c r="O511" s="42">
        <f>1620439+230514+27224</f>
        <v>1878177</v>
      </c>
      <c r="Q511" s="42">
        <v>0</v>
      </c>
      <c r="S511" s="42">
        <v>5748384</v>
      </c>
      <c r="U511" s="42">
        <v>4997</v>
      </c>
      <c r="W511" s="42">
        <v>0</v>
      </c>
      <c r="Y511" s="42">
        <v>0</v>
      </c>
      <c r="AA511" s="42">
        <v>102369</v>
      </c>
      <c r="AB511" s="37"/>
      <c r="AC511" s="42">
        <v>0</v>
      </c>
      <c r="AE511" s="42">
        <v>0</v>
      </c>
      <c r="AG511" s="42">
        <f t="shared" si="91"/>
        <v>7733927</v>
      </c>
      <c r="AH511" s="42"/>
      <c r="AI511" s="42">
        <f t="shared" si="92"/>
        <v>11238720</v>
      </c>
    </row>
    <row r="512" spans="1:35">
      <c r="A512" s="8" t="s">
        <v>248</v>
      </c>
      <c r="B512" s="8"/>
      <c r="C512" s="8" t="s">
        <v>417</v>
      </c>
      <c r="D512" s="8"/>
      <c r="E512" s="23">
        <v>48538</v>
      </c>
      <c r="G512" s="42">
        <v>527757</v>
      </c>
      <c r="I512" s="42">
        <v>1386523</v>
      </c>
      <c r="K512" s="42">
        <v>0</v>
      </c>
      <c r="M512" s="42">
        <f t="shared" si="96"/>
        <v>1914280</v>
      </c>
      <c r="O512" s="42">
        <f>2295231+812221+40934</f>
        <v>3148386</v>
      </c>
      <c r="Q512" s="42">
        <v>0</v>
      </c>
      <c r="S512" s="42">
        <v>7749230</v>
      </c>
      <c r="U512" s="42">
        <v>54942</v>
      </c>
      <c r="W512" s="42">
        <v>0</v>
      </c>
      <c r="Y512" s="42">
        <v>7882</v>
      </c>
      <c r="AA512" s="42">
        <f>29477+161982+76859+10962</f>
        <v>279280</v>
      </c>
      <c r="AB512" s="37"/>
      <c r="AC512" s="42">
        <v>0</v>
      </c>
      <c r="AE512" s="42">
        <v>0</v>
      </c>
      <c r="AG512" s="42">
        <f t="shared" si="91"/>
        <v>11239720</v>
      </c>
      <c r="AH512" s="42"/>
      <c r="AI512" s="42">
        <f t="shared" si="92"/>
        <v>13154000</v>
      </c>
    </row>
    <row r="513" spans="1:35" hidden="1">
      <c r="A513" s="9" t="s">
        <v>695</v>
      </c>
      <c r="B513" s="9"/>
      <c r="C513" s="9" t="s">
        <v>448</v>
      </c>
      <c r="D513" s="8"/>
      <c r="E513" s="23">
        <v>49064</v>
      </c>
      <c r="G513" s="42">
        <v>0</v>
      </c>
      <c r="I513" s="42">
        <v>0</v>
      </c>
      <c r="K513" s="42">
        <v>0</v>
      </c>
      <c r="M513" s="42">
        <f t="shared" si="96"/>
        <v>0</v>
      </c>
      <c r="O513" s="42">
        <v>0</v>
      </c>
      <c r="Q513" s="42">
        <v>0</v>
      </c>
      <c r="S513" s="42">
        <v>0</v>
      </c>
      <c r="U513" s="42">
        <v>0</v>
      </c>
      <c r="W513" s="42">
        <v>0</v>
      </c>
      <c r="Y513" s="42">
        <v>0</v>
      </c>
      <c r="AA513" s="42">
        <v>0</v>
      </c>
      <c r="AB513" s="37"/>
      <c r="AC513" s="42">
        <v>0</v>
      </c>
      <c r="AE513" s="42">
        <v>0</v>
      </c>
      <c r="AG513" s="42">
        <f t="shared" si="91"/>
        <v>0</v>
      </c>
      <c r="AH513" s="42"/>
      <c r="AI513" s="42">
        <f t="shared" si="92"/>
        <v>0</v>
      </c>
    </row>
    <row r="514" spans="1:35" ht="12" customHeight="1">
      <c r="A514" s="8" t="s">
        <v>526</v>
      </c>
      <c r="B514" s="8"/>
      <c r="C514" s="8" t="s">
        <v>64</v>
      </c>
      <c r="D514" s="8"/>
      <c r="E514" s="23">
        <v>50237</v>
      </c>
      <c r="G514" s="42">
        <v>641650</v>
      </c>
      <c r="I514" s="42">
        <v>534127</v>
      </c>
      <c r="K514" s="42">
        <v>44821</v>
      </c>
      <c r="M514" s="42">
        <f t="shared" si="96"/>
        <v>1220598</v>
      </c>
      <c r="O514" s="42">
        <f>1338422+445003+80395</f>
        <v>1863820</v>
      </c>
      <c r="Q514" s="42">
        <v>0</v>
      </c>
      <c r="S514" s="42">
        <v>3028582</v>
      </c>
      <c r="U514" s="42">
        <v>8511</v>
      </c>
      <c r="W514" s="42">
        <v>0</v>
      </c>
      <c r="Y514" s="42">
        <v>0</v>
      </c>
      <c r="AA514" s="42">
        <f>4606+250261+72890</f>
        <v>327757</v>
      </c>
      <c r="AB514" s="37"/>
      <c r="AC514" s="42">
        <v>0</v>
      </c>
      <c r="AE514" s="42">
        <v>0</v>
      </c>
      <c r="AG514" s="42">
        <f t="shared" si="91"/>
        <v>5228670</v>
      </c>
      <c r="AH514" s="42"/>
      <c r="AI514" s="42">
        <f t="shared" si="92"/>
        <v>6449268</v>
      </c>
    </row>
    <row r="515" spans="1:35" ht="12" hidden="1" customHeight="1">
      <c r="A515" s="8" t="s">
        <v>823</v>
      </c>
      <c r="B515" s="8"/>
      <c r="C515" s="8" t="s">
        <v>42</v>
      </c>
      <c r="D515" s="8"/>
      <c r="E515" s="23">
        <v>48041</v>
      </c>
      <c r="G515" s="42">
        <v>0</v>
      </c>
      <c r="I515" s="42">
        <v>0</v>
      </c>
      <c r="K515" s="42">
        <v>0</v>
      </c>
      <c r="M515" s="42">
        <f t="shared" si="96"/>
        <v>0</v>
      </c>
      <c r="O515" s="42">
        <v>0</v>
      </c>
      <c r="Q515" s="42">
        <v>0</v>
      </c>
      <c r="S515" s="42">
        <v>0</v>
      </c>
      <c r="U515" s="42">
        <v>0</v>
      </c>
      <c r="W515" s="42">
        <v>0</v>
      </c>
      <c r="Y515" s="42">
        <v>0</v>
      </c>
      <c r="AA515" s="42">
        <v>0</v>
      </c>
      <c r="AB515" s="37"/>
      <c r="AC515" s="42">
        <v>0</v>
      </c>
      <c r="AE515" s="42">
        <v>0</v>
      </c>
      <c r="AG515" s="42">
        <f t="shared" si="91"/>
        <v>0</v>
      </c>
      <c r="AH515" s="42"/>
      <c r="AI515" s="42">
        <f t="shared" si="92"/>
        <v>0</v>
      </c>
    </row>
    <row r="516" spans="1:35" ht="12" customHeight="1">
      <c r="A516" s="8" t="s">
        <v>329</v>
      </c>
      <c r="B516" s="8"/>
      <c r="C516" s="8" t="s">
        <v>32</v>
      </c>
      <c r="D516" s="8"/>
      <c r="E516" s="23">
        <v>47381</v>
      </c>
      <c r="G516" s="42">
        <v>1374771</v>
      </c>
      <c r="I516" s="42">
        <v>3389209</v>
      </c>
      <c r="K516" s="42">
        <v>0</v>
      </c>
      <c r="M516" s="42">
        <f t="shared" si="96"/>
        <v>4763980</v>
      </c>
      <c r="O516" s="42">
        <f>10071324+1124848</f>
        <v>11196172</v>
      </c>
      <c r="Q516" s="42">
        <v>3314541</v>
      </c>
      <c r="S516" s="42">
        <v>14638914</v>
      </c>
      <c r="U516" s="42">
        <v>14952</v>
      </c>
      <c r="W516" s="42">
        <v>244701</v>
      </c>
      <c r="Y516" s="42">
        <v>1200</v>
      </c>
      <c r="AA516" s="42">
        <v>395462</v>
      </c>
      <c r="AB516" s="37"/>
      <c r="AC516" s="42">
        <v>0</v>
      </c>
      <c r="AE516" s="42">
        <v>0</v>
      </c>
      <c r="AG516" s="42">
        <f t="shared" si="91"/>
        <v>29805942</v>
      </c>
      <c r="AH516" s="42"/>
      <c r="AI516" s="42">
        <f t="shared" si="92"/>
        <v>34569922</v>
      </c>
    </row>
    <row r="517" spans="1:35" ht="12" customHeight="1">
      <c r="A517" s="8" t="s">
        <v>305</v>
      </c>
      <c r="B517" s="8"/>
      <c r="C517" s="8" t="s">
        <v>27</v>
      </c>
      <c r="D517" s="8"/>
      <c r="E517" s="23">
        <v>44800</v>
      </c>
      <c r="G517" s="42">
        <v>4065085</v>
      </c>
      <c r="I517" s="42">
        <v>32737457</v>
      </c>
      <c r="K517" s="42">
        <v>0</v>
      </c>
      <c r="M517" s="42">
        <f t="shared" si="96"/>
        <v>36802542</v>
      </c>
      <c r="O517" s="42">
        <f>81312729+11717816+3155717+461791</f>
        <v>96648053</v>
      </c>
      <c r="Q517" s="42">
        <v>0</v>
      </c>
      <c r="S517" s="42">
        <f>124047645+102290500</f>
        <v>226338145</v>
      </c>
      <c r="U517" s="42">
        <v>266483</v>
      </c>
      <c r="W517" s="42">
        <v>2039592</v>
      </c>
      <c r="Y517" s="42">
        <v>0</v>
      </c>
      <c r="AA517" s="42">
        <v>10206218</v>
      </c>
      <c r="AB517" s="37"/>
      <c r="AC517" s="42">
        <v>0</v>
      </c>
      <c r="AE517" s="42">
        <v>0</v>
      </c>
      <c r="AG517" s="42">
        <f t="shared" si="91"/>
        <v>335498491</v>
      </c>
      <c r="AH517" s="42"/>
      <c r="AI517" s="42">
        <f t="shared" si="92"/>
        <v>372301033</v>
      </c>
    </row>
    <row r="518" spans="1:35" ht="12.75" hidden="1" customHeight="1">
      <c r="A518" s="8" t="s">
        <v>696</v>
      </c>
      <c r="B518" s="8"/>
      <c r="C518" s="8" t="s">
        <v>10</v>
      </c>
      <c r="D518" s="8"/>
      <c r="E518" s="23">
        <v>45807</v>
      </c>
      <c r="G518" s="42">
        <v>0</v>
      </c>
      <c r="I518" s="42">
        <v>0</v>
      </c>
      <c r="K518" s="42">
        <v>0</v>
      </c>
      <c r="M518" s="42">
        <f t="shared" si="96"/>
        <v>0</v>
      </c>
      <c r="O518" s="42">
        <v>0</v>
      </c>
      <c r="Q518" s="42">
        <v>0</v>
      </c>
      <c r="S518" s="42">
        <v>0</v>
      </c>
      <c r="U518" s="42">
        <v>0</v>
      </c>
      <c r="W518" s="42">
        <v>0</v>
      </c>
      <c r="Y518" s="42">
        <v>0</v>
      </c>
      <c r="AA518" s="42">
        <v>0</v>
      </c>
      <c r="AB518" s="37"/>
      <c r="AC518" s="42">
        <v>0</v>
      </c>
      <c r="AE518" s="42">
        <v>0</v>
      </c>
      <c r="AG518" s="42">
        <f t="shared" si="91"/>
        <v>0</v>
      </c>
      <c r="AH518" s="42"/>
      <c r="AI518" s="42">
        <f t="shared" si="92"/>
        <v>0</v>
      </c>
    </row>
    <row r="519" spans="1:35" ht="12.75" customHeight="1">
      <c r="A519" s="8" t="s">
        <v>838</v>
      </c>
      <c r="B519" s="8"/>
      <c r="C519" s="8" t="s">
        <v>69</v>
      </c>
      <c r="D519" s="8"/>
      <c r="E519" s="23">
        <v>50427</v>
      </c>
      <c r="G519" s="42">
        <v>3604286</v>
      </c>
      <c r="I519" s="42">
        <v>2187052</v>
      </c>
      <c r="K519" s="42">
        <v>0</v>
      </c>
      <c r="M519" s="42">
        <f t="shared" si="96"/>
        <v>5791338</v>
      </c>
      <c r="O519" s="42">
        <f>28974125+5763062</f>
        <v>34737187</v>
      </c>
      <c r="Q519" s="42">
        <v>0</v>
      </c>
      <c r="S519" s="42">
        <v>14438043</v>
      </c>
      <c r="U519" s="42">
        <v>20514</v>
      </c>
      <c r="W519" s="42">
        <v>0</v>
      </c>
      <c r="Y519" s="42">
        <v>30890</v>
      </c>
      <c r="AA519" s="42">
        <v>692250</v>
      </c>
      <c r="AB519" s="37"/>
      <c r="AC519" s="42">
        <v>0</v>
      </c>
      <c r="AE519" s="42">
        <v>0</v>
      </c>
      <c r="AG519" s="42">
        <f t="shared" si="91"/>
        <v>49918884</v>
      </c>
      <c r="AH519" s="42"/>
      <c r="AI519" s="42">
        <f t="shared" si="92"/>
        <v>55710222</v>
      </c>
    </row>
    <row r="520" spans="1:35" ht="12" customHeight="1">
      <c r="A520" s="8" t="s">
        <v>624</v>
      </c>
      <c r="B520" s="8"/>
      <c r="C520" s="8" t="s">
        <v>17</v>
      </c>
      <c r="D520" s="8"/>
      <c r="E520" s="23">
        <v>44818</v>
      </c>
      <c r="G520" s="42">
        <v>2590332</v>
      </c>
      <c r="I520" s="42">
        <v>16606922</v>
      </c>
      <c r="K520" s="42">
        <v>0</v>
      </c>
      <c r="M520" s="42">
        <f t="shared" si="96"/>
        <v>19197254</v>
      </c>
      <c r="O520" s="42">
        <f>19342891+3269688+654546+229821</f>
        <v>23496946</v>
      </c>
      <c r="Q520" s="42">
        <v>0</v>
      </c>
      <c r="S520" s="42">
        <v>58543009</v>
      </c>
      <c r="U520" s="42">
        <v>126065</v>
      </c>
      <c r="W520" s="42">
        <v>0</v>
      </c>
      <c r="Y520" s="42">
        <v>0</v>
      </c>
      <c r="AA520" s="42">
        <v>778516</v>
      </c>
      <c r="AB520" s="37"/>
      <c r="AC520" s="42">
        <v>0</v>
      </c>
      <c r="AE520" s="42">
        <v>0</v>
      </c>
      <c r="AG520" s="42">
        <f t="shared" si="91"/>
        <v>82944536</v>
      </c>
      <c r="AH520" s="42"/>
      <c r="AI520" s="42">
        <f t="shared" si="92"/>
        <v>102141790</v>
      </c>
    </row>
    <row r="521" spans="1:35" ht="12" customHeight="1">
      <c r="A521" s="8" t="s">
        <v>710</v>
      </c>
      <c r="B521" s="8"/>
      <c r="C521" s="8" t="s">
        <v>114</v>
      </c>
      <c r="D521" s="8"/>
      <c r="E521" s="23">
        <v>48223</v>
      </c>
      <c r="G521" s="42">
        <v>2258286</v>
      </c>
      <c r="I521" s="42">
        <v>4661873</v>
      </c>
      <c r="K521" s="42">
        <v>0</v>
      </c>
      <c r="M521" s="42">
        <f t="shared" si="96"/>
        <v>6920159</v>
      </c>
      <c r="O521" s="42">
        <f>23057730+2011425+803688</f>
        <v>25872843</v>
      </c>
      <c r="Q521" s="42">
        <v>0</v>
      </c>
      <c r="S521" s="42">
        <v>9647607</v>
      </c>
      <c r="U521" s="42">
        <v>5850</v>
      </c>
      <c r="W521" s="42">
        <v>94952</v>
      </c>
      <c r="Y521" s="42">
        <v>0</v>
      </c>
      <c r="AA521" s="42">
        <v>782832</v>
      </c>
      <c r="AB521" s="37"/>
      <c r="AC521" s="42">
        <v>0</v>
      </c>
      <c r="AE521" s="42">
        <v>0</v>
      </c>
      <c r="AG521" s="42">
        <f t="shared" si="91"/>
        <v>36404084</v>
      </c>
      <c r="AH521" s="42"/>
      <c r="AI521" s="42">
        <f t="shared" si="92"/>
        <v>43324243</v>
      </c>
    </row>
    <row r="522" spans="1:35" ht="12" customHeight="1">
      <c r="A522" s="8" t="s">
        <v>390</v>
      </c>
      <c r="B522" s="8"/>
      <c r="C522" s="8" t="s">
        <v>45</v>
      </c>
      <c r="D522" s="8"/>
      <c r="E522" s="23">
        <v>48371</v>
      </c>
      <c r="G522" s="42">
        <v>439648</v>
      </c>
      <c r="I522" s="42">
        <v>1149258</v>
      </c>
      <c r="K522" s="42">
        <v>6000</v>
      </c>
      <c r="M522" s="42">
        <f t="shared" si="96"/>
        <v>1594906</v>
      </c>
      <c r="O522" s="42">
        <f>2938822+429011</f>
        <v>3367833</v>
      </c>
      <c r="Q522" s="42">
        <v>2034710</v>
      </c>
      <c r="S522" s="42">
        <v>4812320</v>
      </c>
      <c r="U522" s="42">
        <v>3889</v>
      </c>
      <c r="W522" s="42">
        <v>0</v>
      </c>
      <c r="Y522" s="42">
        <v>0</v>
      </c>
      <c r="AA522" s="42">
        <v>520234</v>
      </c>
      <c r="AB522" s="37"/>
      <c r="AC522" s="42">
        <v>0</v>
      </c>
      <c r="AE522" s="42">
        <v>0</v>
      </c>
      <c r="AG522" s="42">
        <f t="shared" si="91"/>
        <v>10738986</v>
      </c>
      <c r="AH522" s="42"/>
      <c r="AI522" s="42">
        <f t="shared" si="92"/>
        <v>12333892</v>
      </c>
    </row>
    <row r="523" spans="1:35" ht="12" customHeight="1">
      <c r="A523" s="8" t="s">
        <v>390</v>
      </c>
      <c r="B523" s="8"/>
      <c r="C523" s="8" t="s">
        <v>63</v>
      </c>
      <c r="D523" s="8"/>
      <c r="E523" s="23">
        <v>50062</v>
      </c>
      <c r="G523" s="42">
        <v>2785515</v>
      </c>
      <c r="I523" s="42">
        <v>2286835</v>
      </c>
      <c r="K523" s="42">
        <v>128360</v>
      </c>
      <c r="M523" s="42">
        <f t="shared" si="96"/>
        <v>5200710</v>
      </c>
      <c r="O523" s="42">
        <f>9838161+2122312+383722</f>
        <v>12344195</v>
      </c>
      <c r="Q523" s="42">
        <v>0</v>
      </c>
      <c r="S523" s="42">
        <v>12896383</v>
      </c>
      <c r="U523" s="42">
        <v>26302</v>
      </c>
      <c r="W523" s="42">
        <v>0</v>
      </c>
      <c r="Y523" s="42">
        <v>0</v>
      </c>
      <c r="AA523" s="42">
        <v>102673</v>
      </c>
      <c r="AB523" s="37"/>
      <c r="AC523" s="42">
        <v>0</v>
      </c>
      <c r="AE523" s="42">
        <v>0</v>
      </c>
      <c r="AG523" s="42">
        <f t="shared" si="91"/>
        <v>25369553</v>
      </c>
      <c r="AH523" s="42"/>
      <c r="AI523" s="42">
        <f t="shared" si="92"/>
        <v>30570263</v>
      </c>
    </row>
    <row r="524" spans="1:35" ht="12" customHeight="1">
      <c r="A524" s="8" t="s">
        <v>780</v>
      </c>
      <c r="B524" s="8"/>
      <c r="C524" s="8" t="s">
        <v>32</v>
      </c>
      <c r="D524" s="8"/>
      <c r="E524" s="23">
        <v>44719</v>
      </c>
      <c r="G524" s="42">
        <v>1598932</v>
      </c>
      <c r="I524" s="42">
        <v>2495962</v>
      </c>
      <c r="K524" s="42">
        <v>0</v>
      </c>
      <c r="M524" s="42">
        <f t="shared" si="96"/>
        <v>4094894</v>
      </c>
      <c r="O524" s="42">
        <v>4253120</v>
      </c>
      <c r="Q524" s="42">
        <v>0</v>
      </c>
      <c r="S524" s="42">
        <v>5759249</v>
      </c>
      <c r="U524" s="42">
        <v>2614</v>
      </c>
      <c r="W524" s="42">
        <v>0</v>
      </c>
      <c r="Y524" s="42">
        <v>2824</v>
      </c>
      <c r="AA524" s="42">
        <v>260814</v>
      </c>
      <c r="AB524" s="37"/>
      <c r="AC524" s="42">
        <v>0</v>
      </c>
      <c r="AE524" s="42">
        <v>0</v>
      </c>
      <c r="AG524" s="42">
        <f t="shared" ref="AG524:AG530" si="97">SUM(O524:AE524)</f>
        <v>10278621</v>
      </c>
      <c r="AH524" s="42"/>
      <c r="AI524" s="42">
        <f t="shared" ref="AI524:AI530" si="98">+AG524+M524</f>
        <v>14373515</v>
      </c>
    </row>
    <row r="525" spans="1:35" ht="12" customHeight="1">
      <c r="A525" s="8" t="s">
        <v>781</v>
      </c>
      <c r="B525" s="8"/>
      <c r="C525" s="8" t="s">
        <v>15</v>
      </c>
      <c r="D525" s="8"/>
      <c r="E525" s="23">
        <v>45997</v>
      </c>
      <c r="G525" s="42">
        <v>1932350</v>
      </c>
      <c r="I525" s="42">
        <v>1360180</v>
      </c>
      <c r="K525" s="42">
        <v>170470</v>
      </c>
      <c r="M525" s="42">
        <f t="shared" si="96"/>
        <v>3463000</v>
      </c>
      <c r="O525" s="42">
        <f>6863432+956068</f>
        <v>7819500</v>
      </c>
      <c r="Q525" s="42">
        <v>0</v>
      </c>
      <c r="S525" s="42">
        <v>4545674</v>
      </c>
      <c r="U525" s="42">
        <v>1587</v>
      </c>
      <c r="W525" s="42">
        <v>0</v>
      </c>
      <c r="Y525" s="42">
        <v>106659</v>
      </c>
      <c r="AA525" s="42">
        <v>104844</v>
      </c>
      <c r="AB525" s="37"/>
      <c r="AC525" s="42">
        <v>0</v>
      </c>
      <c r="AE525" s="42">
        <v>0</v>
      </c>
      <c r="AG525" s="42">
        <f t="shared" si="97"/>
        <v>12578264</v>
      </c>
      <c r="AH525" s="42"/>
      <c r="AI525" s="42">
        <f t="shared" si="98"/>
        <v>16041264</v>
      </c>
    </row>
    <row r="526" spans="1:35" ht="12" hidden="1" customHeight="1">
      <c r="A526" s="8" t="s">
        <v>697</v>
      </c>
      <c r="B526" s="8"/>
      <c r="C526" s="8" t="s">
        <v>419</v>
      </c>
      <c r="D526" s="8"/>
      <c r="E526" s="23">
        <v>48587</v>
      </c>
      <c r="G526" s="42">
        <v>0</v>
      </c>
      <c r="I526" s="42">
        <v>0</v>
      </c>
      <c r="K526" s="42">
        <v>0</v>
      </c>
      <c r="M526" s="42">
        <f t="shared" si="96"/>
        <v>0</v>
      </c>
      <c r="O526" s="42">
        <v>0</v>
      </c>
      <c r="Q526" s="42">
        <v>0</v>
      </c>
      <c r="S526" s="42">
        <v>0</v>
      </c>
      <c r="U526" s="42">
        <v>0</v>
      </c>
      <c r="W526" s="42">
        <v>0</v>
      </c>
      <c r="Y526" s="42">
        <v>0</v>
      </c>
      <c r="AA526" s="42">
        <v>0</v>
      </c>
      <c r="AB526" s="37"/>
      <c r="AC526" s="42">
        <v>0</v>
      </c>
      <c r="AE526" s="42">
        <v>0</v>
      </c>
      <c r="AG526" s="42">
        <f t="shared" si="97"/>
        <v>0</v>
      </c>
      <c r="AH526" s="42"/>
      <c r="AI526" s="42">
        <f t="shared" si="98"/>
        <v>0</v>
      </c>
    </row>
    <row r="527" spans="1:35" ht="12" hidden="1" customHeight="1">
      <c r="A527" s="8" t="s">
        <v>698</v>
      </c>
      <c r="B527" s="8"/>
      <c r="C527" s="8" t="s">
        <v>14</v>
      </c>
      <c r="D527" s="8"/>
      <c r="E527" s="23">
        <v>44727</v>
      </c>
      <c r="G527" s="42">
        <v>0</v>
      </c>
      <c r="I527" s="42">
        <v>0</v>
      </c>
      <c r="K527" s="42">
        <v>0</v>
      </c>
      <c r="M527" s="42">
        <f t="shared" si="96"/>
        <v>0</v>
      </c>
      <c r="O527" s="42">
        <v>0</v>
      </c>
      <c r="Q527" s="42">
        <v>0</v>
      </c>
      <c r="S527" s="42">
        <v>0</v>
      </c>
      <c r="U527" s="42">
        <v>0</v>
      </c>
      <c r="W527" s="42">
        <v>0</v>
      </c>
      <c r="Y527" s="42">
        <v>0</v>
      </c>
      <c r="AA527" s="42">
        <v>0</v>
      </c>
      <c r="AB527" s="37"/>
      <c r="AC527" s="42">
        <v>0</v>
      </c>
      <c r="AE527" s="42">
        <v>0</v>
      </c>
      <c r="AG527" s="42">
        <f t="shared" si="97"/>
        <v>0</v>
      </c>
      <c r="AH527" s="42"/>
      <c r="AI527" s="42">
        <f t="shared" si="98"/>
        <v>0</v>
      </c>
    </row>
    <row r="528" spans="1:35" s="42" customFormat="1" ht="12" customHeight="1">
      <c r="A528" s="9" t="s">
        <v>362</v>
      </c>
      <c r="B528" s="9"/>
      <c r="C528" s="9" t="s">
        <v>39</v>
      </c>
      <c r="D528" s="9"/>
      <c r="E528" s="23">
        <v>44826</v>
      </c>
      <c r="F528" s="6"/>
      <c r="G528" s="42">
        <v>3864248</v>
      </c>
      <c r="I528" s="42">
        <v>4830287</v>
      </c>
      <c r="K528" s="42">
        <v>100000</v>
      </c>
      <c r="M528" s="42">
        <f t="shared" si="96"/>
        <v>8794535</v>
      </c>
      <c r="O528" s="42">
        <f>3466087+944981+71471</f>
        <v>4482539</v>
      </c>
      <c r="Q528" s="42">
        <v>0</v>
      </c>
      <c r="S528" s="42">
        <v>12088840</v>
      </c>
      <c r="U528" s="42">
        <v>114978</v>
      </c>
      <c r="W528" s="42">
        <v>0</v>
      </c>
      <c r="Y528" s="42">
        <v>50715</v>
      </c>
      <c r="AA528" s="42">
        <v>123923</v>
      </c>
      <c r="AB528" s="37"/>
      <c r="AC528" s="42">
        <v>0</v>
      </c>
      <c r="AE528" s="42">
        <v>0</v>
      </c>
      <c r="AG528" s="42">
        <f t="shared" si="97"/>
        <v>16860995</v>
      </c>
      <c r="AI528" s="42">
        <f t="shared" si="98"/>
        <v>25655530</v>
      </c>
    </row>
    <row r="529" spans="1:35" ht="12" customHeight="1">
      <c r="A529" s="8" t="s">
        <v>510</v>
      </c>
      <c r="B529" s="8"/>
      <c r="C529" s="8" t="s">
        <v>63</v>
      </c>
      <c r="D529" s="8"/>
      <c r="E529" s="23">
        <v>44834</v>
      </c>
      <c r="G529" s="42">
        <v>3801611</v>
      </c>
      <c r="I529" s="42">
        <v>3671429</v>
      </c>
      <c r="K529" s="42">
        <v>0</v>
      </c>
      <c r="M529" s="42">
        <f t="shared" si="96"/>
        <v>7473040</v>
      </c>
      <c r="O529" s="42">
        <f>31408886+492005</f>
        <v>31900891</v>
      </c>
      <c r="Q529" s="42">
        <v>0</v>
      </c>
      <c r="S529" s="42">
        <v>17926791</v>
      </c>
      <c r="U529" s="42">
        <v>12592</v>
      </c>
      <c r="W529" s="42">
        <v>212345</v>
      </c>
      <c r="Y529" s="42">
        <v>0</v>
      </c>
      <c r="AA529" s="42">
        <v>207838</v>
      </c>
      <c r="AB529" s="37"/>
      <c r="AC529" s="42">
        <v>0</v>
      </c>
      <c r="AE529" s="42">
        <v>0</v>
      </c>
      <c r="AG529" s="42">
        <f t="shared" si="97"/>
        <v>50260457</v>
      </c>
      <c r="AH529" s="42"/>
      <c r="AI529" s="42">
        <f t="shared" si="98"/>
        <v>57733497</v>
      </c>
    </row>
    <row r="530" spans="1:35" ht="12" hidden="1" customHeight="1">
      <c r="A530" s="9" t="s">
        <v>699</v>
      </c>
      <c r="B530" s="8"/>
      <c r="C530" s="8" t="s">
        <v>65</v>
      </c>
      <c r="D530" s="8"/>
      <c r="E530" s="23">
        <v>50294</v>
      </c>
      <c r="G530" s="42">
        <v>0</v>
      </c>
      <c r="I530" s="42">
        <v>0</v>
      </c>
      <c r="K530" s="42">
        <v>0</v>
      </c>
      <c r="M530" s="42">
        <f t="shared" si="96"/>
        <v>0</v>
      </c>
      <c r="O530" s="42">
        <v>0</v>
      </c>
      <c r="Q530" s="42">
        <v>0</v>
      </c>
      <c r="S530" s="42">
        <v>0</v>
      </c>
      <c r="U530" s="42">
        <v>0</v>
      </c>
      <c r="W530" s="42">
        <v>0</v>
      </c>
      <c r="Y530" s="42">
        <v>0</v>
      </c>
      <c r="AA530" s="42">
        <v>0</v>
      </c>
      <c r="AB530" s="37"/>
      <c r="AC530" s="42">
        <v>0</v>
      </c>
      <c r="AE530" s="42">
        <v>0</v>
      </c>
      <c r="AG530" s="42">
        <f t="shared" si="97"/>
        <v>0</v>
      </c>
      <c r="AH530" s="42"/>
      <c r="AI530" s="42">
        <f t="shared" si="98"/>
        <v>0</v>
      </c>
    </row>
    <row r="531" spans="1:35" s="42" customFormat="1" ht="12" customHeight="1">
      <c r="A531" s="9" t="s">
        <v>461</v>
      </c>
      <c r="B531" s="9"/>
      <c r="C531" s="9" t="s">
        <v>56</v>
      </c>
      <c r="D531" s="9"/>
      <c r="E531" s="23">
        <v>49239</v>
      </c>
      <c r="G531" s="42">
        <v>1070102</v>
      </c>
      <c r="I531" s="42">
        <v>1061336</v>
      </c>
      <c r="K531" s="42">
        <v>0</v>
      </c>
      <c r="M531" s="42">
        <f t="shared" si="96"/>
        <v>2131438</v>
      </c>
      <c r="O531" s="42">
        <f>13047810+1075006+583196</f>
        <v>14706012</v>
      </c>
      <c r="Q531" s="42">
        <v>0</v>
      </c>
      <c r="S531" s="42">
        <v>7501925</v>
      </c>
      <c r="U531" s="42">
        <v>4513</v>
      </c>
      <c r="W531" s="42">
        <v>600581</v>
      </c>
      <c r="Y531" s="42">
        <v>0</v>
      </c>
      <c r="AA531" s="42">
        <v>139640</v>
      </c>
      <c r="AB531" s="37"/>
      <c r="AC531" s="42">
        <v>0</v>
      </c>
      <c r="AE531" s="42">
        <v>0</v>
      </c>
      <c r="AG531" s="42">
        <f t="shared" ref="AG531:AG577" si="99">SUM(O531:AE531)</f>
        <v>22952671</v>
      </c>
      <c r="AI531" s="42">
        <f t="shared" ref="AI531:AI577" si="100">+AG531+M531</f>
        <v>25084109</v>
      </c>
    </row>
    <row r="532" spans="1:35" ht="12" customHeight="1">
      <c r="A532" s="8" t="s">
        <v>277</v>
      </c>
      <c r="B532" s="8"/>
      <c r="C532" s="8" t="s">
        <v>20</v>
      </c>
      <c r="D532" s="8"/>
      <c r="E532" s="23">
        <v>44842</v>
      </c>
      <c r="G532" s="42">
        <v>2726535</v>
      </c>
      <c r="I532" s="42">
        <v>2956465</v>
      </c>
      <c r="K532" s="42">
        <v>0</v>
      </c>
      <c r="M532" s="42">
        <f t="shared" si="96"/>
        <v>5683000</v>
      </c>
      <c r="O532" s="42">
        <f>45602498+3231023+946743</f>
        <v>49780264</v>
      </c>
      <c r="Q532" s="42">
        <v>0</v>
      </c>
      <c r="S532" s="42">
        <v>19959675</v>
      </c>
      <c r="U532" s="42">
        <v>23557</v>
      </c>
      <c r="W532" s="42">
        <v>2037264</v>
      </c>
      <c r="Y532" s="42">
        <v>0</v>
      </c>
      <c r="AA532" s="42">
        <v>221177</v>
      </c>
      <c r="AB532" s="37"/>
      <c r="AC532" s="42">
        <v>0</v>
      </c>
      <c r="AE532" s="42">
        <v>0</v>
      </c>
      <c r="AG532" s="42">
        <f t="shared" si="99"/>
        <v>72021937</v>
      </c>
      <c r="AH532" s="42"/>
      <c r="AI532" s="42">
        <f t="shared" si="100"/>
        <v>77704937</v>
      </c>
    </row>
    <row r="533" spans="1:35" ht="12" customHeight="1">
      <c r="A533" s="8" t="s">
        <v>404</v>
      </c>
      <c r="B533" s="8"/>
      <c r="C533" s="8" t="s">
        <v>45</v>
      </c>
      <c r="D533" s="8"/>
      <c r="E533" s="23">
        <v>44859</v>
      </c>
      <c r="G533" s="42">
        <v>1581035</v>
      </c>
      <c r="I533" s="42">
        <v>2214796</v>
      </c>
      <c r="K533" s="42">
        <v>0</v>
      </c>
      <c r="M533" s="42">
        <f t="shared" si="96"/>
        <v>3795831</v>
      </c>
      <c r="O533" s="42">
        <f>4054290+392086+50327</f>
        <v>4496703</v>
      </c>
      <c r="Q533" s="42">
        <v>0</v>
      </c>
      <c r="S533" s="42">
        <v>11820624</v>
      </c>
      <c r="U533" s="42">
        <v>7973</v>
      </c>
      <c r="W533" s="42">
        <v>0</v>
      </c>
      <c r="Y533" s="42">
        <v>0</v>
      </c>
      <c r="AA533" s="42">
        <v>35333</v>
      </c>
      <c r="AB533" s="37"/>
      <c r="AC533" s="42">
        <v>0</v>
      </c>
      <c r="AE533" s="42">
        <v>0</v>
      </c>
      <c r="AG533" s="42">
        <f t="shared" si="99"/>
        <v>16360633</v>
      </c>
      <c r="AH533" s="42"/>
      <c r="AI533" s="42">
        <f t="shared" si="100"/>
        <v>20156464</v>
      </c>
    </row>
    <row r="534" spans="1:35" ht="12" hidden="1" customHeight="1">
      <c r="A534" s="9" t="s">
        <v>906</v>
      </c>
      <c r="B534" s="8"/>
      <c r="C534" s="8" t="s">
        <v>548</v>
      </c>
      <c r="D534" s="8"/>
      <c r="E534" s="23">
        <v>50658</v>
      </c>
      <c r="G534" s="42">
        <v>0</v>
      </c>
      <c r="I534" s="42">
        <v>0</v>
      </c>
      <c r="K534" s="42">
        <v>0</v>
      </c>
      <c r="M534" s="42">
        <f t="shared" si="96"/>
        <v>0</v>
      </c>
      <c r="O534" s="42">
        <v>0</v>
      </c>
      <c r="Q534" s="42">
        <v>0</v>
      </c>
      <c r="S534" s="42">
        <v>0</v>
      </c>
      <c r="U534" s="42">
        <v>0</v>
      </c>
      <c r="W534" s="42">
        <v>0</v>
      </c>
      <c r="Y534" s="42">
        <v>0</v>
      </c>
      <c r="AA534" s="42">
        <v>0</v>
      </c>
      <c r="AB534" s="37"/>
      <c r="AC534" s="42">
        <v>0</v>
      </c>
      <c r="AE534" s="42">
        <v>0</v>
      </c>
      <c r="AG534" s="42">
        <f t="shared" si="99"/>
        <v>0</v>
      </c>
      <c r="AH534" s="42"/>
      <c r="AI534" s="42">
        <f t="shared" si="100"/>
        <v>0</v>
      </c>
    </row>
    <row r="535" spans="1:35" ht="12" customHeight="1">
      <c r="A535" s="8" t="s">
        <v>310</v>
      </c>
      <c r="B535" s="8"/>
      <c r="C535" s="8" t="s">
        <v>28</v>
      </c>
      <c r="D535" s="8"/>
      <c r="E535" s="23">
        <v>47092</v>
      </c>
      <c r="G535" s="42">
        <v>951691</v>
      </c>
      <c r="I535" s="42">
        <v>1298555</v>
      </c>
      <c r="K535" s="42">
        <v>0</v>
      </c>
      <c r="M535" s="42">
        <f t="shared" si="96"/>
        <v>2250246</v>
      </c>
      <c r="O535" s="42">
        <f>4473650+1097672+148327</f>
        <v>5719649</v>
      </c>
      <c r="Q535" s="42">
        <v>1559480</v>
      </c>
      <c r="S535" s="42">
        <v>4815696</v>
      </c>
      <c r="U535" s="42">
        <v>41173</v>
      </c>
      <c r="W535" s="42">
        <v>0</v>
      </c>
      <c r="Y535" s="42">
        <v>9708</v>
      </c>
      <c r="AA535" s="42">
        <v>370762</v>
      </c>
      <c r="AB535" s="37"/>
      <c r="AC535" s="42">
        <v>0</v>
      </c>
      <c r="AE535" s="42">
        <v>0</v>
      </c>
      <c r="AG535" s="42">
        <f t="shared" si="99"/>
        <v>12516468</v>
      </c>
      <c r="AH535" s="42"/>
      <c r="AI535" s="42">
        <f t="shared" si="100"/>
        <v>14766714</v>
      </c>
    </row>
    <row r="536" spans="1:35" ht="12" customHeight="1">
      <c r="A536" s="8" t="s">
        <v>623</v>
      </c>
      <c r="B536" s="8"/>
      <c r="C536" s="8" t="s">
        <v>49</v>
      </c>
      <c r="D536" s="8"/>
      <c r="E536" s="23">
        <v>48652</v>
      </c>
      <c r="G536" s="42">
        <v>616899</v>
      </c>
      <c r="I536" s="42">
        <v>3925548</v>
      </c>
      <c r="K536" s="42">
        <v>0</v>
      </c>
      <c r="M536" s="42">
        <f t="shared" si="96"/>
        <v>4542447</v>
      </c>
      <c r="O536" s="42">
        <f>9216340+2563004+162009</f>
        <v>11941353</v>
      </c>
      <c r="Q536" s="42">
        <v>0</v>
      </c>
      <c r="S536" s="42">
        <v>15378568</v>
      </c>
      <c r="U536" s="42">
        <v>163049</v>
      </c>
      <c r="W536" s="42">
        <v>0</v>
      </c>
      <c r="Y536" s="42">
        <v>2806</v>
      </c>
      <c r="AA536" s="42">
        <v>279220</v>
      </c>
      <c r="AB536" s="37"/>
      <c r="AC536" s="42">
        <v>0</v>
      </c>
      <c r="AE536" s="42">
        <v>0</v>
      </c>
      <c r="AG536" s="42">
        <f t="shared" si="99"/>
        <v>27764996</v>
      </c>
      <c r="AH536" s="42"/>
      <c r="AI536" s="42">
        <f t="shared" si="100"/>
        <v>32307443</v>
      </c>
    </row>
    <row r="537" spans="1:35" ht="12" customHeight="1">
      <c r="A537" s="8" t="s">
        <v>828</v>
      </c>
      <c r="B537" s="8"/>
      <c r="C537" s="8" t="s">
        <v>32</v>
      </c>
      <c r="D537" s="8"/>
      <c r="E537" s="23">
        <v>44867</v>
      </c>
      <c r="G537" s="42">
        <v>3242112</v>
      </c>
      <c r="I537" s="42">
        <v>4678971</v>
      </c>
      <c r="K537" s="42">
        <v>0</v>
      </c>
      <c r="M537" s="42">
        <f t="shared" si="96"/>
        <v>7921083</v>
      </c>
      <c r="O537" s="42">
        <f>50058624+3599977</f>
        <v>53658601</v>
      </c>
      <c r="Q537" s="42">
        <v>0</v>
      </c>
      <c r="S537" s="42">
        <v>17557040</v>
      </c>
      <c r="U537" s="42">
        <v>1627</v>
      </c>
      <c r="W537" s="42">
        <v>1439177</v>
      </c>
      <c r="Y537" s="42">
        <v>108670</v>
      </c>
      <c r="AA537" s="42">
        <v>921649</v>
      </c>
      <c r="AB537" s="37"/>
      <c r="AC537" s="42">
        <v>0</v>
      </c>
      <c r="AE537" s="42">
        <v>0</v>
      </c>
      <c r="AG537" s="42">
        <f t="shared" si="99"/>
        <v>73686764</v>
      </c>
      <c r="AH537" s="42"/>
      <c r="AI537" s="42">
        <f t="shared" si="100"/>
        <v>81607847</v>
      </c>
    </row>
    <row r="538" spans="1:35" ht="12" customHeight="1">
      <c r="A538" s="8" t="s">
        <v>391</v>
      </c>
      <c r="B538" s="8"/>
      <c r="C538" s="8" t="s">
        <v>114</v>
      </c>
      <c r="D538" s="8"/>
      <c r="E538" s="23">
        <v>44875</v>
      </c>
      <c r="G538" s="42">
        <v>3079004</v>
      </c>
      <c r="I538" s="42">
        <v>5917127</v>
      </c>
      <c r="K538" s="42">
        <v>0</v>
      </c>
      <c r="M538" s="42">
        <f t="shared" si="96"/>
        <v>8996131</v>
      </c>
      <c r="O538" s="42">
        <f>53568191+7075823+349968</f>
        <v>60993982</v>
      </c>
      <c r="Q538" s="42">
        <v>0</v>
      </c>
      <c r="S538" s="42">
        <v>22190182</v>
      </c>
      <c r="U538" s="42">
        <v>23857</v>
      </c>
      <c r="W538" s="42">
        <v>372462</v>
      </c>
      <c r="Y538" s="42">
        <v>0</v>
      </c>
      <c r="AA538" s="42">
        <v>1113287</v>
      </c>
      <c r="AB538" s="37"/>
      <c r="AC538" s="42">
        <v>0</v>
      </c>
      <c r="AE538" s="42">
        <v>0</v>
      </c>
      <c r="AG538" s="42">
        <f t="shared" si="99"/>
        <v>84693770</v>
      </c>
      <c r="AH538" s="42"/>
      <c r="AI538" s="42">
        <f t="shared" si="100"/>
        <v>93689901</v>
      </c>
    </row>
    <row r="539" spans="1:35" ht="12" customHeight="1">
      <c r="A539" s="8" t="s">
        <v>370</v>
      </c>
      <c r="B539" s="8"/>
      <c r="C539" s="8" t="s">
        <v>364</v>
      </c>
      <c r="D539" s="8"/>
      <c r="E539" s="23">
        <v>47969</v>
      </c>
      <c r="G539" s="42">
        <v>898429</v>
      </c>
      <c r="I539" s="42">
        <v>1086046</v>
      </c>
      <c r="K539" s="42">
        <v>1353</v>
      </c>
      <c r="M539" s="42">
        <f t="shared" si="96"/>
        <v>1985828</v>
      </c>
      <c r="O539" s="42">
        <f>968270+85217+16029</f>
        <v>1069516</v>
      </c>
      <c r="Q539" s="42">
        <v>0</v>
      </c>
      <c r="S539" s="42">
        <v>5803138</v>
      </c>
      <c r="U539" s="42">
        <v>29772</v>
      </c>
      <c r="W539" s="42">
        <v>4784</v>
      </c>
      <c r="Y539" s="42">
        <v>0</v>
      </c>
      <c r="AA539" s="42">
        <f>57039+31205</f>
        <v>88244</v>
      </c>
      <c r="AB539" s="37"/>
      <c r="AC539" s="42">
        <v>0</v>
      </c>
      <c r="AE539" s="42">
        <v>0</v>
      </c>
      <c r="AG539" s="42">
        <f t="shared" si="99"/>
        <v>6995454</v>
      </c>
      <c r="AH539" s="42"/>
      <c r="AI539" s="42">
        <f t="shared" si="100"/>
        <v>8981282</v>
      </c>
    </row>
    <row r="540" spans="1:35" ht="12" customHeight="1">
      <c r="A540" s="8" t="s">
        <v>711</v>
      </c>
      <c r="B540" s="8"/>
      <c r="C540" s="8" t="s">
        <v>220</v>
      </c>
      <c r="D540" s="8"/>
      <c r="E540" s="23">
        <v>46151</v>
      </c>
      <c r="G540" s="42">
        <v>2064070</v>
      </c>
      <c r="I540" s="42">
        <v>1986843</v>
      </c>
      <c r="K540" s="42">
        <v>0</v>
      </c>
      <c r="M540" s="42">
        <f t="shared" ref="M540:M597" si="101">SUM(G540:L540)</f>
        <v>4050913</v>
      </c>
      <c r="O540" s="42">
        <f>13381286+3291962+1129320</f>
        <v>17802568</v>
      </c>
      <c r="Q540" s="42">
        <v>5752075</v>
      </c>
      <c r="S540" s="42">
        <v>10876100</v>
      </c>
      <c r="U540" s="42">
        <v>24651</v>
      </c>
      <c r="W540" s="42">
        <v>0</v>
      </c>
      <c r="Y540" s="42">
        <v>0</v>
      </c>
      <c r="AA540" s="42">
        <v>488413</v>
      </c>
      <c r="AB540" s="37"/>
      <c r="AC540" s="42">
        <v>0</v>
      </c>
      <c r="AE540" s="42">
        <v>0</v>
      </c>
      <c r="AG540" s="42">
        <f t="shared" si="99"/>
        <v>34943807</v>
      </c>
      <c r="AH540" s="42"/>
      <c r="AI540" s="42">
        <f t="shared" si="100"/>
        <v>38994720</v>
      </c>
    </row>
    <row r="541" spans="1:35" ht="12" customHeight="1">
      <c r="A541" s="8" t="s">
        <v>511</v>
      </c>
      <c r="B541" s="8"/>
      <c r="C541" s="8" t="s">
        <v>63</v>
      </c>
      <c r="D541" s="8"/>
      <c r="E541" s="23">
        <v>44883</v>
      </c>
      <c r="G541" s="42">
        <v>1764745</v>
      </c>
      <c r="I541" s="42">
        <v>1586077</v>
      </c>
      <c r="K541" s="42">
        <v>352172</v>
      </c>
      <c r="M541" s="42">
        <f t="shared" si="101"/>
        <v>3702994</v>
      </c>
      <c r="O541" s="42">
        <f>13226471+299664+1705596</f>
        <v>15231731</v>
      </c>
      <c r="Q541" s="42">
        <v>0</v>
      </c>
      <c r="S541" s="42">
        <v>10322909</v>
      </c>
      <c r="U541" s="42">
        <v>6673</v>
      </c>
      <c r="W541" s="42">
        <v>0</v>
      </c>
      <c r="Y541" s="42">
        <v>0</v>
      </c>
      <c r="AA541" s="42">
        <v>609587</v>
      </c>
      <c r="AB541" s="37"/>
      <c r="AC541" s="42">
        <v>0</v>
      </c>
      <c r="AE541" s="42">
        <v>0</v>
      </c>
      <c r="AG541" s="42">
        <f t="shared" si="99"/>
        <v>26170900</v>
      </c>
      <c r="AH541" s="42"/>
      <c r="AI541" s="42">
        <f t="shared" si="100"/>
        <v>29873894</v>
      </c>
    </row>
    <row r="542" spans="1:35" ht="12" customHeight="1">
      <c r="A542" s="8" t="s">
        <v>451</v>
      </c>
      <c r="B542" s="8"/>
      <c r="C542" s="8" t="s">
        <v>54</v>
      </c>
      <c r="D542" s="8"/>
      <c r="E542" s="23">
        <v>49098</v>
      </c>
      <c r="G542" s="42">
        <v>2090667</v>
      </c>
      <c r="I542" s="42">
        <v>3424419</v>
      </c>
      <c r="K542" s="42">
        <v>0</v>
      </c>
      <c r="M542" s="42">
        <f t="shared" si="101"/>
        <v>5515086</v>
      </c>
      <c r="O542" s="42">
        <f>8423636+2803137+952248</f>
        <v>12179021</v>
      </c>
      <c r="Q542" s="42">
        <f>3749002+168355</f>
        <v>3917357</v>
      </c>
      <c r="S542" s="42">
        <v>16442881</v>
      </c>
      <c r="U542" s="42">
        <v>45206</v>
      </c>
      <c r="W542" s="42">
        <v>23873</v>
      </c>
      <c r="Y542" s="42">
        <v>0</v>
      </c>
      <c r="AA542" s="42">
        <v>10183</v>
      </c>
      <c r="AB542" s="37"/>
      <c r="AC542" s="42">
        <v>0</v>
      </c>
      <c r="AE542" s="42">
        <v>0</v>
      </c>
      <c r="AG542" s="42">
        <f t="shared" si="99"/>
        <v>32618521</v>
      </c>
      <c r="AH542" s="42"/>
      <c r="AI542" s="42">
        <f t="shared" si="100"/>
        <v>38133607</v>
      </c>
    </row>
    <row r="543" spans="1:35" ht="12" customHeight="1">
      <c r="A543" s="8" t="s">
        <v>234</v>
      </c>
      <c r="B543" s="8"/>
      <c r="C543" s="8" t="s">
        <v>17</v>
      </c>
      <c r="D543" s="8"/>
      <c r="E543" s="23">
        <v>46243</v>
      </c>
      <c r="G543" s="42">
        <v>2420593</v>
      </c>
      <c r="I543" s="42">
        <v>3447704</v>
      </c>
      <c r="K543" s="42">
        <v>0</v>
      </c>
      <c r="M543" s="42">
        <f t="shared" si="101"/>
        <v>5868297</v>
      </c>
      <c r="O543" s="42">
        <f>7428532+583387+1116919+109276</f>
        <v>9238114</v>
      </c>
      <c r="Q543" s="42">
        <v>0</v>
      </c>
      <c r="S543" s="42">
        <v>17075814</v>
      </c>
      <c r="U543" s="42">
        <v>7840</v>
      </c>
      <c r="W543" s="42">
        <v>0</v>
      </c>
      <c r="Y543" s="42">
        <v>709</v>
      </c>
      <c r="AA543" s="42">
        <v>108777</v>
      </c>
      <c r="AB543" s="37"/>
      <c r="AC543" s="42">
        <v>0</v>
      </c>
      <c r="AE543" s="42">
        <v>0</v>
      </c>
      <c r="AG543" s="42">
        <f t="shared" si="99"/>
        <v>26431254</v>
      </c>
      <c r="AH543" s="42"/>
      <c r="AI543" s="42">
        <f t="shared" si="100"/>
        <v>32299551</v>
      </c>
    </row>
    <row r="544" spans="1:35" ht="12" customHeight="1">
      <c r="A544" s="9" t="s">
        <v>719</v>
      </c>
      <c r="B544" s="8"/>
      <c r="C544" s="8" t="s">
        <v>32</v>
      </c>
      <c r="D544" s="8"/>
      <c r="E544" s="23">
        <v>47399</v>
      </c>
      <c r="G544" s="42">
        <v>1051827</v>
      </c>
      <c r="I544" s="42">
        <v>1340777</v>
      </c>
      <c r="K544" s="42">
        <v>0</v>
      </c>
      <c r="M544" s="42">
        <f t="shared" si="101"/>
        <v>2392604</v>
      </c>
      <c r="O544" s="42">
        <f>10977532+73511+1575832</f>
        <v>12626875</v>
      </c>
      <c r="Q544" s="42">
        <v>0</v>
      </c>
      <c r="S544" s="42">
        <v>7166918</v>
      </c>
      <c r="U544" s="42">
        <v>24179</v>
      </c>
      <c r="W544" s="42">
        <v>2476254</v>
      </c>
      <c r="Y544" s="42">
        <v>221756</v>
      </c>
      <c r="AA544" s="42">
        <v>2051043</v>
      </c>
      <c r="AB544" s="37"/>
      <c r="AC544" s="42">
        <v>0</v>
      </c>
      <c r="AE544" s="42">
        <v>0</v>
      </c>
      <c r="AG544" s="42">
        <f t="shared" si="99"/>
        <v>24567025</v>
      </c>
      <c r="AH544" s="42"/>
      <c r="AI544" s="42">
        <f t="shared" si="100"/>
        <v>26959629</v>
      </c>
    </row>
    <row r="545" spans="1:35" ht="12" customHeight="1">
      <c r="A545" s="8" t="s">
        <v>485</v>
      </c>
      <c r="B545" s="8"/>
      <c r="C545" s="8" t="s">
        <v>60</v>
      </c>
      <c r="D545" s="8"/>
      <c r="E545" s="23">
        <v>44891</v>
      </c>
      <c r="G545" s="42">
        <v>1986621</v>
      </c>
      <c r="I545" s="42">
        <v>3494015</v>
      </c>
      <c r="K545" s="42">
        <v>26159</v>
      </c>
      <c r="M545" s="42">
        <f t="shared" si="101"/>
        <v>5506795</v>
      </c>
      <c r="O545" s="42">
        <f>9193653+112460+606871+153247</f>
        <v>10066231</v>
      </c>
      <c r="Q545" s="42">
        <v>0</v>
      </c>
      <c r="S545" s="42">
        <v>10538836</v>
      </c>
      <c r="U545" s="42">
        <v>7556</v>
      </c>
      <c r="W545" s="42">
        <v>39957</v>
      </c>
      <c r="Y545" s="42">
        <v>0</v>
      </c>
      <c r="AA545" s="42">
        <f>235780+72338</f>
        <v>308118</v>
      </c>
      <c r="AB545" s="37"/>
      <c r="AC545" s="42">
        <v>0</v>
      </c>
      <c r="AE545" s="42">
        <v>0</v>
      </c>
      <c r="AG545" s="42">
        <f t="shared" si="99"/>
        <v>20960698</v>
      </c>
      <c r="AH545" s="42"/>
      <c r="AI545" s="42">
        <f t="shared" si="100"/>
        <v>26467493</v>
      </c>
    </row>
    <row r="546" spans="1:35" ht="12" customHeight="1">
      <c r="A546" s="8" t="s">
        <v>772</v>
      </c>
      <c r="B546" s="8"/>
      <c r="C546" s="8" t="s">
        <v>48</v>
      </c>
      <c r="D546" s="8"/>
      <c r="E546" s="23">
        <v>45617</v>
      </c>
      <c r="G546" s="42">
        <v>2106679</v>
      </c>
      <c r="I546" s="42">
        <v>1013195</v>
      </c>
      <c r="K546" s="42">
        <v>0</v>
      </c>
      <c r="M546" s="42">
        <f t="shared" si="101"/>
        <v>3119874</v>
      </c>
      <c r="O546" s="42">
        <f>10467654+1446182+560523</f>
        <v>12474359</v>
      </c>
      <c r="Q546" s="42">
        <v>0</v>
      </c>
      <c r="S546" s="42">
        <v>9607802</v>
      </c>
      <c r="U546" s="42">
        <v>5602</v>
      </c>
      <c r="W546" s="42">
        <v>0</v>
      </c>
      <c r="Y546" s="42">
        <v>0</v>
      </c>
      <c r="AA546" s="42">
        <v>310656</v>
      </c>
      <c r="AB546" s="37"/>
      <c r="AC546" s="42">
        <v>0</v>
      </c>
      <c r="AE546" s="42">
        <v>0</v>
      </c>
      <c r="AG546" s="42">
        <f t="shared" si="99"/>
        <v>22398419</v>
      </c>
      <c r="AH546" s="42"/>
      <c r="AI546" s="42">
        <f t="shared" si="100"/>
        <v>25518293</v>
      </c>
    </row>
    <row r="547" spans="1:35" ht="12" customHeight="1">
      <c r="A547" s="8" t="s">
        <v>392</v>
      </c>
      <c r="B547" s="8"/>
      <c r="C547" s="8" t="s">
        <v>114</v>
      </c>
      <c r="D547" s="8"/>
      <c r="E547" s="23">
        <v>44909</v>
      </c>
      <c r="G547" s="42">
        <v>12363199</v>
      </c>
      <c r="I547" s="42">
        <v>49415641</v>
      </c>
      <c r="K547" s="42">
        <v>957329</v>
      </c>
      <c r="M547" s="42">
        <f t="shared" si="101"/>
        <v>62736169</v>
      </c>
      <c r="O547" s="42">
        <f>83422448+971092+9522686</f>
        <v>93916226</v>
      </c>
      <c r="Q547" s="42">
        <v>0</v>
      </c>
      <c r="S547" s="42">
        <v>220217972</v>
      </c>
      <c r="U547" s="42">
        <v>261490</v>
      </c>
      <c r="W547" s="42">
        <v>0</v>
      </c>
      <c r="Y547" s="42">
        <v>0</v>
      </c>
      <c r="AA547" s="42">
        <v>294931</v>
      </c>
      <c r="AB547" s="37"/>
      <c r="AC547" s="42">
        <v>0</v>
      </c>
      <c r="AE547" s="42">
        <v>0</v>
      </c>
      <c r="AG547" s="42">
        <f t="shared" si="99"/>
        <v>314690619</v>
      </c>
      <c r="AH547" s="42"/>
      <c r="AI547" s="42">
        <f t="shared" si="100"/>
        <v>377426788</v>
      </c>
    </row>
    <row r="548" spans="1:35" ht="12" hidden="1" customHeight="1">
      <c r="A548" s="9" t="s">
        <v>882</v>
      </c>
      <c r="B548" s="9"/>
      <c r="C548" s="9" t="s">
        <v>114</v>
      </c>
      <c r="D548" s="8"/>
      <c r="E548" s="23"/>
      <c r="G548" s="42">
        <v>0</v>
      </c>
      <c r="I548" s="42">
        <v>0</v>
      </c>
      <c r="K548" s="42">
        <v>0</v>
      </c>
      <c r="M548" s="42">
        <f t="shared" si="101"/>
        <v>0</v>
      </c>
      <c r="O548" s="42">
        <v>0</v>
      </c>
      <c r="Q548" s="42">
        <v>0</v>
      </c>
      <c r="S548" s="42">
        <v>0</v>
      </c>
      <c r="U548" s="42">
        <v>0</v>
      </c>
      <c r="W548" s="42">
        <v>0</v>
      </c>
      <c r="Y548" s="42">
        <v>0</v>
      </c>
      <c r="AA548" s="42">
        <v>0</v>
      </c>
      <c r="AB548" s="37"/>
      <c r="AC548" s="42">
        <v>0</v>
      </c>
      <c r="AE548" s="42">
        <v>0</v>
      </c>
      <c r="AG548" s="42">
        <f t="shared" si="99"/>
        <v>0</v>
      </c>
      <c r="AH548" s="42"/>
      <c r="AI548" s="42">
        <f t="shared" si="100"/>
        <v>0</v>
      </c>
    </row>
    <row r="549" spans="1:35" ht="12" customHeight="1">
      <c r="A549" s="9" t="s">
        <v>720</v>
      </c>
      <c r="B549" s="8"/>
      <c r="C549" s="8" t="s">
        <v>39</v>
      </c>
      <c r="D549" s="8"/>
      <c r="E549" s="23">
        <v>44917</v>
      </c>
      <c r="G549" s="42">
        <v>1030166</v>
      </c>
      <c r="I549" s="42">
        <v>1069434</v>
      </c>
      <c r="K549" s="42">
        <v>0</v>
      </c>
      <c r="M549" s="42">
        <f t="shared" si="101"/>
        <v>2099600</v>
      </c>
      <c r="O549" s="42">
        <f>1466150+450287+29633</f>
        <v>1946070</v>
      </c>
      <c r="Q549" s="42">
        <v>0</v>
      </c>
      <c r="S549" s="42">
        <v>6791668</v>
      </c>
      <c r="U549" s="42">
        <v>54802</v>
      </c>
      <c r="W549" s="42">
        <v>0</v>
      </c>
      <c r="Y549" s="42">
        <v>126432</v>
      </c>
      <c r="AA549" s="42">
        <f>26839+900</f>
        <v>27739</v>
      </c>
      <c r="AB549" s="37"/>
      <c r="AC549" s="42">
        <v>0</v>
      </c>
      <c r="AE549" s="42">
        <v>0</v>
      </c>
      <c r="AG549" s="42">
        <f t="shared" si="99"/>
        <v>8946711</v>
      </c>
      <c r="AH549" s="42"/>
      <c r="AI549" s="42">
        <f t="shared" si="100"/>
        <v>11046311</v>
      </c>
    </row>
    <row r="550" spans="1:35" ht="12" customHeight="1">
      <c r="A550" s="8" t="s">
        <v>228</v>
      </c>
      <c r="B550" s="8"/>
      <c r="C550" s="8" t="s">
        <v>227</v>
      </c>
      <c r="D550" s="8"/>
      <c r="E550" s="23">
        <v>46201</v>
      </c>
      <c r="G550" s="42">
        <v>1002528</v>
      </c>
      <c r="I550" s="42">
        <v>1170649</v>
      </c>
      <c r="K550" s="42">
        <v>33868</v>
      </c>
      <c r="M550" s="42">
        <f t="shared" si="101"/>
        <v>2207045</v>
      </c>
      <c r="O550" s="42">
        <f>2329576+43245+283186</f>
        <v>2656007</v>
      </c>
      <c r="Q550" s="42">
        <v>1875146</v>
      </c>
      <c r="S550" s="42">
        <v>4914484</v>
      </c>
      <c r="U550" s="42">
        <v>1736</v>
      </c>
      <c r="W550" s="42">
        <v>0</v>
      </c>
      <c r="Y550" s="42">
        <v>0</v>
      </c>
      <c r="AA550" s="42">
        <v>19581</v>
      </c>
      <c r="AB550" s="37"/>
      <c r="AC550" s="42">
        <v>0</v>
      </c>
      <c r="AE550" s="42">
        <v>0</v>
      </c>
      <c r="AG550" s="42">
        <f t="shared" si="99"/>
        <v>9466954</v>
      </c>
      <c r="AH550" s="42"/>
      <c r="AI550" s="42">
        <f t="shared" si="100"/>
        <v>11673999</v>
      </c>
    </row>
    <row r="551" spans="1:35" s="24" customFormat="1" ht="12" customHeight="1">
      <c r="A551" s="51" t="s">
        <v>463</v>
      </c>
      <c r="B551" s="51"/>
      <c r="C551" s="51" t="s">
        <v>57</v>
      </c>
      <c r="D551" s="51"/>
      <c r="E551" s="23">
        <v>91397</v>
      </c>
      <c r="G551" s="42">
        <v>690451</v>
      </c>
      <c r="H551" s="42"/>
      <c r="I551" s="42">
        <v>788521</v>
      </c>
      <c r="J551" s="42"/>
      <c r="K551" s="42">
        <v>0</v>
      </c>
      <c r="L551" s="42"/>
      <c r="M551" s="42">
        <f t="shared" si="101"/>
        <v>1478972</v>
      </c>
      <c r="N551" s="42"/>
      <c r="O551" s="42">
        <f>3544822+115005</f>
        <v>3659827</v>
      </c>
      <c r="P551" s="42"/>
      <c r="Q551" s="42">
        <v>0</v>
      </c>
      <c r="R551" s="42"/>
      <c r="S551" s="42">
        <v>4293620</v>
      </c>
      <c r="T551" s="42"/>
      <c r="U551" s="42">
        <v>4323</v>
      </c>
      <c r="V551" s="42"/>
      <c r="W551" s="42">
        <v>0</v>
      </c>
      <c r="X551" s="42"/>
      <c r="Y551" s="42">
        <v>1000</v>
      </c>
      <c r="Z551" s="42"/>
      <c r="AA551" s="42">
        <v>81658</v>
      </c>
      <c r="AB551" s="37"/>
      <c r="AC551" s="42">
        <v>0</v>
      </c>
      <c r="AD551" s="42"/>
      <c r="AE551" s="42">
        <v>0</v>
      </c>
      <c r="AF551" s="42"/>
      <c r="AG551" s="42">
        <f t="shared" si="99"/>
        <v>8040428</v>
      </c>
      <c r="AH551" s="42"/>
      <c r="AI551" s="42">
        <f t="shared" si="100"/>
        <v>9519400</v>
      </c>
    </row>
    <row r="552" spans="1:35" ht="12" customHeight="1">
      <c r="A552" s="8" t="s">
        <v>211</v>
      </c>
      <c r="B552" s="8"/>
      <c r="C552" s="8" t="s">
        <v>13</v>
      </c>
      <c r="D552" s="8"/>
      <c r="E552" s="23">
        <v>45922</v>
      </c>
      <c r="G552" s="42">
        <v>773302</v>
      </c>
      <c r="I552" s="42">
        <v>1769456</v>
      </c>
      <c r="K552" s="42">
        <v>0</v>
      </c>
      <c r="M552" s="42">
        <f t="shared" si="101"/>
        <v>2542758</v>
      </c>
      <c r="O552" s="42">
        <f>759931+54598+12739</f>
        <v>827268</v>
      </c>
      <c r="Q552" s="42">
        <v>0</v>
      </c>
      <c r="S552" s="42">
        <v>7040146</v>
      </c>
      <c r="U552" s="42">
        <v>3658</v>
      </c>
      <c r="W552" s="42">
        <v>0</v>
      </c>
      <c r="Y552" s="42">
        <v>59586</v>
      </c>
      <c r="AA552" s="42">
        <f>61918+6068</f>
        <v>67986</v>
      </c>
      <c r="AB552" s="37"/>
      <c r="AC552" s="42">
        <v>0</v>
      </c>
      <c r="AE552" s="42">
        <v>0</v>
      </c>
      <c r="AG552" s="42">
        <f t="shared" si="99"/>
        <v>7998644</v>
      </c>
      <c r="AH552" s="42"/>
      <c r="AI552" s="42">
        <f t="shared" si="100"/>
        <v>10541402</v>
      </c>
    </row>
    <row r="553" spans="1:35" ht="12" customHeight="1">
      <c r="A553" s="8" t="s">
        <v>443</v>
      </c>
      <c r="B553" s="8"/>
      <c r="C553" s="8" t="s">
        <v>51</v>
      </c>
      <c r="D553" s="8"/>
      <c r="E553" s="23">
        <v>48876</v>
      </c>
      <c r="G553" s="42">
        <v>2397963</v>
      </c>
      <c r="I553" s="42">
        <v>2313246</v>
      </c>
      <c r="K553" s="42">
        <v>439250</v>
      </c>
      <c r="M553" s="42">
        <f t="shared" si="101"/>
        <v>5150459</v>
      </c>
      <c r="O553" s="42">
        <f>5770342+1030676+114231</f>
        <v>6915249</v>
      </c>
      <c r="Q553" s="42">
        <v>0</v>
      </c>
      <c r="S553" s="42">
        <v>15909332</v>
      </c>
      <c r="U553" s="42">
        <v>0</v>
      </c>
      <c r="W553" s="42">
        <v>390171</v>
      </c>
      <c r="Y553" s="42">
        <v>0</v>
      </c>
      <c r="AA553" s="42">
        <v>87928</v>
      </c>
      <c r="AB553" s="37"/>
      <c r="AC553" s="42">
        <v>0</v>
      </c>
      <c r="AE553" s="42">
        <v>0</v>
      </c>
      <c r="AG553" s="42">
        <f t="shared" si="99"/>
        <v>23302680</v>
      </c>
      <c r="AH553" s="42"/>
      <c r="AI553" s="42">
        <f t="shared" si="100"/>
        <v>28453139</v>
      </c>
    </row>
    <row r="554" spans="1:35" ht="12" hidden="1" customHeight="1">
      <c r="A554" s="8" t="s">
        <v>685</v>
      </c>
      <c r="B554" s="8"/>
      <c r="C554" s="8" t="s">
        <v>21</v>
      </c>
      <c r="D554" s="8"/>
      <c r="E554" s="23">
        <v>46680</v>
      </c>
      <c r="G554" s="42">
        <v>0</v>
      </c>
      <c r="I554" s="42">
        <v>0</v>
      </c>
      <c r="K554" s="42">
        <v>0</v>
      </c>
      <c r="M554" s="42">
        <f t="shared" si="101"/>
        <v>0</v>
      </c>
      <c r="O554" s="42">
        <v>0</v>
      </c>
      <c r="Q554" s="42">
        <v>0</v>
      </c>
      <c r="S554" s="42">
        <v>0</v>
      </c>
      <c r="U554" s="42">
        <v>0</v>
      </c>
      <c r="W554" s="42">
        <v>0</v>
      </c>
      <c r="Y554" s="42">
        <v>0</v>
      </c>
      <c r="AA554" s="42">
        <v>0</v>
      </c>
      <c r="AB554" s="37"/>
      <c r="AC554" s="42">
        <v>0</v>
      </c>
      <c r="AE554" s="42">
        <v>0</v>
      </c>
      <c r="AG554" s="42">
        <f t="shared" si="99"/>
        <v>0</v>
      </c>
      <c r="AH554" s="42"/>
      <c r="AI554" s="42">
        <f t="shared" si="100"/>
        <v>0</v>
      </c>
    </row>
    <row r="555" spans="1:35" ht="12" hidden="1" customHeight="1">
      <c r="A555" s="8" t="s">
        <v>829</v>
      </c>
      <c r="B555" s="8"/>
      <c r="C555" s="8" t="s">
        <v>71</v>
      </c>
      <c r="D555" s="8"/>
      <c r="E555" s="23">
        <v>50591</v>
      </c>
      <c r="G555" s="42">
        <v>0</v>
      </c>
      <c r="I555" s="42">
        <v>0</v>
      </c>
      <c r="K555" s="42">
        <v>0</v>
      </c>
      <c r="M555" s="42">
        <f t="shared" si="101"/>
        <v>0</v>
      </c>
      <c r="O555" s="42">
        <v>0</v>
      </c>
      <c r="Q555" s="42">
        <v>0</v>
      </c>
      <c r="S555" s="42">
        <v>0</v>
      </c>
      <c r="U555" s="42">
        <v>0</v>
      </c>
      <c r="W555" s="42">
        <v>0</v>
      </c>
      <c r="Y555" s="42">
        <v>0</v>
      </c>
      <c r="AA555" s="42">
        <v>0</v>
      </c>
      <c r="AB555" s="37"/>
      <c r="AC555" s="42">
        <v>0</v>
      </c>
      <c r="AE555" s="42">
        <v>0</v>
      </c>
      <c r="AG555" s="42">
        <f t="shared" si="99"/>
        <v>0</v>
      </c>
      <c r="AH555" s="42"/>
      <c r="AI555" s="42">
        <f t="shared" si="100"/>
        <v>0</v>
      </c>
    </row>
    <row r="556" spans="1:35" ht="12" customHeight="1">
      <c r="A556" s="8" t="s">
        <v>433</v>
      </c>
      <c r="B556" s="8"/>
      <c r="C556" s="8" t="s">
        <v>50</v>
      </c>
      <c r="D556" s="8"/>
      <c r="E556" s="23">
        <v>48694</v>
      </c>
      <c r="G556" s="42">
        <v>783144</v>
      </c>
      <c r="I556" s="42">
        <v>6991184</v>
      </c>
      <c r="K556" s="42">
        <v>0</v>
      </c>
      <c r="M556" s="42">
        <f t="shared" si="101"/>
        <v>7774328</v>
      </c>
      <c r="O556" s="42">
        <f>6946566+87689+1422315+440199</f>
        <v>8896769</v>
      </c>
      <c r="Q556" s="42">
        <v>0</v>
      </c>
      <c r="S556" s="42">
        <v>21279198</v>
      </c>
      <c r="U556" s="42">
        <v>16492</v>
      </c>
      <c r="W556" s="42">
        <v>0</v>
      </c>
      <c r="Y556" s="42">
        <v>0</v>
      </c>
      <c r="AA556" s="42">
        <v>524688</v>
      </c>
      <c r="AB556" s="37"/>
      <c r="AC556" s="42">
        <v>0</v>
      </c>
      <c r="AE556" s="42">
        <v>0</v>
      </c>
      <c r="AG556" s="42">
        <f t="shared" si="99"/>
        <v>30717147</v>
      </c>
      <c r="AH556" s="42"/>
      <c r="AI556" s="42">
        <f t="shared" si="100"/>
        <v>38491475</v>
      </c>
    </row>
    <row r="557" spans="1:35" s="24" customFormat="1" ht="12" customHeight="1">
      <c r="A557" s="51" t="s">
        <v>423</v>
      </c>
      <c r="B557" s="51"/>
      <c r="C557" s="51" t="s">
        <v>48</v>
      </c>
      <c r="D557" s="51"/>
      <c r="E557" s="51">
        <v>44925</v>
      </c>
      <c r="G557" s="24">
        <v>3190776</v>
      </c>
      <c r="I557" s="24">
        <v>4339015</v>
      </c>
      <c r="K557" s="24">
        <v>30370</v>
      </c>
      <c r="M557" s="24">
        <f t="shared" si="101"/>
        <v>7560161</v>
      </c>
      <c r="O557" s="24">
        <f>14084774+522744+1342657+595850</f>
        <v>16546025</v>
      </c>
      <c r="Q557" s="24">
        <v>9674986</v>
      </c>
      <c r="S557" s="24">
        <v>15359250</v>
      </c>
      <c r="U557" s="24">
        <v>13225</v>
      </c>
      <c r="W557" s="24">
        <v>0</v>
      </c>
      <c r="Y557" s="24">
        <v>0</v>
      </c>
      <c r="AA557" s="24">
        <v>279627</v>
      </c>
      <c r="AB557" s="58"/>
      <c r="AC557" s="24">
        <v>0</v>
      </c>
      <c r="AE557" s="24">
        <v>0</v>
      </c>
      <c r="AG557" s="24">
        <f t="shared" si="99"/>
        <v>41873113</v>
      </c>
      <c r="AI557" s="24">
        <f t="shared" si="100"/>
        <v>49433274</v>
      </c>
    </row>
    <row r="558" spans="1:35" ht="12" customHeight="1">
      <c r="A558" s="8" t="s">
        <v>534</v>
      </c>
      <c r="B558" s="8"/>
      <c r="C558" s="8" t="s">
        <v>65</v>
      </c>
      <c r="D558" s="8"/>
      <c r="E558" s="23">
        <v>50302</v>
      </c>
      <c r="G558" s="42">
        <v>892378</v>
      </c>
      <c r="I558" s="42">
        <v>1442633</v>
      </c>
      <c r="K558" s="42">
        <v>18864</v>
      </c>
      <c r="M558" s="42">
        <f t="shared" si="101"/>
        <v>2353875</v>
      </c>
      <c r="O558" s="42">
        <f>5235454+402492</f>
        <v>5637946</v>
      </c>
      <c r="Q558" s="42">
        <v>0</v>
      </c>
      <c r="S558" s="42">
        <v>5939631</v>
      </c>
      <c r="U558" s="42">
        <v>35064</v>
      </c>
      <c r="W558" s="42">
        <v>0</v>
      </c>
      <c r="Y558" s="42">
        <v>0</v>
      </c>
      <c r="AA558" s="42">
        <v>40365</v>
      </c>
      <c r="AB558" s="37"/>
      <c r="AC558" s="42">
        <v>0</v>
      </c>
      <c r="AE558" s="42">
        <v>0</v>
      </c>
      <c r="AG558" s="42">
        <f t="shared" si="99"/>
        <v>11653006</v>
      </c>
      <c r="AH558" s="42"/>
      <c r="AI558" s="42">
        <f t="shared" si="100"/>
        <v>14006881</v>
      </c>
    </row>
    <row r="559" spans="1:35" ht="12" customHeight="1">
      <c r="A559" s="8" t="s">
        <v>501</v>
      </c>
      <c r="B559" s="8"/>
      <c r="C559" s="8" t="s">
        <v>62</v>
      </c>
      <c r="D559" s="8"/>
      <c r="E559" s="23">
        <v>49957</v>
      </c>
      <c r="G559" s="42">
        <v>1716012</v>
      </c>
      <c r="I559" s="42">
        <v>832804</v>
      </c>
      <c r="K559" s="42">
        <v>0</v>
      </c>
      <c r="M559" s="42">
        <f t="shared" si="101"/>
        <v>2548816</v>
      </c>
      <c r="O559" s="42">
        <f>4585547+721288+92791</f>
        <v>5399626</v>
      </c>
      <c r="Q559" s="42">
        <v>0</v>
      </c>
      <c r="S559" s="42">
        <v>6454730</v>
      </c>
      <c r="U559" s="42">
        <v>11718</v>
      </c>
      <c r="W559" s="42">
        <v>0</v>
      </c>
      <c r="Y559" s="42">
        <v>0</v>
      </c>
      <c r="AA559" s="42">
        <v>10095</v>
      </c>
      <c r="AB559" s="37"/>
      <c r="AC559" s="42">
        <v>0</v>
      </c>
      <c r="AE559" s="42">
        <v>0</v>
      </c>
      <c r="AG559" s="42">
        <f t="shared" si="99"/>
        <v>11876169</v>
      </c>
      <c r="AH559" s="42"/>
      <c r="AI559" s="42">
        <f t="shared" si="100"/>
        <v>14424985</v>
      </c>
    </row>
    <row r="560" spans="1:35" ht="12" hidden="1" customHeight="1">
      <c r="A560" s="8" t="s">
        <v>689</v>
      </c>
      <c r="B560" s="8"/>
      <c r="C560" s="8" t="s">
        <v>57</v>
      </c>
      <c r="D560" s="8"/>
      <c r="E560" s="23">
        <v>49296</v>
      </c>
      <c r="G560" s="42">
        <v>0</v>
      </c>
      <c r="I560" s="42">
        <v>0</v>
      </c>
      <c r="K560" s="42">
        <v>0</v>
      </c>
      <c r="M560" s="42">
        <f t="shared" si="101"/>
        <v>0</v>
      </c>
      <c r="O560" s="42">
        <v>0</v>
      </c>
      <c r="Q560" s="42">
        <v>0</v>
      </c>
      <c r="S560" s="42">
        <v>0</v>
      </c>
      <c r="U560" s="42">
        <v>0</v>
      </c>
      <c r="W560" s="42">
        <v>0</v>
      </c>
      <c r="Y560" s="42">
        <v>0</v>
      </c>
      <c r="AA560" s="42">
        <v>0</v>
      </c>
      <c r="AB560" s="37"/>
      <c r="AC560" s="42">
        <v>0</v>
      </c>
      <c r="AE560" s="42">
        <v>0</v>
      </c>
      <c r="AG560" s="42">
        <f t="shared" si="99"/>
        <v>0</v>
      </c>
      <c r="AH560" s="42"/>
      <c r="AI560" s="42">
        <f t="shared" si="100"/>
        <v>0</v>
      </c>
    </row>
    <row r="561" spans="1:35" ht="12" customHeight="1">
      <c r="A561" s="8" t="s">
        <v>512</v>
      </c>
      <c r="B561" s="8"/>
      <c r="C561" s="8" t="s">
        <v>63</v>
      </c>
      <c r="D561" s="8"/>
      <c r="E561" s="23">
        <v>50070</v>
      </c>
      <c r="G561" s="42">
        <v>2244611</v>
      </c>
      <c r="I561" s="42">
        <v>1612235</v>
      </c>
      <c r="K561" s="42">
        <v>0</v>
      </c>
      <c r="M561" s="42">
        <f t="shared" si="101"/>
        <v>3856846</v>
      </c>
      <c r="O561" s="42">
        <f>23114175+1648599+1451552</f>
        <v>26214326</v>
      </c>
      <c r="Q561" s="42">
        <v>0</v>
      </c>
      <c r="S561" s="42">
        <v>14335878</v>
      </c>
      <c r="U561" s="42">
        <v>35871</v>
      </c>
      <c r="W561" s="42">
        <v>63290</v>
      </c>
      <c r="Y561" s="42">
        <v>0</v>
      </c>
      <c r="AA561" s="42">
        <v>36925</v>
      </c>
      <c r="AB561" s="37"/>
      <c r="AC561" s="42">
        <v>0</v>
      </c>
      <c r="AE561" s="42">
        <v>0</v>
      </c>
      <c r="AG561" s="42">
        <f t="shared" si="99"/>
        <v>40686290</v>
      </c>
      <c r="AH561" s="42"/>
      <c r="AI561" s="42">
        <f t="shared" si="100"/>
        <v>44543136</v>
      </c>
    </row>
    <row r="562" spans="1:35" ht="12" customHeight="1">
      <c r="A562" s="8" t="s">
        <v>907</v>
      </c>
      <c r="B562" s="8"/>
      <c r="C562" s="8" t="s">
        <v>15</v>
      </c>
      <c r="D562" s="8"/>
      <c r="E562" s="23">
        <v>46011</v>
      </c>
      <c r="G562" s="42">
        <v>1666245</v>
      </c>
      <c r="I562" s="42">
        <v>1869034</v>
      </c>
      <c r="K562" s="42">
        <v>0</v>
      </c>
      <c r="M562" s="42">
        <f t="shared" si="101"/>
        <v>3535279</v>
      </c>
      <c r="O562" s="42">
        <f>2950874+311680+50464</f>
        <v>3313018</v>
      </c>
      <c r="Q562" s="42">
        <v>0</v>
      </c>
      <c r="S562" s="42">
        <v>8205929</v>
      </c>
      <c r="U562" s="42">
        <v>5055</v>
      </c>
      <c r="W562" s="42">
        <v>0</v>
      </c>
      <c r="Y562" s="42">
        <v>19702</v>
      </c>
      <c r="AA562" s="42">
        <v>158792</v>
      </c>
      <c r="AB562" s="37"/>
      <c r="AC562" s="42">
        <v>0</v>
      </c>
      <c r="AE562" s="42">
        <v>0</v>
      </c>
      <c r="AG562" s="42">
        <f t="shared" si="99"/>
        <v>11702496</v>
      </c>
      <c r="AH562" s="42"/>
      <c r="AI562" s="42">
        <f t="shared" si="100"/>
        <v>15237775</v>
      </c>
    </row>
    <row r="563" spans="1:35" ht="12" customHeight="1">
      <c r="A563" s="8" t="s">
        <v>473</v>
      </c>
      <c r="B563" s="8"/>
      <c r="C563" s="8" t="s">
        <v>58</v>
      </c>
      <c r="D563" s="8"/>
      <c r="E563" s="23">
        <v>49536</v>
      </c>
      <c r="G563" s="42">
        <v>3856675</v>
      </c>
      <c r="I563" s="42">
        <v>2579051</v>
      </c>
      <c r="K563" s="42">
        <v>0</v>
      </c>
      <c r="M563" s="42">
        <f t="shared" si="101"/>
        <v>6435726</v>
      </c>
      <c r="O563" s="42">
        <f>3286103+287986+58611</f>
        <v>3632700</v>
      </c>
      <c r="Q563" s="42">
        <v>1190357</v>
      </c>
      <c r="S563" s="42">
        <v>9556311</v>
      </c>
      <c r="U563" s="42">
        <v>0</v>
      </c>
      <c r="W563" s="42">
        <v>0</v>
      </c>
      <c r="Y563" s="42">
        <v>0</v>
      </c>
      <c r="AA563" s="42">
        <v>163292</v>
      </c>
      <c r="AB563" s="37"/>
      <c r="AC563" s="42">
        <v>0</v>
      </c>
      <c r="AE563" s="42">
        <v>0</v>
      </c>
      <c r="AG563" s="42">
        <f t="shared" si="99"/>
        <v>14542660</v>
      </c>
      <c r="AH563" s="42"/>
      <c r="AI563" s="42">
        <f t="shared" si="100"/>
        <v>20978386</v>
      </c>
    </row>
    <row r="564" spans="1:35" ht="12" customHeight="1">
      <c r="A564" s="8" t="s">
        <v>249</v>
      </c>
      <c r="B564" s="8"/>
      <c r="C564" s="8" t="s">
        <v>111</v>
      </c>
      <c r="D564" s="8"/>
      <c r="E564" s="23">
        <v>46458</v>
      </c>
      <c r="G564" s="42">
        <v>1400874</v>
      </c>
      <c r="I564" s="42">
        <v>1726828</v>
      </c>
      <c r="K564" s="42">
        <v>0</v>
      </c>
      <c r="M564" s="42">
        <f t="shared" si="101"/>
        <v>3127702</v>
      </c>
      <c r="O564" s="42">
        <f>2377139+280389</f>
        <v>2657528</v>
      </c>
      <c r="Q564" s="42">
        <v>828769</v>
      </c>
      <c r="S564" s="42">
        <v>6471772</v>
      </c>
      <c r="U564" s="42">
        <v>75225</v>
      </c>
      <c r="W564" s="42">
        <v>0</v>
      </c>
      <c r="Y564" s="42">
        <v>0</v>
      </c>
      <c r="AA564" s="42">
        <v>34759</v>
      </c>
      <c r="AB564" s="37"/>
      <c r="AC564" s="42">
        <v>0</v>
      </c>
      <c r="AE564" s="42">
        <v>0</v>
      </c>
      <c r="AG564" s="42">
        <f t="shared" si="99"/>
        <v>10068053</v>
      </c>
      <c r="AH564" s="42"/>
      <c r="AI564" s="42">
        <f t="shared" si="100"/>
        <v>13195755</v>
      </c>
    </row>
    <row r="565" spans="1:35" ht="12" customHeight="1">
      <c r="A565" s="8" t="s">
        <v>306</v>
      </c>
      <c r="B565" s="8"/>
      <c r="C565" s="8" t="s">
        <v>27</v>
      </c>
      <c r="D565" s="8"/>
      <c r="E565" s="23">
        <v>44933</v>
      </c>
      <c r="G565" s="42">
        <v>5886717</v>
      </c>
      <c r="I565" s="42">
        <v>2689756</v>
      </c>
      <c r="K565" s="42">
        <v>0</v>
      </c>
      <c r="M565" s="42">
        <f t="shared" si="101"/>
        <v>8576473</v>
      </c>
      <c r="O565" s="42">
        <v>66196538</v>
      </c>
      <c r="Q565" s="42">
        <v>0</v>
      </c>
      <c r="S565" s="42">
        <v>13235851</v>
      </c>
      <c r="U565" s="42">
        <v>133802</v>
      </c>
      <c r="W565" s="42">
        <v>1510212</v>
      </c>
      <c r="Y565" s="42">
        <v>0</v>
      </c>
      <c r="AA565" s="42">
        <v>1787498</v>
      </c>
      <c r="AB565" s="37"/>
      <c r="AC565" s="42">
        <v>0</v>
      </c>
      <c r="AE565" s="42">
        <v>0</v>
      </c>
      <c r="AG565" s="42">
        <f t="shared" si="99"/>
        <v>82863901</v>
      </c>
      <c r="AH565" s="42"/>
      <c r="AI565" s="42">
        <f t="shared" si="100"/>
        <v>91440374</v>
      </c>
    </row>
    <row r="566" spans="1:35" ht="12" hidden="1" customHeight="1">
      <c r="A566" s="8" t="s">
        <v>773</v>
      </c>
      <c r="B566" s="8"/>
      <c r="C566" s="8" t="s">
        <v>553</v>
      </c>
      <c r="D566" s="8"/>
      <c r="E566" s="23">
        <v>45625</v>
      </c>
      <c r="G566" s="42">
        <v>0</v>
      </c>
      <c r="I566" s="42">
        <v>0</v>
      </c>
      <c r="K566" s="42">
        <v>0</v>
      </c>
      <c r="M566" s="42">
        <f t="shared" si="101"/>
        <v>0</v>
      </c>
      <c r="O566" s="42">
        <v>0</v>
      </c>
      <c r="Q566" s="42">
        <v>0</v>
      </c>
      <c r="S566" s="42">
        <v>0</v>
      </c>
      <c r="U566" s="42">
        <v>0</v>
      </c>
      <c r="W566" s="42">
        <v>0</v>
      </c>
      <c r="Y566" s="42">
        <v>0</v>
      </c>
      <c r="AA566" s="42">
        <v>0</v>
      </c>
      <c r="AB566" s="37"/>
      <c r="AC566" s="42">
        <v>0</v>
      </c>
      <c r="AE566" s="42">
        <v>0</v>
      </c>
      <c r="AG566" s="42">
        <f t="shared" si="99"/>
        <v>0</v>
      </c>
      <c r="AH566" s="42"/>
      <c r="AI566" s="42">
        <f t="shared" si="100"/>
        <v>0</v>
      </c>
    </row>
    <row r="567" spans="1:35" ht="12" hidden="1" customHeight="1">
      <c r="A567" s="8" t="s">
        <v>690</v>
      </c>
      <c r="B567" s="8"/>
      <c r="C567" s="8" t="s">
        <v>337</v>
      </c>
      <c r="D567" s="8"/>
      <c r="E567" s="23">
        <v>47522</v>
      </c>
      <c r="G567" s="42">
        <v>0</v>
      </c>
      <c r="I567" s="42">
        <v>0</v>
      </c>
      <c r="K567" s="42">
        <v>0</v>
      </c>
      <c r="M567" s="42">
        <f t="shared" si="101"/>
        <v>0</v>
      </c>
      <c r="O567" s="42">
        <v>0</v>
      </c>
      <c r="Q567" s="42">
        <v>0</v>
      </c>
      <c r="S567" s="42">
        <v>0</v>
      </c>
      <c r="U567" s="42">
        <v>0</v>
      </c>
      <c r="W567" s="42">
        <v>0</v>
      </c>
      <c r="Y567" s="42">
        <v>0</v>
      </c>
      <c r="AA567" s="42">
        <v>0</v>
      </c>
      <c r="AB567" s="37"/>
      <c r="AC567" s="42">
        <v>0</v>
      </c>
      <c r="AE567" s="42">
        <v>0</v>
      </c>
      <c r="AG567" s="42">
        <f t="shared" si="99"/>
        <v>0</v>
      </c>
      <c r="AH567" s="42"/>
      <c r="AI567" s="42">
        <f t="shared" si="100"/>
        <v>0</v>
      </c>
    </row>
    <row r="568" spans="1:35" s="24" customFormat="1" ht="12" hidden="1" customHeight="1">
      <c r="A568" s="9" t="s">
        <v>883</v>
      </c>
      <c r="B568" s="51"/>
      <c r="C568" s="51" t="s">
        <v>227</v>
      </c>
      <c r="D568" s="51"/>
      <c r="E568" s="23">
        <v>44941</v>
      </c>
      <c r="G568" s="42">
        <v>0</v>
      </c>
      <c r="H568" s="42"/>
      <c r="I568" s="42">
        <v>0</v>
      </c>
      <c r="J568" s="42"/>
      <c r="K568" s="42">
        <v>0</v>
      </c>
      <c r="L568" s="42"/>
      <c r="M568" s="42">
        <f t="shared" si="101"/>
        <v>0</v>
      </c>
      <c r="N568" s="42"/>
      <c r="O568" s="42">
        <v>0</v>
      </c>
      <c r="P568" s="42"/>
      <c r="Q568" s="42">
        <v>0</v>
      </c>
      <c r="R568" s="42"/>
      <c r="S568" s="42">
        <v>0</v>
      </c>
      <c r="T568" s="42"/>
      <c r="U568" s="42">
        <v>0</v>
      </c>
      <c r="V568" s="42"/>
      <c r="W568" s="42">
        <v>0</v>
      </c>
      <c r="X568" s="42"/>
      <c r="Y568" s="42">
        <v>0</v>
      </c>
      <c r="Z568" s="42"/>
      <c r="AA568" s="42">
        <v>0</v>
      </c>
      <c r="AB568" s="37"/>
      <c r="AC568" s="42">
        <v>0</v>
      </c>
      <c r="AD568" s="42"/>
      <c r="AE568" s="42">
        <v>0</v>
      </c>
      <c r="AF568" s="42"/>
      <c r="AG568" s="42">
        <f t="shared" si="99"/>
        <v>0</v>
      </c>
      <c r="AH568" s="42"/>
      <c r="AI568" s="42">
        <f t="shared" si="100"/>
        <v>0</v>
      </c>
    </row>
    <row r="569" spans="1:35" ht="12" hidden="1" customHeight="1">
      <c r="A569" s="8" t="s">
        <v>691</v>
      </c>
      <c r="B569" s="8"/>
      <c r="C569" s="8" t="s">
        <v>59</v>
      </c>
      <c r="D569" s="8"/>
      <c r="E569" s="23">
        <v>49643</v>
      </c>
      <c r="G569" s="42">
        <v>0</v>
      </c>
      <c r="I569" s="42">
        <v>0</v>
      </c>
      <c r="K569" s="42">
        <v>0</v>
      </c>
      <c r="M569" s="42">
        <f t="shared" si="101"/>
        <v>0</v>
      </c>
      <c r="O569" s="42">
        <v>0</v>
      </c>
      <c r="Q569" s="42">
        <v>0</v>
      </c>
      <c r="S569" s="42">
        <v>0</v>
      </c>
      <c r="U569" s="42">
        <v>0</v>
      </c>
      <c r="W569" s="42">
        <v>0</v>
      </c>
      <c r="Y569" s="42">
        <v>0</v>
      </c>
      <c r="AA569" s="42">
        <v>0</v>
      </c>
      <c r="AB569" s="37"/>
      <c r="AC569" s="42">
        <v>0</v>
      </c>
      <c r="AE569" s="42">
        <v>0</v>
      </c>
      <c r="AG569" s="42">
        <f t="shared" si="99"/>
        <v>0</v>
      </c>
      <c r="AH569" s="42"/>
      <c r="AI569" s="42">
        <f t="shared" si="100"/>
        <v>0</v>
      </c>
    </row>
    <row r="570" spans="1:35" ht="12" customHeight="1">
      <c r="A570" s="8" t="s">
        <v>434</v>
      </c>
      <c r="B570" s="8"/>
      <c r="C570" s="8" t="s">
        <v>50</v>
      </c>
      <c r="D570" s="8"/>
      <c r="E570" s="23">
        <v>48744</v>
      </c>
      <c r="G570" s="42">
        <v>877176</v>
      </c>
      <c r="I570" s="42">
        <v>1666015</v>
      </c>
      <c r="K570" s="42">
        <v>0</v>
      </c>
      <c r="M570" s="42">
        <f t="shared" si="101"/>
        <v>2543191</v>
      </c>
      <c r="O570" s="42">
        <f>3736305+673127</f>
        <v>4409432</v>
      </c>
      <c r="Q570" s="42">
        <v>3070839</v>
      </c>
      <c r="S570" s="42">
        <v>8021602</v>
      </c>
      <c r="U570" s="42">
        <v>1410</v>
      </c>
      <c r="W570" s="42">
        <v>0</v>
      </c>
      <c r="Y570" s="42">
        <v>0</v>
      </c>
      <c r="AA570" s="42">
        <v>188448</v>
      </c>
      <c r="AB570" s="37"/>
      <c r="AC570" s="42">
        <v>0</v>
      </c>
      <c r="AE570" s="42">
        <v>0</v>
      </c>
      <c r="AG570" s="42">
        <f t="shared" si="99"/>
        <v>15691731</v>
      </c>
      <c r="AH570" s="42"/>
      <c r="AI570" s="42">
        <f t="shared" si="100"/>
        <v>18234922</v>
      </c>
    </row>
    <row r="571" spans="1:35" ht="12" customHeight="1">
      <c r="A571" s="8" t="s">
        <v>336</v>
      </c>
      <c r="B571" s="8"/>
      <c r="C571" s="8" t="s">
        <v>33</v>
      </c>
      <c r="D571" s="8"/>
      <c r="E571" s="23">
        <v>47464</v>
      </c>
      <c r="G571" s="42">
        <v>1363590</v>
      </c>
      <c r="I571" s="42">
        <v>412871</v>
      </c>
      <c r="K571" s="42">
        <v>0</v>
      </c>
      <c r="M571" s="42">
        <f t="shared" si="101"/>
        <v>1776461</v>
      </c>
      <c r="O571" s="42">
        <f>5897596+819001+282780</f>
        <v>6999377</v>
      </c>
      <c r="Q571" s="42">
        <v>0</v>
      </c>
      <c r="S571" s="42">
        <v>3366546</v>
      </c>
      <c r="U571" s="42">
        <v>30110</v>
      </c>
      <c r="W571" s="42">
        <v>114609</v>
      </c>
      <c r="Y571" s="42">
        <v>18788</v>
      </c>
      <c r="AA571" s="42">
        <v>98477</v>
      </c>
      <c r="AB571" s="37"/>
      <c r="AC571" s="42">
        <v>0</v>
      </c>
      <c r="AE571" s="42">
        <v>0</v>
      </c>
      <c r="AG571" s="42">
        <f t="shared" si="99"/>
        <v>10627907</v>
      </c>
      <c r="AH571" s="42"/>
      <c r="AI571" s="42">
        <f t="shared" si="100"/>
        <v>12404368</v>
      </c>
    </row>
    <row r="572" spans="1:35" ht="12" hidden="1" customHeight="1">
      <c r="A572" s="8" t="s">
        <v>824</v>
      </c>
      <c r="B572" s="8"/>
      <c r="C572" s="8" t="s">
        <v>67</v>
      </c>
      <c r="D572" s="8"/>
      <c r="E572" s="23">
        <v>44966</v>
      </c>
      <c r="G572" s="42">
        <v>0</v>
      </c>
      <c r="I572" s="42">
        <v>0</v>
      </c>
      <c r="K572" s="42">
        <v>0</v>
      </c>
      <c r="M572" s="42">
        <f t="shared" si="101"/>
        <v>0</v>
      </c>
      <c r="O572" s="42">
        <v>0</v>
      </c>
      <c r="Q572" s="42">
        <v>0</v>
      </c>
      <c r="S572" s="42">
        <v>0</v>
      </c>
      <c r="U572" s="42">
        <v>0</v>
      </c>
      <c r="W572" s="42">
        <v>0</v>
      </c>
      <c r="Y572" s="42">
        <v>0</v>
      </c>
      <c r="AA572" s="42">
        <v>0</v>
      </c>
      <c r="AB572" s="37"/>
      <c r="AC572" s="42">
        <v>0</v>
      </c>
      <c r="AE572" s="42">
        <v>0</v>
      </c>
      <c r="AG572" s="42">
        <f t="shared" si="99"/>
        <v>0</v>
      </c>
      <c r="AH572" s="42"/>
      <c r="AI572" s="42">
        <f t="shared" si="100"/>
        <v>0</v>
      </c>
    </row>
    <row r="573" spans="1:35" ht="12" customHeight="1">
      <c r="A573" s="8" t="s">
        <v>435</v>
      </c>
      <c r="B573" s="8"/>
      <c r="C573" s="8" t="s">
        <v>50</v>
      </c>
      <c r="D573" s="8"/>
      <c r="E573" s="23">
        <v>44958</v>
      </c>
      <c r="G573" s="42">
        <v>2058223</v>
      </c>
      <c r="I573" s="42">
        <v>2247773</v>
      </c>
      <c r="K573" s="42">
        <v>933556</v>
      </c>
      <c r="M573" s="42">
        <f t="shared" si="101"/>
        <v>5239552</v>
      </c>
      <c r="O573" s="42">
        <f>16412104+2843668</f>
        <v>19255772</v>
      </c>
      <c r="Q573" s="42">
        <v>0</v>
      </c>
      <c r="S573" s="42">
        <v>9579912</v>
      </c>
      <c r="U573" s="42">
        <v>43354</v>
      </c>
      <c r="W573" s="42">
        <v>865818</v>
      </c>
      <c r="Y573" s="42">
        <v>0</v>
      </c>
      <c r="AA573" s="42">
        <v>8230</v>
      </c>
      <c r="AB573" s="37"/>
      <c r="AC573" s="42">
        <v>0</v>
      </c>
      <c r="AE573" s="42">
        <v>0</v>
      </c>
      <c r="AG573" s="42">
        <f t="shared" si="99"/>
        <v>29753086</v>
      </c>
      <c r="AH573" s="42"/>
      <c r="AI573" s="42">
        <f t="shared" si="100"/>
        <v>34992638</v>
      </c>
    </row>
    <row r="574" spans="1:35" ht="12" hidden="1" customHeight="1">
      <c r="A574" s="8" t="s">
        <v>692</v>
      </c>
      <c r="B574" s="8"/>
      <c r="C574" s="8" t="s">
        <v>33</v>
      </c>
      <c r="D574" s="8"/>
      <c r="E574" s="23">
        <v>47472</v>
      </c>
      <c r="G574" s="42">
        <v>0</v>
      </c>
      <c r="I574" s="42">
        <v>0</v>
      </c>
      <c r="K574" s="42">
        <v>0</v>
      </c>
      <c r="M574" s="42">
        <f t="shared" si="101"/>
        <v>0</v>
      </c>
      <c r="O574" s="42">
        <v>0</v>
      </c>
      <c r="Q574" s="42">
        <v>0</v>
      </c>
      <c r="S574" s="42">
        <v>0</v>
      </c>
      <c r="U574" s="42">
        <v>0</v>
      </c>
      <c r="W574" s="42">
        <v>0</v>
      </c>
      <c r="Y574" s="42">
        <v>0</v>
      </c>
      <c r="AA574" s="42">
        <v>0</v>
      </c>
      <c r="AB574" s="37"/>
      <c r="AC574" s="42">
        <v>0</v>
      </c>
      <c r="AE574" s="42">
        <v>0</v>
      </c>
      <c r="AG574" s="42">
        <f t="shared" si="99"/>
        <v>0</v>
      </c>
      <c r="AH574" s="42"/>
      <c r="AI574" s="42">
        <f t="shared" si="100"/>
        <v>0</v>
      </c>
    </row>
    <row r="575" spans="1:35" ht="12" customHeight="1">
      <c r="A575" s="8" t="s">
        <v>289</v>
      </c>
      <c r="B575" s="8"/>
      <c r="C575" s="8" t="s">
        <v>24</v>
      </c>
      <c r="D575" s="8"/>
      <c r="E575" s="23">
        <v>46821</v>
      </c>
      <c r="G575" s="42">
        <v>1229342</v>
      </c>
      <c r="I575" s="42">
        <v>1332002</v>
      </c>
      <c r="K575" s="42">
        <v>0</v>
      </c>
      <c r="M575" s="42">
        <f t="shared" si="101"/>
        <v>2561344</v>
      </c>
      <c r="O575" s="42">
        <f>14487754+187862</f>
        <v>14675616</v>
      </c>
      <c r="Q575" s="42">
        <v>0</v>
      </c>
      <c r="S575" s="42">
        <v>6989158</v>
      </c>
      <c r="U575" s="42">
        <v>0</v>
      </c>
      <c r="W575" s="42">
        <v>0</v>
      </c>
      <c r="Y575" s="42">
        <v>0</v>
      </c>
      <c r="AA575" s="42">
        <v>306158</v>
      </c>
      <c r="AB575" s="37"/>
      <c r="AC575" s="42">
        <v>0</v>
      </c>
      <c r="AE575" s="42">
        <v>0</v>
      </c>
      <c r="AG575" s="42">
        <f t="shared" si="99"/>
        <v>21970932</v>
      </c>
      <c r="AH575" s="42"/>
      <c r="AI575" s="42">
        <f t="shared" si="100"/>
        <v>24532276</v>
      </c>
    </row>
    <row r="576" spans="1:35" ht="12" hidden="1" customHeight="1">
      <c r="A576" s="8" t="s">
        <v>693</v>
      </c>
      <c r="B576" s="8"/>
      <c r="C576" s="8" t="s">
        <v>21</v>
      </c>
      <c r="D576" s="8"/>
      <c r="E576" s="23">
        <v>45633</v>
      </c>
      <c r="G576" s="42">
        <v>0</v>
      </c>
      <c r="I576" s="42">
        <v>0</v>
      </c>
      <c r="K576" s="42">
        <v>0</v>
      </c>
      <c r="M576" s="42">
        <v>0</v>
      </c>
      <c r="O576" s="42">
        <v>0</v>
      </c>
      <c r="Q576" s="42">
        <v>0</v>
      </c>
      <c r="S576" s="42">
        <v>0</v>
      </c>
      <c r="U576" s="42">
        <v>0</v>
      </c>
      <c r="W576" s="42">
        <v>0</v>
      </c>
      <c r="Y576" s="42">
        <v>0</v>
      </c>
      <c r="AA576" s="42">
        <v>0</v>
      </c>
      <c r="AB576" s="37"/>
      <c r="AC576" s="42">
        <v>0</v>
      </c>
      <c r="AE576" s="42">
        <v>0</v>
      </c>
      <c r="AG576" s="42">
        <f t="shared" si="99"/>
        <v>0</v>
      </c>
      <c r="AH576" s="42"/>
    </row>
    <row r="577" spans="1:35" ht="12" customHeight="1">
      <c r="A577" s="8" t="s">
        <v>538</v>
      </c>
      <c r="B577" s="8"/>
      <c r="C577" s="8" t="s">
        <v>68</v>
      </c>
      <c r="D577" s="8"/>
      <c r="E577" s="23">
        <v>50393</v>
      </c>
      <c r="G577" s="42">
        <v>1101327</v>
      </c>
      <c r="I577" s="42">
        <v>5698558</v>
      </c>
      <c r="K577" s="42">
        <v>0</v>
      </c>
      <c r="M577" s="42">
        <f t="shared" si="101"/>
        <v>6799885</v>
      </c>
      <c r="O577" s="42">
        <f>3313636+59837+396876</f>
        <v>3770349</v>
      </c>
      <c r="Q577" s="42">
        <v>0</v>
      </c>
      <c r="S577" s="42">
        <v>15051109</v>
      </c>
      <c r="U577" s="42">
        <v>46042</v>
      </c>
      <c r="W577" s="42">
        <v>743375</v>
      </c>
      <c r="Y577" s="42">
        <v>2500</v>
      </c>
      <c r="AA577" s="42">
        <f>27333+14589</f>
        <v>41922</v>
      </c>
      <c r="AB577" s="37"/>
      <c r="AC577" s="42">
        <v>0</v>
      </c>
      <c r="AE577" s="42">
        <v>0</v>
      </c>
      <c r="AG577" s="42">
        <f t="shared" si="99"/>
        <v>19655297</v>
      </c>
      <c r="AH577" s="42"/>
      <c r="AI577" s="42">
        <f t="shared" si="100"/>
        <v>26455182</v>
      </c>
    </row>
    <row r="578" spans="1:35" ht="12" customHeight="1">
      <c r="A578" s="8" t="s">
        <v>416</v>
      </c>
      <c r="B578" s="8"/>
      <c r="C578" s="8" t="s">
        <v>47</v>
      </c>
      <c r="D578" s="8"/>
      <c r="E578" s="23">
        <v>44974</v>
      </c>
      <c r="G578" s="42">
        <v>2903145</v>
      </c>
      <c r="I578" s="42">
        <v>3429175</v>
      </c>
      <c r="K578" s="42">
        <v>1034057</v>
      </c>
      <c r="M578" s="42">
        <f t="shared" si="101"/>
        <v>7366377</v>
      </c>
      <c r="O578" s="42">
        <f>18661077+5654038</f>
        <v>24315115</v>
      </c>
      <c r="Q578" s="42">
        <v>0</v>
      </c>
      <c r="S578" s="42">
        <f>17756483+632714+356505</f>
        <v>18745702</v>
      </c>
      <c r="U578" s="42">
        <v>11327</v>
      </c>
      <c r="W578" s="42">
        <v>1390165</v>
      </c>
      <c r="Y578" s="42">
        <v>0</v>
      </c>
      <c r="AA578" s="42">
        <v>207462</v>
      </c>
      <c r="AB578" s="37"/>
      <c r="AC578" s="42">
        <v>0</v>
      </c>
      <c r="AE578" s="42">
        <v>0</v>
      </c>
      <c r="AG578" s="42">
        <f t="shared" ref="AG578:AG597" si="102">SUM(O578:AE578)</f>
        <v>44669771</v>
      </c>
      <c r="AH578" s="42"/>
      <c r="AI578" s="42">
        <f t="shared" ref="AI578:AI597" si="103">+AG578+M578</f>
        <v>52036148</v>
      </c>
    </row>
    <row r="579" spans="1:35" ht="12" hidden="1" customHeight="1">
      <c r="A579" s="9" t="s">
        <v>862</v>
      </c>
      <c r="B579" s="9"/>
      <c r="C579" s="9" t="s">
        <v>25</v>
      </c>
      <c r="D579" s="8"/>
      <c r="E579" s="23">
        <v>46904</v>
      </c>
      <c r="G579" s="42">
        <v>0</v>
      </c>
      <c r="I579" s="42">
        <v>0</v>
      </c>
      <c r="K579" s="42">
        <v>0</v>
      </c>
      <c r="M579" s="42">
        <f t="shared" ref="M579:M581" si="104">SUM(G579:L579)</f>
        <v>0</v>
      </c>
      <c r="O579" s="42">
        <v>0</v>
      </c>
      <c r="Q579" s="42">
        <v>0</v>
      </c>
      <c r="S579" s="42">
        <v>0</v>
      </c>
      <c r="U579" s="42">
        <v>0</v>
      </c>
      <c r="W579" s="42">
        <v>0</v>
      </c>
      <c r="Y579" s="42">
        <v>0</v>
      </c>
      <c r="AA579" s="42">
        <v>0</v>
      </c>
      <c r="AB579" s="37"/>
      <c r="AC579" s="42">
        <v>0</v>
      </c>
      <c r="AE579" s="42">
        <v>0</v>
      </c>
      <c r="AG579" s="42">
        <f t="shared" ref="AG579:AG581" si="105">SUM(O579:AE579)</f>
        <v>0</v>
      </c>
      <c r="AH579" s="42"/>
      <c r="AI579" s="42">
        <f t="shared" ref="AI579:AI581" si="106">+AG579+M579</f>
        <v>0</v>
      </c>
    </row>
    <row r="580" spans="1:35" ht="12" hidden="1" customHeight="1">
      <c r="A580" s="9" t="s">
        <v>863</v>
      </c>
      <c r="B580" s="9"/>
      <c r="C580" s="9" t="s">
        <v>14</v>
      </c>
      <c r="D580" s="8"/>
      <c r="E580" s="23">
        <v>44982</v>
      </c>
      <c r="G580" s="42">
        <v>0</v>
      </c>
      <c r="I580" s="42">
        <v>0</v>
      </c>
      <c r="K580" s="42">
        <v>0</v>
      </c>
      <c r="M580" s="42">
        <f t="shared" si="104"/>
        <v>0</v>
      </c>
      <c r="O580" s="42">
        <v>0</v>
      </c>
      <c r="Q580" s="42">
        <v>0</v>
      </c>
      <c r="S580" s="42">
        <v>0</v>
      </c>
      <c r="U580" s="42">
        <v>0</v>
      </c>
      <c r="W580" s="42">
        <v>0</v>
      </c>
      <c r="Y580" s="42">
        <v>0</v>
      </c>
      <c r="AA580" s="42">
        <v>0</v>
      </c>
      <c r="AB580" s="37"/>
      <c r="AC580" s="42">
        <v>0</v>
      </c>
      <c r="AE580" s="42">
        <v>0</v>
      </c>
      <c r="AG580" s="42">
        <f t="shared" si="105"/>
        <v>0</v>
      </c>
      <c r="AH580" s="42"/>
      <c r="AI580" s="42">
        <f t="shared" si="106"/>
        <v>0</v>
      </c>
    </row>
    <row r="581" spans="1:35" ht="12" hidden="1" customHeight="1">
      <c r="A581" s="8" t="s">
        <v>864</v>
      </c>
      <c r="B581" s="8"/>
      <c r="C581" s="8" t="s">
        <v>63</v>
      </c>
      <c r="D581" s="8"/>
      <c r="E581" s="23"/>
      <c r="G581" s="42">
        <v>0</v>
      </c>
      <c r="I581" s="42">
        <v>0</v>
      </c>
      <c r="K581" s="42">
        <v>0</v>
      </c>
      <c r="M581" s="42">
        <f t="shared" si="104"/>
        <v>0</v>
      </c>
      <c r="O581" s="42">
        <v>0</v>
      </c>
      <c r="Q581" s="42">
        <v>0</v>
      </c>
      <c r="S581" s="42">
        <v>0</v>
      </c>
      <c r="U581" s="42">
        <v>0</v>
      </c>
      <c r="W581" s="42">
        <v>0</v>
      </c>
      <c r="Y581" s="42">
        <v>0</v>
      </c>
      <c r="AA581" s="42">
        <v>0</v>
      </c>
      <c r="AB581" s="37"/>
      <c r="AC581" s="42">
        <v>0</v>
      </c>
      <c r="AE581" s="42">
        <v>0</v>
      </c>
      <c r="AG581" s="42">
        <f t="shared" si="105"/>
        <v>0</v>
      </c>
      <c r="AH581" s="42"/>
      <c r="AI581" s="42">
        <f t="shared" si="106"/>
        <v>0</v>
      </c>
    </row>
    <row r="582" spans="1:35" ht="12" customHeight="1">
      <c r="A582" s="8" t="s">
        <v>527</v>
      </c>
      <c r="B582" s="8"/>
      <c r="C582" s="8" t="s">
        <v>64</v>
      </c>
      <c r="D582" s="8"/>
      <c r="E582" s="23">
        <v>44990</v>
      </c>
      <c r="G582" s="42">
        <v>2130584</v>
      </c>
      <c r="I582" s="42">
        <v>16612047</v>
      </c>
      <c r="K582" s="42">
        <v>0</v>
      </c>
      <c r="M582" s="42">
        <f t="shared" si="101"/>
        <v>18742631</v>
      </c>
      <c r="O582" s="42">
        <f>11299331+121564+1731286+121467</f>
        <v>13273648</v>
      </c>
      <c r="Q582" s="42">
        <v>0</v>
      </c>
      <c r="S582" s="42">
        <v>40724321</v>
      </c>
      <c r="U582" s="42">
        <v>372496</v>
      </c>
      <c r="W582" s="42">
        <v>0</v>
      </c>
      <c r="Y582" s="42">
        <v>0</v>
      </c>
      <c r="AA582" s="42">
        <v>115251</v>
      </c>
      <c r="AB582" s="37"/>
      <c r="AC582" s="42">
        <v>0</v>
      </c>
      <c r="AE582" s="42">
        <v>-6003193</v>
      </c>
      <c r="AG582" s="42">
        <f t="shared" si="102"/>
        <v>48482523</v>
      </c>
      <c r="AH582" s="42"/>
      <c r="AI582" s="42">
        <f t="shared" si="103"/>
        <v>67225154</v>
      </c>
    </row>
    <row r="583" spans="1:35" ht="12" customHeight="1">
      <c r="A583" s="8" t="s">
        <v>545</v>
      </c>
      <c r="B583" s="8"/>
      <c r="C583" s="8" t="s">
        <v>70</v>
      </c>
      <c r="D583" s="8"/>
      <c r="E583" s="23">
        <v>50500</v>
      </c>
      <c r="G583" s="42">
        <v>1452249</v>
      </c>
      <c r="I583" s="42">
        <v>2023796</v>
      </c>
      <c r="K583" s="42">
        <v>0</v>
      </c>
      <c r="M583" s="42">
        <f t="shared" si="101"/>
        <v>3476045</v>
      </c>
      <c r="O583" s="42">
        <v>5701866</v>
      </c>
      <c r="Q583" s="42">
        <v>0</v>
      </c>
      <c r="S583" s="42">
        <v>11294363</v>
      </c>
      <c r="U583" s="42">
        <v>60271</v>
      </c>
      <c r="W583" s="42">
        <v>0</v>
      </c>
      <c r="Y583" s="42">
        <v>0</v>
      </c>
      <c r="AA583" s="42">
        <v>190990</v>
      </c>
      <c r="AB583" s="37"/>
      <c r="AC583" s="42">
        <v>0</v>
      </c>
      <c r="AE583" s="42">
        <v>0</v>
      </c>
      <c r="AG583" s="42">
        <f t="shared" si="102"/>
        <v>17247490</v>
      </c>
      <c r="AH583" s="42"/>
      <c r="AI583" s="42">
        <f t="shared" si="103"/>
        <v>20723535</v>
      </c>
    </row>
    <row r="584" spans="1:35" ht="12" customHeight="1">
      <c r="A584" s="8" t="s">
        <v>278</v>
      </c>
      <c r="B584" s="8"/>
      <c r="C584" s="8" t="s">
        <v>20</v>
      </c>
      <c r="D584" s="8"/>
      <c r="E584" s="23">
        <v>45005</v>
      </c>
      <c r="G584" s="42">
        <v>323068</v>
      </c>
      <c r="I584" s="42">
        <v>2859583</v>
      </c>
      <c r="K584" s="42">
        <v>0</v>
      </c>
      <c r="M584" s="42">
        <f t="shared" si="101"/>
        <v>3182651</v>
      </c>
      <c r="O584" s="42">
        <f>19525396+1789168+619475+48162</f>
        <v>21982201</v>
      </c>
      <c r="Q584" s="42">
        <v>0</v>
      </c>
      <c r="S584" s="42">
        <v>14202894</v>
      </c>
      <c r="U584" s="42">
        <v>32289</v>
      </c>
      <c r="W584" s="42">
        <v>0</v>
      </c>
      <c r="Y584" s="42">
        <v>6584</v>
      </c>
      <c r="AA584" s="42">
        <v>106834</v>
      </c>
      <c r="AB584" s="37"/>
      <c r="AC584" s="42">
        <v>0</v>
      </c>
      <c r="AE584" s="42">
        <v>0</v>
      </c>
      <c r="AG584" s="42">
        <f t="shared" si="102"/>
        <v>36330802</v>
      </c>
      <c r="AH584" s="42"/>
      <c r="AI584" s="42">
        <f t="shared" si="103"/>
        <v>39513453</v>
      </c>
    </row>
    <row r="585" spans="1:35" ht="12" customHeight="1">
      <c r="A585" s="8" t="s">
        <v>296</v>
      </c>
      <c r="B585" s="8"/>
      <c r="C585" s="8" t="s">
        <v>26</v>
      </c>
      <c r="D585" s="8"/>
      <c r="E585" s="23">
        <v>45013</v>
      </c>
      <c r="G585" s="42">
        <v>1470613</v>
      </c>
      <c r="I585" s="42">
        <v>3958159</v>
      </c>
      <c r="K585" s="42">
        <v>0</v>
      </c>
      <c r="M585" s="42">
        <f t="shared" si="101"/>
        <v>5428772</v>
      </c>
      <c r="O585" s="42">
        <f>3843810+87586+1114272+353737</f>
        <v>5399405</v>
      </c>
      <c r="Q585" s="42">
        <v>0</v>
      </c>
      <c r="S585" s="42">
        <v>11240917</v>
      </c>
      <c r="U585" s="42">
        <v>11619</v>
      </c>
      <c r="W585" s="42">
        <v>20108</v>
      </c>
      <c r="Y585" s="42">
        <v>4874</v>
      </c>
      <c r="AA585" s="42">
        <v>397777</v>
      </c>
      <c r="AB585" s="37"/>
      <c r="AC585" s="42">
        <v>0</v>
      </c>
      <c r="AE585" s="42">
        <v>0</v>
      </c>
      <c r="AG585" s="42">
        <f t="shared" si="102"/>
        <v>17074700</v>
      </c>
      <c r="AH585" s="42"/>
      <c r="AI585" s="42">
        <f t="shared" si="103"/>
        <v>22503472</v>
      </c>
    </row>
    <row r="586" spans="1:35" ht="12" customHeight="1">
      <c r="A586" s="8" t="s">
        <v>393</v>
      </c>
      <c r="B586" s="8"/>
      <c r="C586" s="8" t="s">
        <v>114</v>
      </c>
      <c r="D586" s="8"/>
      <c r="E586" s="23">
        <v>48231</v>
      </c>
      <c r="G586" s="42">
        <v>2454785</v>
      </c>
      <c r="I586" s="42">
        <v>9806713</v>
      </c>
      <c r="K586" s="42">
        <v>0</v>
      </c>
      <c r="M586" s="42">
        <f t="shared" si="101"/>
        <v>12261498</v>
      </c>
      <c r="O586" s="42">
        <f>33476895+555489+1168570</f>
        <v>35200954</v>
      </c>
      <c r="Q586" s="42">
        <v>0</v>
      </c>
      <c r="S586" s="42">
        <v>29523390</v>
      </c>
      <c r="U586" s="42">
        <v>68991</v>
      </c>
      <c r="W586" s="42">
        <v>3968132</v>
      </c>
      <c r="Y586" s="42">
        <v>0</v>
      </c>
      <c r="AA586" s="42">
        <v>695215</v>
      </c>
      <c r="AB586" s="37"/>
      <c r="AC586" s="42">
        <v>0</v>
      </c>
      <c r="AE586" s="42">
        <v>0</v>
      </c>
      <c r="AG586" s="42">
        <f t="shared" si="102"/>
        <v>69456682</v>
      </c>
      <c r="AH586" s="42"/>
      <c r="AI586" s="42">
        <f t="shared" si="103"/>
        <v>81718180</v>
      </c>
    </row>
    <row r="587" spans="1:35" ht="12" customHeight="1">
      <c r="A587" s="8" t="s">
        <v>482</v>
      </c>
      <c r="B587" s="8"/>
      <c r="C587" s="8" t="s">
        <v>59</v>
      </c>
      <c r="D587" s="8"/>
      <c r="E587" s="23">
        <v>49650</v>
      </c>
      <c r="G587" s="42">
        <v>1702145</v>
      </c>
      <c r="I587" s="42">
        <v>2727856</v>
      </c>
      <c r="K587" s="42">
        <v>0</v>
      </c>
      <c r="M587" s="42">
        <f t="shared" si="101"/>
        <v>4430001</v>
      </c>
      <c r="O587" s="42">
        <f>1435915+174935+24924</f>
        <v>1635774</v>
      </c>
      <c r="Q587" s="42">
        <v>0</v>
      </c>
      <c r="S587" s="42">
        <v>9754178</v>
      </c>
      <c r="U587" s="42">
        <v>21784</v>
      </c>
      <c r="W587" s="42">
        <v>0</v>
      </c>
      <c r="Y587" s="42">
        <v>0</v>
      </c>
      <c r="AA587" s="42">
        <v>206166</v>
      </c>
      <c r="AB587" s="37"/>
      <c r="AC587" s="42">
        <v>0</v>
      </c>
      <c r="AE587" s="42">
        <v>0</v>
      </c>
      <c r="AG587" s="42">
        <f t="shared" si="102"/>
        <v>11617902</v>
      </c>
      <c r="AH587" s="42"/>
      <c r="AI587" s="42">
        <f t="shared" si="103"/>
        <v>16047903</v>
      </c>
    </row>
    <row r="588" spans="1:35" ht="12" customHeight="1">
      <c r="A588" s="8" t="s">
        <v>462</v>
      </c>
      <c r="B588" s="8"/>
      <c r="C588" s="8" t="s">
        <v>56</v>
      </c>
      <c r="D588" s="8"/>
      <c r="E588" s="23">
        <v>49247</v>
      </c>
      <c r="G588" s="42">
        <v>848957</v>
      </c>
      <c r="I588" s="42">
        <v>1292753</v>
      </c>
      <c r="K588" s="42">
        <v>5002</v>
      </c>
      <c r="M588" s="42">
        <f t="shared" si="101"/>
        <v>2146712</v>
      </c>
      <c r="O588" s="42">
        <f>2892088+56573+868271</f>
        <v>3816932</v>
      </c>
      <c r="Q588" s="42">
        <v>0</v>
      </c>
      <c r="S588" s="42">
        <v>5980909</v>
      </c>
      <c r="U588" s="42">
        <v>5044</v>
      </c>
      <c r="W588" s="42">
        <v>0</v>
      </c>
      <c r="Y588" s="42">
        <v>0</v>
      </c>
      <c r="AA588" s="42">
        <v>45932</v>
      </c>
      <c r="AB588" s="37"/>
      <c r="AC588" s="42">
        <v>0</v>
      </c>
      <c r="AE588" s="42">
        <v>0</v>
      </c>
      <c r="AG588" s="42">
        <f t="shared" si="102"/>
        <v>9848817</v>
      </c>
      <c r="AH588" s="42"/>
      <c r="AI588" s="42">
        <f t="shared" si="103"/>
        <v>11995529</v>
      </c>
    </row>
    <row r="589" spans="1:35" ht="12" customHeight="1">
      <c r="A589" s="8" t="s">
        <v>774</v>
      </c>
      <c r="B589" s="8"/>
      <c r="C589" s="8" t="s">
        <v>28</v>
      </c>
      <c r="D589" s="8"/>
      <c r="E589" s="23">
        <v>45641</v>
      </c>
      <c r="G589" s="42">
        <v>1333473</v>
      </c>
      <c r="I589" s="42">
        <v>1877774</v>
      </c>
      <c r="K589" s="42">
        <v>0</v>
      </c>
      <c r="M589" s="42">
        <f t="shared" si="101"/>
        <v>3211247</v>
      </c>
      <c r="O589" s="42">
        <f>4892891+1578568+79901+152990</f>
        <v>6704350</v>
      </c>
      <c r="Q589" s="42">
        <v>0</v>
      </c>
      <c r="S589" s="42">
        <v>8801313</v>
      </c>
      <c r="U589" s="42">
        <v>20864</v>
      </c>
      <c r="W589" s="42">
        <v>0</v>
      </c>
      <c r="Y589" s="42">
        <v>0</v>
      </c>
      <c r="AA589" s="42">
        <v>171230</v>
      </c>
      <c r="AB589" s="37"/>
      <c r="AC589" s="42">
        <v>0</v>
      </c>
      <c r="AE589" s="42">
        <v>-2117634</v>
      </c>
      <c r="AG589" s="42">
        <f t="shared" si="102"/>
        <v>13580123</v>
      </c>
      <c r="AH589" s="42"/>
      <c r="AI589" s="42">
        <f t="shared" si="103"/>
        <v>16791370</v>
      </c>
    </row>
    <row r="590" spans="1:35" ht="12" customHeight="1">
      <c r="A590" s="8" t="s">
        <v>454</v>
      </c>
      <c r="B590" s="8"/>
      <c r="C590" s="8" t="s">
        <v>55</v>
      </c>
      <c r="D590" s="8"/>
      <c r="E590" s="23">
        <v>49148</v>
      </c>
      <c r="G590" s="42">
        <v>1140929</v>
      </c>
      <c r="I590" s="42">
        <v>3122738</v>
      </c>
      <c r="K590" s="42">
        <v>35145</v>
      </c>
      <c r="M590" s="42">
        <f t="shared" si="101"/>
        <v>4298812</v>
      </c>
      <c r="O590" s="42">
        <f>3229667+559843+57390</f>
        <v>3846900</v>
      </c>
      <c r="Q590" s="42">
        <v>0</v>
      </c>
      <c r="S590" s="42">
        <f>10918962+6171091</f>
        <v>17090053</v>
      </c>
      <c r="U590" s="42">
        <v>13531</v>
      </c>
      <c r="W590" s="42">
        <v>0</v>
      </c>
      <c r="Y590" s="42">
        <v>0</v>
      </c>
      <c r="AA590" s="42">
        <v>90584</v>
      </c>
      <c r="AB590" s="37"/>
      <c r="AC590" s="42">
        <v>0</v>
      </c>
      <c r="AE590" s="42">
        <v>0</v>
      </c>
      <c r="AG590" s="42">
        <f t="shared" si="102"/>
        <v>21041068</v>
      </c>
      <c r="AH590" s="42"/>
      <c r="AI590" s="42">
        <f t="shared" si="103"/>
        <v>25339880</v>
      </c>
    </row>
    <row r="591" spans="1:35" ht="12" hidden="1" customHeight="1">
      <c r="A591" s="8" t="s">
        <v>702</v>
      </c>
      <c r="B591" s="8"/>
      <c r="C591" s="8" t="s">
        <v>69</v>
      </c>
      <c r="D591" s="8"/>
      <c r="E591" s="23">
        <v>50468</v>
      </c>
      <c r="G591" s="42">
        <v>0</v>
      </c>
      <c r="I591" s="42">
        <v>0</v>
      </c>
      <c r="K591" s="42">
        <v>0</v>
      </c>
      <c r="M591" s="42">
        <f t="shared" si="101"/>
        <v>0</v>
      </c>
      <c r="O591" s="42">
        <v>0</v>
      </c>
      <c r="Q591" s="42">
        <v>0</v>
      </c>
      <c r="S591" s="42">
        <v>0</v>
      </c>
      <c r="U591" s="42">
        <v>0</v>
      </c>
      <c r="W591" s="42">
        <v>0</v>
      </c>
      <c r="Y591" s="42">
        <v>0</v>
      </c>
      <c r="AA591" s="42">
        <v>0</v>
      </c>
      <c r="AB591" s="37"/>
      <c r="AC591" s="42">
        <v>0</v>
      </c>
      <c r="AE591" s="42">
        <v>0</v>
      </c>
      <c r="AG591" s="42">
        <f t="shared" si="102"/>
        <v>0</v>
      </c>
      <c r="AH591" s="42"/>
      <c r="AI591" s="42">
        <f t="shared" si="103"/>
        <v>0</v>
      </c>
    </row>
    <row r="592" spans="1:35" ht="12" hidden="1" customHeight="1">
      <c r="A592" s="8" t="s">
        <v>797</v>
      </c>
      <c r="B592" s="8"/>
      <c r="C592" s="8" t="s">
        <v>447</v>
      </c>
      <c r="D592" s="8"/>
      <c r="E592" s="23">
        <v>49031</v>
      </c>
      <c r="G592" s="42">
        <v>0</v>
      </c>
      <c r="I592" s="42">
        <v>0</v>
      </c>
      <c r="K592" s="42">
        <v>0</v>
      </c>
      <c r="M592" s="42">
        <f t="shared" si="101"/>
        <v>0</v>
      </c>
      <c r="O592" s="42">
        <v>0</v>
      </c>
      <c r="Q592" s="42">
        <v>0</v>
      </c>
      <c r="S592" s="42">
        <v>0</v>
      </c>
      <c r="U592" s="42">
        <v>0</v>
      </c>
      <c r="W592" s="42">
        <v>0</v>
      </c>
      <c r="Y592" s="42">
        <v>0</v>
      </c>
      <c r="AA592" s="42">
        <v>0</v>
      </c>
      <c r="AB592" s="37"/>
      <c r="AC592" s="42">
        <v>0</v>
      </c>
      <c r="AE592" s="42">
        <v>0</v>
      </c>
      <c r="AG592" s="42">
        <f t="shared" si="102"/>
        <v>0</v>
      </c>
      <c r="AH592" s="42"/>
      <c r="AI592" s="42">
        <f t="shared" si="103"/>
        <v>0</v>
      </c>
    </row>
    <row r="593" spans="1:36" ht="12" hidden="1" customHeight="1">
      <c r="A593" s="8" t="s">
        <v>641</v>
      </c>
      <c r="B593" s="8"/>
      <c r="C593" s="8" t="s">
        <v>14</v>
      </c>
      <c r="D593" s="8"/>
      <c r="E593" s="23">
        <v>45971</v>
      </c>
      <c r="G593" s="42">
        <v>0</v>
      </c>
      <c r="I593" s="42">
        <v>0</v>
      </c>
      <c r="K593" s="42">
        <v>0</v>
      </c>
      <c r="M593" s="42">
        <f t="shared" si="101"/>
        <v>0</v>
      </c>
      <c r="O593" s="42">
        <v>0</v>
      </c>
      <c r="Q593" s="42">
        <v>0</v>
      </c>
      <c r="S593" s="42">
        <v>0</v>
      </c>
      <c r="U593" s="42">
        <v>0</v>
      </c>
      <c r="W593" s="42">
        <v>0</v>
      </c>
      <c r="Y593" s="42">
        <v>0</v>
      </c>
      <c r="AA593" s="42">
        <v>0</v>
      </c>
      <c r="AB593" s="37"/>
      <c r="AC593" s="42">
        <v>0</v>
      </c>
      <c r="AE593" s="42">
        <v>0</v>
      </c>
      <c r="AG593" s="42">
        <f t="shared" si="102"/>
        <v>0</v>
      </c>
      <c r="AH593" s="42"/>
      <c r="AI593" s="42">
        <f t="shared" si="103"/>
        <v>0</v>
      </c>
    </row>
    <row r="594" spans="1:36" ht="12" customHeight="1">
      <c r="A594" s="8" t="s">
        <v>528</v>
      </c>
      <c r="B594" s="8"/>
      <c r="C594" s="8" t="s">
        <v>64</v>
      </c>
      <c r="D594" s="8"/>
      <c r="E594" s="23">
        <v>50252</v>
      </c>
      <c r="G594" s="42">
        <v>1825313</v>
      </c>
      <c r="I594" s="42">
        <v>988290</v>
      </c>
      <c r="K594" s="42">
        <v>81878</v>
      </c>
      <c r="M594" s="42">
        <f t="shared" si="101"/>
        <v>2895481</v>
      </c>
      <c r="O594" s="42">
        <f>2334702+359493+32246+19701</f>
        <v>2746142</v>
      </c>
      <c r="Q594" s="42">
        <v>0</v>
      </c>
      <c r="S594" s="42">
        <f>3976792+17899137</f>
        <v>21875929</v>
      </c>
      <c r="U594" s="42">
        <v>8985</v>
      </c>
      <c r="W594" s="42">
        <v>0</v>
      </c>
      <c r="Y594" s="42">
        <v>0</v>
      </c>
      <c r="AA594" s="42">
        <v>49513</v>
      </c>
      <c r="AB594" s="37"/>
      <c r="AC594" s="42">
        <v>0</v>
      </c>
      <c r="AE594" s="42">
        <v>0</v>
      </c>
      <c r="AG594" s="42">
        <f t="shared" si="102"/>
        <v>24680569</v>
      </c>
      <c r="AH594" s="42"/>
      <c r="AI594" s="42">
        <f t="shared" si="103"/>
        <v>27576050</v>
      </c>
    </row>
    <row r="595" spans="1:36" ht="12" customHeight="1">
      <c r="A595" s="8" t="s">
        <v>775</v>
      </c>
      <c r="B595" s="8"/>
      <c r="C595" s="8" t="s">
        <v>44</v>
      </c>
      <c r="D595" s="8"/>
      <c r="E595" s="23">
        <v>45658</v>
      </c>
      <c r="G595" s="42">
        <v>899276</v>
      </c>
      <c r="I595" s="42">
        <v>969269</v>
      </c>
      <c r="K595" s="42">
        <v>255381</v>
      </c>
      <c r="M595" s="42">
        <f t="shared" si="101"/>
        <v>2123926</v>
      </c>
      <c r="O595" s="42">
        <f>4563383+317613+53164</f>
        <v>4934160</v>
      </c>
      <c r="Q595" s="42">
        <v>1774556</v>
      </c>
      <c r="S595" s="42">
        <v>5994580</v>
      </c>
      <c r="U595" s="42">
        <v>14559</v>
      </c>
      <c r="W595" s="42">
        <v>8340</v>
      </c>
      <c r="Y595" s="42">
        <v>0</v>
      </c>
      <c r="AA595" s="42">
        <v>70461</v>
      </c>
      <c r="AB595" s="37"/>
      <c r="AC595" s="42">
        <v>0</v>
      </c>
      <c r="AE595" s="42">
        <v>0</v>
      </c>
      <c r="AG595" s="42">
        <f t="shared" si="102"/>
        <v>12796656</v>
      </c>
      <c r="AH595" s="42"/>
      <c r="AI595" s="42">
        <f t="shared" si="103"/>
        <v>14920582</v>
      </c>
    </row>
    <row r="596" spans="1:36" ht="12" customHeight="1">
      <c r="A596" s="8" t="s">
        <v>359</v>
      </c>
      <c r="B596" s="8"/>
      <c r="C596" s="8" t="s">
        <v>38</v>
      </c>
      <c r="D596" s="8"/>
      <c r="E596" s="23">
        <v>45021</v>
      </c>
      <c r="G596" s="42">
        <v>682828</v>
      </c>
      <c r="I596" s="42">
        <v>3073997</v>
      </c>
      <c r="K596" s="42">
        <v>6438</v>
      </c>
      <c r="M596" s="42">
        <f t="shared" si="101"/>
        <v>3763263</v>
      </c>
      <c r="O596" s="42">
        <f>1980144+194072+38351</f>
        <v>2212567</v>
      </c>
      <c r="Q596" s="42">
        <v>0</v>
      </c>
      <c r="S596" s="42">
        <v>10717899</v>
      </c>
      <c r="U596" s="42">
        <v>14008</v>
      </c>
      <c r="W596" s="42">
        <v>0</v>
      </c>
      <c r="Y596" s="42">
        <v>0</v>
      </c>
      <c r="AA596" s="42">
        <f>110342+235616</f>
        <v>345958</v>
      </c>
      <c r="AB596" s="37"/>
      <c r="AC596" s="42">
        <v>0</v>
      </c>
      <c r="AE596" s="42">
        <v>0</v>
      </c>
      <c r="AG596" s="42">
        <f t="shared" si="102"/>
        <v>13290432</v>
      </c>
      <c r="AH596" s="42"/>
      <c r="AI596" s="42">
        <f t="shared" si="103"/>
        <v>17053695</v>
      </c>
    </row>
    <row r="597" spans="1:36" ht="12" customHeight="1">
      <c r="A597" s="8" t="s">
        <v>250</v>
      </c>
      <c r="B597" s="8"/>
      <c r="C597" s="8" t="s">
        <v>111</v>
      </c>
      <c r="D597" s="8"/>
      <c r="E597" s="23">
        <v>45039</v>
      </c>
      <c r="G597" s="42">
        <v>737057</v>
      </c>
      <c r="I597" s="42">
        <v>1649261</v>
      </c>
      <c r="K597" s="42">
        <v>0</v>
      </c>
      <c r="M597" s="42">
        <f t="shared" si="101"/>
        <v>2386318</v>
      </c>
      <c r="O597" s="42">
        <f>828003+124491+103575+15919</f>
        <v>1071988</v>
      </c>
      <c r="Q597" s="42">
        <v>0</v>
      </c>
      <c r="S597" s="42">
        <v>5529386</v>
      </c>
      <c r="U597" s="42">
        <v>10628</v>
      </c>
      <c r="W597" s="42">
        <v>0</v>
      </c>
      <c r="Y597" s="42">
        <v>0</v>
      </c>
      <c r="AA597" s="42">
        <v>13159</v>
      </c>
      <c r="AB597" s="37"/>
      <c r="AC597" s="42">
        <v>0</v>
      </c>
      <c r="AE597" s="42">
        <v>0</v>
      </c>
      <c r="AG597" s="42">
        <f t="shared" si="102"/>
        <v>6625161</v>
      </c>
      <c r="AH597" s="42"/>
      <c r="AI597" s="42">
        <f t="shared" si="103"/>
        <v>9011479</v>
      </c>
    </row>
    <row r="598" spans="1:36">
      <c r="A598" s="8" t="s">
        <v>405</v>
      </c>
      <c r="B598" s="8"/>
      <c r="C598" s="8" t="s">
        <v>45</v>
      </c>
      <c r="D598" s="8"/>
      <c r="E598" s="23">
        <v>48389</v>
      </c>
      <c r="G598" s="42">
        <v>2959654</v>
      </c>
      <c r="I598" s="42">
        <v>2680448</v>
      </c>
      <c r="K598" s="42">
        <v>4020</v>
      </c>
      <c r="M598" s="42">
        <f t="shared" ref="M598:M604" si="107">SUM(G598:L598)</f>
        <v>5644122</v>
      </c>
      <c r="O598" s="42">
        <f>4218309+547598+80886</f>
        <v>4846793</v>
      </c>
      <c r="Q598" s="42">
        <v>0</v>
      </c>
      <c r="S598" s="42">
        <v>10920633</v>
      </c>
      <c r="U598" s="42">
        <v>2644</v>
      </c>
      <c r="W598" s="42">
        <v>0</v>
      </c>
      <c r="Y598" s="42">
        <v>0</v>
      </c>
      <c r="AA598" s="42">
        <v>311881</v>
      </c>
      <c r="AB598" s="37"/>
      <c r="AC598" s="42">
        <v>0</v>
      </c>
      <c r="AE598" s="42">
        <v>0</v>
      </c>
      <c r="AG598" s="42">
        <f t="shared" ref="AG598:AG604" si="108">SUM(O598:AE598)</f>
        <v>16081951</v>
      </c>
      <c r="AH598" s="42"/>
      <c r="AI598" s="42">
        <f t="shared" ref="AI598:AI604" si="109">+AG598+M598</f>
        <v>21726073</v>
      </c>
    </row>
    <row r="599" spans="1:36">
      <c r="A599" s="8" t="s">
        <v>701</v>
      </c>
      <c r="B599" s="8"/>
      <c r="C599" s="8" t="s">
        <v>50</v>
      </c>
      <c r="D599" s="8"/>
      <c r="E599" s="23">
        <v>45054</v>
      </c>
      <c r="G599" s="42">
        <v>1176247</v>
      </c>
      <c r="I599" s="42">
        <v>5081207</v>
      </c>
      <c r="K599" s="42">
        <v>0</v>
      </c>
      <c r="M599" s="42">
        <f t="shared" si="107"/>
        <v>6257454</v>
      </c>
      <c r="O599" s="42">
        <f>15556859+669382</f>
        <v>16226241</v>
      </c>
      <c r="Q599" s="42">
        <v>0</v>
      </c>
      <c r="S599" s="42">
        <v>17391200</v>
      </c>
      <c r="U599" s="42">
        <v>83983</v>
      </c>
      <c r="W599" s="42">
        <v>26926</v>
      </c>
      <c r="Y599" s="42">
        <v>0</v>
      </c>
      <c r="AA599" s="42">
        <v>240309</v>
      </c>
      <c r="AB599" s="37"/>
      <c r="AC599" s="42">
        <v>0</v>
      </c>
      <c r="AE599" s="42">
        <v>0</v>
      </c>
      <c r="AG599" s="42">
        <f t="shared" si="108"/>
        <v>33968659</v>
      </c>
      <c r="AH599" s="42"/>
      <c r="AI599" s="42">
        <f t="shared" si="109"/>
        <v>40226113</v>
      </c>
    </row>
    <row r="600" spans="1:36" ht="12" customHeight="1">
      <c r="A600" s="8" t="s">
        <v>239</v>
      </c>
      <c r="B600" s="8"/>
      <c r="C600" s="8" t="s">
        <v>112</v>
      </c>
      <c r="D600" s="8"/>
      <c r="E600" s="23">
        <v>46359</v>
      </c>
      <c r="G600" s="42">
        <v>3313007</v>
      </c>
      <c r="I600" s="42">
        <v>6527859</v>
      </c>
      <c r="K600" s="42">
        <v>0</v>
      </c>
      <c r="M600" s="42">
        <f t="shared" si="107"/>
        <v>9840866</v>
      </c>
      <c r="O600" s="42">
        <f>34920276+2495106+4632535</f>
        <v>42047917</v>
      </c>
      <c r="Q600" s="42">
        <v>0</v>
      </c>
      <c r="S600" s="42">
        <v>29038974</v>
      </c>
      <c r="U600" s="42">
        <v>8224</v>
      </c>
      <c r="W600" s="42">
        <v>0</v>
      </c>
      <c r="Y600" s="42">
        <v>0</v>
      </c>
      <c r="AA600" s="42">
        <v>1050597</v>
      </c>
      <c r="AB600" s="37"/>
      <c r="AC600" s="42">
        <v>0</v>
      </c>
      <c r="AE600" s="42">
        <v>0</v>
      </c>
      <c r="AG600" s="42">
        <f t="shared" si="108"/>
        <v>72145712</v>
      </c>
      <c r="AH600" s="42"/>
      <c r="AI600" s="42">
        <f t="shared" si="109"/>
        <v>81986578</v>
      </c>
    </row>
    <row r="601" spans="1:36" s="42" customFormat="1" ht="12" customHeight="1">
      <c r="A601" s="9" t="s">
        <v>314</v>
      </c>
      <c r="B601" s="9"/>
      <c r="C601" s="9" t="s">
        <v>30</v>
      </c>
      <c r="D601" s="9"/>
      <c r="E601" s="23">
        <v>47225</v>
      </c>
      <c r="F601" s="6"/>
      <c r="G601" s="42">
        <v>2608606</v>
      </c>
      <c r="I601" s="42">
        <v>1365685</v>
      </c>
      <c r="K601" s="42">
        <v>0</v>
      </c>
      <c r="M601" s="42">
        <f t="shared" si="107"/>
        <v>3974291</v>
      </c>
      <c r="O601" s="42">
        <f>17139804+1030208+1334558</f>
        <v>19504570</v>
      </c>
      <c r="Q601" s="42">
        <v>0</v>
      </c>
      <c r="S601" s="42">
        <v>6579325</v>
      </c>
      <c r="U601" s="42">
        <v>63355</v>
      </c>
      <c r="W601" s="42">
        <v>0</v>
      </c>
      <c r="Y601" s="42">
        <v>0</v>
      </c>
      <c r="AA601" s="42">
        <v>26915</v>
      </c>
      <c r="AB601" s="37"/>
      <c r="AC601" s="42">
        <v>0</v>
      </c>
      <c r="AE601" s="42">
        <v>0</v>
      </c>
      <c r="AG601" s="42">
        <f t="shared" si="108"/>
        <v>26174165</v>
      </c>
      <c r="AI601" s="42">
        <f t="shared" si="109"/>
        <v>30148456</v>
      </c>
      <c r="AJ601" s="6"/>
    </row>
    <row r="602" spans="1:36" ht="12" customHeight="1">
      <c r="A602" s="8" t="s">
        <v>352</v>
      </c>
      <c r="B602" s="8"/>
      <c r="C602" s="8" t="s">
        <v>36</v>
      </c>
      <c r="D602" s="8"/>
      <c r="E602" s="23">
        <v>47696</v>
      </c>
      <c r="G602" s="42">
        <v>1413832</v>
      </c>
      <c r="I602" s="42">
        <v>2592668</v>
      </c>
      <c r="K602" s="42">
        <v>0</v>
      </c>
      <c r="M602" s="42">
        <f t="shared" si="107"/>
        <v>4006500</v>
      </c>
      <c r="O602" s="42">
        <f>8225412+975300+403550</f>
        <v>9604262</v>
      </c>
      <c r="Q602" s="42">
        <v>0</v>
      </c>
      <c r="S602" s="42">
        <v>11604912</v>
      </c>
      <c r="U602" s="42">
        <v>26678</v>
      </c>
      <c r="W602" s="42">
        <v>0</v>
      </c>
      <c r="Y602" s="42">
        <v>0</v>
      </c>
      <c r="AA602" s="42">
        <v>158117</v>
      </c>
      <c r="AB602" s="37"/>
      <c r="AC602" s="42">
        <v>0</v>
      </c>
      <c r="AE602" s="42">
        <v>0</v>
      </c>
      <c r="AG602" s="42">
        <f t="shared" si="108"/>
        <v>21393969</v>
      </c>
      <c r="AH602" s="42"/>
      <c r="AI602" s="42">
        <f t="shared" si="109"/>
        <v>25400469</v>
      </c>
    </row>
    <row r="603" spans="1:36" ht="12" hidden="1" customHeight="1">
      <c r="A603" s="8" t="s">
        <v>908</v>
      </c>
      <c r="B603" s="8"/>
      <c r="C603" s="8" t="s">
        <v>227</v>
      </c>
      <c r="D603" s="8"/>
      <c r="E603" s="23">
        <v>46219</v>
      </c>
      <c r="G603" s="42">
        <v>0</v>
      </c>
      <c r="I603" s="42">
        <v>0</v>
      </c>
      <c r="K603" s="42">
        <v>0</v>
      </c>
      <c r="M603" s="42">
        <f t="shared" si="107"/>
        <v>0</v>
      </c>
      <c r="O603" s="42">
        <v>0</v>
      </c>
      <c r="Q603" s="42">
        <v>0</v>
      </c>
      <c r="S603" s="42">
        <v>0</v>
      </c>
      <c r="U603" s="42">
        <v>0</v>
      </c>
      <c r="W603" s="42">
        <v>0</v>
      </c>
      <c r="Y603" s="42">
        <v>0</v>
      </c>
      <c r="AA603" s="42">
        <v>0</v>
      </c>
      <c r="AB603" s="37"/>
      <c r="AC603" s="42">
        <v>0</v>
      </c>
      <c r="AE603" s="42">
        <v>0</v>
      </c>
      <c r="AG603" s="42">
        <f t="shared" si="108"/>
        <v>0</v>
      </c>
      <c r="AH603" s="42"/>
      <c r="AI603" s="42">
        <f t="shared" si="109"/>
        <v>0</v>
      </c>
    </row>
    <row r="604" spans="1:36" ht="12" customHeight="1">
      <c r="A604" s="8" t="s">
        <v>444</v>
      </c>
      <c r="B604" s="8"/>
      <c r="C604" s="8" t="s">
        <v>51</v>
      </c>
      <c r="D604" s="8"/>
      <c r="E604" s="23">
        <v>48884</v>
      </c>
      <c r="G604" s="42">
        <v>2044963</v>
      </c>
      <c r="I604" s="42">
        <v>2388320</v>
      </c>
      <c r="K604" s="42">
        <v>0</v>
      </c>
      <c r="M604" s="42">
        <f t="shared" si="107"/>
        <v>4433283</v>
      </c>
      <c r="O604" s="42">
        <f>5247641+1450409</f>
        <v>6698050</v>
      </c>
      <c r="Q604" s="42">
        <v>0</v>
      </c>
      <c r="S604" s="42">
        <v>6691528</v>
      </c>
      <c r="U604" s="42">
        <v>11297</v>
      </c>
      <c r="W604" s="42">
        <v>145890</v>
      </c>
      <c r="Y604" s="42">
        <v>1605</v>
      </c>
      <c r="AA604" s="42">
        <f>20814+53337</f>
        <v>74151</v>
      </c>
      <c r="AB604" s="37"/>
      <c r="AC604" s="42">
        <v>0</v>
      </c>
      <c r="AE604" s="42">
        <v>0</v>
      </c>
      <c r="AG604" s="42">
        <f t="shared" si="108"/>
        <v>13622521</v>
      </c>
      <c r="AH604" s="42"/>
      <c r="AI604" s="42">
        <f t="shared" si="109"/>
        <v>18055804</v>
      </c>
    </row>
    <row r="605" spans="1:36" s="42" customFormat="1" ht="12" customHeight="1">
      <c r="A605" s="9" t="s">
        <v>219</v>
      </c>
      <c r="B605" s="9"/>
      <c r="C605" s="9" t="s">
        <v>77</v>
      </c>
      <c r="D605" s="9"/>
      <c r="E605" s="23">
        <v>46060</v>
      </c>
      <c r="G605" s="42">
        <v>1993614</v>
      </c>
      <c r="I605" s="42">
        <v>3051153</v>
      </c>
      <c r="K605" s="42">
        <v>61181</v>
      </c>
      <c r="M605" s="42">
        <f t="shared" ref="M605:M632" si="110">SUM(G605:L605)</f>
        <v>5105948</v>
      </c>
      <c r="O605" s="42">
        <f>4324242+515886+87738</f>
        <v>4927866</v>
      </c>
      <c r="Q605" s="42">
        <v>0</v>
      </c>
      <c r="S605" s="42">
        <v>18291506</v>
      </c>
      <c r="U605" s="42">
        <v>12024</v>
      </c>
      <c r="W605" s="42">
        <v>102547</v>
      </c>
      <c r="Y605" s="42">
        <v>0</v>
      </c>
      <c r="AA605" s="42">
        <v>112064</v>
      </c>
      <c r="AB605" s="37"/>
      <c r="AC605" s="42">
        <v>0</v>
      </c>
      <c r="AE605" s="42">
        <v>0</v>
      </c>
      <c r="AG605" s="42">
        <f t="shared" ref="AG605:AG632" si="111">SUM(O605:AE605)</f>
        <v>23446007</v>
      </c>
      <c r="AI605" s="42">
        <f t="shared" ref="AI605:AI632" si="112">+AG605+M605</f>
        <v>28551955</v>
      </c>
    </row>
    <row r="606" spans="1:36" ht="12" customHeight="1">
      <c r="A606" s="8" t="s">
        <v>455</v>
      </c>
      <c r="B606" s="8"/>
      <c r="C606" s="8" t="s">
        <v>55</v>
      </c>
      <c r="D606" s="8"/>
      <c r="E606" s="23">
        <v>49155</v>
      </c>
      <c r="G606" s="42">
        <v>314971</v>
      </c>
      <c r="I606" s="42">
        <v>1311209</v>
      </c>
      <c r="K606" s="42">
        <v>0</v>
      </c>
      <c r="M606" s="42">
        <f t="shared" si="110"/>
        <v>1626180</v>
      </c>
      <c r="O606" s="42">
        <f>831179+89885+13281</f>
        <v>934345</v>
      </c>
      <c r="Q606" s="42">
        <v>0</v>
      </c>
      <c r="S606" s="42">
        <v>6343619</v>
      </c>
      <c r="U606" s="42">
        <v>11036</v>
      </c>
      <c r="W606" s="42">
        <v>0</v>
      </c>
      <c r="Y606" s="42">
        <v>1600</v>
      </c>
      <c r="AA606" s="42">
        <v>38613</v>
      </c>
      <c r="AB606" s="37"/>
      <c r="AC606" s="42">
        <v>0</v>
      </c>
      <c r="AE606" s="42">
        <v>0</v>
      </c>
      <c r="AG606" s="42">
        <f t="shared" si="111"/>
        <v>7329213</v>
      </c>
      <c r="AH606" s="42"/>
      <c r="AI606" s="42">
        <f t="shared" si="112"/>
        <v>8955393</v>
      </c>
    </row>
    <row r="607" spans="1:36" ht="12" customHeight="1">
      <c r="A607" s="8" t="s">
        <v>357</v>
      </c>
      <c r="B607" s="8"/>
      <c r="C607" s="8" t="s">
        <v>37</v>
      </c>
      <c r="D607" s="8"/>
      <c r="E607" s="23">
        <v>47746</v>
      </c>
      <c r="G607" s="42">
        <v>1159471</v>
      </c>
      <c r="I607" s="42">
        <v>1315807</v>
      </c>
      <c r="K607" s="42">
        <v>0</v>
      </c>
      <c r="M607" s="42">
        <f t="shared" si="110"/>
        <v>2475278</v>
      </c>
      <c r="O607" s="42">
        <f>2282508+250083+45557</f>
        <v>2578148</v>
      </c>
      <c r="Q607" s="42">
        <v>1819778</v>
      </c>
      <c r="S607" s="42">
        <v>5915155</v>
      </c>
      <c r="U607" s="42">
        <v>2081</v>
      </c>
      <c r="W607" s="42">
        <v>0</v>
      </c>
      <c r="Y607" s="42">
        <v>0</v>
      </c>
      <c r="AA607" s="42">
        <v>57180</v>
      </c>
      <c r="AB607" s="37"/>
      <c r="AC607" s="42">
        <v>0</v>
      </c>
      <c r="AE607" s="42">
        <v>0</v>
      </c>
      <c r="AG607" s="42">
        <f t="shared" si="111"/>
        <v>10372342</v>
      </c>
      <c r="AH607" s="42"/>
      <c r="AI607" s="42">
        <f t="shared" si="112"/>
        <v>12847620</v>
      </c>
    </row>
    <row r="608" spans="1:36" ht="12" customHeight="1">
      <c r="A608" s="8" t="s">
        <v>357</v>
      </c>
      <c r="B608" s="8"/>
      <c r="C608" s="8" t="s">
        <v>45</v>
      </c>
      <c r="D608" s="8"/>
      <c r="E608" s="23">
        <v>48397</v>
      </c>
      <c r="G608" s="42">
        <v>1205903</v>
      </c>
      <c r="I608" s="42">
        <v>387167</v>
      </c>
      <c r="K608" s="42">
        <v>0</v>
      </c>
      <c r="M608" s="42">
        <f t="shared" si="110"/>
        <v>1593070</v>
      </c>
      <c r="O608" s="42">
        <f>2640189+584069+157967+46027</f>
        <v>3428252</v>
      </c>
      <c r="Q608" s="42">
        <v>0</v>
      </c>
      <c r="S608" s="42">
        <v>2876462</v>
      </c>
      <c r="U608" s="42">
        <v>5772</v>
      </c>
      <c r="W608" s="42">
        <v>0</v>
      </c>
      <c r="Y608" s="42">
        <v>0</v>
      </c>
      <c r="AA608" s="42">
        <v>106424</v>
      </c>
      <c r="AB608" s="37"/>
      <c r="AC608" s="42">
        <v>0</v>
      </c>
      <c r="AE608" s="42">
        <v>0</v>
      </c>
      <c r="AG608" s="42">
        <f t="shared" si="111"/>
        <v>6416910</v>
      </c>
      <c r="AH608" s="42"/>
      <c r="AI608" s="42">
        <f t="shared" si="112"/>
        <v>8009980</v>
      </c>
    </row>
    <row r="609" spans="1:35" ht="12" customHeight="1">
      <c r="A609" s="8" t="s">
        <v>307</v>
      </c>
      <c r="B609" s="8"/>
      <c r="C609" s="8" t="s">
        <v>27</v>
      </c>
      <c r="D609" s="8"/>
      <c r="E609" s="23">
        <v>45047</v>
      </c>
      <c r="G609" s="42">
        <v>6138442</v>
      </c>
      <c r="I609" s="42">
        <v>11268684</v>
      </c>
      <c r="K609" s="42">
        <v>0</v>
      </c>
      <c r="M609" s="42">
        <f t="shared" si="110"/>
        <v>17407126</v>
      </c>
      <c r="O609" s="42">
        <f>103584589+6577946+7592955</f>
        <v>117755490</v>
      </c>
      <c r="Q609" s="42">
        <v>0</v>
      </c>
      <c r="S609" s="42">
        <v>44384373</v>
      </c>
      <c r="U609" s="42">
        <v>26670</v>
      </c>
      <c r="W609" s="42">
        <v>2878328</v>
      </c>
      <c r="Y609" s="42">
        <v>0</v>
      </c>
      <c r="AA609" s="42">
        <v>152177</v>
      </c>
      <c r="AB609" s="37"/>
      <c r="AC609" s="42">
        <v>0</v>
      </c>
      <c r="AE609" s="42">
        <v>0</v>
      </c>
      <c r="AG609" s="42">
        <f t="shared" si="111"/>
        <v>165197038</v>
      </c>
      <c r="AH609" s="42"/>
      <c r="AI609" s="42">
        <f t="shared" si="112"/>
        <v>182604164</v>
      </c>
    </row>
    <row r="610" spans="1:35" ht="12" customHeight="1">
      <c r="A610" s="8" t="s">
        <v>452</v>
      </c>
      <c r="B610" s="8"/>
      <c r="C610" s="8" t="s">
        <v>54</v>
      </c>
      <c r="D610" s="8"/>
      <c r="E610" s="23">
        <v>49106</v>
      </c>
      <c r="G610" s="42">
        <v>990022</v>
      </c>
      <c r="I610" s="42">
        <v>1221783</v>
      </c>
      <c r="K610" s="42">
        <v>0</v>
      </c>
      <c r="M610" s="42">
        <f t="shared" si="110"/>
        <v>2211805</v>
      </c>
      <c r="O610" s="42">
        <f>5952137+777026+805360+118707</f>
        <v>7653230</v>
      </c>
      <c r="Q610" s="42">
        <v>0</v>
      </c>
      <c r="S610" s="42">
        <v>8286900</v>
      </c>
      <c r="U610" s="42">
        <v>47512</v>
      </c>
      <c r="W610" s="42">
        <v>561</v>
      </c>
      <c r="Y610" s="42">
        <v>0</v>
      </c>
      <c r="AA610" s="42">
        <v>455877</v>
      </c>
      <c r="AB610" s="37"/>
      <c r="AC610" s="42">
        <v>0</v>
      </c>
      <c r="AE610" s="42">
        <v>0</v>
      </c>
      <c r="AG610" s="42">
        <f t="shared" si="111"/>
        <v>16444080</v>
      </c>
      <c r="AH610" s="42"/>
      <c r="AI610" s="42">
        <f t="shared" si="112"/>
        <v>18655885</v>
      </c>
    </row>
    <row r="611" spans="1:35" ht="12" customHeight="1">
      <c r="A611" s="8" t="s">
        <v>279</v>
      </c>
      <c r="B611" s="8"/>
      <c r="C611" s="8" t="s">
        <v>20</v>
      </c>
      <c r="D611" s="8"/>
      <c r="E611" s="23">
        <v>45062</v>
      </c>
      <c r="G611" s="42">
        <v>2331444</v>
      </c>
      <c r="I611" s="42">
        <v>4384926</v>
      </c>
      <c r="K611" s="42">
        <v>0</v>
      </c>
      <c r="M611" s="42">
        <f t="shared" si="110"/>
        <v>6716370</v>
      </c>
      <c r="O611" s="42">
        <f>39299209+6892556</f>
        <v>46191765</v>
      </c>
      <c r="Q611" s="42">
        <v>0</v>
      </c>
      <c r="S611" s="42">
        <v>9040496</v>
      </c>
      <c r="U611" s="42">
        <v>147324</v>
      </c>
      <c r="W611" s="42">
        <v>0</v>
      </c>
      <c r="Y611" s="42">
        <v>0</v>
      </c>
      <c r="AA611" s="42">
        <v>338990</v>
      </c>
      <c r="AB611" s="37"/>
      <c r="AC611" s="42">
        <v>0</v>
      </c>
      <c r="AE611" s="42">
        <v>0</v>
      </c>
      <c r="AG611" s="42">
        <f t="shared" si="111"/>
        <v>55718575</v>
      </c>
      <c r="AH611" s="42"/>
      <c r="AI611" s="42">
        <f t="shared" si="112"/>
        <v>62434945</v>
      </c>
    </row>
    <row r="612" spans="1:35" ht="12" customHeight="1">
      <c r="A612" s="8" t="s">
        <v>483</v>
      </c>
      <c r="B612" s="8"/>
      <c r="C612" s="8" t="s">
        <v>59</v>
      </c>
      <c r="D612" s="8"/>
      <c r="E612" s="23">
        <v>49668</v>
      </c>
      <c r="G612" s="42">
        <v>2806568</v>
      </c>
      <c r="I612" s="42">
        <v>2033158</v>
      </c>
      <c r="K612" s="42">
        <v>35000</v>
      </c>
      <c r="M612" s="42">
        <f t="shared" si="110"/>
        <v>4874726</v>
      </c>
      <c r="O612" s="42">
        <f>2662748+519220+244075+55019</f>
        <v>3481062</v>
      </c>
      <c r="Q612" s="42">
        <v>0</v>
      </c>
      <c r="S612" s="42">
        <v>6560553</v>
      </c>
      <c r="U612" s="42">
        <v>17428</v>
      </c>
      <c r="W612" s="42">
        <v>0</v>
      </c>
      <c r="Y612" s="42">
        <v>13006</v>
      </c>
      <c r="AA612" s="42">
        <v>79872</v>
      </c>
      <c r="AB612" s="37"/>
      <c r="AC612" s="42">
        <v>0</v>
      </c>
      <c r="AE612" s="42">
        <v>0</v>
      </c>
      <c r="AG612" s="42">
        <f t="shared" si="111"/>
        <v>10151921</v>
      </c>
      <c r="AH612" s="42"/>
      <c r="AI612" s="42">
        <f t="shared" si="112"/>
        <v>15026647</v>
      </c>
    </row>
    <row r="613" spans="1:35" ht="12" customHeight="1">
      <c r="A613" s="8" t="s">
        <v>308</v>
      </c>
      <c r="B613" s="8"/>
      <c r="C613" s="8" t="s">
        <v>27</v>
      </c>
      <c r="D613" s="8"/>
      <c r="E613" s="23">
        <v>45070</v>
      </c>
      <c r="G613" s="42">
        <v>576674</v>
      </c>
      <c r="I613" s="42">
        <v>4873850</v>
      </c>
      <c r="K613" s="42">
        <v>0</v>
      </c>
      <c r="M613" s="42">
        <f t="shared" si="110"/>
        <v>5450524</v>
      </c>
      <c r="O613" s="42">
        <f>7605609+1766326+97359</f>
        <v>9469294</v>
      </c>
      <c r="Q613" s="42">
        <v>0</v>
      </c>
      <c r="S613" s="42">
        <v>20680764</v>
      </c>
      <c r="U613" s="42">
        <v>106883</v>
      </c>
      <c r="W613" s="42">
        <v>1225600</v>
      </c>
      <c r="Y613" s="42">
        <v>0</v>
      </c>
      <c r="AA613" s="42">
        <v>320086</v>
      </c>
      <c r="AB613" s="37"/>
      <c r="AC613" s="42">
        <v>0</v>
      </c>
      <c r="AE613" s="42">
        <v>0</v>
      </c>
      <c r="AG613" s="42">
        <f t="shared" si="111"/>
        <v>31802627</v>
      </c>
      <c r="AH613" s="42"/>
      <c r="AI613" s="42">
        <f t="shared" si="112"/>
        <v>37253151</v>
      </c>
    </row>
    <row r="614" spans="1:35" ht="12" hidden="1" customHeight="1">
      <c r="A614" s="8" t="s">
        <v>617</v>
      </c>
      <c r="B614" s="8"/>
      <c r="C614" s="8" t="s">
        <v>41</v>
      </c>
      <c r="D614" s="8"/>
      <c r="E614" s="23">
        <v>45088</v>
      </c>
      <c r="G614" s="42">
        <v>0</v>
      </c>
      <c r="I614" s="42">
        <v>0</v>
      </c>
      <c r="K614" s="42">
        <v>0</v>
      </c>
      <c r="M614" s="42">
        <f t="shared" si="110"/>
        <v>0</v>
      </c>
      <c r="O614" s="42">
        <v>0</v>
      </c>
      <c r="Q614" s="42">
        <v>0</v>
      </c>
      <c r="S614" s="42">
        <v>0</v>
      </c>
      <c r="U614" s="42">
        <v>0</v>
      </c>
      <c r="W614" s="42">
        <v>0</v>
      </c>
      <c r="Y614" s="42">
        <v>0</v>
      </c>
      <c r="AA614" s="42">
        <v>0</v>
      </c>
      <c r="AB614" s="37"/>
      <c r="AC614" s="42">
        <v>0</v>
      </c>
      <c r="AE614" s="42">
        <v>0</v>
      </c>
      <c r="AG614" s="42">
        <f t="shared" si="111"/>
        <v>0</v>
      </c>
      <c r="AH614" s="42"/>
      <c r="AI614" s="42">
        <f t="shared" si="112"/>
        <v>0</v>
      </c>
    </row>
    <row r="615" spans="1:35" ht="12" customHeight="1">
      <c r="A615" s="8" t="s">
        <v>358</v>
      </c>
      <c r="B615" s="8"/>
      <c r="C615" s="8" t="s">
        <v>37</v>
      </c>
      <c r="D615" s="8"/>
      <c r="E615" s="23">
        <v>45096</v>
      </c>
      <c r="G615" s="42">
        <v>786632</v>
      </c>
      <c r="I615" s="42">
        <v>2941448</v>
      </c>
      <c r="K615" s="42">
        <v>92513</v>
      </c>
      <c r="M615" s="42">
        <f t="shared" si="110"/>
        <v>3820593</v>
      </c>
      <c r="O615" s="42">
        <f>4750218+583757+30841+84994</f>
        <v>5449810</v>
      </c>
      <c r="Q615" s="42">
        <v>1289085</v>
      </c>
      <c r="S615" s="42">
        <v>9625899</v>
      </c>
      <c r="U615" s="42">
        <v>8439</v>
      </c>
      <c r="W615" s="42">
        <v>0</v>
      </c>
      <c r="Y615" s="42">
        <v>0</v>
      </c>
      <c r="AA615" s="42">
        <v>151343</v>
      </c>
      <c r="AB615" s="37"/>
      <c r="AC615" s="42">
        <v>0</v>
      </c>
      <c r="AE615" s="42">
        <v>0</v>
      </c>
      <c r="AG615" s="42">
        <f t="shared" si="111"/>
        <v>16524576</v>
      </c>
      <c r="AH615" s="42"/>
      <c r="AI615" s="42">
        <f t="shared" si="112"/>
        <v>20345169</v>
      </c>
    </row>
    <row r="616" spans="1:35" ht="12" hidden="1" customHeight="1">
      <c r="A616" s="9" t="s">
        <v>881</v>
      </c>
      <c r="B616" s="8"/>
      <c r="C616" s="8" t="s">
        <v>112</v>
      </c>
      <c r="D616" s="8"/>
      <c r="E616" s="23">
        <v>46367</v>
      </c>
      <c r="G616" s="42">
        <v>0</v>
      </c>
      <c r="I616" s="42">
        <v>0</v>
      </c>
      <c r="K616" s="42">
        <v>0</v>
      </c>
      <c r="M616" s="42">
        <f t="shared" si="110"/>
        <v>0</v>
      </c>
      <c r="O616" s="42">
        <v>0</v>
      </c>
      <c r="Q616" s="42">
        <v>0</v>
      </c>
      <c r="S616" s="42">
        <v>0</v>
      </c>
      <c r="U616" s="42">
        <v>0</v>
      </c>
      <c r="W616" s="42">
        <v>0</v>
      </c>
      <c r="Y616" s="42">
        <v>0</v>
      </c>
      <c r="AA616" s="42">
        <v>0</v>
      </c>
      <c r="AB616" s="37"/>
      <c r="AC616" s="42">
        <v>0</v>
      </c>
      <c r="AE616" s="42">
        <v>0</v>
      </c>
      <c r="AG616" s="42">
        <f t="shared" si="111"/>
        <v>0</v>
      </c>
      <c r="AH616" s="42"/>
      <c r="AI616" s="42">
        <f t="shared" si="112"/>
        <v>0</v>
      </c>
    </row>
    <row r="617" spans="1:35" ht="12" customHeight="1">
      <c r="A617" s="8" t="s">
        <v>363</v>
      </c>
      <c r="B617" s="8"/>
      <c r="C617" s="8" t="s">
        <v>41</v>
      </c>
      <c r="D617" s="8"/>
      <c r="E617" s="23">
        <v>45104</v>
      </c>
      <c r="G617" s="42">
        <v>4200293</v>
      </c>
      <c r="I617" s="42">
        <v>6190704</v>
      </c>
      <c r="K617" s="42">
        <v>362288</v>
      </c>
      <c r="M617" s="42">
        <f t="shared" si="110"/>
        <v>10753285</v>
      </c>
      <c r="O617" s="42">
        <f>56454215+1737699+111291</f>
        <v>58303205</v>
      </c>
      <c r="Q617" s="42">
        <v>0</v>
      </c>
      <c r="S617" s="42">
        <v>24156528</v>
      </c>
      <c r="U617" s="42">
        <v>11458</v>
      </c>
      <c r="W617" s="42">
        <v>0</v>
      </c>
      <c r="Y617" s="42">
        <v>0</v>
      </c>
      <c r="AA617" s="42">
        <v>742327</v>
      </c>
      <c r="AB617" s="37"/>
      <c r="AC617" s="42">
        <v>0</v>
      </c>
      <c r="AE617" s="42">
        <v>0</v>
      </c>
      <c r="AG617" s="42">
        <f t="shared" si="111"/>
        <v>83213518</v>
      </c>
      <c r="AH617" s="42"/>
      <c r="AI617" s="42">
        <f t="shared" si="112"/>
        <v>93966803</v>
      </c>
    </row>
    <row r="618" spans="1:35" ht="12" customHeight="1">
      <c r="A618" s="8" t="s">
        <v>243</v>
      </c>
      <c r="B618" s="8"/>
      <c r="C618" s="8" t="s">
        <v>18</v>
      </c>
      <c r="D618" s="8"/>
      <c r="E618" s="23">
        <v>45112</v>
      </c>
      <c r="G618" s="42">
        <v>1266104</v>
      </c>
      <c r="I618" s="42">
        <v>3342071</v>
      </c>
      <c r="K618" s="42">
        <v>0</v>
      </c>
      <c r="M618" s="42">
        <f t="shared" si="110"/>
        <v>4608175</v>
      </c>
      <c r="O618" s="42">
        <f>8655248+198188+546210+52429</f>
        <v>9452075</v>
      </c>
      <c r="Q618" s="42">
        <v>3673357</v>
      </c>
      <c r="S618" s="42">
        <v>9428408</v>
      </c>
      <c r="U618" s="42">
        <v>8865</v>
      </c>
      <c r="W618" s="42">
        <v>5096</v>
      </c>
      <c r="Y618" s="42">
        <v>486478</v>
      </c>
      <c r="AA618" s="42">
        <v>225257</v>
      </c>
      <c r="AB618" s="37"/>
      <c r="AC618" s="42">
        <v>0</v>
      </c>
      <c r="AE618" s="42">
        <v>0</v>
      </c>
      <c r="AG618" s="42">
        <f t="shared" si="111"/>
        <v>23279536</v>
      </c>
      <c r="AH618" s="42"/>
      <c r="AI618" s="42">
        <f t="shared" si="112"/>
        <v>27887711</v>
      </c>
    </row>
    <row r="619" spans="1:35" ht="12" customHeight="1">
      <c r="A619" s="8" t="s">
        <v>776</v>
      </c>
      <c r="B619" s="8"/>
      <c r="C619" s="8" t="s">
        <v>56</v>
      </c>
      <c r="D619" s="8"/>
      <c r="E619" s="23">
        <v>45666</v>
      </c>
      <c r="G619" s="42">
        <v>435170</v>
      </c>
      <c r="I619" s="42">
        <v>1781919</v>
      </c>
      <c r="K619" s="42">
        <v>0</v>
      </c>
      <c r="M619" s="42">
        <f t="shared" si="110"/>
        <v>2217089</v>
      </c>
      <c r="O619" s="42">
        <f>1321623+57466+17513</f>
        <v>1396602</v>
      </c>
      <c r="Q619" s="42">
        <v>0</v>
      </c>
      <c r="S619" s="42">
        <v>5117776</v>
      </c>
      <c r="U619" s="42">
        <v>11641</v>
      </c>
      <c r="W619" s="42">
        <v>155683</v>
      </c>
      <c r="Y619" s="42">
        <v>0</v>
      </c>
      <c r="AA619" s="42">
        <v>39333</v>
      </c>
      <c r="AB619" s="37"/>
      <c r="AC619" s="42">
        <v>0</v>
      </c>
      <c r="AE619" s="42">
        <v>0</v>
      </c>
      <c r="AG619" s="42">
        <f t="shared" si="111"/>
        <v>6721035</v>
      </c>
      <c r="AH619" s="42"/>
      <c r="AI619" s="42">
        <f t="shared" si="112"/>
        <v>8938124</v>
      </c>
    </row>
    <row r="620" spans="1:35" ht="12" customHeight="1">
      <c r="A620" s="8" t="s">
        <v>330</v>
      </c>
      <c r="B620" s="8"/>
      <c r="C620" s="8" t="s">
        <v>32</v>
      </c>
      <c r="D620" s="8"/>
      <c r="E620" s="23">
        <v>44081</v>
      </c>
      <c r="G620" s="42">
        <v>2614170</v>
      </c>
      <c r="I620" s="42">
        <v>6167280</v>
      </c>
      <c r="K620" s="42">
        <v>0</v>
      </c>
      <c r="M620" s="42">
        <f t="shared" si="110"/>
        <v>8781450</v>
      </c>
      <c r="O620" s="42">
        <f>19138755+677503</f>
        <v>19816258</v>
      </c>
      <c r="Q620" s="42">
        <v>0</v>
      </c>
      <c r="S620" s="42">
        <v>16091879</v>
      </c>
      <c r="U620" s="42">
        <v>38152</v>
      </c>
      <c r="W620" s="42">
        <v>348208</v>
      </c>
      <c r="Y620" s="42">
        <v>0</v>
      </c>
      <c r="AA620" s="42">
        <v>945529</v>
      </c>
      <c r="AB620" s="37"/>
      <c r="AC620" s="42">
        <v>0</v>
      </c>
      <c r="AE620" s="42">
        <v>0</v>
      </c>
      <c r="AG620" s="42">
        <f t="shared" si="111"/>
        <v>37240026</v>
      </c>
      <c r="AH620" s="42"/>
      <c r="AI620" s="42">
        <f t="shared" si="112"/>
        <v>46021476</v>
      </c>
    </row>
    <row r="621" spans="1:35" ht="12" customHeight="1">
      <c r="A621" s="8" t="s">
        <v>546</v>
      </c>
      <c r="B621" s="8"/>
      <c r="C621" s="8" t="s">
        <v>70</v>
      </c>
      <c r="D621" s="8"/>
      <c r="E621" s="23">
        <v>50518</v>
      </c>
      <c r="G621" s="42">
        <v>565089</v>
      </c>
      <c r="I621" s="42">
        <v>819553</v>
      </c>
      <c r="K621" s="42">
        <v>6798</v>
      </c>
      <c r="M621" s="42">
        <f t="shared" si="110"/>
        <v>1391440</v>
      </c>
      <c r="O621" s="42">
        <f>4508643+415239</f>
        <v>4923882</v>
      </c>
      <c r="Q621" s="42">
        <v>0</v>
      </c>
      <c r="S621" s="42">
        <v>1907317</v>
      </c>
      <c r="U621" s="42">
        <v>45120</v>
      </c>
      <c r="W621" s="42">
        <v>0</v>
      </c>
      <c r="Y621" s="42">
        <v>6810</v>
      </c>
      <c r="AA621" s="42">
        <v>430843</v>
      </c>
      <c r="AB621" s="37"/>
      <c r="AC621" s="42">
        <v>0</v>
      </c>
      <c r="AE621" s="42">
        <v>0</v>
      </c>
      <c r="AG621" s="42">
        <f t="shared" si="111"/>
        <v>7313972</v>
      </c>
      <c r="AH621" s="42"/>
      <c r="AI621" s="42">
        <f t="shared" si="112"/>
        <v>8705412</v>
      </c>
    </row>
    <row r="622" spans="1:35" ht="12" customHeight="1">
      <c r="A622" s="8" t="s">
        <v>475</v>
      </c>
      <c r="B622" s="8"/>
      <c r="C622" s="8" t="s">
        <v>79</v>
      </c>
      <c r="D622" s="8"/>
      <c r="E622" s="23">
        <v>49577</v>
      </c>
      <c r="G622" s="42">
        <v>975610</v>
      </c>
      <c r="I622" s="42">
        <v>1079518</v>
      </c>
      <c r="K622" s="42">
        <v>0</v>
      </c>
      <c r="M622" s="42">
        <f t="shared" si="110"/>
        <v>2055128</v>
      </c>
      <c r="O622" s="42">
        <f>4359227+494477+443785+40891</f>
        <v>5338380</v>
      </c>
      <c r="Q622" s="42">
        <v>0</v>
      </c>
      <c r="S622" s="42">
        <f>4255228+7016396</f>
        <v>11271624</v>
      </c>
      <c r="U622" s="42">
        <v>110331</v>
      </c>
      <c r="W622" s="42">
        <v>0</v>
      </c>
      <c r="Y622" s="42">
        <v>0</v>
      </c>
      <c r="AA622" s="42">
        <v>0</v>
      </c>
      <c r="AB622" s="37"/>
      <c r="AC622" s="42">
        <v>0</v>
      </c>
      <c r="AE622" s="42">
        <v>0</v>
      </c>
      <c r="AG622" s="42">
        <f t="shared" si="111"/>
        <v>16720335</v>
      </c>
      <c r="AH622" s="42"/>
      <c r="AI622" s="42">
        <f t="shared" si="112"/>
        <v>18775463</v>
      </c>
    </row>
    <row r="623" spans="1:35" ht="12" customHeight="1">
      <c r="A623" s="8" t="s">
        <v>513</v>
      </c>
      <c r="B623" s="8"/>
      <c r="C623" s="8" t="s">
        <v>63</v>
      </c>
      <c r="D623" s="8"/>
      <c r="E623" s="23">
        <v>49973</v>
      </c>
      <c r="G623" s="42">
        <v>1730008</v>
      </c>
      <c r="I623" s="42">
        <v>1607139</v>
      </c>
      <c r="K623" s="42">
        <v>150000</v>
      </c>
      <c r="M623" s="42">
        <f t="shared" si="110"/>
        <v>3487147</v>
      </c>
      <c r="O623" s="42">
        <f>14357371+1215722+316566</f>
        <v>15889659</v>
      </c>
      <c r="Q623" s="42">
        <v>0</v>
      </c>
      <c r="S623" s="42">
        <v>5244318</v>
      </c>
      <c r="U623" s="42">
        <v>6563</v>
      </c>
      <c r="W623" s="42">
        <v>182941</v>
      </c>
      <c r="Y623" s="42">
        <v>0</v>
      </c>
      <c r="AA623" s="42">
        <v>50290</v>
      </c>
      <c r="AB623" s="37"/>
      <c r="AC623" s="42">
        <v>0</v>
      </c>
      <c r="AE623" s="42">
        <v>0</v>
      </c>
      <c r="AG623" s="42">
        <f t="shared" si="111"/>
        <v>21373771</v>
      </c>
      <c r="AH623" s="42"/>
      <c r="AI623" s="42">
        <f t="shared" si="112"/>
        <v>24860918</v>
      </c>
    </row>
    <row r="624" spans="1:35" ht="12" customHeight="1">
      <c r="A624" s="8" t="s">
        <v>618</v>
      </c>
      <c r="B624" s="8"/>
      <c r="C624" s="8" t="s">
        <v>71</v>
      </c>
      <c r="D624" s="8"/>
      <c r="E624" s="23">
        <v>45120</v>
      </c>
      <c r="G624" s="42">
        <v>1191327</v>
      </c>
      <c r="I624" s="42">
        <v>2827918</v>
      </c>
      <c r="K624" s="42">
        <v>0</v>
      </c>
      <c r="M624" s="42">
        <f t="shared" si="110"/>
        <v>4019245</v>
      </c>
      <c r="O624" s="42">
        <f>23080037+2423303+419737</f>
        <v>25923077</v>
      </c>
      <c r="Q624" s="42">
        <v>0</v>
      </c>
      <c r="S624" s="42">
        <v>16099687</v>
      </c>
      <c r="U624" s="42">
        <v>109800</v>
      </c>
      <c r="W624" s="42">
        <v>0</v>
      </c>
      <c r="Y624" s="42">
        <v>0</v>
      </c>
      <c r="AA624" s="42">
        <v>13427</v>
      </c>
      <c r="AB624" s="37"/>
      <c r="AC624" s="42">
        <v>-7500</v>
      </c>
      <c r="AE624" s="42">
        <v>0</v>
      </c>
      <c r="AG624" s="42">
        <f t="shared" si="111"/>
        <v>42138491</v>
      </c>
      <c r="AH624" s="42"/>
      <c r="AI624" s="42">
        <f t="shared" si="112"/>
        <v>46157736</v>
      </c>
    </row>
    <row r="625" spans="1:35" ht="12" customHeight="1">
      <c r="A625" s="8" t="s">
        <v>309</v>
      </c>
      <c r="B625" s="8"/>
      <c r="C625" s="8" t="s">
        <v>27</v>
      </c>
      <c r="D625" s="8"/>
      <c r="E625" s="23">
        <v>45138</v>
      </c>
      <c r="G625" s="42">
        <v>4843791</v>
      </c>
      <c r="I625" s="42">
        <v>5738411</v>
      </c>
      <c r="K625" s="42">
        <v>0</v>
      </c>
      <c r="M625" s="42">
        <f t="shared" si="110"/>
        <v>10582202</v>
      </c>
      <c r="O625" s="42">
        <f>84497215+5750975</f>
        <v>90248190</v>
      </c>
      <c r="Q625" s="42">
        <v>0</v>
      </c>
      <c r="S625" s="42">
        <v>34956257</v>
      </c>
      <c r="U625" s="42">
        <v>157364</v>
      </c>
      <c r="W625" s="42">
        <v>0</v>
      </c>
      <c r="Y625" s="42">
        <v>0</v>
      </c>
      <c r="AA625" s="42">
        <v>771847</v>
      </c>
      <c r="AB625" s="37"/>
      <c r="AC625" s="42">
        <v>0</v>
      </c>
      <c r="AE625" s="42">
        <v>0</v>
      </c>
      <c r="AG625" s="42">
        <f t="shared" si="111"/>
        <v>126133658</v>
      </c>
      <c r="AH625" s="42"/>
      <c r="AI625" s="42">
        <f t="shared" si="112"/>
        <v>136715860</v>
      </c>
    </row>
    <row r="626" spans="1:35" ht="12" customHeight="1">
      <c r="A626" s="8" t="s">
        <v>258</v>
      </c>
      <c r="B626" s="8"/>
      <c r="C626" s="8" t="s">
        <v>110</v>
      </c>
      <c r="D626" s="8"/>
      <c r="E626" s="23">
        <v>46524</v>
      </c>
      <c r="G626" s="42">
        <v>1483619</v>
      </c>
      <c r="I626" s="42">
        <v>1195754</v>
      </c>
      <c r="K626" s="42">
        <v>0</v>
      </c>
      <c r="M626" s="42">
        <f t="shared" si="110"/>
        <v>2679373</v>
      </c>
      <c r="O626" s="42">
        <f>3215930+472130</f>
        <v>3688060</v>
      </c>
      <c r="Q626" s="42">
        <v>0</v>
      </c>
      <c r="S626" s="42">
        <v>5212164</v>
      </c>
      <c r="U626" s="42">
        <v>10070</v>
      </c>
      <c r="W626" s="42">
        <v>0</v>
      </c>
      <c r="Y626" s="42">
        <v>0</v>
      </c>
      <c r="AA626" s="42">
        <v>39545</v>
      </c>
      <c r="AB626" s="37"/>
      <c r="AC626" s="42">
        <v>0</v>
      </c>
      <c r="AE626" s="42">
        <v>0</v>
      </c>
      <c r="AG626" s="42">
        <f t="shared" si="111"/>
        <v>8949839</v>
      </c>
      <c r="AH626" s="42"/>
      <c r="AI626" s="42">
        <f t="shared" si="112"/>
        <v>11629212</v>
      </c>
    </row>
    <row r="627" spans="1:35" ht="12" customHeight="1">
      <c r="A627" s="8" t="s">
        <v>331</v>
      </c>
      <c r="B627" s="8"/>
      <c r="C627" s="8" t="s">
        <v>32</v>
      </c>
      <c r="D627" s="8"/>
      <c r="E627" s="23">
        <v>45146</v>
      </c>
      <c r="G627" s="42">
        <v>797445</v>
      </c>
      <c r="I627" s="42">
        <v>915804</v>
      </c>
      <c r="K627" s="42">
        <v>0</v>
      </c>
      <c r="M627" s="42">
        <f t="shared" si="110"/>
        <v>1713249</v>
      </c>
      <c r="O627" s="42">
        <f>7997485+2528900+397905</f>
        <v>10924290</v>
      </c>
      <c r="Q627" s="42">
        <v>7182198</v>
      </c>
      <c r="S627" s="42">
        <v>6547081</v>
      </c>
      <c r="U627" s="42">
        <v>51373</v>
      </c>
      <c r="W627" s="42">
        <v>0</v>
      </c>
      <c r="Y627" s="42">
        <v>154680</v>
      </c>
      <c r="AA627" s="42">
        <v>416409</v>
      </c>
      <c r="AB627" s="37"/>
      <c r="AC627" s="42">
        <v>0</v>
      </c>
      <c r="AE627" s="42">
        <v>0</v>
      </c>
      <c r="AG627" s="42">
        <f t="shared" si="111"/>
        <v>25276031</v>
      </c>
      <c r="AH627" s="42"/>
      <c r="AI627" s="42">
        <f t="shared" si="112"/>
        <v>26989280</v>
      </c>
    </row>
    <row r="628" spans="1:35" ht="12" customHeight="1">
      <c r="A628" s="8" t="s">
        <v>872</v>
      </c>
      <c r="B628" s="8"/>
      <c r="C628" s="8" t="s">
        <v>113</v>
      </c>
      <c r="D628" s="8"/>
      <c r="E628" s="23">
        <v>45153</v>
      </c>
      <c r="G628" s="42">
        <v>1671010</v>
      </c>
      <c r="I628" s="42">
        <v>10765277</v>
      </c>
      <c r="K628" s="42">
        <v>0</v>
      </c>
      <c r="M628" s="42">
        <f t="shared" si="110"/>
        <v>12436287</v>
      </c>
      <c r="O628" s="42">
        <f>18423141+915227+344309+304277</f>
        <v>19986954</v>
      </c>
      <c r="Q628" s="42">
        <v>3453226</v>
      </c>
      <c r="S628" s="42">
        <v>19442089</v>
      </c>
      <c r="U628" s="42">
        <v>32892</v>
      </c>
      <c r="W628" s="42">
        <v>39614</v>
      </c>
      <c r="Y628" s="42">
        <v>0</v>
      </c>
      <c r="AA628" s="42">
        <v>107785</v>
      </c>
      <c r="AB628" s="37"/>
      <c r="AC628" s="42">
        <v>0</v>
      </c>
      <c r="AE628" s="42">
        <v>1304343</v>
      </c>
      <c r="AG628" s="42">
        <f t="shared" si="111"/>
        <v>44366903</v>
      </c>
      <c r="AH628" s="42"/>
      <c r="AI628" s="42">
        <f t="shared" ref="AI628" si="113">+AG628+M628</f>
        <v>56803190</v>
      </c>
    </row>
    <row r="629" spans="1:35" ht="12" customHeight="1">
      <c r="A629" s="8" t="s">
        <v>777</v>
      </c>
      <c r="B629" s="8"/>
      <c r="C629" s="8" t="s">
        <v>113</v>
      </c>
      <c r="D629" s="8"/>
      <c r="E629" s="23">
        <v>45674</v>
      </c>
      <c r="G629" s="42">
        <v>1177019</v>
      </c>
      <c r="I629" s="42">
        <v>555778</v>
      </c>
      <c r="K629" s="42">
        <v>10000</v>
      </c>
      <c r="M629" s="42">
        <f t="shared" si="110"/>
        <v>1742797</v>
      </c>
      <c r="O629" s="42">
        <f>3241574+100796+212328</f>
        <v>3554698</v>
      </c>
      <c r="Q629" s="42">
        <v>1312468</v>
      </c>
      <c r="S629" s="42">
        <v>1729759</v>
      </c>
      <c r="U629" s="42">
        <v>1555</v>
      </c>
      <c r="W629" s="42">
        <v>0</v>
      </c>
      <c r="Y629" s="42">
        <v>0</v>
      </c>
      <c r="AA629" s="42">
        <v>20129</v>
      </c>
      <c r="AB629" s="37"/>
      <c r="AC629" s="42">
        <v>0</v>
      </c>
      <c r="AE629" s="42">
        <v>0</v>
      </c>
      <c r="AG629" s="42">
        <f t="shared" si="111"/>
        <v>6618609</v>
      </c>
      <c r="AH629" s="42"/>
      <c r="AI629" s="42">
        <f t="shared" si="112"/>
        <v>8361406</v>
      </c>
    </row>
    <row r="630" spans="1:35" ht="12" customHeight="1">
      <c r="A630" s="8" t="s">
        <v>406</v>
      </c>
      <c r="B630" s="8"/>
      <c r="C630" s="8" t="s">
        <v>45</v>
      </c>
      <c r="D630" s="8"/>
      <c r="E630" s="23">
        <v>45161</v>
      </c>
      <c r="G630" s="42">
        <v>1699284</v>
      </c>
      <c r="I630" s="42">
        <v>19744200</v>
      </c>
      <c r="K630" s="42">
        <v>469306</v>
      </c>
      <c r="M630" s="42">
        <f t="shared" si="110"/>
        <v>21912790</v>
      </c>
      <c r="O630" s="42">
        <f>20405788+1761068+86399+297122</f>
        <v>22550377</v>
      </c>
      <c r="Q630" s="42">
        <v>0</v>
      </c>
      <c r="S630" s="42">
        <v>83124152</v>
      </c>
      <c r="U630" s="42">
        <v>108863</v>
      </c>
      <c r="W630" s="42">
        <v>1416740</v>
      </c>
      <c r="Y630" s="42">
        <v>0</v>
      </c>
      <c r="AA630" s="42">
        <v>361359</v>
      </c>
      <c r="AB630" s="37"/>
      <c r="AC630" s="42">
        <v>0</v>
      </c>
      <c r="AE630" s="42">
        <v>0</v>
      </c>
      <c r="AG630" s="42">
        <f t="shared" si="111"/>
        <v>107561491</v>
      </c>
      <c r="AH630" s="42"/>
      <c r="AI630" s="42">
        <f t="shared" si="112"/>
        <v>129474281</v>
      </c>
    </row>
    <row r="631" spans="1:35" ht="12" customHeight="1">
      <c r="A631" s="8" t="s">
        <v>474</v>
      </c>
      <c r="B631" s="8"/>
      <c r="C631" s="8" t="s">
        <v>58</v>
      </c>
      <c r="D631" s="8"/>
      <c r="E631" s="23">
        <v>49544</v>
      </c>
      <c r="G631" s="42">
        <v>1142183</v>
      </c>
      <c r="I631" s="42">
        <v>1432921</v>
      </c>
      <c r="K631" s="42">
        <v>0</v>
      </c>
      <c r="M631" s="42">
        <f t="shared" si="110"/>
        <v>2575104</v>
      </c>
      <c r="O631" s="42">
        <f>3603314+305802+61610</f>
        <v>3970726</v>
      </c>
      <c r="Q631" s="42">
        <v>2177</v>
      </c>
      <c r="S631" s="42">
        <v>6732110</v>
      </c>
      <c r="U631" s="42">
        <v>15928</v>
      </c>
      <c r="W631" s="42">
        <v>0</v>
      </c>
      <c r="Y631" s="42">
        <v>0</v>
      </c>
      <c r="AA631" s="42">
        <f>2730+234455</f>
        <v>237185</v>
      </c>
      <c r="AB631" s="37"/>
      <c r="AC631" s="42">
        <v>0</v>
      </c>
      <c r="AE631" s="42">
        <v>0</v>
      </c>
      <c r="AG631" s="42">
        <f t="shared" si="111"/>
        <v>10958126</v>
      </c>
      <c r="AH631" s="42"/>
      <c r="AI631" s="42">
        <f t="shared" si="112"/>
        <v>13533230</v>
      </c>
    </row>
    <row r="632" spans="1:35" ht="12" customHeight="1">
      <c r="A632" s="8" t="s">
        <v>445</v>
      </c>
      <c r="B632" s="8"/>
      <c r="C632" s="8" t="s">
        <v>51</v>
      </c>
      <c r="D632" s="8"/>
      <c r="E632" s="23">
        <v>45179</v>
      </c>
      <c r="G632" s="42">
        <v>1880750</v>
      </c>
      <c r="I632" s="42">
        <v>7369294</v>
      </c>
      <c r="K632" s="42">
        <v>46802</v>
      </c>
      <c r="M632" s="42">
        <f t="shared" si="110"/>
        <v>9296846</v>
      </c>
      <c r="O632" s="42">
        <f>7967326+2154701+150104</f>
        <v>10272131</v>
      </c>
      <c r="Q632" s="42">
        <v>0</v>
      </c>
      <c r="S632" s="42">
        <v>23922896</v>
      </c>
      <c r="U632" s="42">
        <v>36997</v>
      </c>
      <c r="W632" s="42">
        <v>25152</v>
      </c>
      <c r="Y632" s="42">
        <v>0</v>
      </c>
      <c r="AA632" s="42">
        <v>222573</v>
      </c>
      <c r="AB632" s="37"/>
      <c r="AC632" s="42">
        <v>0</v>
      </c>
      <c r="AE632" s="42">
        <v>0</v>
      </c>
      <c r="AG632" s="42">
        <f t="shared" si="111"/>
        <v>34479749</v>
      </c>
      <c r="AH632" s="42"/>
      <c r="AI632" s="42">
        <f t="shared" si="112"/>
        <v>43776595</v>
      </c>
    </row>
    <row r="633" spans="1:35" ht="12" customHeight="1">
      <c r="A633" s="8"/>
      <c r="B633" s="8"/>
      <c r="C633" s="8"/>
      <c r="D633" s="8"/>
      <c r="AB633" s="37"/>
      <c r="AH633" s="42"/>
    </row>
    <row r="634" spans="1:35" ht="12" customHeight="1">
      <c r="AB634" s="37"/>
      <c r="AH634" s="42"/>
    </row>
    <row r="635" spans="1:35" ht="12" customHeight="1">
      <c r="AB635" s="37"/>
      <c r="AH635" s="42"/>
    </row>
    <row r="636" spans="1:35" ht="12" customHeight="1"/>
    <row r="637" spans="1:35" ht="12" customHeight="1"/>
    <row r="638" spans="1:35" ht="12" customHeight="1"/>
    <row r="639" spans="1:35" ht="12" customHeight="1"/>
    <row r="640" spans="1:35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</sheetData>
  <mergeCells count="4">
    <mergeCell ref="O7:Q7"/>
    <mergeCell ref="S7:AA7"/>
    <mergeCell ref="O6:Q6"/>
    <mergeCell ref="S6:AA6"/>
  </mergeCells>
  <phoneticPr fontId="3" type="noConversion"/>
  <pageMargins left="0.75" right="0.5" top="0.5" bottom="0.5" header="0.25" footer="0.25"/>
  <pageSetup scale="76" firstPageNumber="24" pageOrder="overThenDown" orientation="portrait" useFirstPageNumber="1" r:id="rId1"/>
  <headerFooter scaleWithDoc="0" alignWithMargins="0"/>
  <rowBreaks count="4" manualBreakCount="4">
    <brk id="100" max="34" man="1"/>
    <brk id="282" max="34" man="1"/>
    <brk id="371" max="34" man="1"/>
    <brk id="472" max="3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40"/>
  <sheetViews>
    <sheetView zoomScaleNormal="100" zoomScaleSheetLayoutView="100" workbookViewId="0">
      <pane xSplit="5" ySplit="11" topLeftCell="F12" activePane="bottomRight" state="frozen"/>
      <selection activeCell="K503" sqref="K503"/>
      <selection pane="topRight" activeCell="K503" sqref="K503"/>
      <selection pane="bottomLeft" activeCell="K503" sqref="K503"/>
      <selection pane="bottomRight" activeCell="F12" sqref="F12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1.7109375" style="42" customWidth="1"/>
    <col min="8" max="8" width="1.7109375" style="42" customWidth="1"/>
    <col min="9" max="9" width="11.7109375" style="42" customWidth="1"/>
    <col min="10" max="10" width="1.7109375" style="42" customWidth="1"/>
    <col min="11" max="11" width="11.7109375" style="42" customWidth="1"/>
    <col min="12" max="12" width="1.7109375" style="42" customWidth="1"/>
    <col min="13" max="13" width="11.7109375" style="42" customWidth="1"/>
    <col min="14" max="14" width="1.7109375" style="42" customWidth="1"/>
    <col min="15" max="15" width="11.7109375" style="42" customWidth="1"/>
    <col min="16" max="16" width="1.7109375" style="42" customWidth="1"/>
    <col min="17" max="17" width="11.7109375" style="42" customWidth="1"/>
    <col min="18" max="18" width="1.7109375" style="42" customWidth="1"/>
    <col min="19" max="19" width="11.7109375" style="42" customWidth="1"/>
    <col min="20" max="20" width="1.42578125" style="42" customWidth="1"/>
    <col min="21" max="21" width="11.7109375" style="42" customWidth="1"/>
    <col min="22" max="22" width="1.7109375" style="42" customWidth="1"/>
    <col min="23" max="23" width="11.7109375" style="42" customWidth="1"/>
    <col min="24" max="24" width="1.7109375" style="42" customWidth="1"/>
    <col min="25" max="25" width="9.28515625" style="42" bestFit="1" customWidth="1"/>
    <col min="26" max="26" width="1.7109375" style="42" customWidth="1"/>
    <col min="27" max="27" width="8.42578125" style="42" bestFit="1" customWidth="1"/>
    <col min="28" max="28" width="1.7109375" style="42" customWidth="1"/>
    <col min="29" max="29" width="11.7109375" style="42" customWidth="1"/>
    <col min="30" max="30" width="1.7109375" style="42" customWidth="1"/>
    <col min="31" max="31" width="11.7109375" style="42" customWidth="1"/>
    <col min="32" max="32" width="1.7109375" style="42" customWidth="1"/>
    <col min="33" max="33" width="11.7109375" style="42" customWidth="1"/>
    <col min="34" max="34" width="1.7109375" style="42" customWidth="1"/>
    <col min="35" max="35" width="33.7109375" style="42" customWidth="1"/>
    <col min="36" max="36" width="1.7109375" style="42" customWidth="1"/>
    <col min="37" max="37" width="11.7109375" style="42" customWidth="1"/>
    <col min="38" max="38" width="1.7109375" style="42" customWidth="1"/>
    <col min="39" max="39" width="9.28515625" style="42" bestFit="1" customWidth="1"/>
    <col min="40" max="40" width="1.7109375" style="42" customWidth="1"/>
    <col min="41" max="41" width="9.28515625" style="42" bestFit="1" customWidth="1"/>
    <col min="42" max="42" width="1.7109375" style="42" customWidth="1"/>
    <col min="43" max="43" width="11" style="42" bestFit="1" customWidth="1"/>
    <col min="44" max="44" width="1.7109375" style="42" customWidth="1"/>
    <col min="45" max="45" width="9.28515625" style="42" bestFit="1" customWidth="1"/>
    <col min="46" max="46" width="1.7109375" style="42" hidden="1" customWidth="1"/>
    <col min="47" max="47" width="11.7109375" style="42" hidden="1" customWidth="1"/>
    <col min="48" max="48" width="1.42578125" style="42" customWidth="1"/>
    <col min="49" max="49" width="10.85546875" style="42" bestFit="1" customWidth="1"/>
    <col min="50" max="50" width="1.7109375" style="42" customWidth="1"/>
    <col min="51" max="51" width="12.140625" style="42" customWidth="1"/>
    <col min="52" max="52" width="1.7109375" style="42" customWidth="1"/>
    <col min="53" max="53" width="11.7109375" style="42" customWidth="1"/>
    <col min="54" max="54" width="1.7109375" style="42" customWidth="1"/>
    <col min="55" max="55" width="11.7109375" style="42" customWidth="1"/>
    <col min="56" max="56" width="1.7109375" style="42" customWidth="1"/>
    <col min="57" max="57" width="11.7109375" style="42" customWidth="1"/>
    <col min="58" max="58" width="1.7109375" style="42" customWidth="1"/>
    <col min="59" max="59" width="11.7109375" style="42" customWidth="1"/>
    <col min="60" max="16384" width="9.140625" style="42"/>
  </cols>
  <sheetData>
    <row r="1" spans="1:59">
      <c r="A1" s="73" t="s">
        <v>123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N1" s="49"/>
      <c r="AI1" s="73" t="s">
        <v>123</v>
      </c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</row>
    <row r="2" spans="1:59">
      <c r="A2" s="25" t="s">
        <v>899</v>
      </c>
      <c r="B2" s="11"/>
      <c r="C2" s="11"/>
      <c r="D2" s="11"/>
      <c r="E2" s="11"/>
      <c r="AI2" s="11" t="s">
        <v>899</v>
      </c>
      <c r="AJ2" s="11"/>
      <c r="AK2" s="11"/>
      <c r="AL2" s="11"/>
      <c r="AU2" s="41" t="s">
        <v>565</v>
      </c>
    </row>
    <row r="3" spans="1:59">
      <c r="A3" s="11"/>
      <c r="AI3" s="11" t="s">
        <v>593</v>
      </c>
      <c r="AU3" s="41" t="s">
        <v>566</v>
      </c>
    </row>
    <row r="4" spans="1:59">
      <c r="A4" s="11" t="s">
        <v>167</v>
      </c>
      <c r="B4" s="11"/>
      <c r="C4" s="11"/>
      <c r="D4" s="11"/>
      <c r="E4" s="11"/>
      <c r="AI4" s="11" t="s">
        <v>167</v>
      </c>
      <c r="AJ4" s="11"/>
      <c r="AK4" s="11"/>
      <c r="AL4" s="11"/>
      <c r="AU4" s="41" t="s">
        <v>567</v>
      </c>
    </row>
    <row r="5" spans="1:59">
      <c r="A5" s="11"/>
      <c r="B5" s="11"/>
      <c r="C5" s="11"/>
      <c r="D5" s="11"/>
      <c r="E5" s="11"/>
      <c r="AI5" s="11"/>
      <c r="AJ5" s="11"/>
      <c r="AK5" s="11"/>
      <c r="AL5" s="11"/>
      <c r="AU5" s="41"/>
    </row>
    <row r="6" spans="1:59">
      <c r="A6" s="38" t="s">
        <v>722</v>
      </c>
      <c r="B6" s="11"/>
      <c r="C6" s="11"/>
      <c r="D6" s="11"/>
      <c r="E6" s="11"/>
      <c r="AI6" s="38" t="s">
        <v>722</v>
      </c>
      <c r="AJ6" s="11"/>
      <c r="AK6" s="11"/>
      <c r="AL6" s="11"/>
      <c r="AU6" s="41"/>
    </row>
    <row r="7" spans="1:59">
      <c r="A7" s="38"/>
      <c r="AI7" s="38"/>
    </row>
    <row r="8" spans="1:59">
      <c r="A8" s="38"/>
      <c r="B8" s="11"/>
      <c r="C8" s="11"/>
      <c r="D8" s="11"/>
      <c r="E8" s="11"/>
      <c r="G8" s="13" t="s">
        <v>141</v>
      </c>
      <c r="H8" s="13"/>
      <c r="I8" s="13"/>
      <c r="J8" s="13"/>
      <c r="K8" s="13"/>
      <c r="L8" s="13"/>
      <c r="M8" s="13"/>
      <c r="N8" s="13"/>
      <c r="O8" s="13"/>
      <c r="Q8" s="13" t="s">
        <v>142</v>
      </c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I8" s="38"/>
      <c r="AJ8" s="11"/>
      <c r="AK8" s="11"/>
      <c r="AL8" s="11"/>
      <c r="AM8" s="13" t="s">
        <v>154</v>
      </c>
      <c r="AN8" s="13"/>
      <c r="AO8" s="13"/>
      <c r="AU8" s="47" t="s">
        <v>556</v>
      </c>
      <c r="BG8" s="47" t="s">
        <v>898</v>
      </c>
    </row>
    <row r="9" spans="1:59" ht="12" customHeight="1">
      <c r="A9" s="38"/>
      <c r="M9" s="47"/>
      <c r="O9" s="47"/>
      <c r="AC9" s="47" t="s">
        <v>149</v>
      </c>
      <c r="AI9" s="38"/>
      <c r="AU9" s="47" t="s">
        <v>557</v>
      </c>
      <c r="BA9" s="47"/>
      <c r="BB9" s="47"/>
      <c r="BC9" s="47" t="s">
        <v>898</v>
      </c>
      <c r="BD9" s="47"/>
      <c r="BE9" s="47" t="s">
        <v>898</v>
      </c>
      <c r="BG9" s="47" t="s">
        <v>165</v>
      </c>
    </row>
    <row r="10" spans="1:59">
      <c r="B10" s="50"/>
      <c r="C10" s="50"/>
      <c r="D10" s="50"/>
      <c r="E10" s="50"/>
      <c r="G10" s="50"/>
      <c r="H10" s="50"/>
      <c r="I10" s="50"/>
      <c r="J10" s="50"/>
      <c r="K10" s="50"/>
      <c r="L10" s="50"/>
      <c r="M10" s="50" t="s">
        <v>848</v>
      </c>
      <c r="N10" s="50"/>
      <c r="O10" s="50"/>
      <c r="P10" s="50"/>
      <c r="Q10" s="50"/>
      <c r="R10" s="50"/>
      <c r="S10" s="50" t="s">
        <v>143</v>
      </c>
      <c r="T10" s="50"/>
      <c r="U10" s="50" t="s">
        <v>145</v>
      </c>
      <c r="V10" s="50"/>
      <c r="W10" s="50"/>
      <c r="X10" s="50"/>
      <c r="Y10" s="50"/>
      <c r="Z10" s="50"/>
      <c r="AA10" s="50"/>
      <c r="AB10" s="50"/>
      <c r="AC10" s="50" t="s">
        <v>150</v>
      </c>
      <c r="AD10" s="50"/>
      <c r="AE10" s="50" t="s">
        <v>152</v>
      </c>
      <c r="AF10" s="50"/>
      <c r="AG10" s="50"/>
      <c r="AH10" s="50"/>
      <c r="AJ10" s="50"/>
      <c r="AK10" s="50"/>
      <c r="AL10" s="50"/>
      <c r="AM10" s="47" t="s">
        <v>155</v>
      </c>
      <c r="AN10" s="47"/>
      <c r="AO10" s="47"/>
      <c r="AP10" s="47"/>
      <c r="AQ10" s="47" t="s">
        <v>157</v>
      </c>
      <c r="AR10" s="47"/>
      <c r="AS10" s="47"/>
      <c r="AT10" s="47"/>
      <c r="AU10" s="47" t="s">
        <v>558</v>
      </c>
      <c r="AV10" s="47"/>
      <c r="AW10" s="47" t="s">
        <v>572</v>
      </c>
      <c r="AX10" s="47"/>
      <c r="AY10" s="50" t="s">
        <v>3</v>
      </c>
      <c r="AZ10" s="47"/>
      <c r="BA10" s="47" t="s">
        <v>118</v>
      </c>
      <c r="BB10" s="47"/>
      <c r="BC10" s="50" t="s">
        <v>161</v>
      </c>
      <c r="BD10" s="47"/>
      <c r="BE10" s="47" t="s">
        <v>163</v>
      </c>
      <c r="BG10" s="47" t="s">
        <v>166</v>
      </c>
    </row>
    <row r="11" spans="1:59">
      <c r="A11" s="48" t="s">
        <v>198</v>
      </c>
      <c r="B11" s="47"/>
      <c r="C11" s="48" t="s">
        <v>4</v>
      </c>
      <c r="D11" s="47"/>
      <c r="E11" s="48" t="s">
        <v>197</v>
      </c>
      <c r="G11" s="1" t="s">
        <v>842</v>
      </c>
      <c r="I11" s="1" t="s">
        <v>2</v>
      </c>
      <c r="K11" s="1" t="s">
        <v>140</v>
      </c>
      <c r="M11" s="1" t="s">
        <v>832</v>
      </c>
      <c r="O11" s="1" t="s">
        <v>82</v>
      </c>
      <c r="Q11" s="1" t="s">
        <v>843</v>
      </c>
      <c r="S11" s="1" t="s">
        <v>144</v>
      </c>
      <c r="U11" s="1" t="s">
        <v>146</v>
      </c>
      <c r="W11" s="1" t="s">
        <v>147</v>
      </c>
      <c r="Y11" s="1" t="s">
        <v>148</v>
      </c>
      <c r="Z11" s="50"/>
      <c r="AA11" s="48" t="s">
        <v>554</v>
      </c>
      <c r="AC11" s="1" t="s">
        <v>151</v>
      </c>
      <c r="AD11" s="50"/>
      <c r="AE11" s="48" t="s">
        <v>153</v>
      </c>
      <c r="AF11" s="50"/>
      <c r="AG11" s="48" t="s">
        <v>555</v>
      </c>
      <c r="AI11" s="48" t="s">
        <v>198</v>
      </c>
      <c r="AJ11" s="47"/>
      <c r="AK11" s="48" t="s">
        <v>4</v>
      </c>
      <c r="AL11" s="50"/>
      <c r="AM11" s="48" t="s">
        <v>156</v>
      </c>
      <c r="AO11" s="48" t="s">
        <v>82</v>
      </c>
      <c r="AP11" s="50"/>
      <c r="AQ11" s="48" t="s">
        <v>158</v>
      </c>
      <c r="AR11" s="50"/>
      <c r="AS11" s="48" t="s">
        <v>159</v>
      </c>
      <c r="AT11" s="50"/>
      <c r="AU11" s="48" t="s">
        <v>559</v>
      </c>
      <c r="AV11" s="50"/>
      <c r="AW11" s="48" t="s">
        <v>121</v>
      </c>
      <c r="AX11" s="50"/>
      <c r="AY11" s="48" t="s">
        <v>121</v>
      </c>
      <c r="AZ11" s="50"/>
      <c r="BA11" s="48" t="s">
        <v>898</v>
      </c>
      <c r="BB11" s="47"/>
      <c r="BC11" s="48" t="s">
        <v>162</v>
      </c>
      <c r="BD11" s="47"/>
      <c r="BE11" s="48" t="s">
        <v>164</v>
      </c>
      <c r="BG11" s="48" t="s">
        <v>133</v>
      </c>
    </row>
    <row r="12" spans="1:59" ht="12.75" customHeight="1">
      <c r="A12" s="9"/>
      <c r="B12" s="9"/>
      <c r="C12" s="9"/>
      <c r="D12" s="9"/>
      <c r="E12" s="9"/>
      <c r="G12" s="50"/>
      <c r="I12" s="50"/>
      <c r="K12" s="50"/>
      <c r="M12" s="50"/>
      <c r="O12" s="50"/>
      <c r="Q12" s="50"/>
      <c r="S12" s="50"/>
      <c r="U12" s="50"/>
      <c r="W12" s="50"/>
      <c r="Y12" s="50"/>
      <c r="Z12" s="50"/>
      <c r="AA12" s="50"/>
      <c r="AC12" s="50"/>
      <c r="AD12" s="50"/>
      <c r="AE12" s="50"/>
      <c r="AF12" s="50"/>
      <c r="AG12" s="50"/>
      <c r="AI12" s="9"/>
      <c r="AJ12" s="9"/>
      <c r="AK12" s="9"/>
      <c r="AL12" s="9"/>
      <c r="AM12" s="50"/>
      <c r="AO12" s="50"/>
      <c r="AQ12" s="50"/>
      <c r="AS12" s="50"/>
      <c r="AU12" s="50"/>
      <c r="AW12" s="50"/>
      <c r="BC12" s="50"/>
    </row>
    <row r="13" spans="1:59" hidden="1">
      <c r="A13" s="9" t="s">
        <v>851</v>
      </c>
      <c r="B13" s="9"/>
      <c r="C13" s="9" t="s">
        <v>337</v>
      </c>
      <c r="D13" s="9"/>
      <c r="E13" s="23">
        <v>45187</v>
      </c>
      <c r="G13" s="42">
        <v>0</v>
      </c>
      <c r="I13" s="42">
        <v>0</v>
      </c>
      <c r="K13" s="42">
        <v>0</v>
      </c>
      <c r="M13" s="42">
        <v>0</v>
      </c>
      <c r="O13" s="42">
        <v>0</v>
      </c>
      <c r="Q13" s="42">
        <v>0</v>
      </c>
      <c r="S13" s="42">
        <v>0</v>
      </c>
      <c r="U13" s="42">
        <v>0</v>
      </c>
      <c r="W13" s="42">
        <v>0</v>
      </c>
      <c r="Y13" s="42">
        <v>0</v>
      </c>
      <c r="AA13" s="42">
        <v>0</v>
      </c>
      <c r="AC13" s="42">
        <v>0</v>
      </c>
      <c r="AE13" s="42">
        <v>0</v>
      </c>
      <c r="AG13" s="42">
        <v>0</v>
      </c>
      <c r="AI13" s="9" t="s">
        <v>851</v>
      </c>
      <c r="AJ13" s="9"/>
      <c r="AK13" s="9" t="s">
        <v>337</v>
      </c>
      <c r="AL13" s="9"/>
      <c r="AM13" s="42">
        <v>0</v>
      </c>
      <c r="AO13" s="42">
        <v>0</v>
      </c>
      <c r="AQ13" s="42">
        <v>0</v>
      </c>
      <c r="AS13" s="42">
        <v>0</v>
      </c>
      <c r="AW13" s="42">
        <v>0</v>
      </c>
      <c r="AY13" s="42">
        <f t="shared" ref="AY13" si="0">SUM(G13:AX13)</f>
        <v>0</v>
      </c>
      <c r="BA13" s="42">
        <f>+'St of Act - GA Rev'!AI13-'St of Activities - GA Exp'!AY13</f>
        <v>0</v>
      </c>
      <c r="BC13" s="42">
        <v>0</v>
      </c>
      <c r="BE13" s="42">
        <f t="shared" ref="BE13" si="1">+BA13+BC13</f>
        <v>0</v>
      </c>
      <c r="BG13" s="42">
        <f>+'St of Net Pos - GA'!AE13-'St of Activities - GA Exp'!BE13</f>
        <v>0</v>
      </c>
    </row>
    <row r="14" spans="1:59" s="24" customFormat="1">
      <c r="A14" s="51" t="s">
        <v>782</v>
      </c>
      <c r="B14" s="51"/>
      <c r="C14" s="51" t="s">
        <v>199</v>
      </c>
      <c r="D14" s="51"/>
      <c r="E14" s="51">
        <v>61903</v>
      </c>
      <c r="G14" s="24">
        <v>16327519</v>
      </c>
      <c r="I14" s="24">
        <v>5303609</v>
      </c>
      <c r="K14" s="24">
        <v>1915460</v>
      </c>
      <c r="M14" s="24">
        <v>398792</v>
      </c>
      <c r="O14" s="24">
        <v>558032</v>
      </c>
      <c r="Q14" s="24">
        <v>1578345</v>
      </c>
      <c r="S14" s="24">
        <v>2590579</v>
      </c>
      <c r="U14" s="24">
        <v>0</v>
      </c>
      <c r="W14" s="24">
        <f>83997+2366601</f>
        <v>2450598</v>
      </c>
      <c r="Y14" s="24">
        <v>1176179</v>
      </c>
      <c r="AA14" s="24">
        <v>253892</v>
      </c>
      <c r="AC14" s="24">
        <v>2634384</v>
      </c>
      <c r="AE14" s="24">
        <v>2941031</v>
      </c>
      <c r="AG14" s="24">
        <v>268669</v>
      </c>
      <c r="AI14" s="51" t="s">
        <v>782</v>
      </c>
      <c r="AJ14" s="51"/>
      <c r="AK14" s="51" t="s">
        <v>199</v>
      </c>
      <c r="AL14" s="51"/>
      <c r="AM14" s="24">
        <v>0</v>
      </c>
      <c r="AO14" s="24">
        <v>1981273</v>
      </c>
      <c r="AQ14" s="24">
        <v>486428</v>
      </c>
      <c r="AS14" s="24">
        <v>1153135</v>
      </c>
      <c r="AW14" s="24">
        <v>0</v>
      </c>
      <c r="AY14" s="24">
        <f>SUM(G14:AX14)</f>
        <v>42017925</v>
      </c>
      <c r="BA14" s="24">
        <f>+'St of Act - GA Rev'!AI14-'St of Activities - GA Exp'!AY14</f>
        <v>2497772</v>
      </c>
      <c r="BC14" s="24">
        <v>79787035</v>
      </c>
      <c r="BE14" s="24">
        <f>+BA14+BC14</f>
        <v>82284807</v>
      </c>
      <c r="BG14" s="24">
        <f>+'St of Net Pos - GA'!AE14-'St of Activities - GA Exp'!BE14</f>
        <v>0</v>
      </c>
    </row>
    <row r="15" spans="1:59">
      <c r="A15" s="9" t="s">
        <v>582</v>
      </c>
      <c r="B15" s="9"/>
      <c r="C15" s="9" t="s">
        <v>58</v>
      </c>
      <c r="D15" s="9"/>
      <c r="E15" s="23">
        <v>49494</v>
      </c>
      <c r="G15" s="42">
        <v>5511774</v>
      </c>
      <c r="I15" s="42">
        <v>1351326</v>
      </c>
      <c r="K15" s="42">
        <v>7031</v>
      </c>
      <c r="M15" s="42">
        <v>0</v>
      </c>
      <c r="O15" s="42">
        <v>1002259</v>
      </c>
      <c r="Q15" s="42">
        <v>442540</v>
      </c>
      <c r="S15" s="42">
        <v>668648</v>
      </c>
      <c r="U15" s="42">
        <v>72701</v>
      </c>
      <c r="W15" s="42">
        <v>807983</v>
      </c>
      <c r="Y15" s="42">
        <v>317255</v>
      </c>
      <c r="AA15" s="42">
        <v>0</v>
      </c>
      <c r="AC15" s="42">
        <v>1038055</v>
      </c>
      <c r="AE15" s="42">
        <v>917109</v>
      </c>
      <c r="AG15" s="42">
        <v>160090</v>
      </c>
      <c r="AI15" s="9" t="s">
        <v>582</v>
      </c>
      <c r="AJ15" s="9"/>
      <c r="AK15" s="9" t="s">
        <v>58</v>
      </c>
      <c r="AL15" s="9"/>
      <c r="AM15" s="42">
        <v>0</v>
      </c>
      <c r="AO15" s="42">
        <v>460991</v>
      </c>
      <c r="AQ15" s="42">
        <v>303584</v>
      </c>
      <c r="AS15" s="42">
        <v>118178</v>
      </c>
      <c r="AW15" s="42">
        <v>0</v>
      </c>
      <c r="AY15" s="42">
        <f t="shared" ref="AY15:AY85" si="2">SUM(G15:AX15)</f>
        <v>13179524</v>
      </c>
      <c r="BA15" s="42">
        <f>+'St of Act - GA Rev'!AI15-'St of Activities - GA Exp'!AY15</f>
        <v>730072</v>
      </c>
      <c r="BC15" s="42">
        <v>21308904</v>
      </c>
      <c r="BE15" s="42">
        <f t="shared" ref="BE15:BE85" si="3">+BA15+BC15</f>
        <v>22038976</v>
      </c>
      <c r="BG15" s="42">
        <f>+'St of Net Pos - GA'!AE15-'St of Activities - GA Exp'!BE15</f>
        <v>0</v>
      </c>
    </row>
    <row r="16" spans="1:59">
      <c r="A16" s="9" t="s">
        <v>502</v>
      </c>
      <c r="B16" s="9"/>
      <c r="C16" s="9" t="s">
        <v>63</v>
      </c>
      <c r="D16" s="9"/>
      <c r="E16" s="23">
        <v>43489</v>
      </c>
      <c r="G16" s="42">
        <v>147100339</v>
      </c>
      <c r="I16" s="42">
        <v>44001690</v>
      </c>
      <c r="K16" s="42">
        <v>11740091</v>
      </c>
      <c r="M16" s="42">
        <v>719900</v>
      </c>
      <c r="O16" s="42">
        <v>6953516</v>
      </c>
      <c r="Q16" s="42">
        <v>20494998</v>
      </c>
      <c r="S16" s="42">
        <v>19207689</v>
      </c>
      <c r="U16" s="42">
        <v>223220</v>
      </c>
      <c r="W16" s="42">
        <v>20374756</v>
      </c>
      <c r="Y16" s="42">
        <v>4794262</v>
      </c>
      <c r="AA16" s="42">
        <v>3286081</v>
      </c>
      <c r="AC16" s="42">
        <v>33812917</v>
      </c>
      <c r="AE16" s="42">
        <v>12222813</v>
      </c>
      <c r="AG16" s="42">
        <v>9821253</v>
      </c>
      <c r="AI16" s="9" t="s">
        <v>502</v>
      </c>
      <c r="AJ16" s="9"/>
      <c r="AK16" s="9" t="s">
        <v>63</v>
      </c>
      <c r="AL16" s="9"/>
      <c r="AM16" s="42">
        <v>11251650</v>
      </c>
      <c r="AO16" s="42">
        <v>3679303</v>
      </c>
      <c r="AQ16" s="42">
        <v>3187501</v>
      </c>
      <c r="AS16" s="42">
        <v>0</v>
      </c>
      <c r="AW16" s="42">
        <v>0</v>
      </c>
      <c r="AY16" s="42">
        <f t="shared" si="2"/>
        <v>352871979</v>
      </c>
      <c r="BA16" s="42">
        <f>+'St of Act - GA Rev'!AI16-'St of Activities - GA Exp'!AY16</f>
        <v>-2611317</v>
      </c>
      <c r="BC16" s="42">
        <v>338121146</v>
      </c>
      <c r="BE16" s="42">
        <f t="shared" si="3"/>
        <v>335509829</v>
      </c>
      <c r="BG16" s="42">
        <f>+'St of Net Pos - GA'!AE16-'St of Activities - GA Exp'!BE16</f>
        <v>0</v>
      </c>
    </row>
    <row r="17" spans="1:59" ht="12" hidden="1" customHeight="1">
      <c r="A17" s="9" t="s">
        <v>612</v>
      </c>
      <c r="B17" s="9"/>
      <c r="C17" s="9" t="s">
        <v>13</v>
      </c>
      <c r="D17" s="9"/>
      <c r="E17" s="23">
        <v>45906</v>
      </c>
      <c r="G17" s="42">
        <v>0</v>
      </c>
      <c r="I17" s="42">
        <v>0</v>
      </c>
      <c r="K17" s="42">
        <v>0</v>
      </c>
      <c r="M17" s="42">
        <v>0</v>
      </c>
      <c r="O17" s="42">
        <v>0</v>
      </c>
      <c r="Q17" s="42">
        <v>0</v>
      </c>
      <c r="S17" s="42">
        <v>0</v>
      </c>
      <c r="U17" s="42">
        <v>0</v>
      </c>
      <c r="W17" s="42">
        <v>0</v>
      </c>
      <c r="Y17" s="42">
        <v>0</v>
      </c>
      <c r="AA17" s="42">
        <v>0</v>
      </c>
      <c r="AC17" s="42">
        <v>0</v>
      </c>
      <c r="AE17" s="42">
        <v>0</v>
      </c>
      <c r="AG17" s="42">
        <v>0</v>
      </c>
      <c r="AI17" s="9" t="s">
        <v>612</v>
      </c>
      <c r="AJ17" s="9"/>
      <c r="AK17" s="9" t="s">
        <v>13</v>
      </c>
      <c r="AL17" s="9"/>
      <c r="AM17" s="42">
        <v>0</v>
      </c>
      <c r="AO17" s="42">
        <v>0</v>
      </c>
      <c r="AQ17" s="42">
        <v>0</v>
      </c>
      <c r="AS17" s="42">
        <v>0</v>
      </c>
      <c r="AW17" s="42">
        <v>0</v>
      </c>
      <c r="AY17" s="42">
        <f t="shared" si="2"/>
        <v>0</v>
      </c>
      <c r="BA17" s="42">
        <f>+'St of Act - GA Rev'!AI17-'St of Activities - GA Exp'!AY17</f>
        <v>0</v>
      </c>
      <c r="BC17" s="42">
        <v>0</v>
      </c>
      <c r="BE17" s="42">
        <f t="shared" si="3"/>
        <v>0</v>
      </c>
      <c r="BG17" s="42">
        <f>+'St of Net Pos - GA'!AE17-'St of Activities - GA Exp'!BE17</f>
        <v>0</v>
      </c>
    </row>
    <row r="18" spans="1:59" ht="12" hidden="1" customHeight="1">
      <c r="A18" s="9" t="s">
        <v>852</v>
      </c>
      <c r="B18" s="9"/>
      <c r="C18" s="9" t="s">
        <v>10</v>
      </c>
      <c r="D18" s="9"/>
      <c r="E18" s="23">
        <v>45757</v>
      </c>
      <c r="G18" s="42">
        <v>0</v>
      </c>
      <c r="I18" s="42">
        <v>0</v>
      </c>
      <c r="K18" s="42">
        <v>0</v>
      </c>
      <c r="M18" s="42">
        <v>0</v>
      </c>
      <c r="O18" s="42">
        <v>0</v>
      </c>
      <c r="Q18" s="42">
        <v>0</v>
      </c>
      <c r="S18" s="42">
        <v>0</v>
      </c>
      <c r="U18" s="42">
        <v>0</v>
      </c>
      <c r="W18" s="42">
        <v>0</v>
      </c>
      <c r="Y18" s="42">
        <v>0</v>
      </c>
      <c r="AA18" s="42">
        <v>0</v>
      </c>
      <c r="AC18" s="42">
        <v>0</v>
      </c>
      <c r="AE18" s="42">
        <v>0</v>
      </c>
      <c r="AG18" s="42">
        <v>0</v>
      </c>
      <c r="AI18" s="9" t="s">
        <v>852</v>
      </c>
      <c r="AJ18" s="9"/>
      <c r="AK18" s="9" t="s">
        <v>10</v>
      </c>
      <c r="AL18" s="9"/>
      <c r="AM18" s="42">
        <v>0</v>
      </c>
      <c r="AO18" s="42">
        <v>0</v>
      </c>
      <c r="AQ18" s="42">
        <v>0</v>
      </c>
      <c r="AS18" s="42">
        <v>0</v>
      </c>
      <c r="AW18" s="42">
        <v>0</v>
      </c>
      <c r="AY18" s="42">
        <f>SUM(G18:AX18)</f>
        <v>0</v>
      </c>
      <c r="BA18" s="42">
        <f>+'St of Act - GA Rev'!AI18-'St of Activities - GA Exp'!AY18</f>
        <v>0</v>
      </c>
      <c r="BC18" s="42">
        <v>0</v>
      </c>
      <c r="BE18" s="42">
        <f>+BA18+BC18</f>
        <v>0</v>
      </c>
      <c r="BG18" s="42">
        <f>+'St of Net Pos - GA'!AE18-'St of Activities - GA Exp'!BE18</f>
        <v>0</v>
      </c>
    </row>
    <row r="19" spans="1:59">
      <c r="A19" s="9" t="s">
        <v>489</v>
      </c>
      <c r="B19" s="9"/>
      <c r="C19" s="9" t="s">
        <v>62</v>
      </c>
      <c r="D19" s="9"/>
      <c r="E19" s="23">
        <v>43497</v>
      </c>
      <c r="G19" s="42">
        <v>15526681</v>
      </c>
      <c r="I19" s="42">
        <v>5757874</v>
      </c>
      <c r="K19" s="42">
        <v>1267102</v>
      </c>
      <c r="M19" s="42">
        <v>651138</v>
      </c>
      <c r="O19" s="42">
        <f>199000+143754</f>
        <v>342754</v>
      </c>
      <c r="Q19" s="42">
        <v>1470934</v>
      </c>
      <c r="S19" s="42">
        <v>1052885</v>
      </c>
      <c r="U19" s="42">
        <v>39858</v>
      </c>
      <c r="W19" s="42">
        <v>2164751</v>
      </c>
      <c r="Y19" s="42">
        <v>600020</v>
      </c>
      <c r="AA19" s="42">
        <v>330551</v>
      </c>
      <c r="AC19" s="42">
        <v>3342895</v>
      </c>
      <c r="AE19" s="42">
        <v>880369</v>
      </c>
      <c r="AG19" s="42">
        <v>155350</v>
      </c>
      <c r="AI19" s="9" t="s">
        <v>489</v>
      </c>
      <c r="AJ19" s="9"/>
      <c r="AK19" s="9" t="s">
        <v>62</v>
      </c>
      <c r="AL19" s="9"/>
      <c r="AM19" s="42">
        <v>1472238</v>
      </c>
      <c r="AO19" s="42">
        <v>136747</v>
      </c>
      <c r="AQ19" s="42">
        <v>812541</v>
      </c>
      <c r="AS19" s="42">
        <v>540025</v>
      </c>
      <c r="AW19" s="42">
        <v>0</v>
      </c>
      <c r="AY19" s="42">
        <f t="shared" si="2"/>
        <v>36544713</v>
      </c>
      <c r="BA19" s="42">
        <f>+'St of Act - GA Rev'!AI19-'St of Activities - GA Exp'!AY19</f>
        <v>-1295072</v>
      </c>
      <c r="BC19" s="42">
        <v>40590877</v>
      </c>
      <c r="BE19" s="42">
        <f t="shared" si="3"/>
        <v>39295805</v>
      </c>
      <c r="BG19" s="42">
        <f>+'St of Net Pos - GA'!AE19-'St of Activities - GA Exp'!BE19</f>
        <v>0</v>
      </c>
    </row>
    <row r="20" spans="1:59">
      <c r="A20" s="9" t="s">
        <v>290</v>
      </c>
      <c r="B20" s="9"/>
      <c r="C20" s="9" t="s">
        <v>25</v>
      </c>
      <c r="D20" s="9"/>
      <c r="E20" s="23">
        <v>46847</v>
      </c>
      <c r="G20" s="42">
        <v>7325248</v>
      </c>
      <c r="I20" s="42">
        <v>2280262</v>
      </c>
      <c r="K20" s="42">
        <v>295684</v>
      </c>
      <c r="M20" s="42">
        <v>0</v>
      </c>
      <c r="O20" s="42">
        <f>42333+109631</f>
        <v>151964</v>
      </c>
      <c r="Q20" s="42">
        <v>658088</v>
      </c>
      <c r="S20" s="42">
        <v>130143</v>
      </c>
      <c r="U20" s="42">
        <v>55989</v>
      </c>
      <c r="W20" s="42">
        <v>1009757</v>
      </c>
      <c r="Y20" s="42">
        <v>330264</v>
      </c>
      <c r="AA20" s="42">
        <v>27378</v>
      </c>
      <c r="AC20" s="42">
        <v>1412841</v>
      </c>
      <c r="AE20" s="42">
        <v>1102193</v>
      </c>
      <c r="AG20" s="42">
        <v>149018</v>
      </c>
      <c r="AI20" s="9" t="s">
        <v>290</v>
      </c>
      <c r="AJ20" s="9"/>
      <c r="AK20" s="9" t="s">
        <v>25</v>
      </c>
      <c r="AL20" s="9"/>
      <c r="AM20" s="42">
        <v>811377</v>
      </c>
      <c r="AO20" s="42">
        <v>0</v>
      </c>
      <c r="AQ20" s="42">
        <v>267077</v>
      </c>
      <c r="AS20" s="42">
        <v>94900</v>
      </c>
      <c r="AW20" s="42">
        <v>0</v>
      </c>
      <c r="AY20" s="42">
        <f t="shared" si="2"/>
        <v>16102183</v>
      </c>
      <c r="BA20" s="42">
        <f>+'St of Act - GA Rev'!AI20-'St of Activities - GA Exp'!AY20</f>
        <v>1664901</v>
      </c>
      <c r="BC20" s="42">
        <v>28955194</v>
      </c>
      <c r="BE20" s="42">
        <f t="shared" si="3"/>
        <v>30620095</v>
      </c>
      <c r="BG20" s="42">
        <f>+'St of Net Pos - GA'!AE20-'St of Activities - GA Exp'!BE20</f>
        <v>0</v>
      </c>
    </row>
    <row r="21" spans="1:59" ht="12" customHeight="1">
      <c r="A21" s="9" t="s">
        <v>743</v>
      </c>
      <c r="B21" s="9"/>
      <c r="C21" s="9" t="s">
        <v>44</v>
      </c>
      <c r="D21" s="9"/>
      <c r="E21" s="23">
        <v>45195</v>
      </c>
      <c r="G21" s="42">
        <v>19074289</v>
      </c>
      <c r="I21" s="42">
        <v>5022570</v>
      </c>
      <c r="K21" s="42">
        <v>394904</v>
      </c>
      <c r="M21" s="42">
        <v>0</v>
      </c>
      <c r="O21" s="42">
        <v>0</v>
      </c>
      <c r="Q21" s="42">
        <v>1686109</v>
      </c>
      <c r="S21" s="42">
        <v>1654230</v>
      </c>
      <c r="U21" s="42">
        <v>17393</v>
      </c>
      <c r="W21" s="42">
        <v>3009662</v>
      </c>
      <c r="Y21" s="42">
        <v>808323</v>
      </c>
      <c r="AA21" s="42">
        <v>0</v>
      </c>
      <c r="AC21" s="42">
        <v>3243975</v>
      </c>
      <c r="AE21" s="42">
        <v>1488448</v>
      </c>
      <c r="AG21" s="42">
        <v>36446</v>
      </c>
      <c r="AI21" s="9" t="s">
        <v>743</v>
      </c>
      <c r="AJ21" s="9"/>
      <c r="AK21" s="9" t="s">
        <v>44</v>
      </c>
      <c r="AL21" s="9"/>
      <c r="AM21" s="42">
        <v>0</v>
      </c>
      <c r="AO21" s="42">
        <v>1797611</v>
      </c>
      <c r="AQ21" s="42">
        <v>748331</v>
      </c>
      <c r="AS21" s="42">
        <v>2068636</v>
      </c>
      <c r="AW21" s="42">
        <v>0</v>
      </c>
      <c r="AY21" s="42">
        <f>SUM(G21:AX21)</f>
        <v>41050927</v>
      </c>
      <c r="BA21" s="42">
        <f>+'St of Act - GA Rev'!AI21-'St of Activities - GA Exp'!AY21</f>
        <v>528198</v>
      </c>
      <c r="BC21" s="42">
        <v>10162798</v>
      </c>
      <c r="BE21" s="42">
        <f>+BA21+BC21</f>
        <v>10690996</v>
      </c>
      <c r="BG21" s="42">
        <f>+'St of Net Pos - GA'!AE21-'St of Activities - GA Exp'!BE21</f>
        <v>0</v>
      </c>
    </row>
    <row r="22" spans="1:59">
      <c r="A22" s="9" t="s">
        <v>798</v>
      </c>
      <c r="B22" s="9"/>
      <c r="C22" s="9" t="s">
        <v>61</v>
      </c>
      <c r="D22" s="9"/>
      <c r="E22" s="23">
        <v>49759</v>
      </c>
      <c r="G22" s="42">
        <v>5203967</v>
      </c>
      <c r="I22" s="42">
        <v>1108841</v>
      </c>
      <c r="K22" s="42">
        <v>448901</v>
      </c>
      <c r="M22" s="42">
        <v>0</v>
      </c>
      <c r="O22" s="42">
        <v>18399</v>
      </c>
      <c r="Q22" s="42">
        <v>468788</v>
      </c>
      <c r="S22" s="42">
        <v>295690</v>
      </c>
      <c r="U22" s="42">
        <v>60107</v>
      </c>
      <c r="W22" s="42">
        <v>776053</v>
      </c>
      <c r="Y22" s="42">
        <v>351534</v>
      </c>
      <c r="AA22" s="42">
        <v>81563</v>
      </c>
      <c r="AC22" s="42">
        <v>972638</v>
      </c>
      <c r="AE22" s="42">
        <v>565039</v>
      </c>
      <c r="AG22" s="42">
        <v>50874</v>
      </c>
      <c r="AI22" s="9" t="s">
        <v>798</v>
      </c>
      <c r="AJ22" s="9"/>
      <c r="AK22" s="9" t="s">
        <v>61</v>
      </c>
      <c r="AL22" s="9"/>
      <c r="AM22" s="42">
        <v>0</v>
      </c>
      <c r="AO22" s="42">
        <v>504240</v>
      </c>
      <c r="AQ22" s="42">
        <v>649729</v>
      </c>
      <c r="AS22" s="42">
        <v>148392</v>
      </c>
      <c r="AW22" s="42">
        <v>6935</v>
      </c>
      <c r="AY22" s="42">
        <f t="shared" si="2"/>
        <v>11711690</v>
      </c>
      <c r="BA22" s="42">
        <f>+'St of Act - GA Rev'!AI22-'St of Activities - GA Exp'!AY22</f>
        <v>720614</v>
      </c>
      <c r="BC22" s="42">
        <v>13274498</v>
      </c>
      <c r="BE22" s="42">
        <f t="shared" si="3"/>
        <v>13995112</v>
      </c>
      <c r="BG22" s="42">
        <f>+'St of Net Pos - GA'!AE22-'St of Activities - GA Exp'!BE22</f>
        <v>0</v>
      </c>
    </row>
    <row r="23" spans="1:59" hidden="1">
      <c r="A23" s="9" t="s">
        <v>686</v>
      </c>
      <c r="B23" s="9"/>
      <c r="C23" s="9" t="s">
        <v>598</v>
      </c>
      <c r="D23" s="9"/>
      <c r="E23" s="23">
        <v>46623</v>
      </c>
      <c r="G23" s="42">
        <v>0</v>
      </c>
      <c r="I23" s="42">
        <v>0</v>
      </c>
      <c r="K23" s="42">
        <v>0</v>
      </c>
      <c r="M23" s="42">
        <v>0</v>
      </c>
      <c r="O23" s="42">
        <v>0</v>
      </c>
      <c r="Q23" s="42">
        <v>0</v>
      </c>
      <c r="S23" s="42">
        <v>0</v>
      </c>
      <c r="U23" s="42">
        <v>0</v>
      </c>
      <c r="W23" s="42">
        <v>0</v>
      </c>
      <c r="Y23" s="42">
        <v>0</v>
      </c>
      <c r="AA23" s="42">
        <v>0</v>
      </c>
      <c r="AC23" s="42">
        <v>0</v>
      </c>
      <c r="AE23" s="42">
        <v>0</v>
      </c>
      <c r="AG23" s="42">
        <v>0</v>
      </c>
      <c r="AI23" s="9" t="s">
        <v>686</v>
      </c>
      <c r="AJ23" s="9"/>
      <c r="AK23" s="9" t="s">
        <v>598</v>
      </c>
      <c r="AL23" s="9"/>
      <c r="AM23" s="42">
        <v>0</v>
      </c>
      <c r="AO23" s="42">
        <v>0</v>
      </c>
      <c r="AQ23" s="42">
        <v>0</v>
      </c>
      <c r="AS23" s="42">
        <v>0</v>
      </c>
      <c r="AW23" s="42">
        <v>0</v>
      </c>
      <c r="AY23" s="42">
        <f t="shared" si="2"/>
        <v>0</v>
      </c>
      <c r="BA23" s="42">
        <f>+'St of Act - GA Rev'!AI23-'St of Activities - GA Exp'!AY23</f>
        <v>0</v>
      </c>
      <c r="BC23" s="42">
        <v>0</v>
      </c>
      <c r="BE23" s="42">
        <f t="shared" si="3"/>
        <v>0</v>
      </c>
      <c r="BG23" s="42">
        <f>+'St of Net Pos - GA'!AE23-'St of Activities - GA Exp'!BE23</f>
        <v>0</v>
      </c>
    </row>
    <row r="24" spans="1:59">
      <c r="A24" s="9" t="s">
        <v>387</v>
      </c>
      <c r="B24" s="9"/>
      <c r="C24" s="9" t="s">
        <v>114</v>
      </c>
      <c r="D24" s="9"/>
      <c r="E24" s="23">
        <v>48207</v>
      </c>
      <c r="G24" s="42">
        <v>18829508</v>
      </c>
      <c r="I24" s="42">
        <v>2969478</v>
      </c>
      <c r="K24" s="42">
        <v>5852</v>
      </c>
      <c r="M24" s="42">
        <v>0</v>
      </c>
      <c r="O24" s="42">
        <v>739545</v>
      </c>
      <c r="Q24" s="42">
        <v>1935909</v>
      </c>
      <c r="S24" s="42">
        <v>947159</v>
      </c>
      <c r="U24" s="42">
        <v>358152</v>
      </c>
      <c r="W24" s="42">
        <v>3255473</v>
      </c>
      <c r="Y24" s="42">
        <v>831145</v>
      </c>
      <c r="AA24" s="42">
        <v>24455</v>
      </c>
      <c r="AC24" s="42">
        <v>4101754</v>
      </c>
      <c r="AE24" s="42">
        <v>2804900</v>
      </c>
      <c r="AG24" s="42">
        <v>59876</v>
      </c>
      <c r="AI24" s="9" t="s">
        <v>387</v>
      </c>
      <c r="AJ24" s="9"/>
      <c r="AK24" s="9" t="s">
        <v>114</v>
      </c>
      <c r="AL24" s="9"/>
      <c r="AM24" s="42">
        <v>1130329</v>
      </c>
      <c r="AO24" s="42">
        <v>249301</v>
      </c>
      <c r="AQ24" s="42">
        <v>1046675</v>
      </c>
      <c r="AS24" s="42">
        <v>1231509</v>
      </c>
      <c r="AW24" s="42">
        <v>0</v>
      </c>
      <c r="AY24" s="42">
        <f t="shared" si="2"/>
        <v>40521020</v>
      </c>
      <c r="BA24" s="42">
        <f>+'St of Act - GA Rev'!AI24-'St of Activities - GA Exp'!AY24</f>
        <v>-911799</v>
      </c>
      <c r="BC24" s="42">
        <v>2500061</v>
      </c>
      <c r="BE24" s="42">
        <f t="shared" si="3"/>
        <v>1588262</v>
      </c>
      <c r="BG24" s="42">
        <f>+'St of Net Pos - GA'!AE24-'St of Activities - GA Exp'!BE24</f>
        <v>0</v>
      </c>
    </row>
    <row r="25" spans="1:59" hidden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42">
        <v>0</v>
      </c>
      <c r="M25" s="42">
        <v>0</v>
      </c>
      <c r="O25" s="42">
        <v>0</v>
      </c>
      <c r="Q25" s="42">
        <v>0</v>
      </c>
      <c r="S25" s="42">
        <v>0</v>
      </c>
      <c r="U25" s="42">
        <v>0</v>
      </c>
      <c r="W25" s="42">
        <v>0</v>
      </c>
      <c r="Y25" s="42">
        <v>0</v>
      </c>
      <c r="AA25" s="42">
        <v>0</v>
      </c>
      <c r="AC25" s="42">
        <v>0</v>
      </c>
      <c r="AE25" s="42">
        <v>0</v>
      </c>
      <c r="AG25" s="42">
        <v>0</v>
      </c>
      <c r="AI25" s="9" t="s">
        <v>853</v>
      </c>
      <c r="AJ25" s="9"/>
      <c r="AK25" s="9" t="s">
        <v>447</v>
      </c>
      <c r="AL25" s="9"/>
      <c r="AM25" s="42">
        <v>0</v>
      </c>
      <c r="AO25" s="42">
        <v>0</v>
      </c>
      <c r="AQ25" s="42">
        <v>0</v>
      </c>
      <c r="AS25" s="42">
        <v>0</v>
      </c>
      <c r="AW25" s="42">
        <v>0</v>
      </c>
      <c r="AY25" s="42">
        <f t="shared" ref="AY25" si="4">SUM(G25:AX25)</f>
        <v>0</v>
      </c>
      <c r="BA25" s="42">
        <f>+'St of Act - GA Rev'!AI25-'St of Activities - GA Exp'!AY25</f>
        <v>0</v>
      </c>
      <c r="BC25" s="42">
        <v>0</v>
      </c>
      <c r="BE25" s="42">
        <f t="shared" ref="BE25" si="5">+BA25+BC25</f>
        <v>0</v>
      </c>
      <c r="BG25" s="42">
        <f>+'St of Net Pos - GA'!AE25-'St of Activities - GA Exp'!BE25</f>
        <v>0</v>
      </c>
    </row>
    <row r="26" spans="1:59">
      <c r="A26" s="9" t="s">
        <v>332</v>
      </c>
      <c r="B26" s="9"/>
      <c r="C26" s="9" t="s">
        <v>33</v>
      </c>
      <c r="D26" s="9"/>
      <c r="E26" s="23">
        <v>47415</v>
      </c>
      <c r="G26" s="42">
        <v>2805209</v>
      </c>
      <c r="I26" s="42">
        <v>429393</v>
      </c>
      <c r="K26" s="42">
        <v>267877</v>
      </c>
      <c r="M26" s="42">
        <v>0</v>
      </c>
      <c r="O26" s="42">
        <v>0</v>
      </c>
      <c r="Q26" s="42">
        <v>248970</v>
      </c>
      <c r="S26" s="42">
        <v>205756</v>
      </c>
      <c r="U26" s="42">
        <v>24887</v>
      </c>
      <c r="W26" s="42">
        <v>548361</v>
      </c>
      <c r="Y26" s="42">
        <v>189544</v>
      </c>
      <c r="AA26" s="42">
        <v>0</v>
      </c>
      <c r="AC26" s="42">
        <v>563941</v>
      </c>
      <c r="AE26" s="42">
        <v>345257</v>
      </c>
      <c r="AG26" s="42">
        <v>4000</v>
      </c>
      <c r="AI26" s="9" t="s">
        <v>332</v>
      </c>
      <c r="AJ26" s="9"/>
      <c r="AK26" s="9" t="s">
        <v>33</v>
      </c>
      <c r="AL26" s="9"/>
      <c r="AM26" s="42">
        <v>0</v>
      </c>
      <c r="AO26" s="42">
        <v>266384</v>
      </c>
      <c r="AQ26" s="42">
        <v>291780</v>
      </c>
      <c r="AS26" s="42">
        <v>0</v>
      </c>
      <c r="AW26" s="42">
        <v>0</v>
      </c>
      <c r="AY26" s="42">
        <f t="shared" si="2"/>
        <v>6191359</v>
      </c>
      <c r="BA26" s="42">
        <f>+'St of Act - GA Rev'!AI26-'St of Activities - GA Exp'!AY26</f>
        <v>348673</v>
      </c>
      <c r="BC26" s="42">
        <v>5626623</v>
      </c>
      <c r="BE26" s="42">
        <f t="shared" si="3"/>
        <v>5975296</v>
      </c>
      <c r="BG26" s="42">
        <f>+'St of Net Pos - GA'!AE26-'St of Activities - GA Exp'!BE26</f>
        <v>0</v>
      </c>
    </row>
    <row r="27" spans="1:59" ht="12" hidden="1" customHeight="1">
      <c r="A27" s="9" t="s">
        <v>665</v>
      </c>
      <c r="B27" s="9"/>
      <c r="C27" s="9" t="s">
        <v>21</v>
      </c>
      <c r="D27" s="9"/>
      <c r="E27" s="23">
        <v>46631</v>
      </c>
      <c r="G27" s="42">
        <v>0</v>
      </c>
      <c r="I27" s="42">
        <v>0</v>
      </c>
      <c r="K27" s="42">
        <v>0</v>
      </c>
      <c r="M27" s="42">
        <v>0</v>
      </c>
      <c r="O27" s="42">
        <v>0</v>
      </c>
      <c r="Q27" s="42">
        <v>0</v>
      </c>
      <c r="S27" s="42">
        <v>0</v>
      </c>
      <c r="U27" s="42">
        <v>0</v>
      </c>
      <c r="W27" s="42">
        <v>0</v>
      </c>
      <c r="Y27" s="42">
        <v>0</v>
      </c>
      <c r="AA27" s="42">
        <v>0</v>
      </c>
      <c r="AC27" s="42">
        <v>0</v>
      </c>
      <c r="AE27" s="42">
        <v>0</v>
      </c>
      <c r="AG27" s="42">
        <v>0</v>
      </c>
      <c r="AI27" s="9" t="s">
        <v>665</v>
      </c>
      <c r="AJ27" s="9"/>
      <c r="AK27" s="9" t="s">
        <v>21</v>
      </c>
      <c r="AL27" s="9"/>
      <c r="AM27" s="42">
        <v>0</v>
      </c>
      <c r="AO27" s="42">
        <v>0</v>
      </c>
      <c r="AQ27" s="42">
        <v>0</v>
      </c>
      <c r="AS27" s="42">
        <v>0</v>
      </c>
      <c r="AW27" s="42">
        <v>0</v>
      </c>
      <c r="AY27" s="42">
        <f t="shared" si="2"/>
        <v>0</v>
      </c>
      <c r="BA27" s="42">
        <f>+'St of Act - GA Rev'!AI27-'St of Activities - GA Exp'!AY27</f>
        <v>0</v>
      </c>
      <c r="BC27" s="42">
        <v>0</v>
      </c>
      <c r="BE27" s="42">
        <f t="shared" si="3"/>
        <v>0</v>
      </c>
      <c r="BG27" s="42">
        <f>+'St of Net Pos - GA'!AE27-'St of Activities - GA Exp'!BE27</f>
        <v>0</v>
      </c>
    </row>
    <row r="28" spans="1:59">
      <c r="A28" s="9" t="s">
        <v>854</v>
      </c>
      <c r="B28" s="9"/>
      <c r="C28" s="9" t="s">
        <v>28</v>
      </c>
      <c r="D28" s="9"/>
      <c r="E28" s="23">
        <v>47043</v>
      </c>
      <c r="G28" s="42">
        <v>7381693</v>
      </c>
      <c r="I28" s="42">
        <v>1247427</v>
      </c>
      <c r="K28" s="42">
        <v>197749</v>
      </c>
      <c r="M28" s="42">
        <v>0</v>
      </c>
      <c r="O28" s="42">
        <v>5216</v>
      </c>
      <c r="Q28" s="42">
        <v>874226</v>
      </c>
      <c r="S28" s="42">
        <v>560538</v>
      </c>
      <c r="U28" s="42">
        <v>43092</v>
      </c>
      <c r="W28" s="42">
        <v>790577</v>
      </c>
      <c r="Y28" s="42">
        <v>359822</v>
      </c>
      <c r="AA28" s="42">
        <v>0</v>
      </c>
      <c r="AC28" s="42">
        <v>1174786</v>
      </c>
      <c r="AE28" s="42">
        <v>551380</v>
      </c>
      <c r="AG28" s="42">
        <v>15807</v>
      </c>
      <c r="AI28" s="9" t="s">
        <v>854</v>
      </c>
      <c r="AJ28" s="9"/>
      <c r="AK28" s="9" t="s">
        <v>28</v>
      </c>
      <c r="AL28" s="9"/>
      <c r="AM28" s="42">
        <v>0</v>
      </c>
      <c r="AO28" s="42">
        <v>510973</v>
      </c>
      <c r="AQ28" s="42">
        <v>724647</v>
      </c>
      <c r="AS28" s="42">
        <v>348938</v>
      </c>
      <c r="AW28" s="42">
        <v>0</v>
      </c>
      <c r="AY28" s="42">
        <f t="shared" si="2"/>
        <v>14786871</v>
      </c>
      <c r="BA28" s="42">
        <f>+'St of Act - GA Rev'!AI28-'St of Activities - GA Exp'!AY28</f>
        <v>-489586</v>
      </c>
      <c r="BC28" s="42">
        <v>14521644</v>
      </c>
      <c r="BE28" s="42">
        <f t="shared" si="3"/>
        <v>14032058</v>
      </c>
      <c r="BG28" s="42">
        <f>+'St of Net Pos - GA'!AE28-'St of Activities - GA Exp'!BE28</f>
        <v>0</v>
      </c>
    </row>
    <row r="29" spans="1:59">
      <c r="A29" s="9" t="s">
        <v>333</v>
      </c>
      <c r="B29" s="9"/>
      <c r="C29" s="9" t="s">
        <v>33</v>
      </c>
      <c r="D29" s="9"/>
      <c r="E29" s="23">
        <v>47423</v>
      </c>
      <c r="G29" s="42">
        <v>3061211</v>
      </c>
      <c r="I29" s="42">
        <v>776659</v>
      </c>
      <c r="K29" s="42">
        <v>256892</v>
      </c>
      <c r="M29" s="42">
        <v>0</v>
      </c>
      <c r="O29" s="42">
        <v>0</v>
      </c>
      <c r="Q29" s="42">
        <v>282116</v>
      </c>
      <c r="S29" s="42">
        <v>308801</v>
      </c>
      <c r="U29" s="42">
        <v>37801</v>
      </c>
      <c r="W29" s="42">
        <v>531669</v>
      </c>
      <c r="Y29" s="42">
        <v>197621</v>
      </c>
      <c r="AA29" s="42">
        <v>0</v>
      </c>
      <c r="AC29" s="42">
        <v>546203</v>
      </c>
      <c r="AE29" s="42">
        <v>271426</v>
      </c>
      <c r="AG29" s="42">
        <v>1263</v>
      </c>
      <c r="AI29" s="9" t="s">
        <v>333</v>
      </c>
      <c r="AJ29" s="9"/>
      <c r="AK29" s="9" t="s">
        <v>33</v>
      </c>
      <c r="AL29" s="9"/>
      <c r="AM29" s="42">
        <v>0</v>
      </c>
      <c r="AO29" s="42">
        <v>256954</v>
      </c>
      <c r="AQ29" s="42">
        <v>292163</v>
      </c>
      <c r="AS29" s="42">
        <v>18200</v>
      </c>
      <c r="AW29" s="42">
        <v>0</v>
      </c>
      <c r="AY29" s="42">
        <f t="shared" si="2"/>
        <v>6838979</v>
      </c>
      <c r="BA29" s="42">
        <f>+'St of Act - GA Rev'!AI29-'St of Activities - GA Exp'!AY29</f>
        <v>-264772</v>
      </c>
      <c r="BC29" s="42">
        <v>5713325</v>
      </c>
      <c r="BE29" s="42">
        <f t="shared" si="3"/>
        <v>5448553</v>
      </c>
      <c r="BG29" s="42">
        <f>+'St of Net Pos - GA'!AE29-'St of Activities - GA Exp'!BE29</f>
        <v>0</v>
      </c>
    </row>
    <row r="30" spans="1:59">
      <c r="A30" s="9" t="s">
        <v>202</v>
      </c>
      <c r="B30" s="9"/>
      <c r="C30" s="9" t="s">
        <v>11</v>
      </c>
      <c r="D30" s="9"/>
      <c r="E30" s="23">
        <v>43505</v>
      </c>
      <c r="G30" s="42">
        <v>14724156</v>
      </c>
      <c r="I30" s="42">
        <v>4551990</v>
      </c>
      <c r="K30" s="42">
        <v>589356</v>
      </c>
      <c r="M30" s="42">
        <v>0</v>
      </c>
      <c r="O30" s="42">
        <v>1264464</v>
      </c>
      <c r="Q30" s="42">
        <v>1451097</v>
      </c>
      <c r="S30" s="42">
        <v>1440699</v>
      </c>
      <c r="U30" s="42">
        <v>129910</v>
      </c>
      <c r="W30" s="42">
        <v>2269869</v>
      </c>
      <c r="Y30" s="42">
        <v>803819</v>
      </c>
      <c r="AA30" s="42">
        <v>351644</v>
      </c>
      <c r="AC30" s="42">
        <v>2375155</v>
      </c>
      <c r="AE30" s="42">
        <v>1247437</v>
      </c>
      <c r="AG30" s="42">
        <v>354486</v>
      </c>
      <c r="AI30" s="9" t="s">
        <v>202</v>
      </c>
      <c r="AJ30" s="9"/>
      <c r="AK30" s="9" t="s">
        <v>11</v>
      </c>
      <c r="AL30" s="9"/>
      <c r="AM30" s="42">
        <v>1481144</v>
      </c>
      <c r="AO30" s="42">
        <v>300190</v>
      </c>
      <c r="AQ30" s="42">
        <v>1038723</v>
      </c>
      <c r="AS30" s="42">
        <v>322669</v>
      </c>
      <c r="AW30" s="42">
        <v>0</v>
      </c>
      <c r="AY30" s="42">
        <f t="shared" si="2"/>
        <v>34696808</v>
      </c>
      <c r="BA30" s="42">
        <f>+'St of Act - GA Rev'!AI30-'St of Activities - GA Exp'!AY30</f>
        <v>17409324</v>
      </c>
      <c r="BC30" s="42">
        <v>14123349</v>
      </c>
      <c r="BE30" s="42">
        <f t="shared" si="3"/>
        <v>31532673</v>
      </c>
      <c r="BG30" s="42">
        <f>+'St of Net Pos - GA'!AE30-'St of Activities - GA Exp'!BE30</f>
        <v>0</v>
      </c>
    </row>
    <row r="31" spans="1:59" ht="12" customHeight="1">
      <c r="A31" s="9" t="s">
        <v>664</v>
      </c>
      <c r="B31" s="9"/>
      <c r="C31" s="9" t="s">
        <v>12</v>
      </c>
      <c r="D31" s="9"/>
      <c r="E31" s="23">
        <v>43513</v>
      </c>
      <c r="G31" s="42">
        <v>17666065</v>
      </c>
      <c r="I31" s="42">
        <v>6313287</v>
      </c>
      <c r="K31" s="42">
        <v>193669</v>
      </c>
      <c r="M31" s="42">
        <v>0</v>
      </c>
      <c r="O31" s="42">
        <v>858350</v>
      </c>
      <c r="Q31" s="42">
        <v>2088856</v>
      </c>
      <c r="S31" s="42">
        <v>2275794</v>
      </c>
      <c r="U31" s="42">
        <v>239190</v>
      </c>
      <c r="W31" s="42">
        <v>2342488</v>
      </c>
      <c r="Y31" s="42">
        <v>807062</v>
      </c>
      <c r="AA31" s="42">
        <v>614281</v>
      </c>
      <c r="AC31" s="42">
        <v>3606910</v>
      </c>
      <c r="AE31" s="42">
        <v>2119315</v>
      </c>
      <c r="AG31" s="42">
        <v>123972</v>
      </c>
      <c r="AI31" s="9" t="s">
        <v>664</v>
      </c>
      <c r="AJ31" s="9"/>
      <c r="AK31" s="9" t="s">
        <v>12</v>
      </c>
      <c r="AL31" s="9"/>
      <c r="AM31" s="42">
        <v>1800837</v>
      </c>
      <c r="AO31" s="42">
        <v>0</v>
      </c>
      <c r="AQ31" s="42">
        <v>782460</v>
      </c>
      <c r="AS31" s="42">
        <v>1331228</v>
      </c>
      <c r="AW31" s="42">
        <f>1219658+78525</f>
        <v>1298183</v>
      </c>
      <c r="AY31" s="42">
        <f t="shared" si="2"/>
        <v>44461947</v>
      </c>
      <c r="BA31" s="42">
        <f>+'St of Act - GA Rev'!AI31-'St of Activities - GA Exp'!AY31</f>
        <v>-1715054</v>
      </c>
      <c r="BC31" s="42">
        <v>95637899</v>
      </c>
      <c r="BE31" s="42">
        <f t="shared" si="3"/>
        <v>93922845</v>
      </c>
      <c r="BG31" s="42">
        <f>+'St of Net Pos - GA'!AE31-'St of Activities - GA Exp'!BE31</f>
        <v>0</v>
      </c>
    </row>
    <row r="32" spans="1:59">
      <c r="A32" s="9" t="s">
        <v>209</v>
      </c>
      <c r="B32" s="9"/>
      <c r="C32" s="9" t="s">
        <v>13</v>
      </c>
      <c r="D32" s="9"/>
      <c r="E32" s="23">
        <v>43521</v>
      </c>
      <c r="G32" s="42">
        <v>18020393</v>
      </c>
      <c r="I32" s="42">
        <v>4028772</v>
      </c>
      <c r="K32" s="42">
        <v>355167</v>
      </c>
      <c r="M32" s="42">
        <v>0</v>
      </c>
      <c r="O32" s="42">
        <v>136099</v>
      </c>
      <c r="Q32" s="42">
        <v>1396533</v>
      </c>
      <c r="S32" s="42">
        <v>2139691</v>
      </c>
      <c r="U32" s="42">
        <v>105858</v>
      </c>
      <c r="W32" s="42">
        <v>1724782</v>
      </c>
      <c r="Y32" s="42">
        <v>674254</v>
      </c>
      <c r="AA32" s="42">
        <v>530625</v>
      </c>
      <c r="AC32" s="42">
        <v>2908958</v>
      </c>
      <c r="AE32" s="42">
        <v>2000573</v>
      </c>
      <c r="AG32" s="42">
        <v>105958</v>
      </c>
      <c r="AI32" s="9" t="s">
        <v>209</v>
      </c>
      <c r="AJ32" s="9"/>
      <c r="AK32" s="9" t="s">
        <v>13</v>
      </c>
      <c r="AL32" s="9"/>
      <c r="AM32" s="42">
        <v>739455</v>
      </c>
      <c r="AO32" s="42">
        <v>4791</v>
      </c>
      <c r="AQ32" s="42">
        <v>498454</v>
      </c>
      <c r="AS32" s="42">
        <v>485943</v>
      </c>
      <c r="AW32" s="42">
        <v>145225</v>
      </c>
      <c r="AY32" s="42">
        <f t="shared" si="2"/>
        <v>36001531</v>
      </c>
      <c r="BA32" s="42">
        <f>+'St of Act - GA Rev'!AI32-'St of Activities - GA Exp'!AY32</f>
        <v>-944520</v>
      </c>
      <c r="BC32" s="42">
        <v>23531102</v>
      </c>
      <c r="BE32" s="42">
        <f t="shared" si="3"/>
        <v>22586582</v>
      </c>
      <c r="BG32" s="42">
        <f>+'St of Net Pos - GA'!AE32-'St of Activities - GA Exp'!BE32</f>
        <v>0</v>
      </c>
    </row>
    <row r="33" spans="1:59">
      <c r="A33" s="9" t="s">
        <v>456</v>
      </c>
      <c r="B33" s="9"/>
      <c r="C33" s="9" t="s">
        <v>56</v>
      </c>
      <c r="D33" s="9"/>
      <c r="E33" s="23">
        <v>49171</v>
      </c>
      <c r="G33" s="42">
        <v>13938482</v>
      </c>
      <c r="I33" s="42">
        <v>3432200</v>
      </c>
      <c r="K33" s="42">
        <v>212355</v>
      </c>
      <c r="M33" s="42">
        <v>0</v>
      </c>
      <c r="O33" s="42">
        <v>1240566</v>
      </c>
      <c r="Q33" s="42">
        <v>1803543</v>
      </c>
      <c r="S33" s="42">
        <v>1616980</v>
      </c>
      <c r="U33" s="42">
        <v>90205</v>
      </c>
      <c r="W33" s="42">
        <v>2227315</v>
      </c>
      <c r="Y33" s="42">
        <v>857686</v>
      </c>
      <c r="AA33" s="42">
        <v>200362</v>
      </c>
      <c r="AC33" s="42">
        <v>2919179</v>
      </c>
      <c r="AE33" s="42">
        <v>1832074</v>
      </c>
      <c r="AG33" s="42">
        <v>88936</v>
      </c>
      <c r="AI33" s="9" t="s">
        <v>456</v>
      </c>
      <c r="AJ33" s="9"/>
      <c r="AK33" s="9" t="s">
        <v>56</v>
      </c>
      <c r="AL33" s="9"/>
      <c r="AM33" s="42">
        <v>814441</v>
      </c>
      <c r="AO33" s="42">
        <v>229638</v>
      </c>
      <c r="AQ33" s="42">
        <v>1185067</v>
      </c>
      <c r="AS33" s="42">
        <v>1335069</v>
      </c>
      <c r="AW33" s="42">
        <v>0</v>
      </c>
      <c r="AY33" s="42">
        <f t="shared" si="2"/>
        <v>34024098</v>
      </c>
      <c r="BA33" s="42">
        <f>+'St of Act - GA Rev'!AI33-'St of Activities - GA Exp'!AY33</f>
        <v>1161041</v>
      </c>
      <c r="BC33" s="42">
        <v>5649976</v>
      </c>
      <c r="BE33" s="42">
        <f t="shared" si="3"/>
        <v>6811017</v>
      </c>
      <c r="BG33" s="42">
        <f>+'St of Net Pos - GA'!AE33-'St of Activities - GA Exp'!BE33</f>
        <v>0</v>
      </c>
    </row>
    <row r="34" spans="1:59">
      <c r="A34" s="9" t="s">
        <v>398</v>
      </c>
      <c r="B34" s="9"/>
      <c r="C34" s="9" t="s">
        <v>45</v>
      </c>
      <c r="D34" s="9"/>
      <c r="E34" s="23">
        <v>48298</v>
      </c>
      <c r="G34" s="42">
        <v>19163737</v>
      </c>
      <c r="I34" s="42">
        <v>5922687</v>
      </c>
      <c r="K34" s="42">
        <v>490228</v>
      </c>
      <c r="M34" s="42">
        <v>0</v>
      </c>
      <c r="O34" s="42">
        <v>2064679</v>
      </c>
      <c r="Q34" s="42">
        <v>2986365</v>
      </c>
      <c r="S34" s="42">
        <v>1512809</v>
      </c>
      <c r="U34" s="42">
        <v>76897</v>
      </c>
      <c r="W34" s="42">
        <v>3910556</v>
      </c>
      <c r="Y34" s="42">
        <v>959253</v>
      </c>
      <c r="AA34" s="42">
        <v>2766</v>
      </c>
      <c r="AC34" s="42">
        <v>4127638</v>
      </c>
      <c r="AE34" s="42">
        <v>2104974</v>
      </c>
      <c r="AG34" s="42">
        <v>34522</v>
      </c>
      <c r="AI34" s="9" t="s">
        <v>398</v>
      </c>
      <c r="AJ34" s="9"/>
      <c r="AK34" s="9" t="s">
        <v>45</v>
      </c>
      <c r="AL34" s="9"/>
      <c r="AM34" s="42">
        <v>2478956</v>
      </c>
      <c r="AO34" s="42">
        <v>153856</v>
      </c>
      <c r="AQ34" s="42">
        <v>1031889</v>
      </c>
      <c r="AS34" s="42">
        <v>2349048</v>
      </c>
      <c r="AW34" s="42">
        <v>0</v>
      </c>
      <c r="AY34" s="42">
        <f t="shared" si="2"/>
        <v>49370860</v>
      </c>
      <c r="BA34" s="42">
        <f>+'St of Act - GA Rev'!AI34-'St of Activities - GA Exp'!AY34</f>
        <v>718239</v>
      </c>
      <c r="BC34" s="42">
        <v>39726632</v>
      </c>
      <c r="BE34" s="42">
        <f t="shared" si="3"/>
        <v>40444871</v>
      </c>
      <c r="BG34" s="42">
        <f>+'St of Net Pos - GA'!AE34-'St of Activities - GA Exp'!BE34</f>
        <v>0</v>
      </c>
    </row>
    <row r="35" spans="1:59">
      <c r="A35" s="9" t="s">
        <v>378</v>
      </c>
      <c r="B35" s="9"/>
      <c r="C35" s="9" t="s">
        <v>44</v>
      </c>
      <c r="D35" s="9"/>
      <c r="E35" s="23">
        <v>48124</v>
      </c>
      <c r="G35" s="42">
        <v>21373667</v>
      </c>
      <c r="I35" s="42">
        <v>3014516</v>
      </c>
      <c r="K35" s="42">
        <v>106982</v>
      </c>
      <c r="M35" s="42">
        <v>12586</v>
      </c>
      <c r="O35" s="42">
        <v>1371889</v>
      </c>
      <c r="Q35" s="42">
        <v>4243694</v>
      </c>
      <c r="S35" s="42">
        <v>968197</v>
      </c>
      <c r="U35" s="42">
        <v>16134</v>
      </c>
      <c r="W35" s="42">
        <v>3195086</v>
      </c>
      <c r="Y35" s="42">
        <v>1068458</v>
      </c>
      <c r="AA35" s="42">
        <v>153061</v>
      </c>
      <c r="AC35" s="42">
        <v>4187039</v>
      </c>
      <c r="AE35" s="42">
        <v>1802544</v>
      </c>
      <c r="AG35" s="42">
        <v>320972</v>
      </c>
      <c r="AI35" s="9" t="s">
        <v>378</v>
      </c>
      <c r="AJ35" s="9"/>
      <c r="AK35" s="9" t="s">
        <v>44</v>
      </c>
      <c r="AL35" s="9"/>
      <c r="AM35" s="42">
        <v>1356079</v>
      </c>
      <c r="AO35" s="42">
        <v>279348</v>
      </c>
      <c r="AQ35" s="42">
        <v>1335805</v>
      </c>
      <c r="AS35" s="42">
        <v>3015472</v>
      </c>
      <c r="AW35" s="42">
        <v>0</v>
      </c>
      <c r="AY35" s="42">
        <f t="shared" si="2"/>
        <v>47821529</v>
      </c>
      <c r="BA35" s="42">
        <f>+'St of Act - GA Rev'!AI35-'St of Activities - GA Exp'!AY35</f>
        <v>-1115691</v>
      </c>
      <c r="BC35" s="42">
        <v>20330645</v>
      </c>
      <c r="BE35" s="42">
        <f t="shared" si="3"/>
        <v>19214954</v>
      </c>
      <c r="BG35" s="42">
        <f>+'St of Net Pos - GA'!AE35-'St of Activities - GA Exp'!BE35</f>
        <v>0</v>
      </c>
    </row>
    <row r="36" spans="1:59">
      <c r="A36" s="9" t="s">
        <v>379</v>
      </c>
      <c r="B36" s="9"/>
      <c r="C36" s="9" t="s">
        <v>44</v>
      </c>
      <c r="D36" s="9"/>
      <c r="E36" s="23">
        <v>48116</v>
      </c>
      <c r="G36" s="42">
        <v>16778026</v>
      </c>
      <c r="I36" s="42">
        <v>5933508</v>
      </c>
      <c r="K36" s="42">
        <v>174913</v>
      </c>
      <c r="M36" s="42">
        <v>0</v>
      </c>
      <c r="O36" s="42">
        <v>752579</v>
      </c>
      <c r="Q36" s="42">
        <v>1191378</v>
      </c>
      <c r="S36" s="42">
        <v>677089</v>
      </c>
      <c r="U36" s="42">
        <v>143000</v>
      </c>
      <c r="W36" s="42">
        <v>2657914</v>
      </c>
      <c r="Y36" s="42">
        <v>1376710</v>
      </c>
      <c r="AA36" s="42">
        <v>-33157</v>
      </c>
      <c r="AC36" s="42">
        <v>2200219</v>
      </c>
      <c r="AE36" s="42">
        <v>1942994</v>
      </c>
      <c r="AG36" s="42">
        <v>103729</v>
      </c>
      <c r="AI36" s="9" t="s">
        <v>379</v>
      </c>
      <c r="AJ36" s="9"/>
      <c r="AK36" s="9" t="s">
        <v>44</v>
      </c>
      <c r="AL36" s="9"/>
      <c r="AM36" s="42">
        <v>786243</v>
      </c>
      <c r="AO36" s="42">
        <f>155754+601645</f>
        <v>757399</v>
      </c>
      <c r="AQ36" s="42">
        <v>1067438</v>
      </c>
      <c r="AS36" s="42">
        <v>2146255</v>
      </c>
      <c r="AW36" s="42">
        <v>0</v>
      </c>
      <c r="AY36" s="42">
        <f t="shared" si="2"/>
        <v>38656237</v>
      </c>
      <c r="BA36" s="42">
        <f>+'St of Act - GA Rev'!AI36-'St of Activities - GA Exp'!AY36</f>
        <v>1427256</v>
      </c>
      <c r="BC36" s="42">
        <v>30673220</v>
      </c>
      <c r="BE36" s="42">
        <f t="shared" si="3"/>
        <v>32100476</v>
      </c>
      <c r="BG36" s="42">
        <f>+'St of Net Pos - GA'!AE36-'St of Activities - GA Exp'!BE36</f>
        <v>0</v>
      </c>
    </row>
    <row r="37" spans="1:59">
      <c r="A37" s="9" t="s">
        <v>281</v>
      </c>
      <c r="B37" s="9"/>
      <c r="C37" s="9" t="s">
        <v>22</v>
      </c>
      <c r="D37" s="9"/>
      <c r="E37" s="23">
        <v>46706</v>
      </c>
      <c r="G37" s="42">
        <v>4035456</v>
      </c>
      <c r="I37" s="42">
        <v>521198</v>
      </c>
      <c r="K37" s="42">
        <v>66435</v>
      </c>
      <c r="M37" s="42">
        <v>0</v>
      </c>
      <c r="O37" s="42">
        <v>445253</v>
      </c>
      <c r="Q37" s="42">
        <v>362237</v>
      </c>
      <c r="S37" s="42">
        <v>341310</v>
      </c>
      <c r="U37" s="42">
        <v>23406</v>
      </c>
      <c r="W37" s="42">
        <v>589422</v>
      </c>
      <c r="Y37" s="42">
        <v>319742</v>
      </c>
      <c r="AA37" s="42">
        <v>0</v>
      </c>
      <c r="AC37" s="42">
        <v>663140</v>
      </c>
      <c r="AE37" s="42">
        <v>311912</v>
      </c>
      <c r="AG37" s="42">
        <v>39114</v>
      </c>
      <c r="AI37" s="9" t="s">
        <v>281</v>
      </c>
      <c r="AJ37" s="9"/>
      <c r="AK37" s="9" t="s">
        <v>22</v>
      </c>
      <c r="AL37" s="9"/>
      <c r="AM37" s="42">
        <v>380829</v>
      </c>
      <c r="AO37" s="42">
        <v>141021</v>
      </c>
      <c r="AQ37" s="42">
        <v>447217</v>
      </c>
      <c r="AS37" s="42">
        <v>6218</v>
      </c>
      <c r="AW37" s="42">
        <v>5191</v>
      </c>
      <c r="AY37" s="42">
        <f t="shared" si="2"/>
        <v>8699101</v>
      </c>
      <c r="BA37" s="42">
        <f>+'St of Act - GA Rev'!AI37-'St of Activities - GA Exp'!AY37</f>
        <v>-270927</v>
      </c>
      <c r="BC37" s="42">
        <v>5844708</v>
      </c>
      <c r="BE37" s="42">
        <f t="shared" si="3"/>
        <v>5573781</v>
      </c>
      <c r="BG37" s="42">
        <f>+'St of Net Pos - GA'!AE37-'St of Activities - GA Exp'!BE37</f>
        <v>0</v>
      </c>
    </row>
    <row r="38" spans="1:59">
      <c r="A38" s="9" t="s">
        <v>503</v>
      </c>
      <c r="B38" s="9"/>
      <c r="C38" s="9" t="s">
        <v>63</v>
      </c>
      <c r="D38" s="9"/>
      <c r="E38" s="23">
        <v>43539</v>
      </c>
      <c r="G38" s="42">
        <v>17698383</v>
      </c>
      <c r="I38" s="42">
        <v>6267484</v>
      </c>
      <c r="K38" s="42">
        <v>1195459</v>
      </c>
      <c r="M38" s="42">
        <v>0</v>
      </c>
      <c r="O38" s="42">
        <v>4921133</v>
      </c>
      <c r="Q38" s="42">
        <v>2356487</v>
      </c>
      <c r="S38" s="42">
        <v>1575507</v>
      </c>
      <c r="U38" s="42">
        <v>28193</v>
      </c>
      <c r="W38" s="42">
        <v>2972571</v>
      </c>
      <c r="Y38" s="42">
        <v>389834</v>
      </c>
      <c r="AA38" s="42">
        <v>258457</v>
      </c>
      <c r="AC38" s="42">
        <v>4488266</v>
      </c>
      <c r="AE38" s="42">
        <v>1224932</v>
      </c>
      <c r="AG38" s="42">
        <v>101885</v>
      </c>
      <c r="AI38" s="9" t="s">
        <v>503</v>
      </c>
      <c r="AJ38" s="9"/>
      <c r="AK38" s="9" t="s">
        <v>63</v>
      </c>
      <c r="AL38" s="9"/>
      <c r="AM38" s="42">
        <v>2321890</v>
      </c>
      <c r="AO38" s="42">
        <v>283415</v>
      </c>
      <c r="AQ38" s="42">
        <v>1851658</v>
      </c>
      <c r="AS38" s="42">
        <v>2953557</v>
      </c>
      <c r="AW38" s="42">
        <v>0</v>
      </c>
      <c r="AY38" s="42">
        <f t="shared" si="2"/>
        <v>50889111</v>
      </c>
      <c r="BA38" s="42">
        <f>+'St of Act - GA Rev'!AI38-'St of Activities - GA Exp'!AY38</f>
        <v>-3007014</v>
      </c>
      <c r="BC38" s="42">
        <v>81865189</v>
      </c>
      <c r="BE38" s="42">
        <f t="shared" si="3"/>
        <v>78858175</v>
      </c>
      <c r="BG38" s="42">
        <f>+'St of Net Pos - GA'!AE38-'St of Activities - GA Exp'!BE38</f>
        <v>0</v>
      </c>
    </row>
    <row r="39" spans="1:59">
      <c r="A39" s="9" t="s">
        <v>744</v>
      </c>
      <c r="B39" s="9"/>
      <c r="C39" s="9" t="s">
        <v>15</v>
      </c>
      <c r="D39" s="9"/>
      <c r="E39" s="23">
        <v>45203</v>
      </c>
      <c r="G39" s="42">
        <v>5319293</v>
      </c>
      <c r="I39" s="42">
        <v>1385923</v>
      </c>
      <c r="K39" s="42">
        <v>167193</v>
      </c>
      <c r="M39" s="42">
        <v>0</v>
      </c>
      <c r="O39" s="42">
        <v>257685</v>
      </c>
      <c r="Q39" s="42">
        <v>895729</v>
      </c>
      <c r="S39" s="42">
        <v>464477</v>
      </c>
      <c r="U39" s="42">
        <v>95679</v>
      </c>
      <c r="W39" s="42">
        <v>581096</v>
      </c>
      <c r="Y39" s="42">
        <v>450497</v>
      </c>
      <c r="AA39" s="42">
        <v>23476</v>
      </c>
      <c r="AC39" s="42">
        <v>1263337</v>
      </c>
      <c r="AE39" s="42">
        <v>574349</v>
      </c>
      <c r="AG39" s="42">
        <v>80024</v>
      </c>
      <c r="AI39" s="9" t="s">
        <v>744</v>
      </c>
      <c r="AJ39" s="9"/>
      <c r="AK39" s="9" t="s">
        <v>15</v>
      </c>
      <c r="AL39" s="9"/>
      <c r="AM39" s="42">
        <v>404682</v>
      </c>
      <c r="AO39" s="42">
        <v>9862</v>
      </c>
      <c r="AQ39" s="42">
        <v>261732</v>
      </c>
      <c r="AS39" s="42">
        <v>184602</v>
      </c>
      <c r="AW39" s="42">
        <v>0</v>
      </c>
      <c r="AY39" s="42">
        <f t="shared" si="2"/>
        <v>12419636</v>
      </c>
      <c r="BA39" s="42">
        <f>+'St of Act - GA Rev'!AI39-'St of Activities - GA Exp'!AY39</f>
        <v>873052</v>
      </c>
      <c r="BC39" s="42">
        <v>15797844</v>
      </c>
      <c r="BE39" s="42">
        <f t="shared" si="3"/>
        <v>16670896</v>
      </c>
      <c r="BG39" s="42">
        <f>+'St of Net Pos - GA'!AE39-'St of Activities - GA Exp'!BE39</f>
        <v>0</v>
      </c>
    </row>
    <row r="40" spans="1:59">
      <c r="A40" s="9" t="s">
        <v>235</v>
      </c>
      <c r="B40" s="9"/>
      <c r="C40" s="9" t="s">
        <v>112</v>
      </c>
      <c r="D40" s="9"/>
      <c r="E40" s="23">
        <v>46300</v>
      </c>
      <c r="G40" s="42">
        <v>8635501</v>
      </c>
      <c r="I40" s="42">
        <v>5771847</v>
      </c>
      <c r="K40" s="42">
        <v>0</v>
      </c>
      <c r="M40" s="42">
        <v>0</v>
      </c>
      <c r="O40" s="42">
        <v>11623</v>
      </c>
      <c r="Q40" s="42">
        <v>417826</v>
      </c>
      <c r="S40" s="42">
        <v>271539</v>
      </c>
      <c r="U40" s="42">
        <v>233854</v>
      </c>
      <c r="W40" s="42">
        <v>1313392</v>
      </c>
      <c r="Y40" s="42">
        <v>543542</v>
      </c>
      <c r="AA40" s="42">
        <v>0</v>
      </c>
      <c r="AC40" s="42">
        <v>1407206</v>
      </c>
      <c r="AE40" s="42">
        <v>1778613</v>
      </c>
      <c r="AG40" s="42">
        <v>26775</v>
      </c>
      <c r="AI40" s="9" t="s">
        <v>235</v>
      </c>
      <c r="AJ40" s="9"/>
      <c r="AK40" s="9" t="s">
        <v>112</v>
      </c>
      <c r="AL40" s="9"/>
      <c r="AM40" s="42">
        <v>0</v>
      </c>
      <c r="AO40" s="42">
        <v>0</v>
      </c>
      <c r="AQ40" s="42">
        <v>420021</v>
      </c>
      <c r="AS40" s="42">
        <v>607832</v>
      </c>
      <c r="AW40" s="42">
        <v>0</v>
      </c>
      <c r="AY40" s="42">
        <f t="shared" si="2"/>
        <v>21439571</v>
      </c>
      <c r="BA40" s="42">
        <f>+'St of Act - GA Rev'!AI40-'St of Activities - GA Exp'!AY40</f>
        <v>-858107</v>
      </c>
      <c r="BC40" s="42">
        <v>3335159</v>
      </c>
      <c r="BE40" s="42">
        <f t="shared" si="3"/>
        <v>2477052</v>
      </c>
      <c r="BG40" s="42">
        <f>+'St of Net Pos - GA'!AE40-'St of Activities - GA Exp'!BE40</f>
        <v>0</v>
      </c>
    </row>
    <row r="41" spans="1:59" ht="12" hidden="1" customHeight="1">
      <c r="A41" s="9" t="s">
        <v>666</v>
      </c>
      <c r="B41" s="9"/>
      <c r="C41" s="9" t="s">
        <v>10</v>
      </c>
      <c r="D41" s="9"/>
      <c r="E41" s="23">
        <v>45765</v>
      </c>
      <c r="G41" s="42">
        <v>0</v>
      </c>
      <c r="I41" s="42">
        <v>0</v>
      </c>
      <c r="K41" s="42">
        <v>0</v>
      </c>
      <c r="M41" s="42">
        <v>0</v>
      </c>
      <c r="O41" s="42">
        <v>0</v>
      </c>
      <c r="Q41" s="42">
        <v>0</v>
      </c>
      <c r="S41" s="42">
        <v>0</v>
      </c>
      <c r="U41" s="42">
        <v>0</v>
      </c>
      <c r="W41" s="42">
        <v>0</v>
      </c>
      <c r="Y41" s="42">
        <v>0</v>
      </c>
      <c r="AA41" s="42">
        <v>0</v>
      </c>
      <c r="AC41" s="42">
        <v>0</v>
      </c>
      <c r="AE41" s="42">
        <v>0</v>
      </c>
      <c r="AG41" s="42">
        <v>0</v>
      </c>
      <c r="AI41" s="9" t="s">
        <v>666</v>
      </c>
      <c r="AJ41" s="9"/>
      <c r="AK41" s="9" t="s">
        <v>10</v>
      </c>
      <c r="AL41" s="9"/>
      <c r="AM41" s="42">
        <v>0</v>
      </c>
      <c r="AO41" s="42">
        <v>0</v>
      </c>
      <c r="AQ41" s="42">
        <v>0</v>
      </c>
      <c r="AS41" s="42">
        <v>0</v>
      </c>
      <c r="AW41" s="42">
        <v>0</v>
      </c>
      <c r="AY41" s="42">
        <f t="shared" si="2"/>
        <v>0</v>
      </c>
      <c r="BA41" s="42">
        <f>+'St of Act - GA Rev'!AI41-'St of Activities - GA Exp'!AY41</f>
        <v>0</v>
      </c>
      <c r="BC41" s="42">
        <v>0</v>
      </c>
      <c r="BE41" s="42">
        <f t="shared" si="3"/>
        <v>0</v>
      </c>
      <c r="BG41" s="42">
        <f>+'St of Net Pos - GA'!AE41-'St of Activities - GA Exp'!BE41</f>
        <v>0</v>
      </c>
    </row>
    <row r="42" spans="1:59" ht="12" customHeight="1">
      <c r="A42" s="9" t="s">
        <v>629</v>
      </c>
      <c r="B42" s="9"/>
      <c r="C42" s="9" t="s">
        <v>20</v>
      </c>
      <c r="D42" s="9"/>
      <c r="E42" s="23">
        <v>43547</v>
      </c>
      <c r="G42" s="42">
        <v>13865429</v>
      </c>
      <c r="I42" s="42">
        <v>2359657</v>
      </c>
      <c r="K42" s="42">
        <v>378129</v>
      </c>
      <c r="M42" s="42">
        <v>0</v>
      </c>
      <c r="O42" s="42">
        <v>1301574</v>
      </c>
      <c r="Q42" s="42">
        <v>3148174</v>
      </c>
      <c r="S42" s="42">
        <v>782800</v>
      </c>
      <c r="U42" s="42">
        <v>72708</v>
      </c>
      <c r="W42" s="42">
        <v>2361295</v>
      </c>
      <c r="Y42" s="42">
        <v>1140588</v>
      </c>
      <c r="AA42" s="42">
        <v>439453</v>
      </c>
      <c r="AC42" s="42">
        <v>3085144</v>
      </c>
      <c r="AE42" s="42">
        <v>882807</v>
      </c>
      <c r="AG42" s="42">
        <v>464938</v>
      </c>
      <c r="AI42" s="9" t="s">
        <v>629</v>
      </c>
      <c r="AJ42" s="9"/>
      <c r="AK42" s="9" t="s">
        <v>20</v>
      </c>
      <c r="AL42" s="9"/>
      <c r="AM42" s="42">
        <v>852645</v>
      </c>
      <c r="AO42" s="42">
        <f>792115+825481</f>
        <v>1617596</v>
      </c>
      <c r="AQ42" s="42">
        <f>85817+834339+212354</f>
        <v>1132510</v>
      </c>
      <c r="AS42" s="42">
        <v>749933</v>
      </c>
      <c r="AW42" s="42">
        <v>0</v>
      </c>
      <c r="AY42" s="42">
        <f t="shared" si="2"/>
        <v>34635380</v>
      </c>
      <c r="BA42" s="42">
        <f>+'St of Act - GA Rev'!AI42-'St of Activities - GA Exp'!AY42</f>
        <v>1326367</v>
      </c>
      <c r="BC42" s="42">
        <v>21370481</v>
      </c>
      <c r="BE42" s="42">
        <f t="shared" si="3"/>
        <v>22696848</v>
      </c>
      <c r="BG42" s="42">
        <f>+'St of Net Pos - GA'!AE42-'St of Activities - GA Exp'!BE42</f>
        <v>0</v>
      </c>
    </row>
    <row r="43" spans="1:59">
      <c r="A43" s="9" t="s">
        <v>259</v>
      </c>
      <c r="B43" s="9"/>
      <c r="C43" s="9" t="s">
        <v>20</v>
      </c>
      <c r="D43" s="9"/>
      <c r="E43" s="23">
        <v>43554</v>
      </c>
      <c r="G43" s="42">
        <v>12322813</v>
      </c>
      <c r="I43" s="42">
        <v>6073357</v>
      </c>
      <c r="K43" s="42">
        <v>1306835</v>
      </c>
      <c r="M43" s="42">
        <v>101993</v>
      </c>
      <c r="O43" s="42">
        <v>267839</v>
      </c>
      <c r="Q43" s="42">
        <v>2659540</v>
      </c>
      <c r="S43" s="42">
        <v>1383760</v>
      </c>
      <c r="U43" s="42">
        <v>606698</v>
      </c>
      <c r="W43" s="42">
        <v>2425348</v>
      </c>
      <c r="Y43" s="42">
        <v>789311</v>
      </c>
      <c r="AA43" s="42">
        <v>418499</v>
      </c>
      <c r="AC43" s="42">
        <v>3481534</v>
      </c>
      <c r="AE43" s="42">
        <v>2011020</v>
      </c>
      <c r="AG43" s="42">
        <v>375875</v>
      </c>
      <c r="AI43" s="9" t="s">
        <v>259</v>
      </c>
      <c r="AJ43" s="9"/>
      <c r="AK43" s="9" t="s">
        <v>20</v>
      </c>
      <c r="AL43" s="9"/>
      <c r="AM43" s="42">
        <v>535990</v>
      </c>
      <c r="AO43" s="42">
        <v>1026023</v>
      </c>
      <c r="AQ43" s="42">
        <v>1224793</v>
      </c>
      <c r="AS43" s="42">
        <v>2093321</v>
      </c>
      <c r="AW43" s="42">
        <v>0</v>
      </c>
      <c r="AY43" s="42">
        <f t="shared" si="2"/>
        <v>39104549</v>
      </c>
      <c r="BA43" s="42">
        <f>+'St of Act - GA Rev'!AI43-'St of Activities - GA Exp'!AY43</f>
        <v>6876376</v>
      </c>
      <c r="BC43" s="42">
        <v>41226240</v>
      </c>
      <c r="BE43" s="42">
        <f t="shared" si="3"/>
        <v>48102616</v>
      </c>
      <c r="BG43" s="42">
        <f>+'St of Net Pos - GA'!AE43-'St of Activities - GA Exp'!BE43</f>
        <v>0</v>
      </c>
    </row>
    <row r="44" spans="1:59">
      <c r="A44" s="9" t="s">
        <v>244</v>
      </c>
      <c r="B44" s="9"/>
      <c r="C44" s="9" t="s">
        <v>111</v>
      </c>
      <c r="D44" s="9"/>
      <c r="E44" s="23">
        <v>46425</v>
      </c>
      <c r="G44" s="42">
        <v>10209536</v>
      </c>
      <c r="I44" s="42">
        <v>1964364</v>
      </c>
      <c r="K44" s="42">
        <v>8136</v>
      </c>
      <c r="M44" s="42">
        <v>0</v>
      </c>
      <c r="O44" s="42">
        <v>11490</v>
      </c>
      <c r="Q44" s="42">
        <v>404418</v>
      </c>
      <c r="S44" s="42">
        <v>671092</v>
      </c>
      <c r="U44" s="42">
        <v>27595</v>
      </c>
      <c r="W44" s="42">
        <v>1410747</v>
      </c>
      <c r="Y44" s="42">
        <v>452574</v>
      </c>
      <c r="AA44" s="42">
        <v>0</v>
      </c>
      <c r="AC44" s="42">
        <v>1419298</v>
      </c>
      <c r="AE44" s="42">
        <v>1343361</v>
      </c>
      <c r="AG44" s="42">
        <v>70561</v>
      </c>
      <c r="AI44" s="9" t="s">
        <v>244</v>
      </c>
      <c r="AJ44" s="9"/>
      <c r="AK44" s="9" t="s">
        <v>111</v>
      </c>
      <c r="AL44" s="9"/>
      <c r="AM44" s="42">
        <v>0</v>
      </c>
      <c r="AO44" s="42">
        <v>820794</v>
      </c>
      <c r="AQ44" s="42">
        <v>539581</v>
      </c>
      <c r="AS44" s="42">
        <v>111125</v>
      </c>
      <c r="AW44" s="42">
        <f>664637+240347</f>
        <v>904984</v>
      </c>
      <c r="AY44" s="42">
        <f t="shared" si="2"/>
        <v>20369656</v>
      </c>
      <c r="BA44" s="42">
        <f>+'St of Act - GA Rev'!AI44-'St of Activities - GA Exp'!AY44</f>
        <v>3187221</v>
      </c>
      <c r="BC44" s="42">
        <v>2989313</v>
      </c>
      <c r="BE44" s="42">
        <f t="shared" si="3"/>
        <v>6176534</v>
      </c>
      <c r="BG44" s="42">
        <f>+'St of Net Pos - GA'!AE44-'St of Activities - GA Exp'!BE44</f>
        <v>0</v>
      </c>
    </row>
    <row r="45" spans="1:59">
      <c r="A45" s="9" t="s">
        <v>315</v>
      </c>
      <c r="B45" s="9"/>
      <c r="C45" s="9" t="s">
        <v>113</v>
      </c>
      <c r="D45" s="9"/>
      <c r="E45" s="23">
        <v>47241</v>
      </c>
      <c r="G45" s="42">
        <v>30468251</v>
      </c>
      <c r="I45" s="42">
        <v>10205428</v>
      </c>
      <c r="K45" s="42">
        <v>213554</v>
      </c>
      <c r="M45" s="42">
        <v>0</v>
      </c>
      <c r="O45" s="42">
        <f>553702+1865487</f>
        <v>2419189</v>
      </c>
      <c r="Q45" s="42">
        <v>4661005</v>
      </c>
      <c r="S45" s="42">
        <v>5023282</v>
      </c>
      <c r="U45" s="42">
        <v>69763</v>
      </c>
      <c r="W45" s="42">
        <v>4488671</v>
      </c>
      <c r="Y45" s="42">
        <v>1296248</v>
      </c>
      <c r="AA45" s="42">
        <v>387267</v>
      </c>
      <c r="AC45" s="42">
        <v>5451678</v>
      </c>
      <c r="AE45" s="42">
        <v>4897731</v>
      </c>
      <c r="AG45" s="42">
        <v>2937261</v>
      </c>
      <c r="AI45" s="9" t="s">
        <v>315</v>
      </c>
      <c r="AJ45" s="9"/>
      <c r="AK45" s="9" t="s">
        <v>113</v>
      </c>
      <c r="AL45" s="9"/>
      <c r="AM45" s="42">
        <v>2256533</v>
      </c>
      <c r="AO45" s="42">
        <v>986225</v>
      </c>
      <c r="AQ45" s="42">
        <f>428809+1251331+30896</f>
        <v>1711036</v>
      </c>
      <c r="AS45" s="42">
        <v>4091239</v>
      </c>
      <c r="AW45" s="42">
        <v>0</v>
      </c>
      <c r="AY45" s="42">
        <f t="shared" si="2"/>
        <v>81564361</v>
      </c>
      <c r="BA45" s="42">
        <f>+'St of Act - GA Rev'!AI45-'St of Activities - GA Exp'!AY45</f>
        <v>2991781</v>
      </c>
      <c r="BC45" s="42">
        <v>28306212</v>
      </c>
      <c r="BE45" s="42">
        <f t="shared" si="3"/>
        <v>31297993</v>
      </c>
      <c r="BG45" s="42">
        <f>+'St of Net Pos - GA'!AE45-'St of Activities - GA Exp'!BE45</f>
        <v>0</v>
      </c>
    </row>
    <row r="46" spans="1:59">
      <c r="A46" s="9" t="s">
        <v>260</v>
      </c>
      <c r="B46" s="9"/>
      <c r="C46" s="9" t="s">
        <v>20</v>
      </c>
      <c r="D46" s="9"/>
      <c r="E46" s="23">
        <v>43562</v>
      </c>
      <c r="G46" s="42">
        <v>19736293</v>
      </c>
      <c r="I46" s="42">
        <v>5570917</v>
      </c>
      <c r="K46" s="42">
        <v>828880</v>
      </c>
      <c r="M46" s="42">
        <v>0</v>
      </c>
      <c r="O46" s="42">
        <v>8706</v>
      </c>
      <c r="Q46" s="42">
        <v>3100843</v>
      </c>
      <c r="S46" s="42">
        <v>2757306</v>
      </c>
      <c r="U46" s="42">
        <v>112719</v>
      </c>
      <c r="W46" s="42">
        <v>4082538</v>
      </c>
      <c r="Y46" s="42">
        <v>1322669</v>
      </c>
      <c r="AA46" s="42">
        <v>626937</v>
      </c>
      <c r="AC46" s="42">
        <v>5446838</v>
      </c>
      <c r="AE46" s="42">
        <v>3750760</v>
      </c>
      <c r="AG46" s="42">
        <v>196221</v>
      </c>
      <c r="AI46" s="9" t="s">
        <v>260</v>
      </c>
      <c r="AJ46" s="9"/>
      <c r="AK46" s="9" t="s">
        <v>20</v>
      </c>
      <c r="AL46" s="9"/>
      <c r="AM46" s="42">
        <v>1843501</v>
      </c>
      <c r="AO46" s="42">
        <v>352216</v>
      </c>
      <c r="AQ46" s="42">
        <v>903193</v>
      </c>
      <c r="AS46" s="42">
        <v>209526</v>
      </c>
      <c r="AW46" s="42">
        <v>0</v>
      </c>
      <c r="AY46" s="42">
        <f t="shared" si="2"/>
        <v>50850063</v>
      </c>
      <c r="BA46" s="42">
        <f>+'St of Act - GA Rev'!AI46-'St of Activities - GA Exp'!AY46</f>
        <v>-1958182</v>
      </c>
      <c r="BC46" s="42">
        <v>39723299</v>
      </c>
      <c r="BE46" s="42">
        <f t="shared" si="3"/>
        <v>37765117</v>
      </c>
      <c r="BG46" s="42">
        <f>+'St of Net Pos - GA'!AE46-'St of Activities - GA Exp'!BE46</f>
        <v>0</v>
      </c>
    </row>
    <row r="47" spans="1:59">
      <c r="A47" s="9" t="s">
        <v>214</v>
      </c>
      <c r="B47" s="9"/>
      <c r="C47" s="9" t="s">
        <v>15</v>
      </c>
      <c r="D47" s="9"/>
      <c r="E47" s="23">
        <v>43570</v>
      </c>
      <c r="G47" s="42">
        <v>5885648</v>
      </c>
      <c r="I47" s="42">
        <v>1602519</v>
      </c>
      <c r="K47" s="42">
        <v>113896</v>
      </c>
      <c r="M47" s="42">
        <v>0</v>
      </c>
      <c r="O47" s="42">
        <v>107789</v>
      </c>
      <c r="Q47" s="42">
        <v>1373879</v>
      </c>
      <c r="S47" s="42">
        <v>747238</v>
      </c>
      <c r="U47" s="42">
        <v>22174</v>
      </c>
      <c r="W47" s="42">
        <v>949240</v>
      </c>
      <c r="Y47" s="42">
        <v>450185</v>
      </c>
      <c r="AA47" s="42">
        <v>0</v>
      </c>
      <c r="AC47" s="42">
        <v>1357592</v>
      </c>
      <c r="AE47" s="42">
        <v>989254</v>
      </c>
      <c r="AG47" s="42">
        <v>9382</v>
      </c>
      <c r="AI47" s="9" t="s">
        <v>214</v>
      </c>
      <c r="AJ47" s="9"/>
      <c r="AK47" s="9" t="s">
        <v>15</v>
      </c>
      <c r="AL47" s="9"/>
      <c r="AM47" s="42">
        <v>571223</v>
      </c>
      <c r="AO47" s="42">
        <v>165451</v>
      </c>
      <c r="AQ47" s="42">
        <v>338630</v>
      </c>
      <c r="AS47" s="42">
        <v>142723</v>
      </c>
      <c r="AW47" s="42">
        <v>0</v>
      </c>
      <c r="AY47" s="42">
        <f t="shared" si="2"/>
        <v>14826823</v>
      </c>
      <c r="BA47" s="42">
        <f>+'St of Act - GA Rev'!AI47-'St of Activities - GA Exp'!AY47</f>
        <v>1960861</v>
      </c>
      <c r="BC47" s="42">
        <v>16823858</v>
      </c>
      <c r="BE47" s="42">
        <f t="shared" si="3"/>
        <v>18784719</v>
      </c>
      <c r="BG47" s="42">
        <f>+'St of Net Pos - GA'!AE47-'St of Activities - GA Exp'!BE47</f>
        <v>0</v>
      </c>
    </row>
    <row r="48" spans="1:59">
      <c r="A48" s="9" t="s">
        <v>729</v>
      </c>
      <c r="B48" s="9"/>
      <c r="C48" s="9" t="s">
        <v>113</v>
      </c>
      <c r="D48" s="9"/>
      <c r="E48" s="23">
        <v>47274</v>
      </c>
      <c r="G48" s="42">
        <v>10995113</v>
      </c>
      <c r="I48" s="42">
        <v>3079146</v>
      </c>
      <c r="K48" s="42">
        <v>6963</v>
      </c>
      <c r="M48" s="42">
        <v>0</v>
      </c>
      <c r="O48" s="42">
        <v>0</v>
      </c>
      <c r="Q48" s="42">
        <v>1514274</v>
      </c>
      <c r="S48" s="42">
        <v>981377</v>
      </c>
      <c r="U48" s="42">
        <v>39716</v>
      </c>
      <c r="W48" s="42">
        <v>1894925</v>
      </c>
      <c r="Y48" s="42">
        <v>607271</v>
      </c>
      <c r="AA48" s="42">
        <v>199083</v>
      </c>
      <c r="AC48" s="42">
        <v>2780619</v>
      </c>
      <c r="AE48" s="42">
        <v>1528727</v>
      </c>
      <c r="AG48" s="42">
        <v>67968</v>
      </c>
      <c r="AI48" s="9" t="s">
        <v>729</v>
      </c>
      <c r="AJ48" s="9"/>
      <c r="AK48" s="9" t="s">
        <v>113</v>
      </c>
      <c r="AL48" s="9"/>
      <c r="AM48" s="42">
        <v>0</v>
      </c>
      <c r="AO48" s="42">
        <v>749530</v>
      </c>
      <c r="AQ48" s="42">
        <v>1335943</v>
      </c>
      <c r="AS48" s="42">
        <v>2087468</v>
      </c>
      <c r="AW48" s="42">
        <v>1809220</v>
      </c>
      <c r="AY48" s="42">
        <f t="shared" si="2"/>
        <v>29677343</v>
      </c>
      <c r="BA48" s="42">
        <f>+'St of Act - GA Rev'!AI48-'St of Activities - GA Exp'!AY48</f>
        <v>346194</v>
      </c>
      <c r="BC48" s="42">
        <v>6277076</v>
      </c>
      <c r="BE48" s="42">
        <f t="shared" si="3"/>
        <v>6623270</v>
      </c>
      <c r="BG48" s="42">
        <f>+'St of Net Pos - GA'!AE48-'St of Activities - GA Exp'!BE48</f>
        <v>0</v>
      </c>
    </row>
    <row r="49" spans="1:59" ht="12" hidden="1" customHeight="1">
      <c r="A49" s="9" t="s">
        <v>873</v>
      </c>
      <c r="B49" s="9"/>
      <c r="C49" s="9" t="s">
        <v>43</v>
      </c>
      <c r="D49" s="9"/>
      <c r="E49" s="23">
        <v>43588</v>
      </c>
      <c r="G49" s="42">
        <v>0</v>
      </c>
      <c r="I49" s="42">
        <v>0</v>
      </c>
      <c r="K49" s="42">
        <v>0</v>
      </c>
      <c r="M49" s="42">
        <v>0</v>
      </c>
      <c r="O49" s="42">
        <v>0</v>
      </c>
      <c r="Q49" s="42">
        <v>0</v>
      </c>
      <c r="S49" s="42">
        <v>0</v>
      </c>
      <c r="U49" s="42">
        <v>0</v>
      </c>
      <c r="W49" s="42">
        <v>0</v>
      </c>
      <c r="Y49" s="42">
        <v>0</v>
      </c>
      <c r="AA49" s="42">
        <v>0</v>
      </c>
      <c r="AC49" s="42">
        <v>0</v>
      </c>
      <c r="AE49" s="42">
        <v>0</v>
      </c>
      <c r="AG49" s="42">
        <v>0</v>
      </c>
      <c r="AI49" s="9" t="s">
        <v>873</v>
      </c>
      <c r="AJ49" s="9"/>
      <c r="AK49" s="9" t="s">
        <v>43</v>
      </c>
      <c r="AL49" s="9"/>
      <c r="AM49" s="42">
        <v>0</v>
      </c>
      <c r="AO49" s="42">
        <v>0</v>
      </c>
      <c r="AQ49" s="42">
        <v>0</v>
      </c>
      <c r="AS49" s="42">
        <v>0</v>
      </c>
      <c r="AW49" s="42">
        <v>0</v>
      </c>
      <c r="AY49" s="42">
        <f t="shared" ref="AY49" si="6">SUM(G49:AX49)</f>
        <v>0</v>
      </c>
      <c r="BA49" s="42">
        <f>+'St of Act - GA Rev'!AI49-'St of Activities - GA Exp'!AY49</f>
        <v>0</v>
      </c>
      <c r="BC49" s="42">
        <v>0</v>
      </c>
      <c r="BE49" s="42">
        <f t="shared" ref="BE49" si="7">+BA49+BC49</f>
        <v>0</v>
      </c>
      <c r="BG49" s="42">
        <f>+'St of Net Pos - GA'!AE49-'St of Activities - GA Exp'!BE49</f>
        <v>0</v>
      </c>
    </row>
    <row r="50" spans="1:59">
      <c r="A50" s="9" t="s">
        <v>353</v>
      </c>
      <c r="B50" s="9"/>
      <c r="C50" s="9" t="s">
        <v>37</v>
      </c>
      <c r="D50" s="9"/>
      <c r="E50" s="23">
        <v>43596</v>
      </c>
      <c r="G50" s="42">
        <v>7710364</v>
      </c>
      <c r="I50" s="42">
        <v>3262351</v>
      </c>
      <c r="K50" s="42">
        <v>468797</v>
      </c>
      <c r="M50" s="42">
        <v>10582</v>
      </c>
      <c r="O50" s="42">
        <v>1208512</v>
      </c>
      <c r="Q50" s="42">
        <v>1228824</v>
      </c>
      <c r="S50" s="42">
        <v>1151213</v>
      </c>
      <c r="U50" s="42">
        <v>21031</v>
      </c>
      <c r="W50" s="42">
        <v>1546916</v>
      </c>
      <c r="Y50" s="42">
        <v>622308</v>
      </c>
      <c r="AA50" s="42">
        <v>7067</v>
      </c>
      <c r="AC50" s="42">
        <v>2750721</v>
      </c>
      <c r="AE50" s="42">
        <v>1038655</v>
      </c>
      <c r="AG50" s="42">
        <v>71822</v>
      </c>
      <c r="AI50" s="9" t="s">
        <v>353</v>
      </c>
      <c r="AJ50" s="9"/>
      <c r="AK50" s="9" t="s">
        <v>37</v>
      </c>
      <c r="AL50" s="9"/>
      <c r="AM50" s="42">
        <v>824040</v>
      </c>
      <c r="AO50" s="42">
        <v>161294</v>
      </c>
      <c r="AQ50" s="42">
        <v>687755</v>
      </c>
      <c r="AS50" s="42">
        <v>1010272</v>
      </c>
      <c r="AW50" s="42">
        <v>0</v>
      </c>
      <c r="AY50" s="42">
        <f t="shared" si="2"/>
        <v>23782524</v>
      </c>
      <c r="BA50" s="42">
        <f>+'St of Act - GA Rev'!AI50-'St of Activities - GA Exp'!AY50</f>
        <v>-243632</v>
      </c>
      <c r="BC50" s="42">
        <v>28128638</v>
      </c>
      <c r="BE50" s="42">
        <f t="shared" si="3"/>
        <v>27885006</v>
      </c>
      <c r="BG50" s="42">
        <f>+'St of Net Pos - GA'!AE50-'St of Activities - GA Exp'!BE50</f>
        <v>0</v>
      </c>
    </row>
    <row r="51" spans="1:59">
      <c r="A51" s="9" t="s">
        <v>543</v>
      </c>
      <c r="B51" s="9"/>
      <c r="C51" s="9" t="s">
        <v>70</v>
      </c>
      <c r="D51" s="9"/>
      <c r="E51" s="23">
        <v>43604</v>
      </c>
      <c r="G51" s="42">
        <v>3544995</v>
      </c>
      <c r="I51" s="42">
        <v>2110841</v>
      </c>
      <c r="K51" s="42">
        <v>172</v>
      </c>
      <c r="M51" s="42">
        <v>0</v>
      </c>
      <c r="O51" s="42">
        <v>910139</v>
      </c>
      <c r="Q51" s="42">
        <v>545847</v>
      </c>
      <c r="S51" s="42">
        <v>456824</v>
      </c>
      <c r="U51" s="42">
        <v>55113</v>
      </c>
      <c r="W51" s="42">
        <v>864514</v>
      </c>
      <c r="Y51" s="42">
        <v>396388</v>
      </c>
      <c r="AA51" s="42">
        <v>0</v>
      </c>
      <c r="AC51" s="42">
        <v>1119921</v>
      </c>
      <c r="AE51" s="42">
        <v>413760</v>
      </c>
      <c r="AG51" s="42">
        <v>2242</v>
      </c>
      <c r="AI51" s="9" t="s">
        <v>543</v>
      </c>
      <c r="AJ51" s="9"/>
      <c r="AK51" s="9" t="s">
        <v>70</v>
      </c>
      <c r="AL51" s="9"/>
      <c r="AM51" s="42">
        <v>435637</v>
      </c>
      <c r="AO51" s="42">
        <v>372</v>
      </c>
      <c r="AQ51" s="42">
        <v>302176</v>
      </c>
      <c r="AS51" s="42">
        <v>0</v>
      </c>
      <c r="AW51" s="42">
        <v>0</v>
      </c>
      <c r="AY51" s="42">
        <f t="shared" si="2"/>
        <v>11158941</v>
      </c>
      <c r="BA51" s="42">
        <f>+'St of Act - GA Rev'!AI51-'St of Activities - GA Exp'!AY51</f>
        <v>-259597</v>
      </c>
      <c r="BC51" s="42">
        <v>6826167</v>
      </c>
      <c r="BE51" s="42">
        <f t="shared" si="3"/>
        <v>6566570</v>
      </c>
      <c r="BG51" s="42">
        <f>+'St of Net Pos - GA'!AE51-'St of Activities - GA Exp'!BE51</f>
        <v>0</v>
      </c>
    </row>
    <row r="52" spans="1:59" hidden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42">
        <v>0</v>
      </c>
      <c r="M52" s="42">
        <v>0</v>
      </c>
      <c r="O52" s="42">
        <v>0</v>
      </c>
      <c r="Q52" s="42">
        <v>0</v>
      </c>
      <c r="S52" s="42">
        <v>0</v>
      </c>
      <c r="U52" s="42">
        <v>0</v>
      </c>
      <c r="W52" s="42">
        <v>0</v>
      </c>
      <c r="Y52" s="42">
        <v>0</v>
      </c>
      <c r="AA52" s="42">
        <v>0</v>
      </c>
      <c r="AC52" s="42">
        <v>0</v>
      </c>
      <c r="AE52" s="42">
        <v>0</v>
      </c>
      <c r="AG52" s="42">
        <v>0</v>
      </c>
      <c r="AI52" s="9" t="s">
        <v>874</v>
      </c>
      <c r="AJ52" s="9"/>
      <c r="AK52" s="9" t="s">
        <v>43</v>
      </c>
      <c r="AL52" s="9"/>
      <c r="AM52" s="42">
        <v>0</v>
      </c>
      <c r="AO52" s="42">
        <v>0</v>
      </c>
      <c r="AQ52" s="42">
        <v>0</v>
      </c>
      <c r="AS52" s="42">
        <v>0</v>
      </c>
      <c r="AW52" s="42">
        <v>0</v>
      </c>
      <c r="AY52" s="42">
        <f t="shared" ref="AY52" si="8">SUM(G52:AX52)</f>
        <v>0</v>
      </c>
      <c r="BA52" s="42">
        <f>+'St of Act - GA Rev'!AI52-'St of Activities - GA Exp'!AY52</f>
        <v>0</v>
      </c>
      <c r="BC52" s="42">
        <v>0</v>
      </c>
      <c r="BE52" s="42">
        <f t="shared" ref="BE52" si="9">+BA52+BC52</f>
        <v>0</v>
      </c>
      <c r="BG52" s="42">
        <f>+'St of Net Pos - GA'!AE52-'St of Activities - GA Exp'!BE52</f>
        <v>0</v>
      </c>
    </row>
    <row r="53" spans="1:59" hidden="1">
      <c r="A53" s="9" t="s">
        <v>857</v>
      </c>
      <c r="B53" s="9"/>
      <c r="C53" s="9" t="s">
        <v>53</v>
      </c>
      <c r="D53" s="9"/>
      <c r="E53" s="23">
        <v>48926</v>
      </c>
      <c r="G53" s="42">
        <v>0</v>
      </c>
      <c r="I53" s="42">
        <v>0</v>
      </c>
      <c r="K53" s="42">
        <v>0</v>
      </c>
      <c r="M53" s="42">
        <v>0</v>
      </c>
      <c r="O53" s="42">
        <v>0</v>
      </c>
      <c r="Q53" s="42">
        <v>0</v>
      </c>
      <c r="S53" s="42">
        <v>0</v>
      </c>
      <c r="U53" s="42">
        <v>0</v>
      </c>
      <c r="W53" s="42">
        <v>0</v>
      </c>
      <c r="Y53" s="42">
        <v>0</v>
      </c>
      <c r="AA53" s="42">
        <v>0</v>
      </c>
      <c r="AC53" s="42">
        <v>0</v>
      </c>
      <c r="AE53" s="42">
        <v>0</v>
      </c>
      <c r="AG53" s="42">
        <v>0</v>
      </c>
      <c r="AI53" s="9" t="s">
        <v>857</v>
      </c>
      <c r="AJ53" s="9"/>
      <c r="AK53" s="9" t="s">
        <v>53</v>
      </c>
      <c r="AL53" s="9"/>
      <c r="AM53" s="42">
        <v>0</v>
      </c>
      <c r="AO53" s="42">
        <v>0</v>
      </c>
      <c r="AQ53" s="42">
        <v>0</v>
      </c>
      <c r="AS53" s="42">
        <v>0</v>
      </c>
      <c r="AW53" s="42">
        <v>0</v>
      </c>
      <c r="AY53" s="42">
        <f t="shared" si="2"/>
        <v>0</v>
      </c>
      <c r="BA53" s="42">
        <f>+'St of Act - GA Rev'!AI53-'St of Activities - GA Exp'!AY53</f>
        <v>0</v>
      </c>
      <c r="BC53" s="42">
        <v>0</v>
      </c>
      <c r="BE53" s="42">
        <f t="shared" si="3"/>
        <v>0</v>
      </c>
      <c r="BG53" s="42">
        <f>+'St of Net Pos - GA'!AE53-'St of Activities - GA Exp'!BE53</f>
        <v>0</v>
      </c>
    </row>
    <row r="54" spans="1:59">
      <c r="A54" s="9" t="s">
        <v>261</v>
      </c>
      <c r="B54" s="9"/>
      <c r="C54" s="9" t="s">
        <v>20</v>
      </c>
      <c r="D54" s="9"/>
      <c r="E54" s="23">
        <v>43612</v>
      </c>
      <c r="G54" s="42">
        <v>39608990</v>
      </c>
      <c r="I54" s="42">
        <v>13517350</v>
      </c>
      <c r="K54" s="42">
        <v>557365</v>
      </c>
      <c r="M54" s="42">
        <v>0</v>
      </c>
      <c r="O54" s="42">
        <v>0</v>
      </c>
      <c r="Q54" s="42">
        <v>5486171</v>
      </c>
      <c r="S54" s="42">
        <v>6429274</v>
      </c>
      <c r="U54" s="42">
        <v>29421</v>
      </c>
      <c r="W54" s="42">
        <v>4689371</v>
      </c>
      <c r="Y54" s="42">
        <v>1889015</v>
      </c>
      <c r="AA54" s="42">
        <v>908587</v>
      </c>
      <c r="AC54" s="42">
        <v>7089550</v>
      </c>
      <c r="AE54" s="42">
        <v>4589088</v>
      </c>
      <c r="AG54" s="42">
        <v>2974477</v>
      </c>
      <c r="AI54" s="9" t="s">
        <v>261</v>
      </c>
      <c r="AJ54" s="9"/>
      <c r="AK54" s="9" t="s">
        <v>20</v>
      </c>
      <c r="AL54" s="9"/>
      <c r="AM54" s="42">
        <v>0</v>
      </c>
      <c r="AO54" s="42">
        <v>3323805</v>
      </c>
      <c r="AQ54" s="42">
        <v>1980304</v>
      </c>
      <c r="AS54" s="42">
        <v>2645105</v>
      </c>
      <c r="AW54" s="42">
        <v>0</v>
      </c>
      <c r="AY54" s="42">
        <f t="shared" si="2"/>
        <v>95717873</v>
      </c>
      <c r="BA54" s="42">
        <f>+'St of Act - GA Rev'!AI54-'St of Activities - GA Exp'!AY54</f>
        <v>-5732185</v>
      </c>
      <c r="BC54" s="42">
        <v>29593361</v>
      </c>
      <c r="BE54" s="42">
        <f>+BA54+BC54</f>
        <v>23861176</v>
      </c>
      <c r="BG54" s="42">
        <f>+'St of Net Pos - GA'!AE54-'St of Activities - GA Exp'!BE54</f>
        <v>0</v>
      </c>
    </row>
    <row r="55" spans="1:59" ht="12" customHeight="1">
      <c r="A55" s="9" t="s">
        <v>634</v>
      </c>
      <c r="B55" s="9"/>
      <c r="C55" s="9" t="s">
        <v>30</v>
      </c>
      <c r="D55" s="9"/>
      <c r="E55" s="23">
        <v>47167</v>
      </c>
      <c r="G55" s="42">
        <v>5243207</v>
      </c>
      <c r="I55" s="42">
        <v>1547813</v>
      </c>
      <c r="K55" s="42">
        <v>83075</v>
      </c>
      <c r="M55" s="42">
        <v>0</v>
      </c>
      <c r="O55" s="42">
        <v>138647</v>
      </c>
      <c r="Q55" s="42">
        <v>450373</v>
      </c>
      <c r="S55" s="42">
        <v>330797</v>
      </c>
      <c r="U55" s="42">
        <v>82509</v>
      </c>
      <c r="W55" s="42">
        <v>1238897</v>
      </c>
      <c r="Y55" s="42">
        <v>401819</v>
      </c>
      <c r="AA55" s="42">
        <v>1359</v>
      </c>
      <c r="AC55" s="42">
        <v>1056199</v>
      </c>
      <c r="AE55" s="42">
        <v>788278</v>
      </c>
      <c r="AG55" s="42">
        <v>0</v>
      </c>
      <c r="AI55" s="9" t="s">
        <v>634</v>
      </c>
      <c r="AJ55" s="9"/>
      <c r="AK55" s="9" t="s">
        <v>30</v>
      </c>
      <c r="AL55" s="9"/>
      <c r="AM55" s="42">
        <v>239814</v>
      </c>
      <c r="AO55" s="42">
        <f>19649+7300</f>
        <v>26949</v>
      </c>
      <c r="AQ55" s="42">
        <v>369669</v>
      </c>
      <c r="AS55" s="42">
        <v>2455</v>
      </c>
      <c r="AW55" s="42">
        <v>0</v>
      </c>
      <c r="AY55" s="42">
        <f t="shared" si="2"/>
        <v>12001860</v>
      </c>
      <c r="BA55" s="42">
        <f>+'St of Act - GA Rev'!AI55-'St of Activities - GA Exp'!AY55</f>
        <v>-275133</v>
      </c>
      <c r="BC55" s="42">
        <v>4740325</v>
      </c>
      <c r="BE55" s="42">
        <f t="shared" si="3"/>
        <v>4465192</v>
      </c>
      <c r="BG55" s="42">
        <f>+'St of Net Pos - GA'!AE55-'St of Activities - GA Exp'!BE55</f>
        <v>0</v>
      </c>
    </row>
    <row r="56" spans="1:59" hidden="1">
      <c r="A56" s="9" t="s">
        <v>283</v>
      </c>
      <c r="B56" s="9"/>
      <c r="C56" s="9" t="s">
        <v>24</v>
      </c>
      <c r="D56" s="9"/>
      <c r="E56" s="23">
        <v>46789</v>
      </c>
      <c r="G56" s="42">
        <v>0</v>
      </c>
      <c r="I56" s="42">
        <v>0</v>
      </c>
      <c r="K56" s="42">
        <v>0</v>
      </c>
      <c r="M56" s="42">
        <v>0</v>
      </c>
      <c r="O56" s="42">
        <v>0</v>
      </c>
      <c r="Q56" s="42">
        <v>0</v>
      </c>
      <c r="S56" s="42">
        <v>0</v>
      </c>
      <c r="U56" s="42">
        <v>0</v>
      </c>
      <c r="W56" s="42">
        <v>0</v>
      </c>
      <c r="Y56" s="42">
        <v>0</v>
      </c>
      <c r="AA56" s="42">
        <v>0</v>
      </c>
      <c r="AC56" s="42">
        <v>0</v>
      </c>
      <c r="AE56" s="42">
        <v>0</v>
      </c>
      <c r="AG56" s="42">
        <v>0</v>
      </c>
      <c r="AI56" s="9" t="s">
        <v>283</v>
      </c>
      <c r="AJ56" s="9"/>
      <c r="AK56" s="9" t="s">
        <v>24</v>
      </c>
      <c r="AL56" s="9"/>
      <c r="AM56" s="42">
        <v>0</v>
      </c>
      <c r="AO56" s="42">
        <v>0</v>
      </c>
      <c r="AQ56" s="42">
        <v>0</v>
      </c>
      <c r="AS56" s="42">
        <v>0</v>
      </c>
      <c r="AW56" s="42">
        <v>0</v>
      </c>
      <c r="AY56" s="42">
        <f t="shared" si="2"/>
        <v>0</v>
      </c>
      <c r="BA56" s="42">
        <f>+'St of Act - GA Rev'!AI56-'St of Activities - GA Exp'!AY56</f>
        <v>0</v>
      </c>
      <c r="BC56" s="42">
        <v>0</v>
      </c>
      <c r="BE56" s="42">
        <f t="shared" si="3"/>
        <v>0</v>
      </c>
      <c r="BG56" s="42">
        <f>+'St of Net Pos - GA'!AE56-'St of Activities - GA Exp'!BE56</f>
        <v>0</v>
      </c>
    </row>
    <row r="57" spans="1:59" hidden="1">
      <c r="A57" s="9" t="s">
        <v>786</v>
      </c>
      <c r="B57" s="9"/>
      <c r="C57" s="9" t="s">
        <v>25</v>
      </c>
      <c r="D57" s="9"/>
      <c r="E57" s="23">
        <v>46854</v>
      </c>
      <c r="G57" s="42">
        <v>0</v>
      </c>
      <c r="I57" s="42">
        <v>0</v>
      </c>
      <c r="K57" s="42">
        <v>0</v>
      </c>
      <c r="M57" s="42">
        <v>0</v>
      </c>
      <c r="O57" s="42">
        <v>0</v>
      </c>
      <c r="Q57" s="42">
        <v>0</v>
      </c>
      <c r="S57" s="42">
        <v>0</v>
      </c>
      <c r="U57" s="42">
        <v>0</v>
      </c>
      <c r="W57" s="42">
        <v>0</v>
      </c>
      <c r="Y57" s="42">
        <v>0</v>
      </c>
      <c r="AA57" s="42">
        <v>0</v>
      </c>
      <c r="AC57" s="42">
        <v>0</v>
      </c>
      <c r="AE57" s="42">
        <v>0</v>
      </c>
      <c r="AG57" s="42">
        <v>0</v>
      </c>
      <c r="AI57" s="9" t="s">
        <v>786</v>
      </c>
      <c r="AJ57" s="9"/>
      <c r="AK57" s="9" t="s">
        <v>25</v>
      </c>
      <c r="AL57" s="9"/>
      <c r="AM57" s="42">
        <v>0</v>
      </c>
      <c r="AO57" s="42">
        <v>0</v>
      </c>
      <c r="AQ57" s="42">
        <v>0</v>
      </c>
      <c r="AS57" s="42">
        <v>0</v>
      </c>
      <c r="AW57" s="42">
        <v>0</v>
      </c>
      <c r="AY57" s="42">
        <f t="shared" si="2"/>
        <v>0</v>
      </c>
      <c r="BA57" s="42">
        <f>+'St of Act - GA Rev'!AI57-'St of Activities - GA Exp'!AY57</f>
        <v>0</v>
      </c>
      <c r="BC57" s="42">
        <v>0</v>
      </c>
      <c r="BE57" s="42">
        <f t="shared" si="3"/>
        <v>0</v>
      </c>
      <c r="BG57" s="42">
        <f>+'St of Net Pos - GA'!AE57-'St of Activities - GA Exp'!BE57</f>
        <v>0</v>
      </c>
    </row>
    <row r="58" spans="1:59">
      <c r="A58" s="9" t="s">
        <v>420</v>
      </c>
      <c r="B58" s="9"/>
      <c r="C58" s="9" t="s">
        <v>48</v>
      </c>
      <c r="D58" s="9"/>
      <c r="E58" s="23">
        <v>48611</v>
      </c>
      <c r="G58" s="42">
        <v>3460831</v>
      </c>
      <c r="I58" s="42">
        <v>1307441</v>
      </c>
      <c r="K58" s="42">
        <v>0</v>
      </c>
      <c r="M58" s="42">
        <v>0</v>
      </c>
      <c r="O58" s="42">
        <v>521622</v>
      </c>
      <c r="Q58" s="42">
        <v>206764</v>
      </c>
      <c r="S58" s="42">
        <v>174078</v>
      </c>
      <c r="U58" s="42">
        <v>29464</v>
      </c>
      <c r="W58" s="42">
        <v>550229</v>
      </c>
      <c r="Y58" s="42">
        <v>338929</v>
      </c>
      <c r="AA58" s="42">
        <v>23288</v>
      </c>
      <c r="AC58" s="42">
        <v>574597</v>
      </c>
      <c r="AE58" s="42">
        <v>856363</v>
      </c>
      <c r="AG58" s="42">
        <v>111113</v>
      </c>
      <c r="AI58" s="9" t="s">
        <v>420</v>
      </c>
      <c r="AJ58" s="9"/>
      <c r="AK58" s="9" t="s">
        <v>48</v>
      </c>
      <c r="AL58" s="9"/>
      <c r="AM58" s="42">
        <v>0</v>
      </c>
      <c r="AO58" s="42">
        <v>286857</v>
      </c>
      <c r="AQ58" s="42">
        <v>314289</v>
      </c>
      <c r="AS58" s="42">
        <v>24188</v>
      </c>
      <c r="AW58" s="42">
        <v>160790</v>
      </c>
      <c r="AY58" s="42">
        <f t="shared" ref="AY58" si="10">SUM(G58:AX58)</f>
        <v>8940843</v>
      </c>
      <c r="BA58" s="42">
        <f>+'St of Act - GA Rev'!AI58-'St of Activities - GA Exp'!AY58</f>
        <v>937679</v>
      </c>
      <c r="BC58" s="42">
        <v>5261752</v>
      </c>
      <c r="BE58" s="42">
        <f t="shared" ref="BE58" si="11">+BA58+BC58</f>
        <v>6199431</v>
      </c>
      <c r="BG58" s="42">
        <f>+'St of Net Pos - GA'!AE58-'St of Activities - GA Exp'!BE58</f>
        <v>0</v>
      </c>
    </row>
    <row r="59" spans="1:59">
      <c r="A59" s="9" t="s">
        <v>236</v>
      </c>
      <c r="B59" s="9"/>
      <c r="C59" s="9" t="s">
        <v>112</v>
      </c>
      <c r="D59" s="9"/>
      <c r="E59" s="23">
        <v>46318</v>
      </c>
      <c r="G59" s="42">
        <v>8904219</v>
      </c>
      <c r="I59" s="42">
        <v>1907712</v>
      </c>
      <c r="K59" s="42">
        <v>103536</v>
      </c>
      <c r="M59" s="42">
        <v>0</v>
      </c>
      <c r="O59" s="42">
        <v>101775</v>
      </c>
      <c r="Q59" s="42">
        <v>802313</v>
      </c>
      <c r="S59" s="42">
        <v>395836</v>
      </c>
      <c r="U59" s="42">
        <v>31074</v>
      </c>
      <c r="W59" s="42">
        <v>1173274</v>
      </c>
      <c r="Y59" s="42">
        <v>368347</v>
      </c>
      <c r="AA59" s="42">
        <v>0</v>
      </c>
      <c r="AC59" s="42">
        <v>1442965</v>
      </c>
      <c r="AE59" s="42">
        <v>864405</v>
      </c>
      <c r="AG59" s="42">
        <v>112716</v>
      </c>
      <c r="AI59" s="9" t="s">
        <v>236</v>
      </c>
      <c r="AJ59" s="9"/>
      <c r="AK59" s="9" t="s">
        <v>112</v>
      </c>
      <c r="AL59" s="9"/>
      <c r="AM59" s="42">
        <v>0</v>
      </c>
      <c r="AO59" s="42">
        <v>613788</v>
      </c>
      <c r="AQ59" s="42">
        <v>408703</v>
      </c>
      <c r="AS59" s="42">
        <v>355418</v>
      </c>
      <c r="AW59" s="42">
        <v>198937</v>
      </c>
      <c r="AY59" s="42">
        <f t="shared" si="2"/>
        <v>17785018</v>
      </c>
      <c r="BA59" s="42">
        <f>+'St of Act - GA Rev'!AI59-'St of Activities - GA Exp'!AY59</f>
        <v>-1548704</v>
      </c>
      <c r="BC59" s="42">
        <v>20966148</v>
      </c>
      <c r="BE59" s="42">
        <f t="shared" si="3"/>
        <v>19417444</v>
      </c>
      <c r="BG59" s="42">
        <f>+'St of Net Pos - GA'!AE59-'St of Activities - GA Exp'!BE59</f>
        <v>0</v>
      </c>
    </row>
    <row r="60" spans="1:59" ht="12" hidden="1" customHeight="1">
      <c r="A60" s="9" t="s">
        <v>667</v>
      </c>
      <c r="B60" s="9"/>
      <c r="C60" s="9" t="s">
        <v>60</v>
      </c>
      <c r="D60" s="9"/>
      <c r="E60" s="23">
        <v>49692</v>
      </c>
      <c r="G60" s="42">
        <v>0</v>
      </c>
      <c r="I60" s="42">
        <v>0</v>
      </c>
      <c r="K60" s="42">
        <v>0</v>
      </c>
      <c r="M60" s="42">
        <v>0</v>
      </c>
      <c r="O60" s="42">
        <v>0</v>
      </c>
      <c r="Q60" s="42">
        <v>0</v>
      </c>
      <c r="S60" s="42">
        <v>0</v>
      </c>
      <c r="U60" s="42">
        <v>0</v>
      </c>
      <c r="W60" s="42">
        <v>0</v>
      </c>
      <c r="Y60" s="42">
        <v>0</v>
      </c>
      <c r="AA60" s="42">
        <v>0</v>
      </c>
      <c r="AC60" s="42">
        <v>0</v>
      </c>
      <c r="AE60" s="42">
        <v>0</v>
      </c>
      <c r="AG60" s="42">
        <v>0</v>
      </c>
      <c r="AI60" s="9" t="s">
        <v>667</v>
      </c>
      <c r="AJ60" s="9"/>
      <c r="AK60" s="9" t="s">
        <v>60</v>
      </c>
      <c r="AL60" s="9"/>
      <c r="AM60" s="42">
        <v>0</v>
      </c>
      <c r="AO60" s="42">
        <v>0</v>
      </c>
      <c r="AQ60" s="42">
        <v>0</v>
      </c>
      <c r="AS60" s="42">
        <v>0</v>
      </c>
      <c r="AW60" s="42">
        <v>0</v>
      </c>
      <c r="AY60" s="42">
        <f t="shared" si="2"/>
        <v>0</v>
      </c>
      <c r="BA60" s="42">
        <f>+'St of Act - GA Rev'!AI60-'St of Activities - GA Exp'!AY60</f>
        <v>0</v>
      </c>
      <c r="BC60" s="42">
        <v>0</v>
      </c>
      <c r="BE60" s="42">
        <f t="shared" si="3"/>
        <v>0</v>
      </c>
      <c r="BG60" s="42">
        <f>+'St of Net Pos - GA'!AE60-'St of Activities - GA Exp'!BE60</f>
        <v>0</v>
      </c>
    </row>
    <row r="61" spans="1:59">
      <c r="A61" s="9" t="s">
        <v>297</v>
      </c>
      <c r="B61" s="9"/>
      <c r="C61" s="9" t="s">
        <v>27</v>
      </c>
      <c r="D61" s="9"/>
      <c r="E61" s="23">
        <v>43620</v>
      </c>
      <c r="G61" s="42">
        <v>15298761</v>
      </c>
      <c r="I61" s="42">
        <v>4099429</v>
      </c>
      <c r="K61" s="42">
        <v>319961</v>
      </c>
      <c r="M61" s="42">
        <v>0</v>
      </c>
      <c r="O61" s="42">
        <v>0</v>
      </c>
      <c r="Q61" s="42">
        <v>1470864</v>
      </c>
      <c r="S61" s="42">
        <v>2000290</v>
      </c>
      <c r="U61" s="42">
        <v>0</v>
      </c>
      <c r="W61" s="42">
        <f>1886387+57172</f>
        <v>1943559</v>
      </c>
      <c r="Y61" s="42">
        <v>0</v>
      </c>
      <c r="AA61" s="42">
        <v>1286011</v>
      </c>
      <c r="AC61" s="42">
        <v>3483071</v>
      </c>
      <c r="AE61" s="42">
        <v>651344</v>
      </c>
      <c r="AG61" s="42">
        <v>137320</v>
      </c>
      <c r="AI61" s="9" t="s">
        <v>297</v>
      </c>
      <c r="AJ61" s="9"/>
      <c r="AK61" s="9" t="s">
        <v>27</v>
      </c>
      <c r="AL61" s="9"/>
      <c r="AM61" s="42">
        <v>566944</v>
      </c>
      <c r="AO61" s="42">
        <v>951864</v>
      </c>
      <c r="AQ61" s="42">
        <v>1144367</v>
      </c>
      <c r="AS61" s="42">
        <v>1007960</v>
      </c>
      <c r="AW61" s="42">
        <v>1179003</v>
      </c>
      <c r="AY61" s="42">
        <f t="shared" si="2"/>
        <v>35540748</v>
      </c>
      <c r="BA61" s="42">
        <f>+'St of Act - GA Rev'!AI61-'St of Activities - GA Exp'!AY61</f>
        <v>3463077</v>
      </c>
      <c r="BC61" s="42">
        <v>37002518</v>
      </c>
      <c r="BE61" s="42">
        <f t="shared" si="3"/>
        <v>40465595</v>
      </c>
      <c r="BG61" s="42">
        <f>+'St of Net Pos - GA'!AE61-'St of Activities - GA Exp'!BE61</f>
        <v>0</v>
      </c>
    </row>
    <row r="62" spans="1:59" ht="12" customHeight="1">
      <c r="A62" s="9" t="s">
        <v>630</v>
      </c>
      <c r="B62" s="9"/>
      <c r="C62" s="9" t="s">
        <v>23</v>
      </c>
      <c r="D62" s="9"/>
      <c r="E62" s="23">
        <v>46748</v>
      </c>
      <c r="G62" s="42">
        <v>16474503</v>
      </c>
      <c r="I62" s="42">
        <v>1373592</v>
      </c>
      <c r="K62" s="42">
        <v>186527</v>
      </c>
      <c r="M62" s="42">
        <v>0</v>
      </c>
      <c r="O62" s="42">
        <v>0</v>
      </c>
      <c r="Q62" s="42">
        <v>1540703</v>
      </c>
      <c r="S62" s="42">
        <v>1902256</v>
      </c>
      <c r="U62" s="42">
        <v>199159</v>
      </c>
      <c r="W62" s="42">
        <v>2685636</v>
      </c>
      <c r="Y62" s="42">
        <v>997821</v>
      </c>
      <c r="AA62" s="42">
        <v>56094</v>
      </c>
      <c r="AC62" s="42">
        <v>2684285</v>
      </c>
      <c r="AE62" s="42">
        <v>2148901</v>
      </c>
      <c r="AG62" s="42">
        <v>6243</v>
      </c>
      <c r="AI62" s="9" t="s">
        <v>630</v>
      </c>
      <c r="AJ62" s="9"/>
      <c r="AK62" s="9" t="s">
        <v>23</v>
      </c>
      <c r="AL62" s="9"/>
      <c r="AM62" s="42">
        <v>0</v>
      </c>
      <c r="AO62" s="42">
        <v>1321953</v>
      </c>
      <c r="AQ62" s="42">
        <v>710685</v>
      </c>
      <c r="AS62" s="42">
        <v>1963511</v>
      </c>
      <c r="AW62" s="42">
        <v>0</v>
      </c>
      <c r="AY62" s="42">
        <f t="shared" si="2"/>
        <v>34251869</v>
      </c>
      <c r="BA62" s="42">
        <f>+'St of Act - GA Rev'!AI62-'St of Activities - GA Exp'!AY62</f>
        <v>2080932</v>
      </c>
      <c r="BC62" s="42">
        <v>15920236</v>
      </c>
      <c r="BE62" s="42">
        <f t="shared" si="3"/>
        <v>18001168</v>
      </c>
      <c r="BG62" s="42">
        <f>+'St of Net Pos - GA'!AE62-'St of Activities - GA Exp'!BE62</f>
        <v>0</v>
      </c>
    </row>
    <row r="63" spans="1:59" ht="12" customHeight="1">
      <c r="A63" s="9" t="s">
        <v>411</v>
      </c>
      <c r="B63" s="9"/>
      <c r="C63" s="9" t="s">
        <v>47</v>
      </c>
      <c r="D63" s="9"/>
      <c r="E63" s="23">
        <v>48462</v>
      </c>
      <c r="G63" s="42">
        <v>6523056</v>
      </c>
      <c r="I63" s="42">
        <v>1876078</v>
      </c>
      <c r="K63" s="42">
        <v>214440</v>
      </c>
      <c r="M63" s="42">
        <v>0</v>
      </c>
      <c r="O63" s="42">
        <v>2</v>
      </c>
      <c r="Q63" s="42">
        <v>514637</v>
      </c>
      <c r="S63" s="42">
        <v>510025</v>
      </c>
      <c r="U63" s="42">
        <v>29695</v>
      </c>
      <c r="W63" s="42">
        <v>805221</v>
      </c>
      <c r="Y63" s="42">
        <v>361231</v>
      </c>
      <c r="AA63" s="42">
        <v>30495</v>
      </c>
      <c r="AC63" s="42">
        <v>789410</v>
      </c>
      <c r="AE63" s="42">
        <v>925200</v>
      </c>
      <c r="AG63" s="42">
        <v>157698</v>
      </c>
      <c r="AI63" s="9" t="s">
        <v>411</v>
      </c>
      <c r="AJ63" s="9"/>
      <c r="AK63" s="9" t="s">
        <v>47</v>
      </c>
      <c r="AL63" s="9"/>
      <c r="AM63" s="42">
        <v>383944</v>
      </c>
      <c r="AO63" s="42">
        <v>1587</v>
      </c>
      <c r="AQ63" s="42">
        <v>497527</v>
      </c>
      <c r="AS63" s="42">
        <v>79364</v>
      </c>
      <c r="AW63" s="42">
        <v>0</v>
      </c>
      <c r="AY63" s="42">
        <f t="shared" si="2"/>
        <v>13699610</v>
      </c>
      <c r="BA63" s="42">
        <f>+'St of Act - GA Rev'!AI63-'St of Activities - GA Exp'!AY63</f>
        <v>243902</v>
      </c>
      <c r="BC63" s="42">
        <v>7153024</v>
      </c>
      <c r="BE63" s="42">
        <f t="shared" si="3"/>
        <v>7396926</v>
      </c>
      <c r="BG63" s="42">
        <f>+'St of Net Pos - GA'!AE63-'St of Activities - GA Exp'!BE63</f>
        <v>0</v>
      </c>
    </row>
    <row r="64" spans="1:59">
      <c r="A64" s="9" t="s">
        <v>240</v>
      </c>
      <c r="B64" s="9"/>
      <c r="C64" s="9" t="s">
        <v>18</v>
      </c>
      <c r="D64" s="9"/>
      <c r="E64" s="23">
        <v>46383</v>
      </c>
      <c r="G64" s="42">
        <v>6271185</v>
      </c>
      <c r="I64" s="42">
        <v>1043897</v>
      </c>
      <c r="K64" s="42">
        <v>336672</v>
      </c>
      <c r="M64" s="42">
        <v>0</v>
      </c>
      <c r="O64" s="42">
        <v>786786</v>
      </c>
      <c r="Q64" s="42">
        <v>425693</v>
      </c>
      <c r="S64" s="42">
        <v>1331896</v>
      </c>
      <c r="U64" s="42">
        <v>0</v>
      </c>
      <c r="W64" s="42">
        <f>24185+1512194</f>
        <v>1536379</v>
      </c>
      <c r="Y64" s="42">
        <v>420253</v>
      </c>
      <c r="AA64" s="42">
        <v>7699</v>
      </c>
      <c r="AC64" s="42">
        <v>1316605</v>
      </c>
      <c r="AE64" s="42">
        <v>967387</v>
      </c>
      <c r="AG64" s="42">
        <v>12371</v>
      </c>
      <c r="AI64" s="9" t="s">
        <v>240</v>
      </c>
      <c r="AJ64" s="9"/>
      <c r="AK64" s="9" t="s">
        <v>18</v>
      </c>
      <c r="AL64" s="9"/>
      <c r="AM64" s="42">
        <v>0</v>
      </c>
      <c r="AO64" s="42">
        <v>1241534</v>
      </c>
      <c r="AQ64" s="42">
        <v>165568</v>
      </c>
      <c r="AS64" s="42">
        <v>208544</v>
      </c>
      <c r="AW64" s="42">
        <v>0</v>
      </c>
      <c r="AY64" s="42">
        <f t="shared" si="2"/>
        <v>16072469</v>
      </c>
      <c r="BA64" s="42">
        <f>+'St of Act - GA Rev'!AI64-'St of Activities - GA Exp'!AY64</f>
        <v>71262</v>
      </c>
      <c r="BC64" s="42">
        <v>21120708</v>
      </c>
      <c r="BE64" s="42">
        <f t="shared" si="3"/>
        <v>21191970</v>
      </c>
      <c r="BG64" s="42">
        <f>+'St of Net Pos - GA'!AE64-'St of Activities - GA Exp'!BE64</f>
        <v>0</v>
      </c>
    </row>
    <row r="65" spans="1:59">
      <c r="A65" s="9" t="s">
        <v>291</v>
      </c>
      <c r="B65" s="9"/>
      <c r="C65" s="9" t="s">
        <v>25</v>
      </c>
      <c r="D65" s="9"/>
      <c r="E65" s="23">
        <v>46862</v>
      </c>
      <c r="G65" s="42">
        <v>5347885</v>
      </c>
      <c r="I65" s="42">
        <v>1603292</v>
      </c>
      <c r="K65" s="42">
        <v>191498</v>
      </c>
      <c r="M65" s="42">
        <v>0</v>
      </c>
      <c r="O65" s="42">
        <f>123331+595617</f>
        <v>718948</v>
      </c>
      <c r="Q65" s="42">
        <v>763868</v>
      </c>
      <c r="S65" s="42">
        <v>867406</v>
      </c>
      <c r="U65" s="42">
        <v>138811</v>
      </c>
      <c r="W65" s="42">
        <v>1794256</v>
      </c>
      <c r="Y65" s="42">
        <v>283613</v>
      </c>
      <c r="AA65" s="42">
        <v>0</v>
      </c>
      <c r="AC65" s="42">
        <v>1359393</v>
      </c>
      <c r="AE65" s="42">
        <v>1335161</v>
      </c>
      <c r="AG65" s="42">
        <v>74576</v>
      </c>
      <c r="AI65" s="9" t="s">
        <v>291</v>
      </c>
      <c r="AJ65" s="9"/>
      <c r="AK65" s="9" t="s">
        <v>25</v>
      </c>
      <c r="AL65" s="9"/>
      <c r="AM65" s="42">
        <v>605222</v>
      </c>
      <c r="AO65" s="42">
        <v>2000</v>
      </c>
      <c r="AQ65" s="42">
        <v>682575</v>
      </c>
      <c r="AS65" s="42">
        <v>1528971</v>
      </c>
      <c r="AW65" s="42">
        <v>198579</v>
      </c>
      <c r="AY65" s="42">
        <f t="shared" si="2"/>
        <v>17496054</v>
      </c>
      <c r="BA65" s="42">
        <f>+'St of Act - GA Rev'!AI65-'St of Activities - GA Exp'!AY65</f>
        <v>2460299</v>
      </c>
      <c r="BC65" s="42">
        <v>8070026</v>
      </c>
      <c r="BE65" s="42">
        <f t="shared" si="3"/>
        <v>10530325</v>
      </c>
      <c r="BG65" s="42">
        <f>+'St of Net Pos - GA'!AE65-'St of Activities - GA Exp'!BE65</f>
        <v>0</v>
      </c>
    </row>
    <row r="66" spans="1:59">
      <c r="A66" s="9" t="s">
        <v>514</v>
      </c>
      <c r="B66" s="9"/>
      <c r="C66" s="9" t="s">
        <v>64</v>
      </c>
      <c r="D66" s="9"/>
      <c r="E66" s="23">
        <v>50096</v>
      </c>
      <c r="G66" s="42">
        <v>1363745</v>
      </c>
      <c r="I66" s="42">
        <v>756700</v>
      </c>
      <c r="K66" s="42">
        <v>23649</v>
      </c>
      <c r="M66" s="42">
        <v>0</v>
      </c>
      <c r="O66" s="42">
        <v>0</v>
      </c>
      <c r="Q66" s="42">
        <v>145299</v>
      </c>
      <c r="S66" s="42">
        <v>128875</v>
      </c>
      <c r="U66" s="42">
        <v>15990</v>
      </c>
      <c r="W66" s="42">
        <v>431794</v>
      </c>
      <c r="Y66" s="42">
        <v>216231</v>
      </c>
      <c r="AA66" s="42">
        <v>0</v>
      </c>
      <c r="AC66" s="42">
        <v>446239</v>
      </c>
      <c r="AE66" s="42">
        <v>214323</v>
      </c>
      <c r="AG66" s="42">
        <v>5686</v>
      </c>
      <c r="AI66" s="9" t="s">
        <v>514</v>
      </c>
      <c r="AJ66" s="9"/>
      <c r="AK66" s="9" t="s">
        <v>64</v>
      </c>
      <c r="AL66" s="9"/>
      <c r="AM66" s="42">
        <v>137976</v>
      </c>
      <c r="AO66" s="42">
        <v>0</v>
      </c>
      <c r="AQ66" s="42">
        <v>87240</v>
      </c>
      <c r="AS66" s="42">
        <v>10759</v>
      </c>
      <c r="AW66" s="42">
        <v>0</v>
      </c>
      <c r="AY66" s="42">
        <f t="shared" si="2"/>
        <v>3984506</v>
      </c>
      <c r="BA66" s="42">
        <f>+'St of Act - GA Rev'!AI66-'St of Activities - GA Exp'!AY66</f>
        <v>178281</v>
      </c>
      <c r="BC66" s="42">
        <v>1324123</v>
      </c>
      <c r="BE66" s="42">
        <f t="shared" si="3"/>
        <v>1502404</v>
      </c>
      <c r="BG66" s="42">
        <f>+'St of Net Pos - GA'!AE66-'St of Activities - GA Exp'!BE66</f>
        <v>0</v>
      </c>
    </row>
    <row r="67" spans="1:59">
      <c r="A67" s="9" t="s">
        <v>476</v>
      </c>
      <c r="B67" s="9"/>
      <c r="C67" s="9" t="s">
        <v>59</v>
      </c>
      <c r="D67" s="9"/>
      <c r="E67" s="23">
        <v>49593</v>
      </c>
      <c r="G67" s="42">
        <v>4948949</v>
      </c>
      <c r="I67" s="42">
        <v>1247894</v>
      </c>
      <c r="K67" s="42">
        <v>16868</v>
      </c>
      <c r="M67" s="42">
        <v>0</v>
      </c>
      <c r="O67" s="42">
        <v>137427</v>
      </c>
      <c r="Q67" s="42">
        <v>307872</v>
      </c>
      <c r="S67" s="42">
        <v>590649</v>
      </c>
      <c r="U67" s="42">
        <v>31252</v>
      </c>
      <c r="W67" s="42">
        <v>881351</v>
      </c>
      <c r="Y67" s="42">
        <v>200767</v>
      </c>
      <c r="AA67" s="42">
        <v>27164</v>
      </c>
      <c r="AC67" s="42">
        <v>990797</v>
      </c>
      <c r="AE67" s="42">
        <v>861657</v>
      </c>
      <c r="AG67" s="42">
        <v>9774</v>
      </c>
      <c r="AI67" s="9" t="s">
        <v>476</v>
      </c>
      <c r="AJ67" s="9"/>
      <c r="AK67" s="9" t="s">
        <v>59</v>
      </c>
      <c r="AL67" s="9"/>
      <c r="AM67" s="42">
        <v>454712</v>
      </c>
      <c r="AO67" s="42">
        <v>97079</v>
      </c>
      <c r="AQ67" s="42">
        <v>200555</v>
      </c>
      <c r="AS67" s="42">
        <v>52949</v>
      </c>
      <c r="AW67" s="42">
        <v>0</v>
      </c>
      <c r="AY67" s="42">
        <f>SUM(G67:AX67)</f>
        <v>11057716</v>
      </c>
      <c r="BA67" s="42">
        <f>+'St of Act - GA Rev'!AI67-'St of Activities - GA Exp'!AY67</f>
        <v>-546233</v>
      </c>
      <c r="BC67" s="42">
        <v>16852700</v>
      </c>
      <c r="BE67" s="42">
        <f>+BA67+BC67</f>
        <v>16306467</v>
      </c>
      <c r="BG67" s="42">
        <f>+'St of Net Pos - GA'!AE67-'St of Activities - GA Exp'!BE67</f>
        <v>0</v>
      </c>
    </row>
    <row r="68" spans="1:59" hidden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42">
        <v>0</v>
      </c>
      <c r="M68" s="42">
        <v>0</v>
      </c>
      <c r="O68" s="42">
        <v>0</v>
      </c>
      <c r="Q68" s="42">
        <v>0</v>
      </c>
      <c r="S68" s="42">
        <v>0</v>
      </c>
      <c r="U68" s="42">
        <v>0</v>
      </c>
      <c r="W68" s="42">
        <v>0</v>
      </c>
      <c r="Y68" s="42">
        <v>0</v>
      </c>
      <c r="AA68" s="42">
        <v>0</v>
      </c>
      <c r="AC68" s="42">
        <v>0</v>
      </c>
      <c r="AE68" s="42">
        <v>0</v>
      </c>
      <c r="AG68" s="42">
        <v>0</v>
      </c>
      <c r="AI68" s="9" t="s">
        <v>875</v>
      </c>
      <c r="AJ68" s="9"/>
      <c r="AK68" s="9" t="s">
        <v>10</v>
      </c>
      <c r="AL68" s="9"/>
      <c r="AM68" s="42">
        <v>0</v>
      </c>
      <c r="AO68" s="42">
        <v>0</v>
      </c>
      <c r="AQ68" s="42">
        <v>0</v>
      </c>
      <c r="AS68" s="42">
        <v>0</v>
      </c>
      <c r="AW68" s="42">
        <v>0</v>
      </c>
      <c r="AY68" s="42">
        <f t="shared" si="2"/>
        <v>0</v>
      </c>
      <c r="BA68" s="42">
        <f>+'St of Act - GA Rev'!AI68-'St of Activities - GA Exp'!AY68</f>
        <v>0</v>
      </c>
      <c r="BC68" s="42">
        <v>0</v>
      </c>
      <c r="BE68" s="42">
        <f t="shared" si="3"/>
        <v>0</v>
      </c>
      <c r="BG68" s="42">
        <f>+'St of Net Pos - GA'!AE68-'St of Activities - GA Exp'!BE68</f>
        <v>0</v>
      </c>
    </row>
    <row r="69" spans="1:59" ht="12" customHeight="1">
      <c r="A69" s="9" t="s">
        <v>399</v>
      </c>
      <c r="B69" s="9"/>
      <c r="C69" s="9" t="s">
        <v>45</v>
      </c>
      <c r="D69" s="9"/>
      <c r="E69" s="23">
        <v>48306</v>
      </c>
      <c r="G69" s="42">
        <v>21203299</v>
      </c>
      <c r="I69" s="42">
        <v>5123314</v>
      </c>
      <c r="K69" s="42">
        <v>0</v>
      </c>
      <c r="M69" s="42">
        <v>0</v>
      </c>
      <c r="O69" s="42">
        <v>149260</v>
      </c>
      <c r="Q69" s="42">
        <v>1767501</v>
      </c>
      <c r="S69" s="42">
        <v>2165120</v>
      </c>
      <c r="U69" s="42">
        <v>181999</v>
      </c>
      <c r="W69" s="42">
        <v>2691377</v>
      </c>
      <c r="Y69" s="42">
        <v>1083619</v>
      </c>
      <c r="AA69" s="42">
        <v>179686</v>
      </c>
      <c r="AC69" s="42">
        <v>4839216</v>
      </c>
      <c r="AE69" s="42">
        <v>3021007</v>
      </c>
      <c r="AG69" s="42">
        <v>33083</v>
      </c>
      <c r="AI69" s="9" t="s">
        <v>399</v>
      </c>
      <c r="AJ69" s="9"/>
      <c r="AK69" s="9" t="s">
        <v>45</v>
      </c>
      <c r="AL69" s="9"/>
      <c r="AM69" s="42">
        <v>1543707</v>
      </c>
      <c r="AO69" s="42">
        <v>305966</v>
      </c>
      <c r="AQ69" s="42">
        <v>999112</v>
      </c>
      <c r="AS69" s="42">
        <v>522775</v>
      </c>
      <c r="AW69" s="42">
        <v>0</v>
      </c>
      <c r="AY69" s="42">
        <f t="shared" si="2"/>
        <v>45810041</v>
      </c>
      <c r="BA69" s="42">
        <f>+'St of Act - GA Rev'!AI69-'St of Activities - GA Exp'!AY69</f>
        <v>-90666</v>
      </c>
      <c r="BC69" s="42">
        <v>20521067</v>
      </c>
      <c r="BE69" s="42">
        <f t="shared" si="3"/>
        <v>20430401</v>
      </c>
      <c r="BG69" s="42">
        <f>+'St of Net Pos - GA'!AE69-'St of Activities - GA Exp'!BE69</f>
        <v>0</v>
      </c>
    </row>
    <row r="70" spans="1:59" hidden="1">
      <c r="A70" s="9" t="s">
        <v>900</v>
      </c>
      <c r="B70" s="9"/>
      <c r="C70" s="9" t="s">
        <v>61</v>
      </c>
      <c r="D70" s="9"/>
      <c r="E70" s="23">
        <v>49767</v>
      </c>
      <c r="G70" s="42">
        <v>0</v>
      </c>
      <c r="I70" s="42">
        <v>0</v>
      </c>
      <c r="K70" s="42">
        <v>0</v>
      </c>
      <c r="M70" s="42">
        <v>0</v>
      </c>
      <c r="O70" s="42">
        <v>0</v>
      </c>
      <c r="Q70" s="42">
        <v>0</v>
      </c>
      <c r="S70" s="42">
        <v>0</v>
      </c>
      <c r="U70" s="42">
        <v>0</v>
      </c>
      <c r="W70" s="42">
        <v>0</v>
      </c>
      <c r="Y70" s="42">
        <v>0</v>
      </c>
      <c r="AA70" s="42">
        <v>0</v>
      </c>
      <c r="AC70" s="42">
        <v>0</v>
      </c>
      <c r="AE70" s="42">
        <v>0</v>
      </c>
      <c r="AG70" s="42">
        <v>0</v>
      </c>
      <c r="AI70" s="9" t="s">
        <v>900</v>
      </c>
      <c r="AJ70" s="9"/>
      <c r="AK70" s="9" t="s">
        <v>61</v>
      </c>
      <c r="AL70" s="9"/>
      <c r="AM70" s="42">
        <v>0</v>
      </c>
      <c r="AO70" s="42">
        <v>0</v>
      </c>
      <c r="AQ70" s="42">
        <v>0</v>
      </c>
      <c r="AS70" s="42">
        <v>0</v>
      </c>
      <c r="AW70" s="42">
        <v>0</v>
      </c>
      <c r="AY70" s="42">
        <f t="shared" si="2"/>
        <v>0</v>
      </c>
      <c r="BA70" s="42">
        <f>+'St of Act - GA Rev'!AI70-'St of Activities - GA Exp'!AY70</f>
        <v>0</v>
      </c>
      <c r="BC70" s="42">
        <v>0</v>
      </c>
      <c r="BE70" s="42">
        <f t="shared" si="3"/>
        <v>0</v>
      </c>
      <c r="BG70" s="42">
        <f>+'St of Net Pos - GA'!AE70-'St of Activities - GA Exp'!BE70</f>
        <v>0</v>
      </c>
    </row>
    <row r="71" spans="1:59">
      <c r="A71" s="9" t="s">
        <v>549</v>
      </c>
      <c r="B71" s="9"/>
      <c r="C71" s="9" t="s">
        <v>72</v>
      </c>
      <c r="D71" s="9"/>
      <c r="E71" s="23">
        <v>43638</v>
      </c>
      <c r="G71" s="42">
        <v>19777954</v>
      </c>
      <c r="I71" s="42">
        <v>0</v>
      </c>
      <c r="K71" s="42">
        <v>0</v>
      </c>
      <c r="M71" s="42">
        <v>0</v>
      </c>
      <c r="O71" s="42">
        <v>0</v>
      </c>
      <c r="Q71" s="42">
        <v>11583074</v>
      </c>
      <c r="S71" s="42">
        <v>0</v>
      </c>
      <c r="U71" s="42">
        <v>0</v>
      </c>
      <c r="W71" s="42">
        <v>0</v>
      </c>
      <c r="Y71" s="42">
        <v>0</v>
      </c>
      <c r="AA71" s="42">
        <v>0</v>
      </c>
      <c r="AC71" s="42">
        <v>0</v>
      </c>
      <c r="AE71" s="42">
        <v>0</v>
      </c>
      <c r="AG71" s="42">
        <v>0</v>
      </c>
      <c r="AI71" s="9" t="s">
        <v>549</v>
      </c>
      <c r="AJ71" s="9"/>
      <c r="AK71" s="9" t="s">
        <v>72</v>
      </c>
      <c r="AL71" s="9"/>
      <c r="AM71" s="42">
        <v>0</v>
      </c>
      <c r="AO71" s="42">
        <v>580899</v>
      </c>
      <c r="AQ71" s="42">
        <v>938530</v>
      </c>
      <c r="AS71" s="42">
        <v>1171045</v>
      </c>
      <c r="AW71" s="42">
        <v>1468</v>
      </c>
      <c r="AY71" s="42">
        <f t="shared" si="2"/>
        <v>34052970</v>
      </c>
      <c r="BA71" s="42">
        <f>+'St of Act - GA Rev'!AI71-'St of Activities - GA Exp'!AY71</f>
        <v>407710</v>
      </c>
      <c r="BC71" s="42">
        <v>14333032</v>
      </c>
      <c r="BE71" s="42">
        <f t="shared" si="3"/>
        <v>14740742</v>
      </c>
      <c r="BG71" s="42">
        <f>+'St of Net Pos - GA'!AE71-'St of Activities - GA Exp'!BE71</f>
        <v>0</v>
      </c>
    </row>
    <row r="72" spans="1:59" hidden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42">
        <v>0</v>
      </c>
      <c r="M72" s="42">
        <v>0</v>
      </c>
      <c r="O72" s="42">
        <v>0</v>
      </c>
      <c r="Q72" s="42">
        <v>0</v>
      </c>
      <c r="S72" s="42">
        <v>0</v>
      </c>
      <c r="U72" s="42">
        <v>0</v>
      </c>
      <c r="W72" s="42">
        <v>0</v>
      </c>
      <c r="Y72" s="42">
        <v>0</v>
      </c>
      <c r="AA72" s="42">
        <v>0</v>
      </c>
      <c r="AC72" s="42">
        <v>0</v>
      </c>
      <c r="AE72" s="42">
        <v>0</v>
      </c>
      <c r="AG72" s="42">
        <v>0</v>
      </c>
      <c r="AI72" s="9" t="s">
        <v>876</v>
      </c>
      <c r="AJ72" s="9"/>
      <c r="AK72" s="9" t="s">
        <v>48</v>
      </c>
      <c r="AL72" s="9"/>
      <c r="AM72" s="42">
        <v>0</v>
      </c>
      <c r="AO72" s="42">
        <v>0</v>
      </c>
      <c r="AQ72" s="42">
        <v>0</v>
      </c>
      <c r="AS72" s="42">
        <v>0</v>
      </c>
      <c r="AW72" s="42">
        <v>0</v>
      </c>
      <c r="AY72" s="42">
        <f>SUM(G72:AX72)</f>
        <v>0</v>
      </c>
      <c r="BA72" s="42">
        <f>+'St of Act - GA Rev'!AI72-'St of Activities - GA Exp'!AY72</f>
        <v>0</v>
      </c>
      <c r="BC72" s="42">
        <v>0</v>
      </c>
      <c r="BE72" s="42">
        <f>+BA72+BC72</f>
        <v>0</v>
      </c>
      <c r="BG72" s="42">
        <f>+'St of Net Pos - GA'!AE72-'St of Activities - GA Exp'!BE72</f>
        <v>0</v>
      </c>
    </row>
    <row r="73" spans="1:59">
      <c r="A73" s="9" t="s">
        <v>779</v>
      </c>
      <c r="B73" s="9"/>
      <c r="C73" s="9" t="s">
        <v>20</v>
      </c>
      <c r="D73" s="9"/>
      <c r="E73" s="23">
        <v>43646</v>
      </c>
      <c r="G73" s="42">
        <v>23635703</v>
      </c>
      <c r="I73" s="42">
        <v>6320019</v>
      </c>
      <c r="K73" s="42">
        <v>104946</v>
      </c>
      <c r="M73" s="42">
        <v>824</v>
      </c>
      <c r="O73" s="42">
        <v>648211</v>
      </c>
      <c r="Q73" s="42">
        <v>3838263</v>
      </c>
      <c r="S73" s="42">
        <v>3125740</v>
      </c>
      <c r="U73" s="42">
        <v>126554</v>
      </c>
      <c r="W73" s="42">
        <v>2799174</v>
      </c>
      <c r="Y73" s="42">
        <v>1131706</v>
      </c>
      <c r="AA73" s="42">
        <v>494862</v>
      </c>
      <c r="AC73" s="42">
        <v>4151368</v>
      </c>
      <c r="AE73" s="42">
        <v>3353140</v>
      </c>
      <c r="AG73" s="42">
        <v>230400</v>
      </c>
      <c r="AI73" s="9" t="s">
        <v>779</v>
      </c>
      <c r="AJ73" s="9"/>
      <c r="AK73" s="9" t="s">
        <v>20</v>
      </c>
      <c r="AL73" s="9"/>
      <c r="AM73" s="42">
        <v>1735702</v>
      </c>
      <c r="AO73" s="42">
        <v>658896</v>
      </c>
      <c r="AQ73" s="42">
        <v>1133182</v>
      </c>
      <c r="AS73" s="42">
        <v>989812</v>
      </c>
      <c r="AW73" s="42">
        <v>468765</v>
      </c>
      <c r="AY73" s="42">
        <f t="shared" si="2"/>
        <v>54947267</v>
      </c>
      <c r="BA73" s="42">
        <f>+'St of Act - GA Rev'!AI73-'St of Activities - GA Exp'!AY73</f>
        <v>-1196318</v>
      </c>
      <c r="BC73" s="42">
        <v>26729340</v>
      </c>
      <c r="BE73" s="42">
        <f t="shared" si="3"/>
        <v>25533022</v>
      </c>
      <c r="BG73" s="42">
        <f>+'St of Net Pos - GA'!AE73-'St of Activities - GA Exp'!BE73</f>
        <v>0</v>
      </c>
    </row>
    <row r="74" spans="1:59">
      <c r="A74" s="9" t="s">
        <v>745</v>
      </c>
      <c r="B74" s="9"/>
      <c r="C74" s="9" t="s">
        <v>15</v>
      </c>
      <c r="D74" s="9"/>
      <c r="E74" s="23">
        <v>45237</v>
      </c>
      <c r="G74" s="42">
        <v>3810864</v>
      </c>
      <c r="I74" s="42">
        <v>1125259</v>
      </c>
      <c r="K74" s="42">
        <v>33488</v>
      </c>
      <c r="M74" s="42">
        <v>0</v>
      </c>
      <c r="O74" s="42">
        <v>132947</v>
      </c>
      <c r="Q74" s="42">
        <v>322007</v>
      </c>
      <c r="S74" s="42">
        <v>255763</v>
      </c>
      <c r="U74" s="42">
        <v>45596</v>
      </c>
      <c r="W74" s="42">
        <v>686341</v>
      </c>
      <c r="Y74" s="42">
        <v>263067</v>
      </c>
      <c r="AA74" s="42">
        <v>39774</v>
      </c>
      <c r="AC74" s="42">
        <v>763740</v>
      </c>
      <c r="AE74" s="42">
        <v>320903</v>
      </c>
      <c r="AG74" s="42">
        <v>8057</v>
      </c>
      <c r="AI74" s="9" t="s">
        <v>745</v>
      </c>
      <c r="AJ74" s="9"/>
      <c r="AK74" s="9" t="s">
        <v>15</v>
      </c>
      <c r="AL74" s="9"/>
      <c r="AM74" s="42">
        <v>367407</v>
      </c>
      <c r="AO74" s="42">
        <v>0</v>
      </c>
      <c r="AQ74" s="42">
        <v>168595</v>
      </c>
      <c r="AS74" s="42">
        <v>261629</v>
      </c>
      <c r="AW74" s="42">
        <v>0</v>
      </c>
      <c r="AY74" s="42">
        <f t="shared" si="2"/>
        <v>8605437</v>
      </c>
      <c r="BA74" s="42">
        <f>+'St of Act - GA Rev'!AI74-'St of Activities - GA Exp'!AY74</f>
        <v>-157083</v>
      </c>
      <c r="BC74" s="42">
        <v>16073639</v>
      </c>
      <c r="BE74" s="42">
        <f t="shared" si="3"/>
        <v>15916556</v>
      </c>
      <c r="BG74" s="42">
        <f>+'St of Net Pos - GA'!AE74-'St of Activities - GA Exp'!BE74</f>
        <v>0</v>
      </c>
    </row>
    <row r="75" spans="1:59" hidden="1">
      <c r="A75" s="9" t="s">
        <v>787</v>
      </c>
      <c r="B75" s="9"/>
      <c r="C75" s="9" t="s">
        <v>346</v>
      </c>
      <c r="D75" s="9"/>
      <c r="E75" s="23">
        <v>47613</v>
      </c>
      <c r="G75" s="42">
        <v>0</v>
      </c>
      <c r="I75" s="42">
        <v>0</v>
      </c>
      <c r="K75" s="42">
        <v>0</v>
      </c>
      <c r="M75" s="42">
        <v>0</v>
      </c>
      <c r="O75" s="42">
        <v>0</v>
      </c>
      <c r="Q75" s="42">
        <v>0</v>
      </c>
      <c r="S75" s="42">
        <v>0</v>
      </c>
      <c r="U75" s="42">
        <v>0</v>
      </c>
      <c r="W75" s="42">
        <v>0</v>
      </c>
      <c r="Y75" s="42">
        <v>0</v>
      </c>
      <c r="AA75" s="42">
        <v>0</v>
      </c>
      <c r="AC75" s="42">
        <v>0</v>
      </c>
      <c r="AE75" s="42">
        <v>0</v>
      </c>
      <c r="AG75" s="42">
        <v>0</v>
      </c>
      <c r="AI75" s="9" t="s">
        <v>787</v>
      </c>
      <c r="AJ75" s="9"/>
      <c r="AK75" s="9" t="s">
        <v>346</v>
      </c>
      <c r="AL75" s="9"/>
      <c r="AM75" s="42">
        <v>0</v>
      </c>
      <c r="AO75" s="42">
        <v>0</v>
      </c>
      <c r="AQ75" s="42">
        <v>0</v>
      </c>
      <c r="AS75" s="42">
        <v>0</v>
      </c>
      <c r="AW75" s="42">
        <v>0</v>
      </c>
      <c r="AY75" s="42">
        <f t="shared" si="2"/>
        <v>0</v>
      </c>
      <c r="BA75" s="42">
        <f>+'St of Act - GA Rev'!AI75-'St of Activities - GA Exp'!AY75</f>
        <v>0</v>
      </c>
      <c r="BC75" s="42">
        <v>0</v>
      </c>
      <c r="BE75" s="42">
        <f t="shared" si="3"/>
        <v>0</v>
      </c>
      <c r="BG75" s="42">
        <f>+'St of Net Pos - GA'!AE75-'St of Activities - GA Exp'!BE75</f>
        <v>0</v>
      </c>
    </row>
    <row r="76" spans="1:59">
      <c r="A76" s="9" t="s">
        <v>515</v>
      </c>
      <c r="B76" s="9"/>
      <c r="C76" s="9" t="s">
        <v>64</v>
      </c>
      <c r="D76" s="9"/>
      <c r="E76" s="23">
        <v>50112</v>
      </c>
      <c r="G76" s="42">
        <v>3815149</v>
      </c>
      <c r="I76" s="42">
        <v>904493</v>
      </c>
      <c r="K76" s="42">
        <v>63716</v>
      </c>
      <c r="M76" s="42">
        <v>0</v>
      </c>
      <c r="O76" s="42">
        <v>8901</v>
      </c>
      <c r="Q76" s="42">
        <v>237111</v>
      </c>
      <c r="S76" s="42">
        <v>110330</v>
      </c>
      <c r="U76" s="42">
        <v>33111</v>
      </c>
      <c r="W76" s="42">
        <v>604436</v>
      </c>
      <c r="Y76" s="42">
        <v>241436</v>
      </c>
      <c r="AA76" s="42">
        <v>26852</v>
      </c>
      <c r="AC76" s="42">
        <v>596847</v>
      </c>
      <c r="AE76" s="42">
        <v>508582</v>
      </c>
      <c r="AG76" s="42">
        <v>102182</v>
      </c>
      <c r="AI76" s="9" t="s">
        <v>515</v>
      </c>
      <c r="AJ76" s="9"/>
      <c r="AK76" s="9" t="s">
        <v>64</v>
      </c>
      <c r="AL76" s="9"/>
      <c r="AM76" s="42">
        <v>255773</v>
      </c>
      <c r="AO76" s="42">
        <v>11691</v>
      </c>
      <c r="AQ76" s="42">
        <v>210964</v>
      </c>
      <c r="AS76" s="42">
        <v>45603</v>
      </c>
      <c r="AW76" s="42">
        <v>0</v>
      </c>
      <c r="AY76" s="42">
        <f t="shared" si="2"/>
        <v>7777177</v>
      </c>
      <c r="BA76" s="42">
        <f>+'St of Act - GA Rev'!AI76-'St of Activities - GA Exp'!AY76</f>
        <v>141980</v>
      </c>
      <c r="BC76" s="42">
        <v>9911206</v>
      </c>
      <c r="BE76" s="42">
        <f t="shared" si="3"/>
        <v>10053186</v>
      </c>
      <c r="BG76" s="42">
        <f>+'St of Net Pos - GA'!AE76-'St of Activities - GA Exp'!BE76</f>
        <v>0</v>
      </c>
    </row>
    <row r="77" spans="1:59" ht="12" customHeight="1">
      <c r="A77" s="9" t="s">
        <v>668</v>
      </c>
      <c r="B77" s="9"/>
      <c r="C77" s="9" t="s">
        <v>64</v>
      </c>
      <c r="D77" s="9"/>
      <c r="E77" s="23">
        <v>50120</v>
      </c>
      <c r="G77" s="42">
        <v>6148257</v>
      </c>
      <c r="I77" s="42">
        <v>1605969</v>
      </c>
      <c r="K77" s="42">
        <v>92998</v>
      </c>
      <c r="M77" s="42">
        <v>0</v>
      </c>
      <c r="O77" s="42">
        <v>0</v>
      </c>
      <c r="Q77" s="42">
        <v>593377</v>
      </c>
      <c r="S77" s="42">
        <v>491942</v>
      </c>
      <c r="U77" s="42">
        <v>20659</v>
      </c>
      <c r="W77" s="42">
        <v>1137729</v>
      </c>
      <c r="Y77" s="42">
        <v>361813</v>
      </c>
      <c r="AA77" s="42">
        <v>31811</v>
      </c>
      <c r="AC77" s="42">
        <v>1132907</v>
      </c>
      <c r="AE77" s="42">
        <v>650151</v>
      </c>
      <c r="AG77" s="42">
        <v>44508</v>
      </c>
      <c r="AI77" s="9" t="s">
        <v>668</v>
      </c>
      <c r="AJ77" s="9"/>
      <c r="AK77" s="9" t="s">
        <v>64</v>
      </c>
      <c r="AL77" s="9"/>
      <c r="AM77" s="42">
        <v>619198</v>
      </c>
      <c r="AO77" s="42">
        <v>0</v>
      </c>
      <c r="AQ77" s="42">
        <v>382383</v>
      </c>
      <c r="AS77" s="42">
        <v>953228</v>
      </c>
      <c r="AW77" s="42">
        <v>0</v>
      </c>
      <c r="AY77" s="42">
        <f>SUM(G77:AX77)</f>
        <v>14266930</v>
      </c>
      <c r="BA77" s="42">
        <f>+'St of Act - GA Rev'!AI77-'St of Activities - GA Exp'!AY77</f>
        <v>-2574911</v>
      </c>
      <c r="BC77" s="42">
        <v>21007784</v>
      </c>
      <c r="BE77" s="42">
        <f t="shared" si="3"/>
        <v>18432873</v>
      </c>
      <c r="BG77" s="42">
        <f>+'St of Net Pos - GA'!AE77-'St of Activities - GA Exp'!BE77</f>
        <v>0</v>
      </c>
    </row>
    <row r="78" spans="1:59">
      <c r="A78" s="9" t="s">
        <v>262</v>
      </c>
      <c r="B78" s="9"/>
      <c r="C78" s="9" t="s">
        <v>20</v>
      </c>
      <c r="D78" s="9"/>
      <c r="E78" s="23">
        <v>43653</v>
      </c>
      <c r="G78" s="42">
        <v>7792263</v>
      </c>
      <c r="I78" s="42">
        <v>2444832</v>
      </c>
      <c r="K78" s="42">
        <v>125902</v>
      </c>
      <c r="M78" s="42">
        <v>0</v>
      </c>
      <c r="O78" s="42">
        <v>0</v>
      </c>
      <c r="Q78" s="42">
        <v>1702910</v>
      </c>
      <c r="S78" s="42">
        <v>211267</v>
      </c>
      <c r="U78" s="42">
        <v>41406</v>
      </c>
      <c r="W78" s="42">
        <v>1346124</v>
      </c>
      <c r="Y78" s="42">
        <v>641317</v>
      </c>
      <c r="AA78" s="42">
        <v>108304</v>
      </c>
      <c r="AC78" s="42">
        <v>1088569</v>
      </c>
      <c r="AE78" s="42">
        <v>306282</v>
      </c>
      <c r="AG78" s="42">
        <v>188863</v>
      </c>
      <c r="AI78" s="9" t="s">
        <v>262</v>
      </c>
      <c r="AJ78" s="9"/>
      <c r="AK78" s="9" t="s">
        <v>20</v>
      </c>
      <c r="AL78" s="9"/>
      <c r="AM78" s="42">
        <v>464743</v>
      </c>
      <c r="AO78" s="42">
        <v>388137</v>
      </c>
      <c r="AQ78" s="42">
        <v>468980</v>
      </c>
      <c r="AS78" s="42">
        <v>0</v>
      </c>
      <c r="AW78" s="42">
        <v>0</v>
      </c>
      <c r="AY78" s="42">
        <f t="shared" si="2"/>
        <v>17319899</v>
      </c>
      <c r="BA78" s="42">
        <f>+'St of Act - GA Rev'!AI78-'St of Activities - GA Exp'!AY78</f>
        <v>-2930014</v>
      </c>
      <c r="BC78" s="42">
        <v>9860593</v>
      </c>
      <c r="BE78" s="42">
        <f t="shared" si="3"/>
        <v>6930579</v>
      </c>
      <c r="BG78" s="42">
        <f>+'St of Net Pos - GA'!AE78-'St of Activities - GA Exp'!BE78</f>
        <v>0</v>
      </c>
    </row>
    <row r="79" spans="1:59">
      <c r="A79" s="9" t="s">
        <v>425</v>
      </c>
      <c r="B79" s="9"/>
      <c r="C79" s="9" t="s">
        <v>50</v>
      </c>
      <c r="D79" s="9"/>
      <c r="E79" s="23">
        <v>48678</v>
      </c>
      <c r="G79" s="42">
        <v>7962598</v>
      </c>
      <c r="I79" s="42">
        <v>1293602</v>
      </c>
      <c r="K79" s="42">
        <v>186013</v>
      </c>
      <c r="M79" s="42">
        <v>0</v>
      </c>
      <c r="O79" s="42">
        <v>98158</v>
      </c>
      <c r="Q79" s="42">
        <v>807214</v>
      </c>
      <c r="S79" s="42">
        <v>835037</v>
      </c>
      <c r="U79" s="42">
        <v>0</v>
      </c>
      <c r="W79" s="42">
        <f>24423+1393869</f>
        <v>1418292</v>
      </c>
      <c r="Y79" s="42">
        <v>373558</v>
      </c>
      <c r="AA79" s="42">
        <v>518</v>
      </c>
      <c r="AC79" s="42">
        <v>1263192</v>
      </c>
      <c r="AE79" s="42">
        <v>793869</v>
      </c>
      <c r="AG79" s="42">
        <v>33444</v>
      </c>
      <c r="AI79" s="9" t="s">
        <v>425</v>
      </c>
      <c r="AJ79" s="9"/>
      <c r="AK79" s="9" t="s">
        <v>50</v>
      </c>
      <c r="AL79" s="9"/>
      <c r="AM79" s="42">
        <v>0</v>
      </c>
      <c r="AO79" s="42">
        <v>769097</v>
      </c>
      <c r="AQ79" s="42">
        <v>839112</v>
      </c>
      <c r="AS79" s="42">
        <v>961489</v>
      </c>
      <c r="AW79" s="42">
        <v>0</v>
      </c>
      <c r="AY79" s="42">
        <f t="shared" si="2"/>
        <v>17635193</v>
      </c>
      <c r="BA79" s="42">
        <f>+'St of Act - GA Rev'!AI79-'St of Activities - GA Exp'!AY79</f>
        <v>-2744265</v>
      </c>
      <c r="BC79" s="42">
        <v>21790764</v>
      </c>
      <c r="BE79" s="42">
        <f t="shared" si="3"/>
        <v>19046499</v>
      </c>
      <c r="BG79" s="42">
        <f>+'St of Net Pos - GA'!AE79-'St of Activities - GA Exp'!BE79</f>
        <v>0</v>
      </c>
    </row>
    <row r="80" spans="1:59">
      <c r="A80" s="9" t="s">
        <v>226</v>
      </c>
      <c r="B80" s="9"/>
      <c r="C80" s="9" t="s">
        <v>16</v>
      </c>
      <c r="D80" s="9"/>
      <c r="E80" s="23">
        <v>46177</v>
      </c>
      <c r="G80" s="42">
        <v>3658694</v>
      </c>
      <c r="I80" s="42">
        <v>557546</v>
      </c>
      <c r="K80" s="42">
        <v>69268</v>
      </c>
      <c r="M80" s="42">
        <v>0</v>
      </c>
      <c r="O80" s="42">
        <v>0</v>
      </c>
      <c r="Q80" s="42">
        <v>228668</v>
      </c>
      <c r="S80" s="42">
        <v>417245</v>
      </c>
      <c r="U80" s="42">
        <v>203307</v>
      </c>
      <c r="W80" s="42">
        <v>614900</v>
      </c>
      <c r="Y80" s="42">
        <v>178521</v>
      </c>
      <c r="AA80" s="42">
        <v>0</v>
      </c>
      <c r="AC80" s="42">
        <v>503895</v>
      </c>
      <c r="AE80" s="42">
        <v>369586</v>
      </c>
      <c r="AG80" s="42">
        <v>8159</v>
      </c>
      <c r="AI80" s="9" t="s">
        <v>226</v>
      </c>
      <c r="AJ80" s="9"/>
      <c r="AK80" s="9" t="s">
        <v>16</v>
      </c>
      <c r="AL80" s="9"/>
      <c r="AM80" s="42">
        <v>367662</v>
      </c>
      <c r="AO80" s="42">
        <v>0</v>
      </c>
      <c r="AQ80" s="42">
        <v>319523</v>
      </c>
      <c r="AS80" s="42">
        <v>1623</v>
      </c>
      <c r="AW80" s="42">
        <v>0</v>
      </c>
      <c r="AY80" s="42">
        <f t="shared" si="2"/>
        <v>7498597</v>
      </c>
      <c r="BA80" s="42">
        <f>+'St of Act - GA Rev'!AI80-'St of Activities - GA Exp'!AY80</f>
        <v>368474</v>
      </c>
      <c r="BC80" s="42">
        <v>5745776</v>
      </c>
      <c r="BE80" s="42">
        <f t="shared" si="3"/>
        <v>6114250</v>
      </c>
      <c r="BG80" s="42">
        <f>+'St of Net Pos - GA'!AE80-'St of Activities - GA Exp'!BE80</f>
        <v>0</v>
      </c>
    </row>
    <row r="81" spans="1:59">
      <c r="A81" s="9" t="s">
        <v>412</v>
      </c>
      <c r="B81" s="9"/>
      <c r="C81" s="9" t="s">
        <v>47</v>
      </c>
      <c r="D81" s="9"/>
      <c r="E81" s="23">
        <v>43661</v>
      </c>
      <c r="G81" s="42">
        <v>33138167</v>
      </c>
      <c r="I81" s="42">
        <v>7476516</v>
      </c>
      <c r="K81" s="42">
        <v>206544</v>
      </c>
      <c r="M81" s="42">
        <v>0</v>
      </c>
      <c r="O81" s="42">
        <v>2038688</v>
      </c>
      <c r="Q81" s="42">
        <v>5956527</v>
      </c>
      <c r="S81" s="42">
        <v>2880883</v>
      </c>
      <c r="U81" s="42">
        <v>575314</v>
      </c>
      <c r="W81" s="42">
        <v>4802632</v>
      </c>
      <c r="Y81" s="42">
        <v>1348401</v>
      </c>
      <c r="AA81" s="42">
        <v>602432</v>
      </c>
      <c r="AC81" s="42">
        <v>5582146</v>
      </c>
      <c r="AE81" s="42">
        <v>4738242</v>
      </c>
      <c r="AG81" s="42">
        <v>250595</v>
      </c>
      <c r="AI81" s="9" t="s">
        <v>412</v>
      </c>
      <c r="AJ81" s="9"/>
      <c r="AK81" s="9" t="s">
        <v>47</v>
      </c>
      <c r="AL81" s="9"/>
      <c r="AM81" s="42">
        <v>2288159</v>
      </c>
      <c r="AO81" s="42">
        <v>464874</v>
      </c>
      <c r="AQ81" s="42">
        <v>1692138</v>
      </c>
      <c r="AS81" s="42">
        <v>2004067</v>
      </c>
      <c r="AW81" s="42">
        <v>0</v>
      </c>
      <c r="AY81" s="42">
        <f t="shared" si="2"/>
        <v>76046325</v>
      </c>
      <c r="BA81" s="42">
        <f>+'St of Act - GA Rev'!AI81-'St of Activities - GA Exp'!AY81</f>
        <v>-3100541</v>
      </c>
      <c r="BC81" s="42">
        <v>11208611</v>
      </c>
      <c r="BE81" s="42">
        <f t="shared" si="3"/>
        <v>8108070</v>
      </c>
      <c r="BG81" s="42">
        <f>+'St of Net Pos - GA'!AE81-'St of Activities - GA Exp'!BE81</f>
        <v>0</v>
      </c>
    </row>
    <row r="82" spans="1:59" ht="12" hidden="1" customHeight="1">
      <c r="A82" s="9" t="s">
        <v>669</v>
      </c>
      <c r="B82" s="9"/>
      <c r="C82" s="9" t="s">
        <v>548</v>
      </c>
      <c r="D82" s="9"/>
      <c r="E82" s="23">
        <v>43679</v>
      </c>
      <c r="G82" s="42">
        <v>0</v>
      </c>
      <c r="I82" s="42">
        <v>0</v>
      </c>
      <c r="K82" s="42">
        <v>0</v>
      </c>
      <c r="M82" s="42">
        <v>0</v>
      </c>
      <c r="O82" s="42">
        <v>0</v>
      </c>
      <c r="Q82" s="42">
        <v>0</v>
      </c>
      <c r="S82" s="42">
        <v>0</v>
      </c>
      <c r="U82" s="42">
        <v>0</v>
      </c>
      <c r="W82" s="42">
        <v>0</v>
      </c>
      <c r="Y82" s="42">
        <v>0</v>
      </c>
      <c r="AA82" s="42">
        <v>0</v>
      </c>
      <c r="AC82" s="42">
        <v>0</v>
      </c>
      <c r="AE82" s="42">
        <v>0</v>
      </c>
      <c r="AG82" s="42">
        <v>0</v>
      </c>
      <c r="AI82" s="9" t="s">
        <v>669</v>
      </c>
      <c r="AJ82" s="9"/>
      <c r="AK82" s="9" t="s">
        <v>548</v>
      </c>
      <c r="AL82" s="9"/>
      <c r="AM82" s="42">
        <v>0</v>
      </c>
      <c r="AO82" s="42">
        <v>0</v>
      </c>
      <c r="AQ82" s="42">
        <v>0</v>
      </c>
      <c r="AS82" s="42">
        <v>0</v>
      </c>
      <c r="AW82" s="42">
        <v>0</v>
      </c>
      <c r="AY82" s="42">
        <f t="shared" si="2"/>
        <v>0</v>
      </c>
      <c r="BA82" s="42">
        <f>+'St of Act - GA Rev'!AI82-'St of Activities - GA Exp'!AY82</f>
        <v>0</v>
      </c>
      <c r="BC82" s="42">
        <v>0</v>
      </c>
      <c r="BE82" s="42">
        <f t="shared" si="3"/>
        <v>0</v>
      </c>
      <c r="BG82" s="42">
        <f>+'St of Net Pos - GA'!AE82-'St of Activities - GA Exp'!BE82</f>
        <v>0</v>
      </c>
    </row>
    <row r="83" spans="1:59">
      <c r="A83" s="9" t="s">
        <v>254</v>
      </c>
      <c r="B83" s="9"/>
      <c r="C83" s="9" t="s">
        <v>110</v>
      </c>
      <c r="D83" s="9"/>
      <c r="E83" s="23">
        <v>46508</v>
      </c>
      <c r="G83" s="42">
        <v>4369064</v>
      </c>
      <c r="I83" s="42">
        <v>912153</v>
      </c>
      <c r="K83" s="42">
        <v>153454</v>
      </c>
      <c r="M83" s="42">
        <v>0</v>
      </c>
      <c r="O83" s="42">
        <v>8521</v>
      </c>
      <c r="Q83" s="42">
        <v>360305</v>
      </c>
      <c r="S83" s="42">
        <v>183643</v>
      </c>
      <c r="U83" s="42">
        <v>22992</v>
      </c>
      <c r="W83" s="42">
        <v>798414</v>
      </c>
      <c r="Y83" s="42">
        <v>290260</v>
      </c>
      <c r="AA83" s="42">
        <v>0</v>
      </c>
      <c r="AC83" s="42">
        <v>589504</v>
      </c>
      <c r="AE83" s="42">
        <v>424451</v>
      </c>
      <c r="AG83" s="42">
        <v>75416</v>
      </c>
      <c r="AI83" s="9" t="s">
        <v>254</v>
      </c>
      <c r="AJ83" s="9"/>
      <c r="AK83" s="9" t="s">
        <v>110</v>
      </c>
      <c r="AL83" s="9"/>
      <c r="AM83" s="42">
        <v>351754</v>
      </c>
      <c r="AO83" s="42">
        <v>66481</v>
      </c>
      <c r="AQ83" s="42">
        <v>456043</v>
      </c>
      <c r="AS83" s="42">
        <v>486010</v>
      </c>
      <c r="AW83" s="42">
        <v>0</v>
      </c>
      <c r="AY83" s="42">
        <f t="shared" si="2"/>
        <v>9548465</v>
      </c>
      <c r="BA83" s="42">
        <f>+'St of Act - GA Rev'!AI83-'St of Activities - GA Exp'!AY83</f>
        <v>511052</v>
      </c>
      <c r="BC83" s="42">
        <v>21602212</v>
      </c>
      <c r="BE83" s="42">
        <f t="shared" si="3"/>
        <v>22113264</v>
      </c>
      <c r="BG83" s="42">
        <f>+'St of Net Pos - GA'!AE83-'St of Activities - GA Exp'!BE83</f>
        <v>0</v>
      </c>
    </row>
    <row r="84" spans="1:59">
      <c r="A84" s="9" t="s">
        <v>205</v>
      </c>
      <c r="B84" s="9"/>
      <c r="C84" s="9" t="s">
        <v>12</v>
      </c>
      <c r="D84" s="9"/>
      <c r="E84" s="23">
        <v>45856</v>
      </c>
      <c r="G84" s="42">
        <v>9178882</v>
      </c>
      <c r="I84" s="42">
        <v>2053314</v>
      </c>
      <c r="K84" s="42">
        <v>290718</v>
      </c>
      <c r="M84" s="42">
        <v>0</v>
      </c>
      <c r="O84" s="42">
        <v>800</v>
      </c>
      <c r="Q84" s="42">
        <v>520800</v>
      </c>
      <c r="S84" s="42">
        <v>274462</v>
      </c>
      <c r="U84" s="42">
        <v>26189</v>
      </c>
      <c r="W84" s="42">
        <v>1371802</v>
      </c>
      <c r="Y84" s="42">
        <v>481181</v>
      </c>
      <c r="AA84" s="42">
        <v>81281</v>
      </c>
      <c r="AC84" s="42">
        <v>1696148</v>
      </c>
      <c r="AE84" s="42">
        <v>1079573</v>
      </c>
      <c r="AG84" s="42">
        <v>49982</v>
      </c>
      <c r="AI84" s="9" t="s">
        <v>205</v>
      </c>
      <c r="AJ84" s="9"/>
      <c r="AK84" s="9" t="s">
        <v>12</v>
      </c>
      <c r="AL84" s="9"/>
      <c r="AM84" s="42">
        <v>800560</v>
      </c>
      <c r="AO84" s="42">
        <v>912</v>
      </c>
      <c r="AQ84" s="42">
        <v>459063</v>
      </c>
      <c r="AS84" s="42">
        <v>248</v>
      </c>
      <c r="AW84" s="42">
        <v>0</v>
      </c>
      <c r="AY84" s="42">
        <f t="shared" si="2"/>
        <v>18365915</v>
      </c>
      <c r="BA84" s="42">
        <f>+'St of Act - GA Rev'!AI84-'St of Activities - GA Exp'!AY84</f>
        <v>-2484476</v>
      </c>
      <c r="BC84" s="42">
        <v>9289697</v>
      </c>
      <c r="BE84" s="42">
        <f t="shared" si="3"/>
        <v>6805221</v>
      </c>
      <c r="BG84" s="42">
        <f>+'St of Net Pos - GA'!AE84-'St of Activities - GA Exp'!BE84</f>
        <v>0</v>
      </c>
    </row>
    <row r="85" spans="1:59">
      <c r="A85" s="9" t="s">
        <v>205</v>
      </c>
      <c r="B85" s="9"/>
      <c r="C85" s="9" t="s">
        <v>39</v>
      </c>
      <c r="D85" s="9"/>
      <c r="E85" s="23">
        <v>47787</v>
      </c>
      <c r="G85" s="42">
        <v>9251197</v>
      </c>
      <c r="I85" s="42">
        <v>2648060</v>
      </c>
      <c r="K85" s="42">
        <v>540794</v>
      </c>
      <c r="M85" s="42">
        <v>0</v>
      </c>
      <c r="O85" s="42">
        <v>180788</v>
      </c>
      <c r="Q85" s="42">
        <v>1031033</v>
      </c>
      <c r="S85" s="42">
        <v>670761</v>
      </c>
      <c r="U85" s="42">
        <v>73282</v>
      </c>
      <c r="W85" s="42">
        <v>2310066</v>
      </c>
      <c r="Y85" s="42">
        <v>485022</v>
      </c>
      <c r="AA85" s="42">
        <v>41171</v>
      </c>
      <c r="AC85" s="42">
        <v>1970484</v>
      </c>
      <c r="AE85" s="42">
        <v>1922093</v>
      </c>
      <c r="AG85" s="42">
        <v>0</v>
      </c>
      <c r="AI85" s="9" t="s">
        <v>205</v>
      </c>
      <c r="AJ85" s="9"/>
      <c r="AK85" s="9" t="s">
        <v>39</v>
      </c>
      <c r="AL85" s="9"/>
      <c r="AM85" s="42">
        <v>648843</v>
      </c>
      <c r="AO85" s="42">
        <v>4239</v>
      </c>
      <c r="AQ85" s="42">
        <v>404895</v>
      </c>
      <c r="AS85" s="42">
        <v>16476</v>
      </c>
      <c r="AW85" s="42">
        <v>0</v>
      </c>
      <c r="AY85" s="42">
        <f t="shared" si="2"/>
        <v>22199204</v>
      </c>
      <c r="BA85" s="42">
        <f>+'St of Act - GA Rev'!AI85-'St of Activities - GA Exp'!AY85</f>
        <v>-511869</v>
      </c>
      <c r="BC85" s="42">
        <v>8436820</v>
      </c>
      <c r="BE85" s="42">
        <f t="shared" si="3"/>
        <v>7924951</v>
      </c>
      <c r="BG85" s="42">
        <f>+'St of Net Pos - GA'!AE85-'St of Activities - GA Exp'!BE85</f>
        <v>0</v>
      </c>
    </row>
    <row r="86" spans="1:59" ht="12" customHeight="1">
      <c r="A86" s="9" t="s">
        <v>670</v>
      </c>
      <c r="B86" s="9"/>
      <c r="C86" s="9" t="s">
        <v>47</v>
      </c>
      <c r="D86" s="9"/>
      <c r="E86" s="23">
        <v>48470</v>
      </c>
      <c r="G86" s="42">
        <v>9611306</v>
      </c>
      <c r="I86" s="42">
        <v>1814962</v>
      </c>
      <c r="K86" s="42">
        <v>157021</v>
      </c>
      <c r="M86" s="42">
        <v>0</v>
      </c>
      <c r="O86" s="42">
        <v>1131797</v>
      </c>
      <c r="Q86" s="42">
        <v>986651</v>
      </c>
      <c r="S86" s="42">
        <v>1199554</v>
      </c>
      <c r="U86" s="42">
        <v>34309</v>
      </c>
      <c r="W86" s="42">
        <v>1530745</v>
      </c>
      <c r="Y86" s="42">
        <v>700259</v>
      </c>
      <c r="AA86" s="42">
        <v>22849</v>
      </c>
      <c r="AC86" s="42">
        <v>1528561</v>
      </c>
      <c r="AE86" s="42">
        <v>1181590</v>
      </c>
      <c r="AG86" s="42">
        <v>17621</v>
      </c>
      <c r="AI86" s="9" t="s">
        <v>670</v>
      </c>
      <c r="AJ86" s="9"/>
      <c r="AK86" s="9" t="s">
        <v>47</v>
      </c>
      <c r="AL86" s="9"/>
      <c r="AM86" s="42">
        <v>501351</v>
      </c>
      <c r="AO86" s="42">
        <v>1400</v>
      </c>
      <c r="AQ86" s="42">
        <v>679807</v>
      </c>
      <c r="AS86" s="42">
        <v>846512</v>
      </c>
      <c r="AW86" s="42">
        <v>93840</v>
      </c>
      <c r="AY86" s="42">
        <f t="shared" ref="AY86:AY94" si="12">SUM(G86:AX86)</f>
        <v>22040135</v>
      </c>
      <c r="BA86" s="42">
        <f>+'St of Act - GA Rev'!AI86-'St of Activities - GA Exp'!AY86</f>
        <v>1786911</v>
      </c>
      <c r="BC86" s="42">
        <v>8830558</v>
      </c>
      <c r="BE86" s="42">
        <f t="shared" ref="BE86:BE96" si="13">+BA86+BC86</f>
        <v>10617469</v>
      </c>
      <c r="BG86" s="42">
        <f>+'St of Net Pos - GA'!AE86-'St of Activities - GA Exp'!BE86</f>
        <v>0</v>
      </c>
    </row>
    <row r="87" spans="1:59" ht="12" hidden="1" customHeight="1">
      <c r="A87" s="35" t="s">
        <v>788</v>
      </c>
      <c r="B87" s="9"/>
      <c r="C87" s="9" t="s">
        <v>111</v>
      </c>
      <c r="D87" s="9"/>
      <c r="E87" s="54" t="s">
        <v>871</v>
      </c>
      <c r="G87" s="42">
        <v>0</v>
      </c>
      <c r="I87" s="42">
        <v>0</v>
      </c>
      <c r="K87" s="42">
        <v>0</v>
      </c>
      <c r="M87" s="42">
        <v>0</v>
      </c>
      <c r="O87" s="42">
        <v>0</v>
      </c>
      <c r="Q87" s="42">
        <v>0</v>
      </c>
      <c r="S87" s="42">
        <v>0</v>
      </c>
      <c r="U87" s="42">
        <v>0</v>
      </c>
      <c r="W87" s="42">
        <v>0</v>
      </c>
      <c r="Y87" s="42">
        <v>0</v>
      </c>
      <c r="AA87" s="42">
        <v>0</v>
      </c>
      <c r="AC87" s="42">
        <v>0</v>
      </c>
      <c r="AE87" s="42">
        <v>0</v>
      </c>
      <c r="AG87" s="42">
        <v>0</v>
      </c>
      <c r="AI87" s="35" t="s">
        <v>788</v>
      </c>
      <c r="AJ87" s="9"/>
      <c r="AK87" s="9" t="s">
        <v>111</v>
      </c>
      <c r="AL87" s="9"/>
      <c r="AM87" s="42">
        <v>0</v>
      </c>
      <c r="AO87" s="42">
        <v>0</v>
      </c>
      <c r="AQ87" s="42">
        <v>0</v>
      </c>
      <c r="AS87" s="42">
        <v>0</v>
      </c>
      <c r="AW87" s="42">
        <v>0</v>
      </c>
      <c r="AY87" s="42">
        <f t="shared" si="12"/>
        <v>0</v>
      </c>
      <c r="BA87" s="42">
        <f>+'St of Act - GA Rev'!AI87-'St of Activities - GA Exp'!AY87</f>
        <v>0</v>
      </c>
      <c r="BC87" s="42">
        <v>0</v>
      </c>
      <c r="BE87" s="42">
        <f t="shared" si="13"/>
        <v>0</v>
      </c>
      <c r="BG87" s="42">
        <f>+'St of Net Pos - GA'!AE87-'St of Activities - GA Exp'!BE87</f>
        <v>0</v>
      </c>
    </row>
    <row r="88" spans="1:59" ht="12" customHeight="1">
      <c r="A88" s="9" t="s">
        <v>631</v>
      </c>
      <c r="B88" s="9"/>
      <c r="C88" s="9" t="s">
        <v>23</v>
      </c>
      <c r="D88" s="9"/>
      <c r="E88" s="23">
        <v>46755</v>
      </c>
      <c r="G88" s="42">
        <v>11688486</v>
      </c>
      <c r="I88" s="42">
        <v>1723951</v>
      </c>
      <c r="K88" s="42">
        <v>245185</v>
      </c>
      <c r="M88" s="42">
        <v>0</v>
      </c>
      <c r="O88" s="42">
        <v>5865</v>
      </c>
      <c r="Q88" s="42">
        <v>2379876</v>
      </c>
      <c r="S88" s="42">
        <v>392856</v>
      </c>
      <c r="U88" s="42">
        <v>201377</v>
      </c>
      <c r="W88" s="42">
        <v>1822235</v>
      </c>
      <c r="Y88" s="42">
        <v>640909</v>
      </c>
      <c r="AA88" s="42">
        <v>0</v>
      </c>
      <c r="AC88" s="42">
        <v>2222573</v>
      </c>
      <c r="AE88" s="42">
        <v>1743274</v>
      </c>
      <c r="AG88" s="42">
        <v>29287</v>
      </c>
      <c r="AI88" s="9" t="s">
        <v>631</v>
      </c>
      <c r="AJ88" s="9"/>
      <c r="AK88" s="9" t="s">
        <v>23</v>
      </c>
      <c r="AL88" s="9"/>
      <c r="AM88" s="42">
        <v>786359</v>
      </c>
      <c r="AO88" s="42">
        <v>28037</v>
      </c>
      <c r="AQ88" s="42">
        <v>536882</v>
      </c>
      <c r="AS88" s="42">
        <v>1125012</v>
      </c>
      <c r="AW88" s="42">
        <v>0</v>
      </c>
      <c r="AY88" s="42">
        <f t="shared" si="12"/>
        <v>25572164</v>
      </c>
      <c r="BA88" s="42">
        <f>+'St of Act - GA Rev'!AI88-'St of Activities - GA Exp'!AY88</f>
        <v>1789109</v>
      </c>
      <c r="BC88" s="42">
        <v>15339298</v>
      </c>
      <c r="BE88" s="42">
        <f t="shared" si="13"/>
        <v>17128407</v>
      </c>
      <c r="BG88" s="42">
        <f>+'St of Net Pos - GA'!AE88-'St of Activities - GA Exp'!BE88</f>
        <v>0</v>
      </c>
    </row>
    <row r="89" spans="1:59">
      <c r="A89" s="9" t="s">
        <v>255</v>
      </c>
      <c r="B89" s="9"/>
      <c r="C89" s="9" t="s">
        <v>110</v>
      </c>
      <c r="D89" s="9"/>
      <c r="E89" s="23">
        <v>43687</v>
      </c>
      <c r="G89" s="42">
        <v>8061074</v>
      </c>
      <c r="I89" s="42">
        <v>2115899</v>
      </c>
      <c r="K89" s="42">
        <v>33723</v>
      </c>
      <c r="M89" s="42">
        <v>0</v>
      </c>
      <c r="O89" s="42">
        <v>0</v>
      </c>
      <c r="Q89" s="42">
        <v>888755</v>
      </c>
      <c r="S89" s="42">
        <v>1088680</v>
      </c>
      <c r="U89" s="42">
        <v>99527</v>
      </c>
      <c r="W89" s="42">
        <v>1507287</v>
      </c>
      <c r="Y89" s="42">
        <v>445699</v>
      </c>
      <c r="AA89" s="42">
        <v>87497</v>
      </c>
      <c r="AC89" s="42">
        <v>2031114</v>
      </c>
      <c r="AE89" s="42">
        <v>346972</v>
      </c>
      <c r="AG89" s="42">
        <v>208014</v>
      </c>
      <c r="AI89" s="9" t="s">
        <v>255</v>
      </c>
      <c r="AJ89" s="9"/>
      <c r="AK89" s="9" t="s">
        <v>110</v>
      </c>
      <c r="AL89" s="9"/>
      <c r="AM89" s="42">
        <v>0</v>
      </c>
      <c r="AO89" s="42">
        <v>1096049</v>
      </c>
      <c r="AQ89" s="42">
        <v>476899</v>
      </c>
      <c r="AS89" s="42">
        <v>325791</v>
      </c>
      <c r="AW89" s="42">
        <v>0</v>
      </c>
      <c r="AY89" s="42">
        <f t="shared" si="12"/>
        <v>18812980</v>
      </c>
      <c r="BA89" s="42">
        <f>+'St of Act - GA Rev'!AI89-'St of Activities - GA Exp'!AY89</f>
        <v>-1619603</v>
      </c>
      <c r="BC89" s="42">
        <v>31425611</v>
      </c>
      <c r="BE89" s="42">
        <f t="shared" si="13"/>
        <v>29806008</v>
      </c>
      <c r="BG89" s="42">
        <f>+'St of Net Pos - GA'!AE89-'St of Activities - GA Exp'!BE89</f>
        <v>0</v>
      </c>
    </row>
    <row r="90" spans="1:59">
      <c r="A90" s="9" t="s">
        <v>746</v>
      </c>
      <c r="B90" s="9"/>
      <c r="C90" s="9" t="s">
        <v>52</v>
      </c>
      <c r="D90" s="9"/>
      <c r="E90" s="23">
        <v>45252</v>
      </c>
      <c r="G90" s="42">
        <v>4030686</v>
      </c>
      <c r="I90" s="42">
        <v>764207</v>
      </c>
      <c r="K90" s="42">
        <v>71117</v>
      </c>
      <c r="M90" s="42">
        <v>5304</v>
      </c>
      <c r="O90" s="42">
        <v>764</v>
      </c>
      <c r="Q90" s="42">
        <v>441544</v>
      </c>
      <c r="S90" s="42">
        <v>647753</v>
      </c>
      <c r="U90" s="42">
        <v>59834</v>
      </c>
      <c r="W90" s="42">
        <v>632004</v>
      </c>
      <c r="Y90" s="42">
        <v>334013</v>
      </c>
      <c r="AA90" s="42">
        <v>0</v>
      </c>
      <c r="AC90" s="42">
        <v>522620</v>
      </c>
      <c r="AE90" s="42">
        <v>577092</v>
      </c>
      <c r="AG90" s="42">
        <v>0</v>
      </c>
      <c r="AI90" s="9" t="s">
        <v>746</v>
      </c>
      <c r="AJ90" s="9"/>
      <c r="AK90" s="9" t="s">
        <v>52</v>
      </c>
      <c r="AL90" s="9"/>
      <c r="AM90" s="42">
        <v>360538</v>
      </c>
      <c r="AO90" s="42">
        <f>91317+3850</f>
        <v>95167</v>
      </c>
      <c r="AQ90" s="42">
        <v>291380</v>
      </c>
      <c r="AS90" s="42">
        <v>1494</v>
      </c>
      <c r="AW90" s="42">
        <v>0</v>
      </c>
      <c r="AY90" s="42">
        <f t="shared" ref="AY90" si="14">SUM(G90:AX90)</f>
        <v>8835517</v>
      </c>
      <c r="BA90" s="42">
        <f>+'St of Act - GA Rev'!AI90-'St of Activities - GA Exp'!AY90</f>
        <v>-123412</v>
      </c>
      <c r="BC90" s="42">
        <v>7282897</v>
      </c>
      <c r="BE90" s="42">
        <f t="shared" ref="BE90" si="15">+BA90+BC90</f>
        <v>7159485</v>
      </c>
      <c r="BG90" s="42">
        <f>+'St of Net Pos - GA'!AE90-'St of Activities - GA Exp'!BE90</f>
        <v>0</v>
      </c>
    </row>
    <row r="91" spans="1:59">
      <c r="A91" s="9" t="s">
        <v>317</v>
      </c>
      <c r="B91" s="9"/>
      <c r="C91" s="9" t="s">
        <v>31</v>
      </c>
      <c r="D91" s="9"/>
      <c r="E91" s="23">
        <v>43695</v>
      </c>
      <c r="G91" s="42">
        <v>11361779</v>
      </c>
      <c r="I91" s="42">
        <v>3362059</v>
      </c>
      <c r="K91" s="42">
        <v>96897</v>
      </c>
      <c r="M91" s="42">
        <v>14072</v>
      </c>
      <c r="O91" s="42">
        <v>1022</v>
      </c>
      <c r="Q91" s="42">
        <v>1599016</v>
      </c>
      <c r="S91" s="42">
        <v>866879</v>
      </c>
      <c r="U91" s="42">
        <v>77435</v>
      </c>
      <c r="W91" s="42">
        <v>1555976</v>
      </c>
      <c r="Y91" s="42">
        <v>545271</v>
      </c>
      <c r="AA91" s="42">
        <v>35624</v>
      </c>
      <c r="AC91" s="42">
        <v>2363625</v>
      </c>
      <c r="AE91" s="42">
        <v>1195595</v>
      </c>
      <c r="AG91" s="42">
        <v>242969</v>
      </c>
      <c r="AI91" s="9" t="s">
        <v>317</v>
      </c>
      <c r="AJ91" s="9"/>
      <c r="AK91" s="9" t="s">
        <v>31</v>
      </c>
      <c r="AL91" s="9"/>
      <c r="AM91" s="42">
        <v>1072198</v>
      </c>
      <c r="AO91" s="42">
        <v>141062</v>
      </c>
      <c r="AQ91" s="42">
        <v>564730</v>
      </c>
      <c r="AS91" s="42">
        <v>317938</v>
      </c>
      <c r="AW91" s="42">
        <v>0</v>
      </c>
      <c r="AY91" s="42">
        <f t="shared" si="12"/>
        <v>25414147</v>
      </c>
      <c r="BA91" s="42">
        <f>+'St of Act - GA Rev'!AI91-'St of Activities - GA Exp'!AY91</f>
        <v>-877620</v>
      </c>
      <c r="BC91" s="42">
        <v>39772569</v>
      </c>
      <c r="BE91" s="42">
        <f t="shared" si="13"/>
        <v>38894949</v>
      </c>
      <c r="BG91" s="42">
        <f>+'St of Net Pos - GA'!AE91-'St of Activities - GA Exp'!BE91</f>
        <v>0</v>
      </c>
    </row>
    <row r="92" spans="1:59" ht="12" customHeight="1">
      <c r="A92" s="9" t="s">
        <v>642</v>
      </c>
      <c r="B92" s="9"/>
      <c r="C92" s="9" t="s">
        <v>45</v>
      </c>
      <c r="D92" s="9"/>
      <c r="E92" s="23">
        <v>43703</v>
      </c>
      <c r="G92" s="42">
        <v>7131833</v>
      </c>
      <c r="I92" s="42">
        <v>2835514</v>
      </c>
      <c r="K92" s="42">
        <v>168400</v>
      </c>
      <c r="M92" s="42">
        <v>0</v>
      </c>
      <c r="O92" s="42">
        <v>265039</v>
      </c>
      <c r="Q92" s="42">
        <v>342749</v>
      </c>
      <c r="S92" s="42">
        <v>535214</v>
      </c>
      <c r="U92" s="42">
        <v>34038</v>
      </c>
      <c r="W92" s="42">
        <v>959972</v>
      </c>
      <c r="Y92" s="42">
        <v>348689</v>
      </c>
      <c r="AA92" s="42">
        <v>0</v>
      </c>
      <c r="AC92" s="42">
        <v>1918650</v>
      </c>
      <c r="AE92" s="42">
        <v>510964</v>
      </c>
      <c r="AG92" s="42">
        <v>0</v>
      </c>
      <c r="AI92" s="9" t="s">
        <v>642</v>
      </c>
      <c r="AJ92" s="9"/>
      <c r="AK92" s="9" t="s">
        <v>45</v>
      </c>
      <c r="AL92" s="9"/>
      <c r="AM92" s="42">
        <v>751361</v>
      </c>
      <c r="AO92" s="42">
        <v>1500</v>
      </c>
      <c r="AQ92" s="42">
        <v>549884</v>
      </c>
      <c r="AS92" s="42">
        <v>341860</v>
      </c>
      <c r="AW92" s="42">
        <v>0</v>
      </c>
      <c r="AY92" s="42">
        <f t="shared" si="12"/>
        <v>16695667</v>
      </c>
      <c r="BA92" s="42">
        <f>+'St of Act - GA Rev'!AI92-'St of Activities - GA Exp'!AY92</f>
        <v>-1207209</v>
      </c>
      <c r="BC92" s="42">
        <v>29414582</v>
      </c>
      <c r="BE92" s="42">
        <f t="shared" si="13"/>
        <v>28207373</v>
      </c>
      <c r="BG92" s="42">
        <f>+'St of Net Pos - GA'!AE92-'St of Activities - GA Exp'!BE92</f>
        <v>0</v>
      </c>
    </row>
    <row r="93" spans="1:59">
      <c r="A93" s="9" t="s">
        <v>298</v>
      </c>
      <c r="B93" s="9"/>
      <c r="C93" s="9" t="s">
        <v>27</v>
      </c>
      <c r="D93" s="9"/>
      <c r="E93" s="23">
        <v>46946</v>
      </c>
      <c r="G93" s="42">
        <v>16024742</v>
      </c>
      <c r="I93" s="42">
        <v>3801713</v>
      </c>
      <c r="K93" s="42">
        <v>403755</v>
      </c>
      <c r="M93" s="42">
        <v>0</v>
      </c>
      <c r="O93" s="42">
        <v>401132</v>
      </c>
      <c r="Q93" s="42">
        <v>1880776</v>
      </c>
      <c r="S93" s="42">
        <v>1135974</v>
      </c>
      <c r="U93" s="42">
        <v>253599</v>
      </c>
      <c r="W93" s="42">
        <v>2887717</v>
      </c>
      <c r="Y93" s="42">
        <v>921473</v>
      </c>
      <c r="AA93" s="42">
        <v>9244</v>
      </c>
      <c r="AC93" s="42">
        <v>3614353</v>
      </c>
      <c r="AE93" s="42">
        <v>2499073</v>
      </c>
      <c r="AG93" s="42">
        <v>417836</v>
      </c>
      <c r="AI93" s="9" t="s">
        <v>298</v>
      </c>
      <c r="AJ93" s="9"/>
      <c r="AK93" s="9" t="s">
        <v>27</v>
      </c>
      <c r="AL93" s="9"/>
      <c r="AM93" s="42">
        <v>1216080</v>
      </c>
      <c r="AO93" s="42">
        <v>366315</v>
      </c>
      <c r="AQ93" s="42">
        <v>895645</v>
      </c>
      <c r="AS93" s="42">
        <v>2938706</v>
      </c>
      <c r="AW93" s="42">
        <v>123891</v>
      </c>
      <c r="AY93" s="42">
        <f t="shared" si="12"/>
        <v>39792024</v>
      </c>
      <c r="BA93" s="42">
        <f>+'St of Act - GA Rev'!AI93-'St of Activities - GA Exp'!AY93</f>
        <v>3164180</v>
      </c>
      <c r="BC93" s="42">
        <v>20861992</v>
      </c>
      <c r="BE93" s="42">
        <f t="shared" si="13"/>
        <v>24026172</v>
      </c>
      <c r="BG93" s="42">
        <f>+'St of Net Pos - GA'!AE93-'St of Activities - GA Exp'!BE93</f>
        <v>0</v>
      </c>
    </row>
    <row r="94" spans="1:59">
      <c r="A94" s="9" t="s">
        <v>400</v>
      </c>
      <c r="B94" s="9"/>
      <c r="C94" s="9" t="s">
        <v>45</v>
      </c>
      <c r="D94" s="9"/>
      <c r="E94" s="23">
        <v>48314</v>
      </c>
      <c r="G94" s="42">
        <v>12721401</v>
      </c>
      <c r="I94" s="42">
        <v>2522625</v>
      </c>
      <c r="K94" s="42">
        <v>297892</v>
      </c>
      <c r="M94" s="42">
        <v>0</v>
      </c>
      <c r="O94" s="42">
        <v>0</v>
      </c>
      <c r="Q94" s="42">
        <v>1418828</v>
      </c>
      <c r="S94" s="42">
        <v>1217607</v>
      </c>
      <c r="U94" s="42">
        <v>41957</v>
      </c>
      <c r="W94" s="42">
        <v>1617686</v>
      </c>
      <c r="Y94" s="42">
        <v>548476</v>
      </c>
      <c r="AA94" s="42">
        <v>222459</v>
      </c>
      <c r="AC94" s="42">
        <v>1979825</v>
      </c>
      <c r="AE94" s="42">
        <v>1697059</v>
      </c>
      <c r="AG94" s="42">
        <v>134095</v>
      </c>
      <c r="AI94" s="9" t="s">
        <v>400</v>
      </c>
      <c r="AJ94" s="9"/>
      <c r="AK94" s="9" t="s">
        <v>45</v>
      </c>
      <c r="AL94" s="9"/>
      <c r="AM94" s="42">
        <v>1006891</v>
      </c>
      <c r="AO94" s="42">
        <v>79749</v>
      </c>
      <c r="AQ94" s="42">
        <v>928065</v>
      </c>
      <c r="AS94" s="42">
        <v>6049</v>
      </c>
      <c r="AW94" s="42">
        <v>0</v>
      </c>
      <c r="AY94" s="42">
        <f t="shared" si="12"/>
        <v>26440664</v>
      </c>
      <c r="BA94" s="42">
        <f>+'St of Act - GA Rev'!AI94-'St of Activities - GA Exp'!AY94</f>
        <v>142003</v>
      </c>
      <c r="BC94" s="42">
        <v>18427016</v>
      </c>
      <c r="BE94" s="42">
        <f t="shared" si="13"/>
        <v>18569019</v>
      </c>
      <c r="BG94" s="42">
        <f>+'St of Net Pos - GA'!AE94-'St of Activities - GA Exp'!BE94</f>
        <v>0</v>
      </c>
    </row>
    <row r="95" spans="1:59">
      <c r="A95" s="9" t="s">
        <v>490</v>
      </c>
      <c r="B95" s="9"/>
      <c r="C95" s="9" t="s">
        <v>62</v>
      </c>
      <c r="D95" s="9"/>
      <c r="E95" s="23">
        <v>43711</v>
      </c>
      <c r="G95" s="42">
        <v>43122000</v>
      </c>
      <c r="I95" s="42">
        <v>17573000</v>
      </c>
      <c r="K95" s="42">
        <v>2342000</v>
      </c>
      <c r="M95" s="42">
        <v>1558000</v>
      </c>
      <c r="O95" s="42">
        <v>13898000</v>
      </c>
      <c r="Q95" s="42">
        <v>6897000</v>
      </c>
      <c r="S95" s="42">
        <v>7320000</v>
      </c>
      <c r="U95" s="42">
        <v>30000</v>
      </c>
      <c r="W95" s="42">
        <v>9387000</v>
      </c>
      <c r="Y95" s="42">
        <v>1788000</v>
      </c>
      <c r="AA95" s="42">
        <v>471000</v>
      </c>
      <c r="AC95" s="42">
        <v>11317000</v>
      </c>
      <c r="AE95" s="42">
        <v>4183000</v>
      </c>
      <c r="AG95" s="42">
        <v>3024000</v>
      </c>
      <c r="AI95" s="9" t="s">
        <v>490</v>
      </c>
      <c r="AJ95" s="9"/>
      <c r="AK95" s="9" t="s">
        <v>62</v>
      </c>
      <c r="AL95" s="9"/>
      <c r="AM95" s="42">
        <v>4380000</v>
      </c>
      <c r="AO95" s="42">
        <v>2107000</v>
      </c>
      <c r="AQ95" s="42">
        <v>2697000</v>
      </c>
      <c r="AS95" s="42">
        <v>2084000</v>
      </c>
      <c r="AW95" s="42">
        <v>165000</v>
      </c>
      <c r="AY95" s="42">
        <f>SUM(G95:AX95)</f>
        <v>134343000</v>
      </c>
      <c r="BA95" s="42">
        <f>+'St of Act - GA Rev'!AI95-'St of Activities - GA Exp'!AY95</f>
        <v>-4069000</v>
      </c>
      <c r="BC95" s="42">
        <v>168041000</v>
      </c>
      <c r="BE95" s="42">
        <f>+BA95+BC95</f>
        <v>163972000</v>
      </c>
      <c r="BG95" s="42">
        <f>+'St of Net Pos - GA'!AE95-'St of Activities - GA Exp'!BE95</f>
        <v>0</v>
      </c>
    </row>
    <row r="96" spans="1:59" ht="12" customHeight="1">
      <c r="A96" s="9" t="s">
        <v>491</v>
      </c>
      <c r="B96" s="9"/>
      <c r="C96" s="9" t="s">
        <v>62</v>
      </c>
      <c r="D96" s="9"/>
      <c r="E96" s="23">
        <v>49833</v>
      </c>
      <c r="G96" s="42">
        <v>9951385</v>
      </c>
      <c r="I96" s="42">
        <v>3216023</v>
      </c>
      <c r="K96" s="42">
        <v>1346296</v>
      </c>
      <c r="M96" s="42">
        <v>3483</v>
      </c>
      <c r="O96" s="42">
        <v>613473</v>
      </c>
      <c r="Q96" s="42">
        <v>1106016</v>
      </c>
      <c r="S96" s="42">
        <v>1184423</v>
      </c>
      <c r="U96" s="42">
        <v>29986</v>
      </c>
      <c r="W96" s="42">
        <v>1775020</v>
      </c>
      <c r="Y96" s="42">
        <v>346068</v>
      </c>
      <c r="AA96" s="42">
        <v>283467</v>
      </c>
      <c r="AC96" s="42">
        <v>2060473</v>
      </c>
      <c r="AE96" s="42">
        <v>969478</v>
      </c>
      <c r="AG96" s="42">
        <v>177885</v>
      </c>
      <c r="AI96" s="9" t="s">
        <v>491</v>
      </c>
      <c r="AJ96" s="9"/>
      <c r="AK96" s="9" t="s">
        <v>62</v>
      </c>
      <c r="AL96" s="9"/>
      <c r="AM96" s="42">
        <v>1169188</v>
      </c>
      <c r="AO96" s="42">
        <v>36951</v>
      </c>
      <c r="AQ96" s="42">
        <v>733941</v>
      </c>
      <c r="AS96" s="42">
        <v>38739</v>
      </c>
      <c r="AW96" s="42">
        <v>0</v>
      </c>
      <c r="AY96" s="42">
        <f t="shared" ref="AY96:AY156" si="16">SUM(G96:AX96)</f>
        <v>25042295</v>
      </c>
      <c r="BA96" s="42">
        <f>+'St of Act - GA Rev'!AI96-'St of Activities - GA Exp'!AY96</f>
        <v>486518</v>
      </c>
      <c r="BC96" s="42">
        <v>625580</v>
      </c>
      <c r="BE96" s="42">
        <f t="shared" si="13"/>
        <v>1112098</v>
      </c>
      <c r="BG96" s="42">
        <f>+'St of Net Pos - GA'!AE96-'St of Activities - GA Exp'!BE96</f>
        <v>0</v>
      </c>
    </row>
    <row r="97" spans="1:59" ht="12" customHeight="1">
      <c r="A97" s="9" t="s">
        <v>643</v>
      </c>
      <c r="B97" s="9"/>
      <c r="C97" s="9" t="s">
        <v>30</v>
      </c>
      <c r="D97" s="9"/>
      <c r="E97" s="23">
        <v>47175</v>
      </c>
      <c r="G97" s="42">
        <v>5354543</v>
      </c>
      <c r="I97" s="42">
        <v>3721796</v>
      </c>
      <c r="K97" s="42">
        <v>5728</v>
      </c>
      <c r="M97" s="42">
        <v>0</v>
      </c>
      <c r="O97" s="42">
        <v>0</v>
      </c>
      <c r="Q97" s="42">
        <v>408146</v>
      </c>
      <c r="S97" s="42">
        <v>568730</v>
      </c>
      <c r="U97" s="42">
        <v>31191</v>
      </c>
      <c r="W97" s="42">
        <v>1015613</v>
      </c>
      <c r="Y97" s="42">
        <v>395079</v>
      </c>
      <c r="AA97" s="42">
        <v>91704</v>
      </c>
      <c r="AC97" s="42">
        <v>1476451</v>
      </c>
      <c r="AE97" s="42">
        <v>1238950</v>
      </c>
      <c r="AG97" s="42">
        <v>240948</v>
      </c>
      <c r="AI97" s="9" t="s">
        <v>643</v>
      </c>
      <c r="AJ97" s="9"/>
      <c r="AK97" s="9" t="s">
        <v>30</v>
      </c>
      <c r="AL97" s="9"/>
      <c r="AM97" s="42">
        <v>517463</v>
      </c>
      <c r="AO97" s="42">
        <v>5840</v>
      </c>
      <c r="AQ97" s="42">
        <v>312558</v>
      </c>
      <c r="AS97" s="42">
        <v>495916</v>
      </c>
      <c r="AW97" s="42">
        <v>0</v>
      </c>
      <c r="AY97" s="42">
        <f t="shared" si="16"/>
        <v>15880656</v>
      </c>
      <c r="BA97" s="42">
        <f>+'St of Act - GA Rev'!AI97-'St of Activities - GA Exp'!AY97</f>
        <v>-35760</v>
      </c>
      <c r="BC97" s="42">
        <v>875078</v>
      </c>
      <c r="BE97" s="42">
        <f t="shared" ref="BE97:BE152" si="17">+BA97+BC97</f>
        <v>839318</v>
      </c>
      <c r="BG97" s="42">
        <f>+'St of Net Pos - GA'!AE97-'St of Activities - GA Exp'!BE97</f>
        <v>0</v>
      </c>
    </row>
    <row r="98" spans="1:59">
      <c r="A98" s="9" t="s">
        <v>438</v>
      </c>
      <c r="B98" s="9"/>
      <c r="C98" s="9" t="s">
        <v>78</v>
      </c>
      <c r="D98" s="9"/>
      <c r="E98" s="23">
        <v>48793</v>
      </c>
      <c r="G98" s="42">
        <v>5522869</v>
      </c>
      <c r="I98" s="42">
        <v>1308873</v>
      </c>
      <c r="K98" s="42">
        <v>238541</v>
      </c>
      <c r="M98" s="42">
        <v>0</v>
      </c>
      <c r="O98" s="42">
        <v>1476499</v>
      </c>
      <c r="Q98" s="42">
        <v>285996</v>
      </c>
      <c r="S98" s="42">
        <v>404605</v>
      </c>
      <c r="U98" s="42">
        <v>53359</v>
      </c>
      <c r="W98" s="42">
        <v>1077614</v>
      </c>
      <c r="Y98" s="42">
        <v>306843</v>
      </c>
      <c r="AA98" s="42">
        <v>0</v>
      </c>
      <c r="AC98" s="42">
        <v>1263950</v>
      </c>
      <c r="AE98" s="42">
        <v>593404</v>
      </c>
      <c r="AG98" s="42">
        <v>25701</v>
      </c>
      <c r="AI98" s="9" t="s">
        <v>438</v>
      </c>
      <c r="AJ98" s="9"/>
      <c r="AK98" s="9" t="s">
        <v>78</v>
      </c>
      <c r="AL98" s="9"/>
      <c r="AM98" s="42">
        <v>609680</v>
      </c>
      <c r="AO98" s="42">
        <v>2461</v>
      </c>
      <c r="AQ98" s="42">
        <v>238664</v>
      </c>
      <c r="AS98" s="42">
        <v>230829</v>
      </c>
      <c r="AW98" s="42">
        <v>0</v>
      </c>
      <c r="AY98" s="42">
        <f t="shared" si="16"/>
        <v>13639888</v>
      </c>
      <c r="BA98" s="42">
        <f>+'St of Act - GA Rev'!AI98-'St of Activities - GA Exp'!AY98</f>
        <v>-1741056</v>
      </c>
      <c r="BC98" s="42">
        <v>21337510</v>
      </c>
      <c r="BE98" s="42">
        <f t="shared" si="17"/>
        <v>19596454</v>
      </c>
      <c r="BG98" s="42">
        <f>+'St of Net Pos - GA'!AE98-'St of Activities - GA Exp'!BE98</f>
        <v>0</v>
      </c>
    </row>
    <row r="99" spans="1:59" ht="12" hidden="1" customHeight="1">
      <c r="A99" s="9" t="s">
        <v>855</v>
      </c>
      <c r="B99" s="9"/>
      <c r="C99" s="9" t="s">
        <v>553</v>
      </c>
      <c r="D99" s="9"/>
      <c r="E99" s="23">
        <v>45260</v>
      </c>
      <c r="G99" s="42">
        <v>0</v>
      </c>
      <c r="I99" s="42">
        <v>0</v>
      </c>
      <c r="K99" s="42">
        <v>0</v>
      </c>
      <c r="M99" s="42">
        <v>0</v>
      </c>
      <c r="O99" s="42">
        <v>0</v>
      </c>
      <c r="Q99" s="42">
        <v>0</v>
      </c>
      <c r="S99" s="42">
        <v>0</v>
      </c>
      <c r="U99" s="42">
        <v>0</v>
      </c>
      <c r="W99" s="42">
        <v>0</v>
      </c>
      <c r="Y99" s="42">
        <v>0</v>
      </c>
      <c r="AA99" s="42">
        <v>0</v>
      </c>
      <c r="AC99" s="42">
        <v>0</v>
      </c>
      <c r="AE99" s="42">
        <v>0</v>
      </c>
      <c r="AG99" s="42">
        <v>0</v>
      </c>
      <c r="AI99" s="9" t="s">
        <v>855</v>
      </c>
      <c r="AJ99" s="9"/>
      <c r="AK99" s="9" t="s">
        <v>553</v>
      </c>
      <c r="AL99" s="9"/>
      <c r="AM99" s="42">
        <v>0</v>
      </c>
      <c r="AO99" s="42">
        <v>0</v>
      </c>
      <c r="AQ99" s="42">
        <v>0</v>
      </c>
      <c r="AS99" s="42">
        <v>0</v>
      </c>
      <c r="AW99" s="42">
        <v>0</v>
      </c>
      <c r="AY99" s="42">
        <f t="shared" si="16"/>
        <v>0</v>
      </c>
      <c r="BA99" s="42">
        <f>+'St of Act - GA Rev'!AI99-'St of Activities - GA Exp'!AY99</f>
        <v>0</v>
      </c>
      <c r="BC99" s="42">
        <v>0</v>
      </c>
      <c r="BE99" s="42">
        <f t="shared" si="17"/>
        <v>0</v>
      </c>
      <c r="BG99" s="42">
        <f>+'St of Net Pos - GA'!AE99-'St of Activities - GA Exp'!BE99</f>
        <v>0</v>
      </c>
    </row>
    <row r="100" spans="1:59" s="24" customFormat="1" ht="12" customHeight="1">
      <c r="A100" s="51" t="s">
        <v>539</v>
      </c>
      <c r="B100" s="51"/>
      <c r="C100" s="51" t="s">
        <v>69</v>
      </c>
      <c r="D100" s="51"/>
      <c r="E100" s="23">
        <v>50419</v>
      </c>
      <c r="G100" s="42">
        <v>7882710</v>
      </c>
      <c r="H100" s="42"/>
      <c r="I100" s="42">
        <v>1695548</v>
      </c>
      <c r="J100" s="42"/>
      <c r="K100" s="42">
        <v>116190</v>
      </c>
      <c r="L100" s="42"/>
      <c r="M100" s="42">
        <v>0</v>
      </c>
      <c r="N100" s="42"/>
      <c r="O100" s="42">
        <v>98915</v>
      </c>
      <c r="P100" s="42"/>
      <c r="Q100" s="42">
        <v>764252</v>
      </c>
      <c r="R100" s="42"/>
      <c r="S100" s="42">
        <v>713359</v>
      </c>
      <c r="T100" s="42"/>
      <c r="U100" s="42">
        <v>27259</v>
      </c>
      <c r="V100" s="42"/>
      <c r="W100" s="42">
        <v>967534</v>
      </c>
      <c r="X100" s="42"/>
      <c r="Y100" s="42">
        <v>518313</v>
      </c>
      <c r="Z100" s="42"/>
      <c r="AA100" s="42">
        <v>13171</v>
      </c>
      <c r="AB100" s="42"/>
      <c r="AC100" s="42">
        <v>1299338</v>
      </c>
      <c r="AD100" s="42"/>
      <c r="AE100" s="42">
        <v>872034</v>
      </c>
      <c r="AF100" s="42"/>
      <c r="AG100" s="42">
        <v>47803</v>
      </c>
      <c r="AI100" s="51" t="s">
        <v>539</v>
      </c>
      <c r="AJ100" s="51"/>
      <c r="AK100" s="51" t="s">
        <v>69</v>
      </c>
      <c r="AL100" s="51"/>
      <c r="AM100" s="42">
        <v>614268</v>
      </c>
      <c r="AN100" s="42"/>
      <c r="AO100" s="42">
        <v>0</v>
      </c>
      <c r="AP100" s="42"/>
      <c r="AQ100" s="42">
        <v>560497</v>
      </c>
      <c r="AR100" s="42"/>
      <c r="AS100" s="42">
        <v>9044</v>
      </c>
      <c r="AT100" s="42"/>
      <c r="AU100" s="42"/>
      <c r="AV100" s="42"/>
      <c r="AW100" s="42">
        <v>0</v>
      </c>
      <c r="AX100" s="42"/>
      <c r="AY100" s="42">
        <f t="shared" si="16"/>
        <v>16200235</v>
      </c>
      <c r="AZ100" s="42"/>
      <c r="BA100" s="42">
        <f>+'St of Act - GA Rev'!AI100-'St of Activities - GA Exp'!AY100</f>
        <v>550137</v>
      </c>
      <c r="BB100" s="42"/>
      <c r="BC100" s="42">
        <v>1107667</v>
      </c>
      <c r="BD100" s="42"/>
      <c r="BE100" s="42">
        <f t="shared" si="17"/>
        <v>1657804</v>
      </c>
      <c r="BF100" s="42"/>
      <c r="BG100" s="42">
        <f>+'St of Net Pos - GA'!AE100-'St of Activities - GA Exp'!BE100</f>
        <v>0</v>
      </c>
    </row>
    <row r="101" spans="1:59" s="24" customFormat="1" ht="11.25" customHeight="1">
      <c r="A101" s="51" t="s">
        <v>747</v>
      </c>
      <c r="B101" s="51"/>
      <c r="C101" s="51" t="s">
        <v>16</v>
      </c>
      <c r="D101" s="51"/>
      <c r="E101" s="51">
        <v>45278</v>
      </c>
      <c r="G101" s="24">
        <v>8789207</v>
      </c>
      <c r="I101" s="24">
        <v>3008054</v>
      </c>
      <c r="K101" s="24">
        <v>284861</v>
      </c>
      <c r="M101" s="24">
        <v>1602</v>
      </c>
      <c r="O101" s="24">
        <f>16728+392121</f>
        <v>408849</v>
      </c>
      <c r="Q101" s="24">
        <v>1431102</v>
      </c>
      <c r="S101" s="24">
        <v>955479</v>
      </c>
      <c r="U101" s="24">
        <v>38049</v>
      </c>
      <c r="W101" s="24">
        <v>1652917</v>
      </c>
      <c r="Y101" s="24">
        <v>640483</v>
      </c>
      <c r="AA101" s="24">
        <v>143696</v>
      </c>
      <c r="AC101" s="24">
        <v>1712406</v>
      </c>
      <c r="AE101" s="24">
        <v>1598264</v>
      </c>
      <c r="AG101" s="24">
        <v>42543</v>
      </c>
      <c r="AI101" s="51" t="s">
        <v>747</v>
      </c>
      <c r="AJ101" s="51"/>
      <c r="AK101" s="51" t="s">
        <v>16</v>
      </c>
      <c r="AL101" s="51"/>
      <c r="AM101" s="24">
        <v>810156</v>
      </c>
      <c r="AO101" s="24">
        <f>12524+27634</f>
        <v>40158</v>
      </c>
      <c r="AQ101" s="24">
        <v>676643</v>
      </c>
      <c r="AS101" s="24">
        <v>9564</v>
      </c>
      <c r="AW101" s="24">
        <v>0</v>
      </c>
      <c r="AY101" s="24">
        <f t="shared" si="16"/>
        <v>22244033</v>
      </c>
      <c r="BA101" s="24">
        <f>+'St of Act - GA Rev'!AI101-'St of Activities - GA Exp'!AY101</f>
        <v>-250451</v>
      </c>
      <c r="BC101" s="24">
        <v>10341843</v>
      </c>
      <c r="BE101" s="24">
        <f t="shared" si="17"/>
        <v>10091392</v>
      </c>
      <c r="BG101" s="24">
        <f>+'St of Net Pos - GA'!AE101-'St of Activities - GA Exp'!BE101</f>
        <v>0</v>
      </c>
    </row>
    <row r="102" spans="1:59">
      <c r="A102" s="9" t="s">
        <v>644</v>
      </c>
      <c r="B102" s="9"/>
      <c r="C102" s="9" t="s">
        <v>113</v>
      </c>
      <c r="D102" s="9"/>
      <c r="E102" s="23">
        <v>47258</v>
      </c>
      <c r="G102" s="42">
        <v>2016007</v>
      </c>
      <c r="I102" s="42">
        <v>639823</v>
      </c>
      <c r="K102" s="42">
        <v>3120</v>
      </c>
      <c r="M102" s="42">
        <v>0</v>
      </c>
      <c r="O102" s="42">
        <f>315955+2669</f>
        <v>318624</v>
      </c>
      <c r="Q102" s="42">
        <v>527977</v>
      </c>
      <c r="S102" s="42">
        <v>-24874</v>
      </c>
      <c r="U102" s="42">
        <v>22387</v>
      </c>
      <c r="W102" s="42">
        <v>693405</v>
      </c>
      <c r="Y102" s="42">
        <v>320092</v>
      </c>
      <c r="AA102" s="42">
        <v>473</v>
      </c>
      <c r="AC102" s="42">
        <v>644252</v>
      </c>
      <c r="AE102" s="42">
        <v>246421</v>
      </c>
      <c r="AG102" s="42">
        <v>1826</v>
      </c>
      <c r="AI102" s="9" t="s">
        <v>644</v>
      </c>
      <c r="AJ102" s="9"/>
      <c r="AK102" s="9" t="s">
        <v>113</v>
      </c>
      <c r="AL102" s="9"/>
      <c r="AM102" s="42">
        <v>0</v>
      </c>
      <c r="AO102" s="42">
        <v>41297</v>
      </c>
      <c r="AQ102" s="42">
        <v>282541</v>
      </c>
      <c r="AS102" s="42">
        <v>891512</v>
      </c>
      <c r="AW102" s="42">
        <v>1553286</v>
      </c>
      <c r="AY102" s="42">
        <f t="shared" si="16"/>
        <v>8178169</v>
      </c>
      <c r="BA102" s="42">
        <f>+'St of Act - GA Rev'!AI102-'St of Activities - GA Exp'!AY102</f>
        <v>115713</v>
      </c>
      <c r="BC102" s="42">
        <v>15914216</v>
      </c>
      <c r="BE102" s="42">
        <f t="shared" si="17"/>
        <v>16029929</v>
      </c>
      <c r="BG102" s="42">
        <f>+'St of Net Pos - GA'!AE102-'St of Activities - GA Exp'!BE102</f>
        <v>0</v>
      </c>
    </row>
    <row r="103" spans="1:59" ht="12" hidden="1" customHeight="1">
      <c r="A103" s="9" t="s">
        <v>613</v>
      </c>
      <c r="B103" s="9"/>
      <c r="C103" s="9" t="s">
        <v>419</v>
      </c>
      <c r="D103" s="9"/>
      <c r="E103" s="23">
        <v>43729</v>
      </c>
      <c r="G103" s="42">
        <v>0</v>
      </c>
      <c r="I103" s="42">
        <v>0</v>
      </c>
      <c r="K103" s="42">
        <v>0</v>
      </c>
      <c r="M103" s="42">
        <v>0</v>
      </c>
      <c r="O103" s="42">
        <v>0</v>
      </c>
      <c r="Q103" s="42">
        <v>0</v>
      </c>
      <c r="S103" s="42">
        <v>0</v>
      </c>
      <c r="U103" s="42">
        <v>0</v>
      </c>
      <c r="W103" s="42">
        <v>0</v>
      </c>
      <c r="Y103" s="42">
        <v>0</v>
      </c>
      <c r="AA103" s="42">
        <v>0</v>
      </c>
      <c r="AC103" s="42">
        <v>0</v>
      </c>
      <c r="AE103" s="42">
        <v>0</v>
      </c>
      <c r="AG103" s="42">
        <v>0</v>
      </c>
      <c r="AI103" s="9" t="s">
        <v>613</v>
      </c>
      <c r="AJ103" s="9"/>
      <c r="AK103" s="9" t="s">
        <v>419</v>
      </c>
      <c r="AL103" s="9"/>
      <c r="AM103" s="42">
        <v>0</v>
      </c>
      <c r="AO103" s="42">
        <v>0</v>
      </c>
      <c r="AQ103" s="42">
        <v>0</v>
      </c>
      <c r="AS103" s="42">
        <v>0</v>
      </c>
      <c r="AW103" s="42">
        <v>0</v>
      </c>
      <c r="AY103" s="42">
        <f t="shared" si="16"/>
        <v>0</v>
      </c>
      <c r="BA103" s="42">
        <f>+'St of Act - GA Rev'!AI103-'St of Activities - GA Exp'!AY103</f>
        <v>0</v>
      </c>
      <c r="BC103" s="42">
        <v>0</v>
      </c>
      <c r="BE103" s="42">
        <f t="shared" si="17"/>
        <v>0</v>
      </c>
      <c r="BG103" s="42">
        <f>+'St of Net Pos - GA'!AE103-'St of Activities - GA Exp'!BE103</f>
        <v>0</v>
      </c>
    </row>
    <row r="104" spans="1:59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v>0</v>
      </c>
      <c r="I104" s="42">
        <v>0</v>
      </c>
      <c r="K104" s="42">
        <v>0</v>
      </c>
      <c r="M104" s="42">
        <v>0</v>
      </c>
      <c r="O104" s="42">
        <v>0</v>
      </c>
      <c r="Q104" s="42">
        <v>0</v>
      </c>
      <c r="S104" s="42">
        <v>0</v>
      </c>
      <c r="U104" s="42">
        <v>0</v>
      </c>
      <c r="W104" s="42">
        <v>0</v>
      </c>
      <c r="Y104" s="42">
        <v>0</v>
      </c>
      <c r="AA104" s="42">
        <v>0</v>
      </c>
      <c r="AC104" s="42">
        <v>0</v>
      </c>
      <c r="AE104" s="42">
        <v>0</v>
      </c>
      <c r="AG104" s="42">
        <v>0</v>
      </c>
      <c r="AI104" s="9" t="s">
        <v>856</v>
      </c>
      <c r="AJ104" s="9"/>
      <c r="AK104" s="9" t="s">
        <v>40</v>
      </c>
      <c r="AL104" s="9"/>
      <c r="AM104" s="42">
        <v>0</v>
      </c>
      <c r="AO104" s="42">
        <v>0</v>
      </c>
      <c r="AQ104" s="42">
        <v>0</v>
      </c>
      <c r="AS104" s="42">
        <v>0</v>
      </c>
      <c r="AW104" s="42">
        <v>0</v>
      </c>
      <c r="AY104" s="42">
        <f t="shared" si="16"/>
        <v>0</v>
      </c>
      <c r="BA104" s="42">
        <f>+'St of Act - GA Rev'!AI104-'St of Activities - GA Exp'!AY104</f>
        <v>0</v>
      </c>
      <c r="BC104" s="42">
        <v>0</v>
      </c>
      <c r="BE104" s="42">
        <f t="shared" si="17"/>
        <v>0</v>
      </c>
      <c r="BG104" s="42">
        <f>+'St of Net Pos - GA'!AE104-'St of Activities - GA Exp'!BE104</f>
        <v>0</v>
      </c>
    </row>
    <row r="105" spans="1:59">
      <c r="A105" s="9" t="s">
        <v>645</v>
      </c>
      <c r="B105" s="9"/>
      <c r="C105" s="9" t="s">
        <v>50</v>
      </c>
      <c r="D105" s="9"/>
      <c r="E105" s="23">
        <v>43737</v>
      </c>
      <c r="G105" s="42">
        <v>39965780</v>
      </c>
      <c r="I105" s="42">
        <v>10030732</v>
      </c>
      <c r="K105" s="42">
        <v>2643498</v>
      </c>
      <c r="M105" s="42">
        <v>0</v>
      </c>
      <c r="O105" s="42">
        <v>1059508</v>
      </c>
      <c r="Q105" s="42">
        <v>4733715</v>
      </c>
      <c r="S105" s="42">
        <v>7411114</v>
      </c>
      <c r="U105" s="42">
        <v>0</v>
      </c>
      <c r="W105" s="42">
        <f>23561+5270505</f>
        <v>5294066</v>
      </c>
      <c r="Y105" s="42">
        <v>1585468</v>
      </c>
      <c r="AA105" s="42">
        <v>526133</v>
      </c>
      <c r="AC105" s="42">
        <v>7007402</v>
      </c>
      <c r="AE105" s="42">
        <v>8346409</v>
      </c>
      <c r="AG105" s="42">
        <v>67309</v>
      </c>
      <c r="AI105" s="9" t="s">
        <v>645</v>
      </c>
      <c r="AJ105" s="9"/>
      <c r="AK105" s="9" t="s">
        <v>50</v>
      </c>
      <c r="AL105" s="9"/>
      <c r="AM105" s="42">
        <v>0</v>
      </c>
      <c r="AO105" s="42">
        <v>4998273</v>
      </c>
      <c r="AQ105" s="42">
        <v>905109</v>
      </c>
      <c r="AS105" s="42">
        <v>1816604</v>
      </c>
      <c r="AW105" s="42">
        <v>2216722</v>
      </c>
      <c r="AY105" s="42">
        <f t="shared" si="16"/>
        <v>98607842</v>
      </c>
      <c r="BA105" s="42">
        <f>+'St of Act - GA Rev'!AI105-'St of Activities - GA Exp'!AY105</f>
        <v>-7262632</v>
      </c>
      <c r="BC105" s="42">
        <v>57305819</v>
      </c>
      <c r="BE105" s="42">
        <f t="shared" si="17"/>
        <v>50043187</v>
      </c>
      <c r="BG105" s="42">
        <f>+'St of Net Pos - GA'!AE105-'St of Activities - GA Exp'!BE105</f>
        <v>0</v>
      </c>
    </row>
    <row r="106" spans="1:59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v>0</v>
      </c>
      <c r="I106" s="42">
        <v>0</v>
      </c>
      <c r="K106" s="42">
        <v>0</v>
      </c>
      <c r="M106" s="42">
        <v>0</v>
      </c>
      <c r="O106" s="42">
        <v>0</v>
      </c>
      <c r="Q106" s="42">
        <v>0</v>
      </c>
      <c r="S106" s="42">
        <v>0</v>
      </c>
      <c r="U106" s="42">
        <v>0</v>
      </c>
      <c r="W106" s="42">
        <v>0</v>
      </c>
      <c r="Y106" s="42">
        <v>0</v>
      </c>
      <c r="AA106" s="42">
        <v>0</v>
      </c>
      <c r="AC106" s="42">
        <v>0</v>
      </c>
      <c r="AE106" s="42">
        <v>0</v>
      </c>
      <c r="AG106" s="42">
        <v>0</v>
      </c>
      <c r="AI106" s="9" t="s">
        <v>730</v>
      </c>
      <c r="AJ106" s="9"/>
      <c r="AK106" s="9" t="s">
        <v>22</v>
      </c>
      <c r="AL106" s="9"/>
      <c r="AM106" s="42">
        <v>0</v>
      </c>
      <c r="AO106" s="42">
        <v>0</v>
      </c>
      <c r="AQ106" s="42">
        <v>0</v>
      </c>
      <c r="AS106" s="42">
        <v>0</v>
      </c>
      <c r="AW106" s="42">
        <v>0</v>
      </c>
      <c r="AY106" s="42">
        <f t="shared" si="16"/>
        <v>0</v>
      </c>
      <c r="BA106" s="42">
        <f>+'St of Act - GA Rev'!AI106-'St of Activities - GA Exp'!AY106</f>
        <v>0</v>
      </c>
      <c r="BC106" s="42">
        <v>0</v>
      </c>
      <c r="BE106" s="42">
        <f>+BA106+BC106</f>
        <v>0</v>
      </c>
      <c r="BG106" s="42">
        <f>+'St of Net Pos - GA'!AE106-'St of Activities - GA Exp'!BE106</f>
        <v>0</v>
      </c>
    </row>
    <row r="107" spans="1:59">
      <c r="A107" s="9" t="s">
        <v>748</v>
      </c>
      <c r="B107" s="9"/>
      <c r="C107" s="9" t="s">
        <v>20</v>
      </c>
      <c r="D107" s="9"/>
      <c r="E107" s="23">
        <v>45286</v>
      </c>
      <c r="G107" s="42">
        <v>13475875</v>
      </c>
      <c r="I107" s="42">
        <v>2366608</v>
      </c>
      <c r="K107" s="42">
        <v>608328</v>
      </c>
      <c r="M107" s="42">
        <v>0</v>
      </c>
      <c r="O107" s="42">
        <v>21786</v>
      </c>
      <c r="Q107" s="42">
        <v>1419630</v>
      </c>
      <c r="S107" s="42">
        <v>1515678</v>
      </c>
      <c r="U107" s="42">
        <v>75162</v>
      </c>
      <c r="W107" s="42">
        <v>2277862</v>
      </c>
      <c r="Y107" s="42">
        <v>854924</v>
      </c>
      <c r="AA107" s="42">
        <v>400</v>
      </c>
      <c r="AC107" s="42">
        <v>2075031</v>
      </c>
      <c r="AE107" s="42">
        <v>1385459</v>
      </c>
      <c r="AG107" s="42">
        <v>12700</v>
      </c>
      <c r="AI107" s="9" t="s">
        <v>748</v>
      </c>
      <c r="AJ107" s="9"/>
      <c r="AK107" s="9" t="s">
        <v>20</v>
      </c>
      <c r="AL107" s="9"/>
      <c r="AM107" s="42">
        <v>698428</v>
      </c>
      <c r="AO107" s="42">
        <v>492505</v>
      </c>
      <c r="AQ107" s="42">
        <v>835066</v>
      </c>
      <c r="AS107" s="42">
        <v>1133102</v>
      </c>
      <c r="AW107" s="42">
        <v>141450</v>
      </c>
      <c r="AY107" s="42">
        <f t="shared" si="16"/>
        <v>29389994</v>
      </c>
      <c r="BA107" s="42">
        <f>+'St of Act - GA Rev'!AI107-'St of Activities - GA Exp'!AY107</f>
        <v>1398463</v>
      </c>
      <c r="BC107" s="42">
        <v>13238983</v>
      </c>
      <c r="BE107" s="42">
        <f t="shared" si="17"/>
        <v>14637446</v>
      </c>
      <c r="BG107" s="42">
        <f>+'St of Net Pos - GA'!AE107-'St of Activities - GA Exp'!BE107</f>
        <v>0</v>
      </c>
    </row>
    <row r="108" spans="1:59">
      <c r="A108" s="9" t="s">
        <v>516</v>
      </c>
      <c r="B108" s="9"/>
      <c r="C108" s="9" t="s">
        <v>64</v>
      </c>
      <c r="D108" s="9"/>
      <c r="E108" s="23">
        <v>50138</v>
      </c>
      <c r="G108" s="42">
        <v>5494862</v>
      </c>
      <c r="I108" s="42">
        <v>1727909</v>
      </c>
      <c r="K108" s="42">
        <v>97413</v>
      </c>
      <c r="M108" s="42">
        <v>0</v>
      </c>
      <c r="O108" s="42">
        <v>453612</v>
      </c>
      <c r="Q108" s="42">
        <v>565977</v>
      </c>
      <c r="S108" s="42">
        <v>786917</v>
      </c>
      <c r="U108" s="42">
        <v>21180</v>
      </c>
      <c r="W108" s="42">
        <v>1062313</v>
      </c>
      <c r="Y108" s="42">
        <v>367838</v>
      </c>
      <c r="AA108" s="42">
        <v>0</v>
      </c>
      <c r="AC108" s="42">
        <v>1473614</v>
      </c>
      <c r="AE108" s="42">
        <v>881565</v>
      </c>
      <c r="AG108" s="42">
        <v>4377</v>
      </c>
      <c r="AI108" s="9" t="s">
        <v>516</v>
      </c>
      <c r="AJ108" s="9"/>
      <c r="AK108" s="9" t="s">
        <v>64</v>
      </c>
      <c r="AL108" s="9"/>
      <c r="AM108" s="42">
        <v>433354</v>
      </c>
      <c r="AO108" s="42">
        <v>23016</v>
      </c>
      <c r="AQ108" s="42">
        <v>525174</v>
      </c>
      <c r="AS108" s="42">
        <v>50480</v>
      </c>
      <c r="AW108" s="42">
        <v>0</v>
      </c>
      <c r="AY108" s="42">
        <f t="shared" si="16"/>
        <v>13969601</v>
      </c>
      <c r="BA108" s="42">
        <f>+'St of Act - GA Rev'!AI108-'St of Activities - GA Exp'!AY108</f>
        <v>102535</v>
      </c>
      <c r="BC108" s="42">
        <v>66311</v>
      </c>
      <c r="BE108" s="42">
        <f t="shared" si="17"/>
        <v>168846</v>
      </c>
      <c r="BG108" s="42">
        <f>+'St of Net Pos - GA'!AE108-'St of Activities - GA Exp'!BE108</f>
        <v>0</v>
      </c>
    </row>
    <row r="109" spans="1:59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v>0</v>
      </c>
      <c r="I109" s="42">
        <v>0</v>
      </c>
      <c r="K109" s="42">
        <v>0</v>
      </c>
      <c r="M109" s="42">
        <v>0</v>
      </c>
      <c r="O109" s="42">
        <v>0</v>
      </c>
      <c r="Q109" s="42">
        <v>0</v>
      </c>
      <c r="S109" s="42">
        <v>0</v>
      </c>
      <c r="U109" s="42">
        <v>0</v>
      </c>
      <c r="W109" s="42">
        <v>0</v>
      </c>
      <c r="Y109" s="42">
        <v>0</v>
      </c>
      <c r="AA109" s="42">
        <v>0</v>
      </c>
      <c r="AC109" s="42">
        <v>0</v>
      </c>
      <c r="AE109" s="42">
        <v>0</v>
      </c>
      <c r="AG109" s="42">
        <v>0</v>
      </c>
      <c r="AI109" s="9" t="s">
        <v>731</v>
      </c>
      <c r="AJ109" s="9"/>
      <c r="AK109" s="9" t="s">
        <v>30</v>
      </c>
      <c r="AL109" s="9"/>
      <c r="AM109" s="42">
        <v>0</v>
      </c>
      <c r="AO109" s="42">
        <v>0</v>
      </c>
      <c r="AQ109" s="42">
        <v>0</v>
      </c>
      <c r="AS109" s="42">
        <v>0</v>
      </c>
      <c r="AW109" s="42">
        <v>0</v>
      </c>
      <c r="AY109" s="42">
        <f t="shared" si="16"/>
        <v>0</v>
      </c>
      <c r="BA109" s="42">
        <f>+'St of Act - GA Rev'!AI109-'St of Activities - GA Exp'!AY109</f>
        <v>0</v>
      </c>
      <c r="BC109" s="42">
        <v>0</v>
      </c>
      <c r="BE109" s="42">
        <f t="shared" si="17"/>
        <v>0</v>
      </c>
      <c r="BG109" s="42">
        <f>+'St of Net Pos - GA'!AE109-'St of Activities - GA Exp'!BE109</f>
        <v>0</v>
      </c>
    </row>
    <row r="110" spans="1:59">
      <c r="A110" s="9" t="s">
        <v>749</v>
      </c>
      <c r="B110" s="9"/>
      <c r="C110" s="9" t="s">
        <v>364</v>
      </c>
      <c r="D110" s="9"/>
      <c r="E110" s="23">
        <v>45294</v>
      </c>
      <c r="G110" s="42">
        <v>7243388</v>
      </c>
      <c r="I110" s="42">
        <v>1220079</v>
      </c>
      <c r="K110" s="42">
        <v>0</v>
      </c>
      <c r="M110" s="42">
        <v>0</v>
      </c>
      <c r="O110" s="42">
        <v>333200</v>
      </c>
      <c r="Q110" s="42">
        <v>492119</v>
      </c>
      <c r="S110" s="42">
        <v>845352</v>
      </c>
      <c r="U110" s="42">
        <v>77216</v>
      </c>
      <c r="W110" s="42">
        <v>881146</v>
      </c>
      <c r="Y110" s="42">
        <v>347824</v>
      </c>
      <c r="AA110" s="42">
        <v>0</v>
      </c>
      <c r="AC110" s="42">
        <v>1186537</v>
      </c>
      <c r="AE110" s="42">
        <v>764195</v>
      </c>
      <c r="AG110" s="42">
        <v>276694</v>
      </c>
      <c r="AI110" s="9" t="s">
        <v>749</v>
      </c>
      <c r="AJ110" s="9"/>
      <c r="AK110" s="9" t="s">
        <v>364</v>
      </c>
      <c r="AL110" s="9"/>
      <c r="AM110" s="42">
        <v>0</v>
      </c>
      <c r="AO110" s="42">
        <v>532952</v>
      </c>
      <c r="AQ110" s="42">
        <v>303734</v>
      </c>
      <c r="AS110" s="42">
        <v>145283</v>
      </c>
      <c r="AW110" s="42">
        <v>104899</v>
      </c>
      <c r="AY110" s="42">
        <f t="shared" si="16"/>
        <v>14754618</v>
      </c>
      <c r="BA110" s="42">
        <f>+'St of Act - GA Rev'!AI110-'St of Activities - GA Exp'!AY110</f>
        <v>-542412</v>
      </c>
      <c r="BC110" s="42">
        <v>19319172</v>
      </c>
      <c r="BE110" s="42">
        <f t="shared" si="17"/>
        <v>18776760</v>
      </c>
      <c r="BG110" s="42">
        <f>+'St of Net Pos - GA'!AE110-'St of Activities - GA Exp'!BE110</f>
        <v>0</v>
      </c>
    </row>
    <row r="111" spans="1:59">
      <c r="A111" s="9" t="s">
        <v>470</v>
      </c>
      <c r="B111" s="9"/>
      <c r="C111" s="9" t="s">
        <v>58</v>
      </c>
      <c r="D111" s="9"/>
      <c r="E111" s="23">
        <v>43745</v>
      </c>
      <c r="G111" s="42">
        <v>17268308</v>
      </c>
      <c r="I111" s="42">
        <v>3028509</v>
      </c>
      <c r="K111" s="42">
        <v>28</v>
      </c>
      <c r="M111" s="42">
        <v>0</v>
      </c>
      <c r="O111" s="42">
        <v>166504</v>
      </c>
      <c r="Q111" s="42">
        <v>1765027</v>
      </c>
      <c r="S111" s="42">
        <v>1056938</v>
      </c>
      <c r="U111" s="42">
        <v>59691</v>
      </c>
      <c r="W111" s="42">
        <v>1914884</v>
      </c>
      <c r="Y111" s="42">
        <v>788807</v>
      </c>
      <c r="AA111" s="42">
        <v>91631</v>
      </c>
      <c r="AC111" s="42">
        <v>2015808</v>
      </c>
      <c r="AE111" s="42">
        <v>1013395</v>
      </c>
      <c r="AG111" s="42">
        <v>211530</v>
      </c>
      <c r="AI111" s="9" t="s">
        <v>470</v>
      </c>
      <c r="AJ111" s="9"/>
      <c r="AK111" s="9" t="s">
        <v>58</v>
      </c>
      <c r="AL111" s="9"/>
      <c r="AM111" s="42">
        <v>0</v>
      </c>
      <c r="AO111" s="42">
        <v>1611138</v>
      </c>
      <c r="AQ111" s="42">
        <v>461343</v>
      </c>
      <c r="AS111" s="42">
        <v>1462244</v>
      </c>
      <c r="AW111" s="42">
        <v>0</v>
      </c>
      <c r="AY111" s="42">
        <f t="shared" si="16"/>
        <v>32915785</v>
      </c>
      <c r="BA111" s="42">
        <f>+'St of Act - GA Rev'!AI111-'St of Activities - GA Exp'!AY111</f>
        <v>1030791</v>
      </c>
      <c r="BC111" s="42">
        <v>3747914</v>
      </c>
      <c r="BE111" s="42">
        <f t="shared" si="17"/>
        <v>4778705</v>
      </c>
      <c r="BG111" s="42">
        <f>+'St of Net Pos - GA'!AE111-'St of Activities - GA Exp'!BE111</f>
        <v>0</v>
      </c>
    </row>
    <row r="112" spans="1:59" ht="12" customHeight="1">
      <c r="A112" s="9" t="s">
        <v>547</v>
      </c>
      <c r="B112" s="9"/>
      <c r="C112" s="9" t="s">
        <v>71</v>
      </c>
      <c r="D112" s="9"/>
      <c r="E112" s="23">
        <v>50534</v>
      </c>
      <c r="G112" s="42">
        <v>5623521</v>
      </c>
      <c r="I112" s="42">
        <v>1373833</v>
      </c>
      <c r="K112" s="42">
        <v>6972</v>
      </c>
      <c r="M112" s="42">
        <v>0</v>
      </c>
      <c r="O112" s="42">
        <v>396275</v>
      </c>
      <c r="Q112" s="42">
        <v>162225</v>
      </c>
      <c r="S112" s="42">
        <v>466468</v>
      </c>
      <c r="U112" s="42">
        <v>42768</v>
      </c>
      <c r="W112" s="42">
        <v>1220513</v>
      </c>
      <c r="Y112" s="42">
        <v>401305</v>
      </c>
      <c r="AA112" s="42">
        <v>0</v>
      </c>
      <c r="AC112" s="42">
        <v>1118182</v>
      </c>
      <c r="AE112" s="42">
        <v>635932</v>
      </c>
      <c r="AG112" s="42">
        <v>181953</v>
      </c>
      <c r="AI112" s="9" t="s">
        <v>547</v>
      </c>
      <c r="AJ112" s="9"/>
      <c r="AK112" s="9" t="s">
        <v>71</v>
      </c>
      <c r="AL112" s="9"/>
      <c r="AM112" s="42">
        <v>481206</v>
      </c>
      <c r="AO112" s="42">
        <v>89289</v>
      </c>
      <c r="AQ112" s="42">
        <v>543304</v>
      </c>
      <c r="AS112" s="42">
        <v>0</v>
      </c>
      <c r="AW112" s="42">
        <v>0</v>
      </c>
      <c r="AY112" s="42">
        <f t="shared" si="16"/>
        <v>12743746</v>
      </c>
      <c r="BA112" s="42">
        <f>+'St of Act - GA Rev'!AI112-'St of Activities - GA Exp'!AY112</f>
        <v>-135772</v>
      </c>
      <c r="BC112" s="42">
        <v>11454757</v>
      </c>
      <c r="BE112" s="42">
        <f t="shared" si="17"/>
        <v>11318985</v>
      </c>
      <c r="BG112" s="42">
        <f>+'St of Net Pos - GA'!AE112-'St of Activities - GA Exp'!BE112</f>
        <v>0</v>
      </c>
    </row>
    <row r="113" spans="1:59" ht="12" customHeight="1">
      <c r="A113" s="9" t="s">
        <v>647</v>
      </c>
      <c r="B113" s="9"/>
      <c r="C113" s="9" t="s">
        <v>32</v>
      </c>
      <c r="D113" s="9"/>
      <c r="E113" s="23">
        <v>43752</v>
      </c>
      <c r="G113" s="42">
        <v>216412633</v>
      </c>
      <c r="I113" s="42">
        <v>74992946</v>
      </c>
      <c r="K113" s="42">
        <v>3789648</v>
      </c>
      <c r="M113" s="42">
        <v>0</v>
      </c>
      <c r="O113" s="42">
        <v>1076290</v>
      </c>
      <c r="Q113" s="42">
        <v>35346133</v>
      </c>
      <c r="S113" s="42">
        <v>36716764</v>
      </c>
      <c r="U113" s="42">
        <v>380683</v>
      </c>
      <c r="W113" s="42">
        <v>32566236</v>
      </c>
      <c r="Y113" s="42">
        <v>6796344</v>
      </c>
      <c r="AA113" s="42">
        <v>1122066</v>
      </c>
      <c r="AC113" s="42">
        <v>48446538</v>
      </c>
      <c r="AE113" s="42">
        <v>31522565</v>
      </c>
      <c r="AG113" s="42">
        <v>19827610</v>
      </c>
      <c r="AI113" s="9" t="s">
        <v>647</v>
      </c>
      <c r="AJ113" s="9"/>
      <c r="AK113" s="9" t="s">
        <v>32</v>
      </c>
      <c r="AL113" s="9"/>
      <c r="AM113" s="42">
        <v>0</v>
      </c>
      <c r="AO113" s="42">
        <v>51851575</v>
      </c>
      <c r="AQ113" s="42">
        <v>3810106</v>
      </c>
      <c r="AS113" s="42">
        <v>37947116</v>
      </c>
      <c r="AW113" s="42">
        <v>0</v>
      </c>
      <c r="AY113" s="42">
        <f t="shared" si="16"/>
        <v>602605253</v>
      </c>
      <c r="BA113" s="42">
        <f>+'St of Act - GA Rev'!AI113-'St of Activities - GA Exp'!AY113</f>
        <v>6832022</v>
      </c>
      <c r="BC113" s="42">
        <v>611748361</v>
      </c>
      <c r="BE113" s="42">
        <f t="shared" si="17"/>
        <v>618580383</v>
      </c>
      <c r="BG113" s="42">
        <f>+'St of Net Pos - GA'!AE113-'St of Activities - GA Exp'!BE113</f>
        <v>0</v>
      </c>
    </row>
    <row r="114" spans="1:59">
      <c r="A114" s="9" t="s">
        <v>449</v>
      </c>
      <c r="B114" s="9"/>
      <c r="C114" s="9" t="s">
        <v>54</v>
      </c>
      <c r="D114" s="9"/>
      <c r="E114" s="23">
        <v>43760</v>
      </c>
      <c r="G114" s="42">
        <v>11186322</v>
      </c>
      <c r="I114" s="42">
        <v>3028879</v>
      </c>
      <c r="K114" s="42">
        <v>109623</v>
      </c>
      <c r="M114" s="42">
        <v>0</v>
      </c>
      <c r="O114" s="42">
        <v>826</v>
      </c>
      <c r="Q114" s="42">
        <v>999325</v>
      </c>
      <c r="S114" s="42">
        <v>2334361</v>
      </c>
      <c r="U114" s="42">
        <v>50069</v>
      </c>
      <c r="W114" s="42">
        <v>1912872</v>
      </c>
      <c r="Y114" s="42">
        <v>506294</v>
      </c>
      <c r="AA114" s="42">
        <v>0</v>
      </c>
      <c r="AC114" s="42">
        <v>1484578</v>
      </c>
      <c r="AE114" s="42">
        <v>827006</v>
      </c>
      <c r="AG114" s="42">
        <v>13328</v>
      </c>
      <c r="AI114" s="9" t="s">
        <v>449</v>
      </c>
      <c r="AJ114" s="9"/>
      <c r="AK114" s="9" t="s">
        <v>54</v>
      </c>
      <c r="AL114" s="9"/>
      <c r="AM114" s="42">
        <v>1053516</v>
      </c>
      <c r="AO114" s="42">
        <v>128445</v>
      </c>
      <c r="AQ114" s="42">
        <v>483159</v>
      </c>
      <c r="AS114" s="42">
        <v>3300106</v>
      </c>
      <c r="AW114" s="42">
        <v>0</v>
      </c>
      <c r="AY114" s="42">
        <f t="shared" si="16"/>
        <v>27418709</v>
      </c>
      <c r="BA114" s="42">
        <f>+'St of Act - GA Rev'!AI114-'St of Activities - GA Exp'!AY114</f>
        <v>2171465</v>
      </c>
      <c r="BC114" s="42">
        <v>48171978</v>
      </c>
      <c r="BE114" s="42">
        <f t="shared" si="17"/>
        <v>50343443</v>
      </c>
      <c r="BG114" s="42">
        <f>+'St of Net Pos - GA'!AE114-'St of Activities - GA Exp'!BE114</f>
        <v>0</v>
      </c>
    </row>
    <row r="115" spans="1:59">
      <c r="A115" s="9" t="s">
        <v>229</v>
      </c>
      <c r="B115" s="9"/>
      <c r="C115" s="9" t="s">
        <v>17</v>
      </c>
      <c r="D115" s="9"/>
      <c r="E115" s="23">
        <v>46284</v>
      </c>
      <c r="G115" s="42">
        <v>9348598</v>
      </c>
      <c r="I115" s="42">
        <v>2135041</v>
      </c>
      <c r="K115" s="42">
        <v>205559</v>
      </c>
      <c r="M115" s="42">
        <v>7649</v>
      </c>
      <c r="O115" s="42">
        <v>320370</v>
      </c>
      <c r="Q115" s="42">
        <v>701948</v>
      </c>
      <c r="S115" s="42">
        <v>728178</v>
      </c>
      <c r="U115" s="42">
        <v>119065</v>
      </c>
      <c r="W115" s="42">
        <v>1612300</v>
      </c>
      <c r="Y115" s="42">
        <v>502440</v>
      </c>
      <c r="AA115" s="42">
        <v>10100</v>
      </c>
      <c r="AC115" s="42">
        <v>1898082</v>
      </c>
      <c r="AE115" s="42">
        <v>1114176</v>
      </c>
      <c r="AG115" s="42">
        <v>7150</v>
      </c>
      <c r="AI115" s="9" t="s">
        <v>229</v>
      </c>
      <c r="AJ115" s="9"/>
      <c r="AK115" s="9" t="s">
        <v>17</v>
      </c>
      <c r="AL115" s="9"/>
      <c r="AM115" s="42">
        <v>0</v>
      </c>
      <c r="AO115" s="42">
        <v>910705</v>
      </c>
      <c r="AQ115" s="42">
        <v>944013</v>
      </c>
      <c r="AS115" s="42">
        <v>597</v>
      </c>
      <c r="AW115" s="42">
        <v>0</v>
      </c>
      <c r="AY115" s="42">
        <f t="shared" si="16"/>
        <v>20565971</v>
      </c>
      <c r="BA115" s="42">
        <f>+'St of Act - GA Rev'!AI115-'St of Activities - GA Exp'!AY115</f>
        <v>-93462</v>
      </c>
      <c r="BC115" s="42">
        <v>13896872</v>
      </c>
      <c r="BE115" s="42">
        <f t="shared" si="17"/>
        <v>13803410</v>
      </c>
      <c r="BG115" s="42">
        <f>+'St of Net Pos - GA'!AE115-'St of Activities - GA Exp'!BE115</f>
        <v>0</v>
      </c>
    </row>
    <row r="116" spans="1:59">
      <c r="A116" s="9" t="s">
        <v>477</v>
      </c>
      <c r="B116" s="9"/>
      <c r="C116" s="9" t="s">
        <v>59</v>
      </c>
      <c r="D116" s="9"/>
      <c r="E116" s="23">
        <v>49601</v>
      </c>
      <c r="G116" s="42">
        <v>3721471</v>
      </c>
      <c r="I116" s="42">
        <v>631497</v>
      </c>
      <c r="K116" s="42">
        <v>0</v>
      </c>
      <c r="M116" s="42">
        <v>0</v>
      </c>
      <c r="O116" s="42">
        <v>27104</v>
      </c>
      <c r="Q116" s="42">
        <v>288013</v>
      </c>
      <c r="S116" s="42">
        <v>398283</v>
      </c>
      <c r="U116" s="42">
        <v>6816</v>
      </c>
      <c r="W116" s="42">
        <v>688388</v>
      </c>
      <c r="Y116" s="42">
        <v>109742</v>
      </c>
      <c r="AA116" s="42">
        <v>0</v>
      </c>
      <c r="AC116" s="42">
        <v>560383</v>
      </c>
      <c r="AE116" s="42">
        <v>323201</v>
      </c>
      <c r="AG116" s="42">
        <v>39696</v>
      </c>
      <c r="AI116" s="9" t="s">
        <v>477</v>
      </c>
      <c r="AJ116" s="9"/>
      <c r="AK116" s="9" t="s">
        <v>59</v>
      </c>
      <c r="AL116" s="9"/>
      <c r="AM116" s="42">
        <v>314203</v>
      </c>
      <c r="AO116" s="42">
        <v>0</v>
      </c>
      <c r="AQ116" s="42">
        <v>127419</v>
      </c>
      <c r="AS116" s="42">
        <v>389247</v>
      </c>
      <c r="AW116" s="42">
        <v>0</v>
      </c>
      <c r="AY116" s="42">
        <f t="shared" si="16"/>
        <v>7625463</v>
      </c>
      <c r="BA116" s="42">
        <f>+'St of Act - GA Rev'!AI116-'St of Activities - GA Exp'!AY116</f>
        <v>-816144</v>
      </c>
      <c r="BC116" s="42">
        <v>18140119</v>
      </c>
      <c r="BE116" s="42">
        <f t="shared" si="17"/>
        <v>17323975</v>
      </c>
      <c r="BG116" s="42">
        <f>+'St of Net Pos - GA'!AE116-'St of Activities - GA Exp'!BE116</f>
        <v>0</v>
      </c>
    </row>
    <row r="117" spans="1:59">
      <c r="A117" s="9" t="s">
        <v>529</v>
      </c>
      <c r="B117" s="9"/>
      <c r="C117" s="9" t="s">
        <v>65</v>
      </c>
      <c r="D117" s="9"/>
      <c r="E117" s="23">
        <v>43778</v>
      </c>
      <c r="G117" s="42">
        <v>10155398</v>
      </c>
      <c r="I117" s="42">
        <v>3011664</v>
      </c>
      <c r="K117" s="42">
        <v>92021</v>
      </c>
      <c r="M117" s="42">
        <v>0</v>
      </c>
      <c r="O117" s="42">
        <v>91754</v>
      </c>
      <c r="Q117" s="42">
        <v>947688</v>
      </c>
      <c r="S117" s="42">
        <v>876926</v>
      </c>
      <c r="U117" s="42">
        <v>47712</v>
      </c>
      <c r="W117" s="42">
        <v>1320636</v>
      </c>
      <c r="Y117" s="42">
        <v>358319</v>
      </c>
      <c r="AA117" s="42">
        <v>66198</v>
      </c>
      <c r="AC117" s="42">
        <v>2020016</v>
      </c>
      <c r="AE117" s="42">
        <v>707489</v>
      </c>
      <c r="AG117" s="42">
        <v>23739</v>
      </c>
      <c r="AI117" s="9" t="s">
        <v>529</v>
      </c>
      <c r="AJ117" s="9"/>
      <c r="AK117" s="9" t="s">
        <v>65</v>
      </c>
      <c r="AL117" s="9"/>
      <c r="AM117" s="42">
        <v>815865</v>
      </c>
      <c r="AO117" s="42">
        <v>80765</v>
      </c>
      <c r="AQ117" s="42">
        <v>584931</v>
      </c>
      <c r="AS117" s="42">
        <v>183171</v>
      </c>
      <c r="AW117" s="42">
        <v>0</v>
      </c>
      <c r="AY117" s="42">
        <f t="shared" si="16"/>
        <v>21384292</v>
      </c>
      <c r="BA117" s="42">
        <f>+'St of Act - GA Rev'!AI117-'St of Activities - GA Exp'!AY117</f>
        <v>-215389</v>
      </c>
      <c r="BC117" s="42">
        <v>19280394</v>
      </c>
      <c r="BE117" s="42">
        <f t="shared" si="17"/>
        <v>19065005</v>
      </c>
      <c r="BG117" s="42">
        <f>+'St of Net Pos - GA'!AE117-'St of Activities - GA Exp'!BE117</f>
        <v>0</v>
      </c>
    </row>
    <row r="118" spans="1:59">
      <c r="A118" s="9" t="s">
        <v>465</v>
      </c>
      <c r="B118" s="9"/>
      <c r="C118" s="9" t="s">
        <v>109</v>
      </c>
      <c r="D118" s="9"/>
      <c r="E118" s="23">
        <v>49411</v>
      </c>
      <c r="G118" s="42">
        <v>6889989</v>
      </c>
      <c r="I118" s="42">
        <v>1897811</v>
      </c>
      <c r="K118" s="42">
        <v>192708</v>
      </c>
      <c r="M118" s="42">
        <v>0</v>
      </c>
      <c r="O118" s="42">
        <v>719481</v>
      </c>
      <c r="Q118" s="42">
        <v>740740</v>
      </c>
      <c r="S118" s="42">
        <v>496088</v>
      </c>
      <c r="U118" s="42">
        <v>79180</v>
      </c>
      <c r="W118" s="42">
        <v>1021737</v>
      </c>
      <c r="Y118" s="42">
        <v>361301</v>
      </c>
      <c r="AA118" s="42">
        <v>0</v>
      </c>
      <c r="AC118" s="42">
        <v>1623430</v>
      </c>
      <c r="AE118" s="42">
        <v>1279664</v>
      </c>
      <c r="AG118" s="42">
        <v>26733</v>
      </c>
      <c r="AI118" s="9" t="s">
        <v>465</v>
      </c>
      <c r="AJ118" s="9"/>
      <c r="AK118" s="9" t="s">
        <v>109</v>
      </c>
      <c r="AL118" s="9"/>
      <c r="AM118" s="42">
        <v>847116</v>
      </c>
      <c r="AO118" s="42">
        <v>0</v>
      </c>
      <c r="AQ118" s="42">
        <v>537747</v>
      </c>
      <c r="AS118" s="42">
        <v>363336</v>
      </c>
      <c r="AW118" s="42">
        <v>0</v>
      </c>
      <c r="AY118" s="42">
        <f t="shared" si="16"/>
        <v>17077061</v>
      </c>
      <c r="BA118" s="42">
        <f>+'St of Act - GA Rev'!AI118-'St of Activities - GA Exp'!AY118</f>
        <v>44704</v>
      </c>
      <c r="BC118" s="42">
        <v>9989733</v>
      </c>
      <c r="BE118" s="42">
        <f t="shared" si="17"/>
        <v>10034437</v>
      </c>
      <c r="BG118" s="42">
        <f>+'St of Net Pos - GA'!AE118-'St of Activities - GA Exp'!BE118</f>
        <v>0</v>
      </c>
    </row>
    <row r="119" spans="1:59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v>0</v>
      </c>
      <c r="I119" s="42">
        <v>0</v>
      </c>
      <c r="K119" s="42">
        <v>0</v>
      </c>
      <c r="M119" s="42">
        <v>0</v>
      </c>
      <c r="O119" s="42">
        <v>0</v>
      </c>
      <c r="Q119" s="42">
        <v>0</v>
      </c>
      <c r="S119" s="42">
        <v>0</v>
      </c>
      <c r="U119" s="42">
        <v>0</v>
      </c>
      <c r="W119" s="42">
        <v>0</v>
      </c>
      <c r="Y119" s="42">
        <v>0</v>
      </c>
      <c r="AA119" s="42">
        <v>0</v>
      </c>
      <c r="AC119" s="42">
        <v>0</v>
      </c>
      <c r="AE119" s="42">
        <v>0</v>
      </c>
      <c r="AG119" s="42">
        <v>0</v>
      </c>
      <c r="AI119" s="9" t="s">
        <v>901</v>
      </c>
      <c r="AJ119" s="9"/>
      <c r="AK119" s="9" t="s">
        <v>44</v>
      </c>
      <c r="AL119" s="9"/>
      <c r="AM119" s="42">
        <v>0</v>
      </c>
      <c r="AO119" s="42">
        <v>0</v>
      </c>
      <c r="AQ119" s="42">
        <v>0</v>
      </c>
      <c r="AS119" s="42">
        <v>0</v>
      </c>
      <c r="AW119" s="42">
        <v>0</v>
      </c>
      <c r="AY119" s="42">
        <f t="shared" si="16"/>
        <v>0</v>
      </c>
      <c r="BA119" s="42">
        <f>+'St of Act - GA Rev'!AI119-'St of Activities - GA Exp'!AY119</f>
        <v>0</v>
      </c>
      <c r="BC119" s="42">
        <v>0</v>
      </c>
      <c r="BE119" s="42">
        <f t="shared" si="17"/>
        <v>0</v>
      </c>
      <c r="BG119" s="42">
        <f>+'St of Net Pos - GA'!AE119-'St of Activities - GA Exp'!BE119</f>
        <v>0</v>
      </c>
    </row>
    <row r="120" spans="1:59">
      <c r="A120" s="9" t="s">
        <v>648</v>
      </c>
      <c r="B120" s="9"/>
      <c r="C120" s="9" t="s">
        <v>112</v>
      </c>
      <c r="D120" s="9"/>
      <c r="E120" s="23">
        <v>46326</v>
      </c>
      <c r="G120" s="42">
        <v>6628125</v>
      </c>
      <c r="I120" s="42">
        <v>2368760</v>
      </c>
      <c r="K120" s="42">
        <v>0</v>
      </c>
      <c r="M120" s="42">
        <v>0</v>
      </c>
      <c r="O120" s="42">
        <v>465712</v>
      </c>
      <c r="Q120" s="42">
        <v>722001</v>
      </c>
      <c r="S120" s="42">
        <v>683032</v>
      </c>
      <c r="U120" s="42">
        <v>76159</v>
      </c>
      <c r="W120" s="42">
        <v>1000933</v>
      </c>
      <c r="Y120" s="42">
        <v>535042</v>
      </c>
      <c r="AA120" s="42">
        <v>55922</v>
      </c>
      <c r="AC120" s="42">
        <v>1142144</v>
      </c>
      <c r="AE120" s="42">
        <v>1978498</v>
      </c>
      <c r="AG120" s="42">
        <v>247874</v>
      </c>
      <c r="AI120" s="9" t="s">
        <v>648</v>
      </c>
      <c r="AJ120" s="9"/>
      <c r="AK120" s="9" t="s">
        <v>112</v>
      </c>
      <c r="AL120" s="9"/>
      <c r="AM120" s="42">
        <v>774933</v>
      </c>
      <c r="AO120" s="42">
        <f>300008+166107</f>
        <v>466115</v>
      </c>
      <c r="AQ120" s="42">
        <v>0</v>
      </c>
      <c r="AS120" s="42">
        <v>334822</v>
      </c>
      <c r="AW120" s="42">
        <v>0</v>
      </c>
      <c r="AY120" s="42">
        <f t="shared" si="16"/>
        <v>17480072</v>
      </c>
      <c r="BA120" s="42">
        <f>+'St of Act - GA Rev'!AI120-'St of Activities - GA Exp'!AY120</f>
        <v>936676</v>
      </c>
      <c r="BC120" s="42">
        <v>7287591</v>
      </c>
      <c r="BE120" s="42">
        <f t="shared" si="17"/>
        <v>8224267</v>
      </c>
      <c r="BG120" s="42">
        <f>+'St of Net Pos - GA'!AE120-'St of Activities - GA Exp'!BE120</f>
        <v>0</v>
      </c>
    </row>
    <row r="121" spans="1:59">
      <c r="A121" s="9" t="s">
        <v>646</v>
      </c>
      <c r="B121" s="9"/>
      <c r="C121" s="9" t="s">
        <v>20</v>
      </c>
      <c r="D121" s="9"/>
      <c r="E121" s="23">
        <v>43794</v>
      </c>
      <c r="G121" s="42">
        <v>41133715</v>
      </c>
      <c r="I121" s="42">
        <v>12536394</v>
      </c>
      <c r="K121" s="42">
        <v>1988214</v>
      </c>
      <c r="M121" s="42">
        <v>258202</v>
      </c>
      <c r="O121" s="42">
        <v>8257928</v>
      </c>
      <c r="Q121" s="42">
        <v>9410795</v>
      </c>
      <c r="S121" s="42">
        <v>8007080</v>
      </c>
      <c r="U121" s="42">
        <v>584645</v>
      </c>
      <c r="W121" s="42">
        <v>7788015</v>
      </c>
      <c r="Y121" s="42">
        <v>2980897</v>
      </c>
      <c r="AA121" s="42">
        <v>556890</v>
      </c>
      <c r="AC121" s="42">
        <v>12391012</v>
      </c>
      <c r="AE121" s="42">
        <v>4616743</v>
      </c>
      <c r="AG121" s="42">
        <v>4456784</v>
      </c>
      <c r="AI121" s="9" t="s">
        <v>646</v>
      </c>
      <c r="AJ121" s="9"/>
      <c r="AK121" s="9" t="s">
        <v>20</v>
      </c>
      <c r="AL121" s="9"/>
      <c r="AM121" s="42">
        <v>15636</v>
      </c>
      <c r="AO121" s="42">
        <f>2100792+120356</f>
        <v>2221148</v>
      </c>
      <c r="AQ121" s="42">
        <v>1955860</v>
      </c>
      <c r="AS121" s="42">
        <v>299445</v>
      </c>
      <c r="AW121" s="42">
        <v>0</v>
      </c>
      <c r="AY121" s="42">
        <f t="shared" si="16"/>
        <v>119459403</v>
      </c>
      <c r="BA121" s="42">
        <f>+'St of Act - GA Rev'!AI121-'St of Activities - GA Exp'!AY121</f>
        <v>-474897</v>
      </c>
      <c r="BC121" s="42">
        <v>80466419</v>
      </c>
      <c r="BE121" s="42">
        <f t="shared" si="17"/>
        <v>79991522</v>
      </c>
      <c r="BG121" s="42">
        <f>+'St of Net Pos - GA'!AE121-'St of Activities - GA Exp'!BE121</f>
        <v>0</v>
      </c>
    </row>
    <row r="122" spans="1:59">
      <c r="A122" s="9" t="s">
        <v>263</v>
      </c>
      <c r="B122" s="9"/>
      <c r="C122" s="9" t="s">
        <v>20</v>
      </c>
      <c r="D122" s="9"/>
      <c r="E122" s="23">
        <v>43786</v>
      </c>
      <c r="G122" s="42">
        <v>367669653</v>
      </c>
      <c r="I122" s="42">
        <v>172023833</v>
      </c>
      <c r="K122" s="42">
        <v>12599383</v>
      </c>
      <c r="M122" s="42">
        <v>112488</v>
      </c>
      <c r="O122" s="42">
        <v>673778</v>
      </c>
      <c r="Q122" s="42">
        <v>34197654</v>
      </c>
      <c r="S122" s="42">
        <v>55202905</v>
      </c>
      <c r="U122" s="42">
        <v>274588</v>
      </c>
      <c r="W122" s="42">
        <v>46168870</v>
      </c>
      <c r="Y122" s="42">
        <v>12708747</v>
      </c>
      <c r="AA122" s="42">
        <v>2018076</v>
      </c>
      <c r="AC122" s="42">
        <v>59940850</v>
      </c>
      <c r="AE122" s="42">
        <v>30662826</v>
      </c>
      <c r="AG122" s="42">
        <v>20006680</v>
      </c>
      <c r="AI122" s="9" t="s">
        <v>263</v>
      </c>
      <c r="AJ122" s="9"/>
      <c r="AK122" s="9" t="s">
        <v>20</v>
      </c>
      <c r="AL122" s="9"/>
      <c r="AM122" s="42">
        <v>0</v>
      </c>
      <c r="AO122" s="42">
        <v>36951908</v>
      </c>
      <c r="AQ122" s="42">
        <v>6990941</v>
      </c>
      <c r="AS122" s="42">
        <v>11669533</v>
      </c>
      <c r="AW122" s="42">
        <v>0</v>
      </c>
      <c r="AY122" s="42">
        <f t="shared" si="16"/>
        <v>869872713</v>
      </c>
      <c r="BA122" s="42">
        <f>+'St of Act - GA Rev'!AI122-'St of Activities - GA Exp'!AY122</f>
        <v>-34445520</v>
      </c>
      <c r="BC122" s="42">
        <v>981207859</v>
      </c>
      <c r="BE122" s="42">
        <f t="shared" si="17"/>
        <v>946762339</v>
      </c>
      <c r="BG122" s="42">
        <f>+'St of Net Pos - GA'!AE122-'St of Activities - GA Exp'!BE122</f>
        <v>0</v>
      </c>
    </row>
    <row r="123" spans="1:59">
      <c r="A123" s="9" t="s">
        <v>241</v>
      </c>
      <c r="B123" s="9"/>
      <c r="C123" s="9" t="s">
        <v>18</v>
      </c>
      <c r="D123" s="9"/>
      <c r="E123" s="23">
        <v>46391</v>
      </c>
      <c r="G123" s="42">
        <v>9405186</v>
      </c>
      <c r="I123" s="42">
        <v>1094638</v>
      </c>
      <c r="K123" s="42">
        <v>0</v>
      </c>
      <c r="M123" s="42">
        <v>0</v>
      </c>
      <c r="O123" s="42">
        <v>1194673</v>
      </c>
      <c r="Q123" s="42">
        <v>895414</v>
      </c>
      <c r="S123" s="42">
        <v>983907</v>
      </c>
      <c r="U123" s="42">
        <v>0</v>
      </c>
      <c r="W123" s="42">
        <f>28674+1082536</f>
        <v>1111210</v>
      </c>
      <c r="Y123" s="42">
        <v>397787</v>
      </c>
      <c r="AA123" s="42">
        <v>0</v>
      </c>
      <c r="AC123" s="42">
        <v>1698379</v>
      </c>
      <c r="AE123" s="42">
        <v>1202532</v>
      </c>
      <c r="AG123" s="42">
        <v>3916</v>
      </c>
      <c r="AI123" s="9" t="s">
        <v>241</v>
      </c>
      <c r="AJ123" s="9"/>
      <c r="AK123" s="9" t="s">
        <v>18</v>
      </c>
      <c r="AL123" s="9"/>
      <c r="AM123" s="42">
        <v>0</v>
      </c>
      <c r="AO123" s="42">
        <v>702930</v>
      </c>
      <c r="AQ123" s="42">
        <v>746296</v>
      </c>
      <c r="AS123" s="42">
        <v>375207</v>
      </c>
      <c r="AW123" s="42">
        <v>0</v>
      </c>
      <c r="AY123" s="42">
        <f t="shared" si="16"/>
        <v>19812075</v>
      </c>
      <c r="BA123" s="42">
        <f>+'St of Act - GA Rev'!AI123-'St of Activities - GA Exp'!AY123</f>
        <v>-2225327</v>
      </c>
      <c r="BC123" s="42">
        <v>38797542</v>
      </c>
      <c r="BE123" s="42">
        <f t="shared" si="17"/>
        <v>36572215</v>
      </c>
      <c r="BG123" s="42">
        <f>+'St of Net Pos - GA'!AE123-'St of Activities - GA Exp'!BE123</f>
        <v>0</v>
      </c>
    </row>
    <row r="124" spans="1:59">
      <c r="A124" s="9" t="s">
        <v>413</v>
      </c>
      <c r="B124" s="9"/>
      <c r="C124" s="9" t="s">
        <v>47</v>
      </c>
      <c r="D124" s="9"/>
      <c r="E124" s="23">
        <v>48488</v>
      </c>
      <c r="G124" s="42">
        <v>11060939</v>
      </c>
      <c r="I124" s="42">
        <v>2564058</v>
      </c>
      <c r="K124" s="42">
        <v>47538</v>
      </c>
      <c r="M124" s="42">
        <v>0</v>
      </c>
      <c r="O124" s="42">
        <v>1774663</v>
      </c>
      <c r="Q124" s="42">
        <v>1488544</v>
      </c>
      <c r="S124" s="42">
        <v>1895153</v>
      </c>
      <c r="U124" s="42">
        <v>33135</v>
      </c>
      <c r="W124" s="42">
        <v>1487320</v>
      </c>
      <c r="Y124" s="42">
        <v>515087</v>
      </c>
      <c r="AA124" s="42">
        <v>252724</v>
      </c>
      <c r="AC124" s="42">
        <v>1838386</v>
      </c>
      <c r="AE124" s="42">
        <v>2185632</v>
      </c>
      <c r="AG124" s="42">
        <v>326224</v>
      </c>
      <c r="AI124" s="9" t="s">
        <v>413</v>
      </c>
      <c r="AJ124" s="9"/>
      <c r="AK124" s="9" t="s">
        <v>47</v>
      </c>
      <c r="AL124" s="9"/>
      <c r="AM124" s="42">
        <v>1037174</v>
      </c>
      <c r="AO124" s="42">
        <v>407787</v>
      </c>
      <c r="AQ124" s="42">
        <v>729637</v>
      </c>
      <c r="AS124" s="42">
        <v>1888260</v>
      </c>
      <c r="AW124" s="42">
        <v>0</v>
      </c>
      <c r="AY124" s="42">
        <f t="shared" si="16"/>
        <v>29532261</v>
      </c>
      <c r="BA124" s="42">
        <f>+'St of Act - GA Rev'!AI124-'St of Activities - GA Exp'!AY124</f>
        <v>1350465</v>
      </c>
      <c r="BC124" s="42">
        <v>11382893</v>
      </c>
      <c r="BE124" s="42">
        <f t="shared" si="17"/>
        <v>12733358</v>
      </c>
      <c r="BG124" s="42">
        <f>+'St of Net Pos - GA'!AE124-'St of Activities - GA Exp'!BE124</f>
        <v>0</v>
      </c>
    </row>
    <row r="125" spans="1:59">
      <c r="A125" s="9" t="s">
        <v>750</v>
      </c>
      <c r="B125" s="9"/>
      <c r="C125" s="9" t="s">
        <v>79</v>
      </c>
      <c r="D125" s="9"/>
      <c r="E125" s="23">
        <v>45302</v>
      </c>
      <c r="G125" s="42">
        <v>10386792</v>
      </c>
      <c r="I125" s="42">
        <v>2469965</v>
      </c>
      <c r="K125" s="42">
        <v>18917</v>
      </c>
      <c r="M125" s="42">
        <v>0</v>
      </c>
      <c r="O125" s="42">
        <v>802302</v>
      </c>
      <c r="Q125" s="42">
        <v>1605903</v>
      </c>
      <c r="S125" s="42">
        <v>581361</v>
      </c>
      <c r="U125" s="42">
        <v>26505</v>
      </c>
      <c r="W125" s="42">
        <v>1585569</v>
      </c>
      <c r="Y125" s="42">
        <v>534518</v>
      </c>
      <c r="AA125" s="42">
        <v>15396</v>
      </c>
      <c r="AC125" s="42">
        <v>1877354</v>
      </c>
      <c r="AE125" s="42">
        <v>1284432</v>
      </c>
      <c r="AG125" s="42">
        <v>157174</v>
      </c>
      <c r="AI125" s="9" t="s">
        <v>750</v>
      </c>
      <c r="AJ125" s="9"/>
      <c r="AK125" s="9" t="s">
        <v>79</v>
      </c>
      <c r="AL125" s="9"/>
      <c r="AM125" s="42">
        <v>1231637</v>
      </c>
      <c r="AO125" s="42">
        <v>298758</v>
      </c>
      <c r="AQ125" s="42">
        <v>722106</v>
      </c>
      <c r="AS125" s="42">
        <v>1654046</v>
      </c>
      <c r="AW125" s="42">
        <v>0</v>
      </c>
      <c r="AY125" s="42">
        <f t="shared" si="16"/>
        <v>25252735</v>
      </c>
      <c r="BA125" s="42">
        <f>+'St of Act - GA Rev'!AI125-'St of Activities - GA Exp'!AY125</f>
        <v>-1271050</v>
      </c>
      <c r="BC125" s="42">
        <v>29974640</v>
      </c>
      <c r="BE125" s="42">
        <f t="shared" si="17"/>
        <v>28703590</v>
      </c>
      <c r="BG125" s="42">
        <f>+'St of Net Pos - GA'!AE125-'St of Activities - GA Exp'!BE125</f>
        <v>0</v>
      </c>
    </row>
    <row r="126" spans="1:59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v>0</v>
      </c>
      <c r="I126" s="42">
        <v>0</v>
      </c>
      <c r="K126" s="42">
        <v>0</v>
      </c>
      <c r="M126" s="42">
        <v>0</v>
      </c>
      <c r="O126" s="42">
        <v>0</v>
      </c>
      <c r="Q126" s="42">
        <v>0</v>
      </c>
      <c r="S126" s="42">
        <v>0</v>
      </c>
      <c r="U126" s="42">
        <v>0</v>
      </c>
      <c r="W126" s="42">
        <v>0</v>
      </c>
      <c r="Y126" s="42">
        <v>0</v>
      </c>
      <c r="AA126" s="42">
        <v>0</v>
      </c>
      <c r="AC126" s="42">
        <v>0</v>
      </c>
      <c r="AE126" s="42">
        <v>0</v>
      </c>
      <c r="AG126" s="42">
        <v>0</v>
      </c>
      <c r="AI126" s="9" t="s">
        <v>649</v>
      </c>
      <c r="AJ126" s="9"/>
      <c r="AK126" s="9" t="s">
        <v>419</v>
      </c>
      <c r="AL126" s="9"/>
      <c r="AM126" s="42">
        <v>0</v>
      </c>
      <c r="AO126" s="42">
        <v>0</v>
      </c>
      <c r="AQ126" s="42">
        <v>0</v>
      </c>
      <c r="AS126" s="42">
        <v>0</v>
      </c>
      <c r="AW126" s="42">
        <v>0</v>
      </c>
      <c r="AY126" s="42">
        <f t="shared" si="16"/>
        <v>0</v>
      </c>
      <c r="BA126" s="42">
        <f>+'St of Act - GA Rev'!AI126-'St of Activities - GA Exp'!AY126</f>
        <v>0</v>
      </c>
      <c r="BC126" s="42">
        <v>0</v>
      </c>
      <c r="BE126" s="42">
        <f t="shared" si="17"/>
        <v>0</v>
      </c>
      <c r="BG126" s="42">
        <f>+'St of Net Pos - GA'!AE126-'St of Activities - GA Exp'!BE126</f>
        <v>0</v>
      </c>
    </row>
    <row r="127" spans="1:59" ht="12" hidden="1" customHeight="1">
      <c r="A127" s="9" t="s">
        <v>605</v>
      </c>
      <c r="B127" s="9"/>
      <c r="C127" s="9" t="s">
        <v>57</v>
      </c>
      <c r="D127" s="9"/>
      <c r="E127" s="23">
        <v>64964</v>
      </c>
      <c r="G127" s="42">
        <v>0</v>
      </c>
      <c r="I127" s="42">
        <v>0</v>
      </c>
      <c r="K127" s="42">
        <v>0</v>
      </c>
      <c r="M127" s="42">
        <v>0</v>
      </c>
      <c r="O127" s="42">
        <v>0</v>
      </c>
      <c r="Q127" s="42">
        <v>0</v>
      </c>
      <c r="S127" s="42">
        <v>0</v>
      </c>
      <c r="U127" s="42">
        <v>0</v>
      </c>
      <c r="W127" s="42">
        <v>0</v>
      </c>
      <c r="Y127" s="42">
        <v>0</v>
      </c>
      <c r="AA127" s="42">
        <v>0</v>
      </c>
      <c r="AC127" s="42">
        <v>0</v>
      </c>
      <c r="AE127" s="42">
        <v>0</v>
      </c>
      <c r="AG127" s="42">
        <v>0</v>
      </c>
      <c r="AI127" s="9" t="s">
        <v>605</v>
      </c>
      <c r="AJ127" s="9"/>
      <c r="AK127" s="9" t="s">
        <v>57</v>
      </c>
      <c r="AL127" s="9"/>
      <c r="AM127" s="42">
        <v>0</v>
      </c>
      <c r="AO127" s="42">
        <v>0</v>
      </c>
      <c r="AQ127" s="42">
        <v>0</v>
      </c>
      <c r="AS127" s="42">
        <v>0</v>
      </c>
      <c r="AW127" s="42">
        <v>0</v>
      </c>
      <c r="AY127" s="42">
        <f t="shared" si="16"/>
        <v>0</v>
      </c>
      <c r="BA127" s="42">
        <f>+'St of Act - GA Rev'!AI127-'St of Activities - GA Exp'!AY127</f>
        <v>0</v>
      </c>
      <c r="BC127" s="42">
        <v>0</v>
      </c>
      <c r="BE127" s="42">
        <f t="shared" si="17"/>
        <v>0</v>
      </c>
      <c r="BG127" s="42">
        <f>+'St of Net Pos - GA'!AE127-'St of Activities - GA Exp'!BE127</f>
        <v>0</v>
      </c>
    </row>
    <row r="128" spans="1:59">
      <c r="A128" s="9" t="s">
        <v>256</v>
      </c>
      <c r="B128" s="9"/>
      <c r="C128" s="9" t="s">
        <v>110</v>
      </c>
      <c r="D128" s="9"/>
      <c r="E128" s="23">
        <v>46516</v>
      </c>
      <c r="G128" s="42">
        <v>4489193</v>
      </c>
      <c r="I128" s="42">
        <v>1298043</v>
      </c>
      <c r="K128" s="42">
        <v>32501</v>
      </c>
      <c r="M128" s="42">
        <v>0</v>
      </c>
      <c r="O128" s="42">
        <v>1105</v>
      </c>
      <c r="Q128" s="42">
        <v>708192</v>
      </c>
      <c r="S128" s="42">
        <v>245271</v>
      </c>
      <c r="U128" s="42">
        <v>24868</v>
      </c>
      <c r="W128" s="42">
        <v>736193</v>
      </c>
      <c r="Y128" s="42">
        <v>340466</v>
      </c>
      <c r="AA128" s="42">
        <v>1511</v>
      </c>
      <c r="AC128" s="42">
        <v>1035875</v>
      </c>
      <c r="AE128" s="42">
        <v>703511</v>
      </c>
      <c r="AG128" s="42">
        <v>54079</v>
      </c>
      <c r="AI128" s="9" t="s">
        <v>256</v>
      </c>
      <c r="AJ128" s="9"/>
      <c r="AK128" s="9" t="s">
        <v>110</v>
      </c>
      <c r="AL128" s="9"/>
      <c r="AM128" s="42">
        <v>321197</v>
      </c>
      <c r="AO128" s="42">
        <v>52781</v>
      </c>
      <c r="AQ128" s="42">
        <v>382055</v>
      </c>
      <c r="AS128" s="42">
        <v>620187</v>
      </c>
      <c r="AW128" s="42">
        <v>0</v>
      </c>
      <c r="AY128" s="42">
        <f t="shared" si="16"/>
        <v>11047028</v>
      </c>
      <c r="BA128" s="42">
        <f>+'St of Act - GA Rev'!AI128-'St of Activities - GA Exp'!AY128</f>
        <v>-487431</v>
      </c>
      <c r="BC128" s="42">
        <v>5098286</v>
      </c>
      <c r="BE128" s="42">
        <f t="shared" si="17"/>
        <v>4610855</v>
      </c>
      <c r="BG128" s="42">
        <f>+'St of Net Pos - GA'!AE128-'St of Activities - GA Exp'!BE128</f>
        <v>0</v>
      </c>
    </row>
    <row r="129" spans="1:59">
      <c r="A129" s="9" t="s">
        <v>380</v>
      </c>
      <c r="B129" s="9"/>
      <c r="C129" s="9" t="s">
        <v>44</v>
      </c>
      <c r="D129" s="9"/>
      <c r="E129" s="23">
        <v>48140</v>
      </c>
      <c r="G129" s="42">
        <v>4536841</v>
      </c>
      <c r="I129" s="42">
        <v>995784</v>
      </c>
      <c r="K129" s="42">
        <v>168586</v>
      </c>
      <c r="M129" s="42">
        <v>0</v>
      </c>
      <c r="O129" s="42">
        <v>391710</v>
      </c>
      <c r="Q129" s="42">
        <v>575191</v>
      </c>
      <c r="S129" s="42">
        <v>453684</v>
      </c>
      <c r="U129" s="42">
        <v>16976</v>
      </c>
      <c r="W129" s="42">
        <v>968119</v>
      </c>
      <c r="Y129" s="42">
        <v>384040</v>
      </c>
      <c r="AA129" s="42">
        <v>0</v>
      </c>
      <c r="AC129" s="42">
        <v>1137103</v>
      </c>
      <c r="AE129" s="42">
        <v>641731</v>
      </c>
      <c r="AG129" s="42">
        <v>111109</v>
      </c>
      <c r="AI129" s="9" t="s">
        <v>380</v>
      </c>
      <c r="AJ129" s="9"/>
      <c r="AK129" s="9" t="s">
        <v>44</v>
      </c>
      <c r="AL129" s="9"/>
      <c r="AM129" s="42">
        <v>342902</v>
      </c>
      <c r="AO129" s="42">
        <v>2890</v>
      </c>
      <c r="AQ129" s="42">
        <v>483432</v>
      </c>
      <c r="AS129" s="42">
        <v>286530</v>
      </c>
      <c r="AW129" s="42">
        <v>0</v>
      </c>
      <c r="AY129" s="42">
        <f t="shared" si="16"/>
        <v>11496628</v>
      </c>
      <c r="BA129" s="42">
        <f>+'St of Act - GA Rev'!AI129-'St of Activities - GA Exp'!AY129</f>
        <v>-339208</v>
      </c>
      <c r="BC129" s="42">
        <v>1410407</v>
      </c>
      <c r="BE129" s="42">
        <f t="shared" si="17"/>
        <v>1071199</v>
      </c>
      <c r="BG129" s="42">
        <f>+'St of Net Pos - GA'!AE129-'St of Activities - GA Exp'!BE129</f>
        <v>0</v>
      </c>
    </row>
    <row r="130" spans="1:59">
      <c r="A130" s="9" t="s">
        <v>751</v>
      </c>
      <c r="B130" s="9"/>
      <c r="C130" s="9" t="s">
        <v>111</v>
      </c>
      <c r="D130" s="9"/>
      <c r="E130" s="23">
        <v>45328</v>
      </c>
      <c r="G130" s="42">
        <v>4826176</v>
      </c>
      <c r="I130" s="42">
        <v>1357528</v>
      </c>
      <c r="K130" s="42">
        <v>20120</v>
      </c>
      <c r="M130" s="42">
        <v>0</v>
      </c>
      <c r="O130" s="42">
        <v>0</v>
      </c>
      <c r="Q130" s="42">
        <v>439350</v>
      </c>
      <c r="S130" s="42">
        <v>411924</v>
      </c>
      <c r="U130" s="42">
        <v>35402</v>
      </c>
      <c r="W130" s="42">
        <v>756718</v>
      </c>
      <c r="Y130" s="42">
        <v>420125</v>
      </c>
      <c r="AA130" s="42">
        <v>0</v>
      </c>
      <c r="AC130" s="42">
        <v>709831</v>
      </c>
      <c r="AE130" s="42">
        <v>381352</v>
      </c>
      <c r="AG130" s="42">
        <v>26161</v>
      </c>
      <c r="AI130" s="9" t="s">
        <v>751</v>
      </c>
      <c r="AJ130" s="9"/>
      <c r="AK130" s="9" t="s">
        <v>111</v>
      </c>
      <c r="AL130" s="9"/>
      <c r="AM130" s="42">
        <v>309515</v>
      </c>
      <c r="AO130" s="42">
        <v>0</v>
      </c>
      <c r="AQ130" s="42">
        <v>425426</v>
      </c>
      <c r="AS130" s="42">
        <v>1260834</v>
      </c>
      <c r="AW130" s="42">
        <v>0</v>
      </c>
      <c r="AY130" s="42">
        <f t="shared" si="16"/>
        <v>11380462</v>
      </c>
      <c r="BA130" s="42">
        <f>+'St of Act - GA Rev'!AI130-'St of Activities - GA Exp'!AY130</f>
        <v>192338</v>
      </c>
      <c r="BC130" s="42">
        <v>2937619</v>
      </c>
      <c r="BE130" s="42">
        <f t="shared" si="17"/>
        <v>3129957</v>
      </c>
      <c r="BG130" s="42">
        <f>+'St of Net Pos - GA'!AE130-'St of Activities - GA Exp'!BE130</f>
        <v>0</v>
      </c>
    </row>
    <row r="131" spans="1:59">
      <c r="A131" s="9" t="s">
        <v>299</v>
      </c>
      <c r="B131" s="9"/>
      <c r="C131" s="9" t="s">
        <v>27</v>
      </c>
      <c r="D131" s="9"/>
      <c r="E131" s="23">
        <v>43802</v>
      </c>
      <c r="G131" s="42">
        <v>376223802</v>
      </c>
      <c r="I131" s="42">
        <v>115196758</v>
      </c>
      <c r="K131" s="42">
        <v>7752987</v>
      </c>
      <c r="M131" s="42">
        <f>2242075+848023</f>
        <v>3090098</v>
      </c>
      <c r="O131" s="42">
        <v>1987648</v>
      </c>
      <c r="Q131" s="42">
        <v>56393638</v>
      </c>
      <c r="S131" s="42">
        <v>70795390</v>
      </c>
      <c r="U131" s="42">
        <v>124493</v>
      </c>
      <c r="W131" s="42">
        <v>46200884</v>
      </c>
      <c r="Y131" s="42">
        <v>9867636</v>
      </c>
      <c r="AA131" s="42">
        <v>68906</v>
      </c>
      <c r="AC131" s="42">
        <v>57270380</v>
      </c>
      <c r="AE131" s="42">
        <v>56999552</v>
      </c>
      <c r="AG131" s="42">
        <v>8483821</v>
      </c>
      <c r="AI131" s="9" t="s">
        <v>299</v>
      </c>
      <c r="AJ131" s="9"/>
      <c r="AK131" s="9" t="s">
        <v>27</v>
      </c>
      <c r="AL131" s="9"/>
      <c r="AM131" s="42">
        <v>0</v>
      </c>
      <c r="AO131" s="42">
        <v>38330970</v>
      </c>
      <c r="AQ131" s="42">
        <v>9200679</v>
      </c>
      <c r="AS131" s="42">
        <v>27425471</v>
      </c>
      <c r="AW131" s="42">
        <v>0</v>
      </c>
      <c r="AY131" s="42">
        <f t="shared" si="16"/>
        <v>885413113</v>
      </c>
      <c r="BA131" s="42">
        <f>+'St of Act - GA Rev'!AI131-'St of Activities - GA Exp'!AY131</f>
        <v>815849</v>
      </c>
      <c r="BC131" s="42">
        <v>595337906</v>
      </c>
      <c r="BE131" s="42">
        <f t="shared" si="17"/>
        <v>596153755</v>
      </c>
      <c r="BG131" s="42">
        <f>+'St of Net Pos - GA'!AE131-'St of Activities - GA Exp'!BE131</f>
        <v>0</v>
      </c>
    </row>
    <row r="132" spans="1:59" ht="12" hidden="1" customHeight="1">
      <c r="A132" s="9" t="s">
        <v>606</v>
      </c>
      <c r="B132" s="9"/>
      <c r="C132" s="9" t="s">
        <v>464</v>
      </c>
      <c r="D132" s="9"/>
      <c r="E132" s="23">
        <v>49312</v>
      </c>
      <c r="G132" s="42">
        <v>0</v>
      </c>
      <c r="I132" s="42">
        <v>0</v>
      </c>
      <c r="K132" s="42">
        <v>0</v>
      </c>
      <c r="M132" s="42">
        <v>0</v>
      </c>
      <c r="O132" s="42">
        <v>0</v>
      </c>
      <c r="Q132" s="42">
        <v>0</v>
      </c>
      <c r="S132" s="42">
        <v>0</v>
      </c>
      <c r="U132" s="42">
        <v>0</v>
      </c>
      <c r="W132" s="42">
        <v>0</v>
      </c>
      <c r="Y132" s="42">
        <v>0</v>
      </c>
      <c r="AA132" s="42">
        <v>0</v>
      </c>
      <c r="AC132" s="42">
        <v>0</v>
      </c>
      <c r="AE132" s="42">
        <v>0</v>
      </c>
      <c r="AG132" s="42">
        <v>0</v>
      </c>
      <c r="AI132" s="9" t="s">
        <v>606</v>
      </c>
      <c r="AJ132" s="9"/>
      <c r="AK132" s="9" t="s">
        <v>464</v>
      </c>
      <c r="AL132" s="9"/>
      <c r="AM132" s="42">
        <v>0</v>
      </c>
      <c r="AO132" s="42">
        <v>0</v>
      </c>
      <c r="AQ132" s="42">
        <v>0</v>
      </c>
      <c r="AS132" s="42">
        <v>0</v>
      </c>
      <c r="AW132" s="42">
        <v>0</v>
      </c>
      <c r="AY132" s="42">
        <f t="shared" si="16"/>
        <v>0</v>
      </c>
      <c r="BA132" s="42">
        <f>+'St of Act - GA Rev'!AI132-'St of Activities - GA Exp'!AY132</f>
        <v>0</v>
      </c>
      <c r="BC132" s="42">
        <v>0</v>
      </c>
      <c r="BE132" s="42">
        <f t="shared" si="17"/>
        <v>0</v>
      </c>
      <c r="BG132" s="42">
        <f>+'St of Net Pos - GA'!AE132-'St of Activities - GA Exp'!BE132</f>
        <v>0</v>
      </c>
    </row>
    <row r="133" spans="1:59">
      <c r="A133" s="9" t="s">
        <v>206</v>
      </c>
      <c r="B133" s="9"/>
      <c r="C133" s="9" t="s">
        <v>12</v>
      </c>
      <c r="D133" s="9"/>
      <c r="E133" s="23">
        <v>43810</v>
      </c>
      <c r="G133" s="42">
        <v>8370062</v>
      </c>
      <c r="I133" s="42">
        <v>2453469</v>
      </c>
      <c r="K133" s="42">
        <v>70228</v>
      </c>
      <c r="M133" s="42">
        <v>0</v>
      </c>
      <c r="O133" s="42">
        <v>1254318</v>
      </c>
      <c r="Q133" s="42">
        <v>1139516</v>
      </c>
      <c r="S133" s="42">
        <v>1614160</v>
      </c>
      <c r="U133" s="42">
        <v>22807</v>
      </c>
      <c r="W133" s="42">
        <v>1609972</v>
      </c>
      <c r="Y133" s="42">
        <v>450063</v>
      </c>
      <c r="AA133" s="42">
        <v>0</v>
      </c>
      <c r="AC133" s="42">
        <v>1940959</v>
      </c>
      <c r="AE133" s="42">
        <v>760589</v>
      </c>
      <c r="AG133" s="42">
        <v>25222</v>
      </c>
      <c r="AI133" s="9" t="s">
        <v>206</v>
      </c>
      <c r="AJ133" s="9"/>
      <c r="AK133" s="9" t="s">
        <v>12</v>
      </c>
      <c r="AL133" s="9"/>
      <c r="AM133" s="42">
        <v>853546</v>
      </c>
      <c r="AO133" s="42">
        <v>0</v>
      </c>
      <c r="AQ133" s="42">
        <v>337309</v>
      </c>
      <c r="AS133" s="42">
        <v>157830</v>
      </c>
      <c r="AW133" s="42">
        <v>0</v>
      </c>
      <c r="AY133" s="42">
        <f t="shared" si="16"/>
        <v>21060050</v>
      </c>
      <c r="BA133" s="42">
        <f>+'St of Act - GA Rev'!AI133-'St of Activities - GA Exp'!AY133</f>
        <v>-2202995</v>
      </c>
      <c r="BC133" s="42">
        <v>38219110</v>
      </c>
      <c r="BE133" s="42">
        <f t="shared" si="17"/>
        <v>36016115</v>
      </c>
      <c r="BG133" s="42">
        <f>+'St of Net Pos - GA'!AE133-'St of Activities - GA Exp'!BE133</f>
        <v>0</v>
      </c>
    </row>
    <row r="134" spans="1:59">
      <c r="A134" s="9" t="s">
        <v>340</v>
      </c>
      <c r="B134" s="9"/>
      <c r="C134" s="9" t="s">
        <v>341</v>
      </c>
      <c r="D134" s="9"/>
      <c r="E134" s="23">
        <v>47548</v>
      </c>
      <c r="G134" s="42">
        <v>2415549</v>
      </c>
      <c r="I134" s="42">
        <v>544064</v>
      </c>
      <c r="K134" s="42">
        <v>0</v>
      </c>
      <c r="M134" s="42">
        <v>0</v>
      </c>
      <c r="O134" s="42">
        <v>10086</v>
      </c>
      <c r="Q134" s="42">
        <v>191502</v>
      </c>
      <c r="S134" s="42">
        <v>172409</v>
      </c>
      <c r="U134" s="42">
        <v>15656</v>
      </c>
      <c r="W134" s="42">
        <v>542794</v>
      </c>
      <c r="Y134" s="42">
        <v>240215</v>
      </c>
      <c r="AA134" s="42">
        <v>55</v>
      </c>
      <c r="AC134" s="42">
        <v>487599</v>
      </c>
      <c r="AE134" s="42">
        <v>348769</v>
      </c>
      <c r="AG134" s="42">
        <v>20629</v>
      </c>
      <c r="AI134" s="9" t="s">
        <v>340</v>
      </c>
      <c r="AJ134" s="9"/>
      <c r="AK134" s="9" t="s">
        <v>341</v>
      </c>
      <c r="AL134" s="9"/>
      <c r="AM134" s="42">
        <v>211954</v>
      </c>
      <c r="AO134" s="42">
        <v>0</v>
      </c>
      <c r="AQ134" s="42">
        <v>128987</v>
      </c>
      <c r="AS134" s="42">
        <v>391</v>
      </c>
      <c r="AW134" s="42">
        <v>0</v>
      </c>
      <c r="AY134" s="42">
        <f t="shared" si="16"/>
        <v>5330659</v>
      </c>
      <c r="BA134" s="42">
        <f>+'St of Act - GA Rev'!AI134-'St of Activities - GA Exp'!AY134</f>
        <v>448400</v>
      </c>
      <c r="BC134" s="42">
        <v>1043002</v>
      </c>
      <c r="BE134" s="42">
        <f t="shared" si="17"/>
        <v>1491402</v>
      </c>
      <c r="BG134" s="42">
        <f>+'St of Net Pos - GA'!AE134-'St of Activities - GA Exp'!BE134</f>
        <v>0</v>
      </c>
    </row>
    <row r="135" spans="1:59" ht="12" hidden="1" customHeight="1">
      <c r="A135" s="9" t="s">
        <v>671</v>
      </c>
      <c r="B135" s="9"/>
      <c r="C135" s="9" t="s">
        <v>464</v>
      </c>
      <c r="D135" s="9"/>
      <c r="E135" s="23">
        <v>49320</v>
      </c>
      <c r="G135" s="42">
        <v>0</v>
      </c>
      <c r="I135" s="42">
        <v>0</v>
      </c>
      <c r="K135" s="42">
        <v>0</v>
      </c>
      <c r="M135" s="42">
        <v>0</v>
      </c>
      <c r="O135" s="42">
        <v>0</v>
      </c>
      <c r="Q135" s="42">
        <v>0</v>
      </c>
      <c r="S135" s="42">
        <v>0</v>
      </c>
      <c r="U135" s="42">
        <v>0</v>
      </c>
      <c r="W135" s="42">
        <v>0</v>
      </c>
      <c r="Y135" s="42">
        <v>0</v>
      </c>
      <c r="AA135" s="42">
        <v>0</v>
      </c>
      <c r="AC135" s="42">
        <v>0</v>
      </c>
      <c r="AE135" s="42">
        <v>0</v>
      </c>
      <c r="AG135" s="42">
        <v>0</v>
      </c>
      <c r="AI135" s="9" t="s">
        <v>671</v>
      </c>
      <c r="AJ135" s="9"/>
      <c r="AK135" s="9" t="s">
        <v>464</v>
      </c>
      <c r="AL135" s="9"/>
      <c r="AM135" s="42">
        <v>0</v>
      </c>
      <c r="AO135" s="42">
        <v>0</v>
      </c>
      <c r="AQ135" s="42">
        <v>0</v>
      </c>
      <c r="AS135" s="42">
        <v>0</v>
      </c>
      <c r="AW135" s="42">
        <v>0</v>
      </c>
      <c r="AY135" s="42">
        <f t="shared" si="16"/>
        <v>0</v>
      </c>
      <c r="BA135" s="42">
        <f>+'St of Act - GA Rev'!AI135-'St of Activities - GA Exp'!AY135</f>
        <v>0</v>
      </c>
      <c r="BC135" s="42">
        <v>0</v>
      </c>
      <c r="BE135" s="42">
        <f t="shared" si="17"/>
        <v>0</v>
      </c>
      <c r="BG135" s="42">
        <f>+'St of Net Pos - GA'!AE135-'St of Activities - GA Exp'!BE135</f>
        <v>0</v>
      </c>
    </row>
    <row r="136" spans="1:59">
      <c r="A136" s="9" t="s">
        <v>504</v>
      </c>
      <c r="B136" s="9"/>
      <c r="C136" s="9" t="s">
        <v>63</v>
      </c>
      <c r="D136" s="9"/>
      <c r="E136" s="23">
        <v>49981</v>
      </c>
      <c r="G136" s="42">
        <v>17102275</v>
      </c>
      <c r="I136" s="42">
        <v>4401833</v>
      </c>
      <c r="K136" s="42">
        <v>586475</v>
      </c>
      <c r="M136" s="42">
        <v>0</v>
      </c>
      <c r="O136" s="42">
        <v>0</v>
      </c>
      <c r="Q136" s="42">
        <v>1802639</v>
      </c>
      <c r="S136" s="42">
        <v>665876</v>
      </c>
      <c r="U136" s="42">
        <v>133319</v>
      </c>
      <c r="W136" s="42">
        <v>1935822</v>
      </c>
      <c r="Y136" s="42">
        <v>1934988</v>
      </c>
      <c r="AA136" s="42">
        <v>142475</v>
      </c>
      <c r="AC136" s="42">
        <v>3517394</v>
      </c>
      <c r="AE136" s="42">
        <v>1690850</v>
      </c>
      <c r="AG136" s="42">
        <v>214980</v>
      </c>
      <c r="AI136" s="9" t="s">
        <v>504</v>
      </c>
      <c r="AJ136" s="9"/>
      <c r="AK136" s="9" t="s">
        <v>63</v>
      </c>
      <c r="AL136" s="9"/>
      <c r="AM136" s="42">
        <v>780109</v>
      </c>
      <c r="AO136" s="42">
        <v>632928</v>
      </c>
      <c r="AQ136" s="42">
        <v>1143736</v>
      </c>
      <c r="AS136" s="42">
        <v>70268</v>
      </c>
      <c r="AW136" s="42">
        <v>0</v>
      </c>
      <c r="AY136" s="42">
        <f t="shared" si="16"/>
        <v>36755967</v>
      </c>
      <c r="BA136" s="42">
        <f>+'St of Act - GA Rev'!AI136-'St of Activities - GA Exp'!AY136</f>
        <v>232079</v>
      </c>
      <c r="BC136" s="42">
        <v>27970944</v>
      </c>
      <c r="BE136" s="42">
        <f t="shared" si="17"/>
        <v>28203023</v>
      </c>
      <c r="BG136" s="42">
        <f>+'St of Net Pos - GA'!AE136-'St of Activities - GA Exp'!BE136</f>
        <v>0</v>
      </c>
    </row>
    <row r="137" spans="1:59" ht="12" customHeight="1">
      <c r="A137" s="9" t="s">
        <v>334</v>
      </c>
      <c r="B137" s="9"/>
      <c r="C137" s="9" t="s">
        <v>33</v>
      </c>
      <c r="D137" s="9"/>
      <c r="E137" s="23">
        <v>47431</v>
      </c>
      <c r="G137" s="42">
        <v>3679520</v>
      </c>
      <c r="I137" s="42">
        <v>632249</v>
      </c>
      <c r="K137" s="42">
        <v>253149</v>
      </c>
      <c r="M137" s="42">
        <v>0</v>
      </c>
      <c r="O137" s="42">
        <v>0</v>
      </c>
      <c r="Q137" s="42">
        <v>239070</v>
      </c>
      <c r="S137" s="42">
        <v>263647</v>
      </c>
      <c r="U137" s="42">
        <v>38131</v>
      </c>
      <c r="W137" s="42">
        <v>935859</v>
      </c>
      <c r="Y137" s="42">
        <v>235394</v>
      </c>
      <c r="AA137" s="42">
        <v>0</v>
      </c>
      <c r="AC137" s="42">
        <v>681215</v>
      </c>
      <c r="AE137" s="42">
        <v>443305</v>
      </c>
      <c r="AG137" s="42">
        <v>8099</v>
      </c>
      <c r="AI137" s="9" t="s">
        <v>334</v>
      </c>
      <c r="AJ137" s="9"/>
      <c r="AK137" s="9" t="s">
        <v>33</v>
      </c>
      <c r="AL137" s="9"/>
      <c r="AM137" s="42">
        <v>0</v>
      </c>
      <c r="AO137" s="42">
        <v>260871</v>
      </c>
      <c r="AQ137" s="42">
        <v>308612</v>
      </c>
      <c r="AS137" s="42">
        <v>491253</v>
      </c>
      <c r="AW137" s="42">
        <v>0</v>
      </c>
      <c r="AY137" s="42">
        <f t="shared" si="16"/>
        <v>8470374</v>
      </c>
      <c r="BA137" s="42">
        <f>+'St of Act - GA Rev'!AI137-'St of Activities - GA Exp'!AY137</f>
        <v>157055</v>
      </c>
      <c r="BC137" s="42">
        <v>9783831</v>
      </c>
      <c r="BE137" s="42">
        <f t="shared" si="17"/>
        <v>9940886</v>
      </c>
      <c r="BG137" s="42">
        <f>+'St of Net Pos - GA'!AE137-'St of Activities - GA Exp'!BE137</f>
        <v>0</v>
      </c>
    </row>
    <row r="138" spans="1:59">
      <c r="A138" s="9" t="s">
        <v>251</v>
      </c>
      <c r="B138" s="9"/>
      <c r="C138" s="9" t="s">
        <v>19</v>
      </c>
      <c r="D138" s="9"/>
      <c r="E138" s="23">
        <v>43828</v>
      </c>
      <c r="G138" s="42">
        <v>12461230</v>
      </c>
      <c r="I138" s="42">
        <v>0</v>
      </c>
      <c r="K138" s="42">
        <v>0</v>
      </c>
      <c r="M138" s="42">
        <v>0</v>
      </c>
      <c r="O138" s="42">
        <v>0</v>
      </c>
      <c r="Q138" s="42">
        <v>748094</v>
      </c>
      <c r="S138" s="42">
        <v>742814</v>
      </c>
      <c r="U138" s="42">
        <v>56291</v>
      </c>
      <c r="W138" s="42">
        <v>1352426</v>
      </c>
      <c r="Y138" s="42">
        <v>466784</v>
      </c>
      <c r="AA138" s="42">
        <v>311807</v>
      </c>
      <c r="AC138" s="42">
        <v>1549021</v>
      </c>
      <c r="AE138" s="42">
        <v>351271</v>
      </c>
      <c r="AG138" s="42">
        <v>17199</v>
      </c>
      <c r="AI138" s="9" t="s">
        <v>251</v>
      </c>
      <c r="AJ138" s="9"/>
      <c r="AK138" s="9" t="s">
        <v>19</v>
      </c>
      <c r="AL138" s="9"/>
      <c r="AM138" s="42">
        <v>831909</v>
      </c>
      <c r="AO138" s="42">
        <v>108703</v>
      </c>
      <c r="AQ138" s="42">
        <v>362802</v>
      </c>
      <c r="AS138" s="42">
        <v>508271</v>
      </c>
      <c r="AW138" s="42">
        <v>0</v>
      </c>
      <c r="AY138" s="42">
        <f t="shared" si="16"/>
        <v>19868622</v>
      </c>
      <c r="BA138" s="42">
        <f>+'St of Act - GA Rev'!AI138-'St of Activities - GA Exp'!AY138</f>
        <v>-835369</v>
      </c>
      <c r="BC138" s="42">
        <v>25518642</v>
      </c>
      <c r="BE138" s="42">
        <f t="shared" si="17"/>
        <v>24683273</v>
      </c>
      <c r="BG138" s="42">
        <f>+'St of Net Pos - GA'!AE138-'St of Activities - GA Exp'!BE138</f>
        <v>0</v>
      </c>
    </row>
    <row r="139" spans="1:59">
      <c r="A139" s="9" t="s">
        <v>599</v>
      </c>
      <c r="B139" s="9"/>
      <c r="C139" s="9" t="s">
        <v>63</v>
      </c>
      <c r="D139" s="9"/>
      <c r="E139" s="23">
        <v>49999</v>
      </c>
      <c r="G139" s="42">
        <v>9183481</v>
      </c>
      <c r="I139" s="42">
        <v>3234817</v>
      </c>
      <c r="K139" s="42">
        <v>86716</v>
      </c>
      <c r="M139" s="42">
        <v>0</v>
      </c>
      <c r="O139" s="42">
        <v>731254</v>
      </c>
      <c r="Q139" s="42">
        <v>918161</v>
      </c>
      <c r="S139" s="42">
        <v>1205858</v>
      </c>
      <c r="U139" s="42">
        <v>203927</v>
      </c>
      <c r="W139" s="42">
        <v>1512293</v>
      </c>
      <c r="Y139" s="42">
        <v>464181</v>
      </c>
      <c r="AA139" s="42">
        <v>58791</v>
      </c>
      <c r="AC139" s="42">
        <v>1912079</v>
      </c>
      <c r="AE139" s="42">
        <v>1405554</v>
      </c>
      <c r="AG139" s="42">
        <v>218863</v>
      </c>
      <c r="AI139" s="9" t="s">
        <v>599</v>
      </c>
      <c r="AJ139" s="9"/>
      <c r="AK139" s="9" t="s">
        <v>63</v>
      </c>
      <c r="AL139" s="9"/>
      <c r="AM139" s="42">
        <v>691850</v>
      </c>
      <c r="AO139" s="42">
        <v>291267</v>
      </c>
      <c r="AQ139" s="42">
        <v>380372</v>
      </c>
      <c r="AS139" s="42">
        <v>244940</v>
      </c>
      <c r="AW139" s="42">
        <v>0</v>
      </c>
      <c r="AY139" s="42">
        <f t="shared" si="16"/>
        <v>22744404</v>
      </c>
      <c r="BA139" s="42">
        <f>+'St of Act - GA Rev'!AI139-'St of Activities - GA Exp'!AY139</f>
        <v>-707101</v>
      </c>
      <c r="BC139" s="42">
        <v>-2810296</v>
      </c>
      <c r="BE139" s="42">
        <f t="shared" si="17"/>
        <v>-3517397</v>
      </c>
      <c r="BG139" s="42">
        <f>+'St of Net Pos - GA'!AE139-'St of Activities - GA Exp'!BE139</f>
        <v>0</v>
      </c>
    </row>
    <row r="140" spans="1:59">
      <c r="A140" s="9" t="s">
        <v>752</v>
      </c>
      <c r="B140" s="9"/>
      <c r="C140" s="9" t="s">
        <v>48</v>
      </c>
      <c r="D140" s="9"/>
      <c r="E140" s="23">
        <v>45336</v>
      </c>
      <c r="G140" s="42">
        <v>3323159</v>
      </c>
      <c r="I140" s="42">
        <v>914974</v>
      </c>
      <c r="K140" s="42">
        <v>0</v>
      </c>
      <c r="M140" s="42">
        <v>0</v>
      </c>
      <c r="O140" s="42">
        <v>3068</v>
      </c>
      <c r="Q140" s="42">
        <v>381734</v>
      </c>
      <c r="S140" s="42">
        <v>341309</v>
      </c>
      <c r="U140" s="42">
        <v>9908</v>
      </c>
      <c r="W140" s="42">
        <v>743370</v>
      </c>
      <c r="Y140" s="42">
        <v>254036</v>
      </c>
      <c r="AA140" s="42">
        <v>4014</v>
      </c>
      <c r="AC140" s="42">
        <v>540397</v>
      </c>
      <c r="AE140" s="42">
        <v>418451</v>
      </c>
      <c r="AG140" s="42">
        <v>155607</v>
      </c>
      <c r="AI140" s="9" t="s">
        <v>752</v>
      </c>
      <c r="AJ140" s="9"/>
      <c r="AK140" s="9" t="s">
        <v>48</v>
      </c>
      <c r="AL140" s="9"/>
      <c r="AM140" s="42">
        <v>368311</v>
      </c>
      <c r="AO140" s="42">
        <v>73307</v>
      </c>
      <c r="AQ140" s="42">
        <v>531269</v>
      </c>
      <c r="AS140" s="42">
        <v>9039</v>
      </c>
      <c r="AW140" s="42">
        <v>0</v>
      </c>
      <c r="AY140" s="42">
        <f t="shared" si="16"/>
        <v>8071953</v>
      </c>
      <c r="BA140" s="42">
        <f>+'St of Act - GA Rev'!AI140-'St of Activities - GA Exp'!AY140</f>
        <v>683027</v>
      </c>
      <c r="BC140" s="42">
        <v>2641481</v>
      </c>
      <c r="BE140" s="42">
        <f t="shared" si="17"/>
        <v>3324508</v>
      </c>
      <c r="BG140" s="42">
        <f>+'St of Net Pos - GA'!AE140-'St of Activities - GA Exp'!BE140</f>
        <v>0</v>
      </c>
    </row>
    <row r="141" spans="1:59" hidden="1">
      <c r="A141" s="9" t="s">
        <v>825</v>
      </c>
      <c r="B141" s="9"/>
      <c r="C141" s="9" t="s">
        <v>110</v>
      </c>
      <c r="D141" s="9"/>
      <c r="E141" s="23">
        <v>45344</v>
      </c>
      <c r="G141" s="42">
        <v>0</v>
      </c>
      <c r="I141" s="42">
        <v>0</v>
      </c>
      <c r="K141" s="42">
        <v>0</v>
      </c>
      <c r="M141" s="42">
        <v>0</v>
      </c>
      <c r="O141" s="42">
        <v>0</v>
      </c>
      <c r="Q141" s="42">
        <v>0</v>
      </c>
      <c r="S141" s="42">
        <v>0</v>
      </c>
      <c r="U141" s="42">
        <v>0</v>
      </c>
      <c r="W141" s="42">
        <v>0</v>
      </c>
      <c r="Y141" s="42">
        <v>0</v>
      </c>
      <c r="AA141" s="42">
        <v>0</v>
      </c>
      <c r="AC141" s="42">
        <v>0</v>
      </c>
      <c r="AE141" s="42">
        <v>0</v>
      </c>
      <c r="AG141" s="42">
        <v>0</v>
      </c>
      <c r="AI141" s="9" t="s">
        <v>825</v>
      </c>
      <c r="AJ141" s="9"/>
      <c r="AK141" s="9" t="s">
        <v>110</v>
      </c>
      <c r="AL141" s="9"/>
      <c r="AM141" s="42">
        <v>0</v>
      </c>
      <c r="AO141" s="42">
        <v>0</v>
      </c>
      <c r="AQ141" s="42">
        <v>0</v>
      </c>
      <c r="AS141" s="42">
        <v>0</v>
      </c>
      <c r="AW141" s="42">
        <v>0</v>
      </c>
      <c r="AY141" s="42">
        <f t="shared" si="16"/>
        <v>0</v>
      </c>
      <c r="BA141" s="42">
        <f>+'St of Act - GA Rev'!AI141-'St of Activities - GA Exp'!AY141</f>
        <v>0</v>
      </c>
      <c r="BC141" s="42">
        <v>0</v>
      </c>
      <c r="BE141" s="42">
        <f t="shared" si="17"/>
        <v>0</v>
      </c>
      <c r="BG141" s="42">
        <f>+'St of Net Pos - GA'!AE141-'St of Activities - GA Exp'!BE141</f>
        <v>0</v>
      </c>
    </row>
    <row r="142" spans="1:59">
      <c r="A142" s="9" t="s">
        <v>245</v>
      </c>
      <c r="B142" s="9"/>
      <c r="C142" s="9" t="s">
        <v>111</v>
      </c>
      <c r="D142" s="9"/>
      <c r="E142" s="23">
        <v>46433</v>
      </c>
      <c r="G142" s="42">
        <v>5464407</v>
      </c>
      <c r="I142" s="42">
        <v>1094548</v>
      </c>
      <c r="K142" s="42">
        <v>80785</v>
      </c>
      <c r="M142" s="42">
        <v>0</v>
      </c>
      <c r="O142" s="42">
        <v>39187</v>
      </c>
      <c r="Q142" s="42">
        <v>584616</v>
      </c>
      <c r="S142" s="42">
        <v>548432</v>
      </c>
      <c r="U142" s="42">
        <v>26363</v>
      </c>
      <c r="W142" s="42">
        <v>1076552</v>
      </c>
      <c r="Y142" s="42">
        <v>383826</v>
      </c>
      <c r="AA142" s="42">
        <v>463</v>
      </c>
      <c r="AC142" s="42">
        <v>1216125</v>
      </c>
      <c r="AE142" s="42">
        <v>770079</v>
      </c>
      <c r="AG142" s="42">
        <v>28711</v>
      </c>
      <c r="AI142" s="9" t="s">
        <v>245</v>
      </c>
      <c r="AJ142" s="9"/>
      <c r="AK142" s="9" t="s">
        <v>111</v>
      </c>
      <c r="AL142" s="9"/>
      <c r="AM142" s="42">
        <v>593473</v>
      </c>
      <c r="AO142" s="42">
        <v>0</v>
      </c>
      <c r="AQ142" s="42">
        <v>409366</v>
      </c>
      <c r="AS142" s="42">
        <v>330251</v>
      </c>
      <c r="AW142" s="42">
        <v>0</v>
      </c>
      <c r="AY142" s="42">
        <f t="shared" si="16"/>
        <v>12647184</v>
      </c>
      <c r="BA142" s="42">
        <f>+'St of Act - GA Rev'!AI142-'St of Activities - GA Exp'!AY142</f>
        <v>151451</v>
      </c>
      <c r="BC142" s="42">
        <v>12642315</v>
      </c>
      <c r="BE142" s="42">
        <f t="shared" si="17"/>
        <v>12793766</v>
      </c>
      <c r="BG142" s="42">
        <f>+'St of Net Pos - GA'!AE142-'St of Activities - GA Exp'!BE142</f>
        <v>0</v>
      </c>
    </row>
    <row r="143" spans="1:59">
      <c r="A143" s="9" t="s">
        <v>245</v>
      </c>
      <c r="B143" s="9"/>
      <c r="C143" s="9" t="s">
        <v>109</v>
      </c>
      <c r="D143" s="9"/>
      <c r="E143" s="23">
        <v>49429</v>
      </c>
      <c r="G143" s="42">
        <v>5751523</v>
      </c>
      <c r="I143" s="42">
        <v>1359929</v>
      </c>
      <c r="K143" s="42">
        <v>269501</v>
      </c>
      <c r="M143" s="42">
        <v>0</v>
      </c>
      <c r="O143" s="42">
        <v>865</v>
      </c>
      <c r="Q143" s="42">
        <v>448882</v>
      </c>
      <c r="S143" s="42">
        <v>409194</v>
      </c>
      <c r="U143" s="42">
        <v>80089</v>
      </c>
      <c r="W143" s="42">
        <v>966560</v>
      </c>
      <c r="Y143" s="42">
        <v>237269</v>
      </c>
      <c r="AA143" s="42">
        <v>545</v>
      </c>
      <c r="AC143" s="42">
        <v>1188628</v>
      </c>
      <c r="AE143" s="42">
        <v>815415</v>
      </c>
      <c r="AG143" s="42">
        <v>27753</v>
      </c>
      <c r="AI143" s="9" t="s">
        <v>245</v>
      </c>
      <c r="AJ143" s="9"/>
      <c r="AK143" s="9" t="s">
        <v>109</v>
      </c>
      <c r="AL143" s="9"/>
      <c r="AM143" s="42">
        <v>522481</v>
      </c>
      <c r="AO143" s="42">
        <v>82050</v>
      </c>
      <c r="AQ143" s="42">
        <v>611164</v>
      </c>
      <c r="AS143" s="42">
        <v>103591</v>
      </c>
      <c r="AW143" s="42">
        <v>0</v>
      </c>
      <c r="AY143" s="42">
        <f t="shared" si="16"/>
        <v>12875439</v>
      </c>
      <c r="BA143" s="42">
        <f>+'St of Act - GA Rev'!AI143-'St of Activities - GA Exp'!AY143</f>
        <v>-236827</v>
      </c>
      <c r="BC143" s="42">
        <v>26643501</v>
      </c>
      <c r="BE143" s="42">
        <f t="shared" si="17"/>
        <v>26406674</v>
      </c>
      <c r="BG143" s="42">
        <f>+'St of Net Pos - GA'!AE143-'St of Activities - GA Exp'!BE143</f>
        <v>0</v>
      </c>
    </row>
    <row r="144" spans="1:59" hidden="1">
      <c r="A144" s="9" t="s">
        <v>650</v>
      </c>
      <c r="B144" s="9"/>
      <c r="C144" s="9" t="s">
        <v>67</v>
      </c>
      <c r="D144" s="9"/>
      <c r="E144" s="23">
        <v>50351</v>
      </c>
      <c r="G144" s="42">
        <v>0</v>
      </c>
      <c r="I144" s="42">
        <v>0</v>
      </c>
      <c r="K144" s="42">
        <v>0</v>
      </c>
      <c r="M144" s="42">
        <v>0</v>
      </c>
      <c r="O144" s="42">
        <v>0</v>
      </c>
      <c r="Q144" s="42">
        <v>0</v>
      </c>
      <c r="S144" s="42">
        <v>0</v>
      </c>
      <c r="U144" s="42">
        <v>0</v>
      </c>
      <c r="W144" s="42">
        <v>0</v>
      </c>
      <c r="Y144" s="42">
        <v>0</v>
      </c>
      <c r="AA144" s="42">
        <v>0</v>
      </c>
      <c r="AC144" s="42">
        <v>0</v>
      </c>
      <c r="AE144" s="42">
        <v>0</v>
      </c>
      <c r="AG144" s="42">
        <v>0</v>
      </c>
      <c r="AI144" s="9" t="s">
        <v>650</v>
      </c>
      <c r="AJ144" s="9"/>
      <c r="AK144" s="9" t="s">
        <v>67</v>
      </c>
      <c r="AL144" s="9"/>
      <c r="AM144" s="42">
        <v>0</v>
      </c>
      <c r="AO144" s="42">
        <v>0</v>
      </c>
      <c r="AQ144" s="42">
        <v>0</v>
      </c>
      <c r="AS144" s="42">
        <v>0</v>
      </c>
      <c r="AW144" s="42">
        <v>0</v>
      </c>
      <c r="AY144" s="42">
        <f t="shared" si="16"/>
        <v>0</v>
      </c>
      <c r="BA144" s="42">
        <f>+'St of Act - GA Rev'!AI144-'St of Activities - GA Exp'!AY144</f>
        <v>0</v>
      </c>
      <c r="BC144" s="42">
        <v>0</v>
      </c>
      <c r="BE144" s="42">
        <f t="shared" si="17"/>
        <v>0</v>
      </c>
      <c r="BG144" s="42">
        <f>+'St of Net Pos - GA'!AE144-'St of Activities - GA Exp'!BE144</f>
        <v>0</v>
      </c>
    </row>
    <row r="145" spans="1:59">
      <c r="A145" s="9" t="s">
        <v>712</v>
      </c>
      <c r="B145" s="9"/>
      <c r="C145" s="9" t="s">
        <v>56</v>
      </c>
      <c r="D145" s="9"/>
      <c r="E145" s="23">
        <v>49189</v>
      </c>
      <c r="G145" s="42">
        <v>9106395</v>
      </c>
      <c r="I145" s="42">
        <v>2521303</v>
      </c>
      <c r="K145" s="42">
        <v>185349</v>
      </c>
      <c r="M145" s="42">
        <v>0</v>
      </c>
      <c r="O145" s="42">
        <f>23536+1158235</f>
        <v>1181771</v>
      </c>
      <c r="Q145" s="42">
        <v>889265</v>
      </c>
      <c r="S145" s="42">
        <v>558469</v>
      </c>
      <c r="U145" s="42">
        <v>20358</v>
      </c>
      <c r="W145" s="42">
        <v>2187097</v>
      </c>
      <c r="Y145" s="42">
        <v>545079</v>
      </c>
      <c r="AA145" s="42">
        <v>22050</v>
      </c>
      <c r="AC145" s="42">
        <v>2005424</v>
      </c>
      <c r="AE145" s="42">
        <v>1635359</v>
      </c>
      <c r="AG145" s="42">
        <v>346957</v>
      </c>
      <c r="AI145" s="9" t="s">
        <v>712</v>
      </c>
      <c r="AJ145" s="9"/>
      <c r="AK145" s="9" t="s">
        <v>56</v>
      </c>
      <c r="AL145" s="9"/>
      <c r="AM145" s="42">
        <v>582646</v>
      </c>
      <c r="AO145" s="42">
        <v>38597</v>
      </c>
      <c r="AQ145" s="42">
        <v>639518</v>
      </c>
      <c r="AS145" s="42">
        <v>201396</v>
      </c>
      <c r="AW145" s="42">
        <v>0</v>
      </c>
      <c r="AY145" s="42">
        <f t="shared" si="16"/>
        <v>22667033</v>
      </c>
      <c r="BA145" s="42">
        <f>+'St of Act - GA Rev'!AI145-'St of Activities - GA Exp'!AY145</f>
        <v>-239923</v>
      </c>
      <c r="BC145" s="42">
        <v>20490088</v>
      </c>
      <c r="BE145" s="42">
        <f t="shared" si="17"/>
        <v>20250165</v>
      </c>
      <c r="BG145" s="42">
        <f>+'St of Net Pos - GA'!AE145-'St of Activities - GA Exp'!BE145</f>
        <v>0</v>
      </c>
    </row>
    <row r="146" spans="1:59">
      <c r="A146" s="9" t="s">
        <v>753</v>
      </c>
      <c r="B146" s="9"/>
      <c r="C146" s="9" t="s">
        <v>448</v>
      </c>
      <c r="D146" s="9"/>
      <c r="E146" s="23">
        <v>45351</v>
      </c>
      <c r="G146" s="42">
        <v>7237091</v>
      </c>
      <c r="I146" s="42">
        <v>0</v>
      </c>
      <c r="K146" s="42">
        <v>0</v>
      </c>
      <c r="M146" s="42">
        <v>0</v>
      </c>
      <c r="O146" s="42">
        <v>0</v>
      </c>
      <c r="Q146" s="42">
        <v>559088</v>
      </c>
      <c r="S146" s="42">
        <v>382355</v>
      </c>
      <c r="U146" s="42">
        <v>67545</v>
      </c>
      <c r="W146" s="42">
        <v>935668</v>
      </c>
      <c r="Y146" s="42">
        <v>275662</v>
      </c>
      <c r="AA146" s="42">
        <v>0</v>
      </c>
      <c r="AC146" s="42">
        <v>1062567</v>
      </c>
      <c r="AE146" s="42">
        <v>702657</v>
      </c>
      <c r="AG146" s="42">
        <v>62670</v>
      </c>
      <c r="AI146" s="9" t="s">
        <v>753</v>
      </c>
      <c r="AJ146" s="9"/>
      <c r="AK146" s="9" t="s">
        <v>448</v>
      </c>
      <c r="AL146" s="9"/>
      <c r="AM146" s="42">
        <v>0</v>
      </c>
      <c r="AO146" s="42">
        <v>571519</v>
      </c>
      <c r="AQ146" s="42">
        <v>496740</v>
      </c>
      <c r="AS146" s="42">
        <v>125095</v>
      </c>
      <c r="AW146" s="42">
        <v>0</v>
      </c>
      <c r="AY146" s="42">
        <f t="shared" si="16"/>
        <v>12478657</v>
      </c>
      <c r="BA146" s="42">
        <f>+'St of Act - GA Rev'!AI146-'St of Activities - GA Exp'!AY146</f>
        <v>-1075566</v>
      </c>
      <c r="BC146" s="42">
        <v>9333153</v>
      </c>
      <c r="BE146" s="42">
        <f t="shared" si="17"/>
        <v>8257587</v>
      </c>
      <c r="BG146" s="42">
        <f>+'St of Net Pos - GA'!AE146-'St of Activities - GA Exp'!BE146</f>
        <v>0</v>
      </c>
    </row>
    <row r="147" spans="1:59">
      <c r="A147" s="9" t="s">
        <v>651</v>
      </c>
      <c r="B147" s="9"/>
      <c r="C147" s="9" t="s">
        <v>63</v>
      </c>
      <c r="D147" s="9"/>
      <c r="E147" s="23">
        <v>43836</v>
      </c>
      <c r="G147" s="42">
        <v>21593413</v>
      </c>
      <c r="I147" s="42">
        <v>5808511</v>
      </c>
      <c r="K147" s="42">
        <v>936219</v>
      </c>
      <c r="M147" s="42">
        <v>0</v>
      </c>
      <c r="O147" s="42">
        <v>4269150</v>
      </c>
      <c r="Q147" s="42">
        <v>4194844</v>
      </c>
      <c r="S147" s="42">
        <v>1303926</v>
      </c>
      <c r="U147" s="42">
        <v>98059</v>
      </c>
      <c r="W147" s="42">
        <v>2701220</v>
      </c>
      <c r="Y147" s="42">
        <v>1188477</v>
      </c>
      <c r="AA147" s="42">
        <v>376618</v>
      </c>
      <c r="AC147" s="42">
        <v>4503834</v>
      </c>
      <c r="AE147" s="42">
        <v>1410340</v>
      </c>
      <c r="AG147" s="42">
        <v>379062</v>
      </c>
      <c r="AI147" s="9" t="s">
        <v>651</v>
      </c>
      <c r="AJ147" s="9"/>
      <c r="AK147" s="9" t="s">
        <v>63</v>
      </c>
      <c r="AL147" s="9"/>
      <c r="AM147" s="42">
        <v>1556307</v>
      </c>
      <c r="AO147" s="42">
        <v>1294682</v>
      </c>
      <c r="AQ147" s="42">
        <v>1132178</v>
      </c>
      <c r="AS147" s="42">
        <v>132029</v>
      </c>
      <c r="AW147" s="42">
        <v>0</v>
      </c>
      <c r="AY147" s="42">
        <f t="shared" si="16"/>
        <v>52878869</v>
      </c>
      <c r="BA147" s="42">
        <f>+'St of Act - GA Rev'!AI147-'St of Activities - GA Exp'!AY147</f>
        <v>-806080</v>
      </c>
      <c r="BC147" s="42">
        <v>8260709</v>
      </c>
      <c r="BE147" s="42">
        <f t="shared" si="17"/>
        <v>7454629</v>
      </c>
      <c r="BG147" s="42">
        <f>+'St of Net Pos - GA'!AE147-'St of Activities - GA Exp'!BE147</f>
        <v>0</v>
      </c>
    </row>
    <row r="148" spans="1:59">
      <c r="A148" s="9" t="s">
        <v>713</v>
      </c>
      <c r="B148" s="9"/>
      <c r="C148" s="9" t="s">
        <v>20</v>
      </c>
      <c r="D148" s="9"/>
      <c r="E148" s="23">
        <v>46557</v>
      </c>
      <c r="G148" s="42">
        <v>5772625</v>
      </c>
      <c r="I148" s="42">
        <v>1323606</v>
      </c>
      <c r="K148" s="42">
        <v>9569</v>
      </c>
      <c r="M148" s="42">
        <v>0</v>
      </c>
      <c r="O148" s="42">
        <v>0</v>
      </c>
      <c r="Q148" s="42">
        <v>707274</v>
      </c>
      <c r="S148" s="42">
        <v>521341</v>
      </c>
      <c r="U148" s="42">
        <v>54092</v>
      </c>
      <c r="W148" s="42">
        <v>1339982</v>
      </c>
      <c r="Y148" s="42">
        <v>450402</v>
      </c>
      <c r="AA148" s="42">
        <v>3782</v>
      </c>
      <c r="AC148" s="42">
        <v>1404064</v>
      </c>
      <c r="AE148" s="42">
        <v>759243</v>
      </c>
      <c r="AG148" s="42">
        <v>331201</v>
      </c>
      <c r="AI148" s="9" t="s">
        <v>713</v>
      </c>
      <c r="AJ148" s="9"/>
      <c r="AK148" s="9" t="s">
        <v>20</v>
      </c>
      <c r="AL148" s="9"/>
      <c r="AM148" s="42">
        <v>311034</v>
      </c>
      <c r="AO148" s="42">
        <v>91530</v>
      </c>
      <c r="AQ148" s="42">
        <v>710688</v>
      </c>
      <c r="AS148" s="42">
        <v>108974</v>
      </c>
      <c r="AW148" s="42">
        <v>0</v>
      </c>
      <c r="AY148" s="42">
        <f t="shared" si="16"/>
        <v>13899407</v>
      </c>
      <c r="BA148" s="42">
        <f>+'St of Act - GA Rev'!AI148-'St of Activities - GA Exp'!AY148</f>
        <v>2977114</v>
      </c>
      <c r="BC148" s="42">
        <v>4292866</v>
      </c>
      <c r="BE148" s="42">
        <f t="shared" si="17"/>
        <v>7269980</v>
      </c>
      <c r="BG148" s="42">
        <f>+'St of Net Pos - GA'!AE148-'St of Activities - GA Exp'!BE148</f>
        <v>0</v>
      </c>
    </row>
    <row r="149" spans="1:59">
      <c r="A149" s="9" t="s">
        <v>604</v>
      </c>
      <c r="B149" s="9"/>
      <c r="C149" s="9" t="s">
        <v>71</v>
      </c>
      <c r="D149" s="9"/>
      <c r="E149" s="23">
        <v>50542</v>
      </c>
      <c r="G149" s="42">
        <v>3393896</v>
      </c>
      <c r="I149" s="42">
        <v>730907</v>
      </c>
      <c r="K149" s="42">
        <v>173480</v>
      </c>
      <c r="M149" s="42">
        <v>0</v>
      </c>
      <c r="O149" s="42">
        <v>341274</v>
      </c>
      <c r="Q149" s="42">
        <v>396432</v>
      </c>
      <c r="S149" s="42">
        <v>711103</v>
      </c>
      <c r="U149" s="42">
        <v>14549</v>
      </c>
      <c r="W149" s="42">
        <v>680961</v>
      </c>
      <c r="Y149" s="42">
        <v>218834</v>
      </c>
      <c r="AA149" s="42">
        <v>0</v>
      </c>
      <c r="AC149" s="42">
        <v>723647</v>
      </c>
      <c r="AE149" s="42">
        <v>470872</v>
      </c>
      <c r="AG149" s="42">
        <v>75758</v>
      </c>
      <c r="AI149" s="9" t="s">
        <v>604</v>
      </c>
      <c r="AJ149" s="9"/>
      <c r="AK149" s="9" t="s">
        <v>71</v>
      </c>
      <c r="AL149" s="9"/>
      <c r="AM149" s="42">
        <v>231031</v>
      </c>
      <c r="AO149" s="42">
        <v>206608</v>
      </c>
      <c r="AQ149" s="42">
        <v>435718</v>
      </c>
      <c r="AS149" s="42">
        <v>660413</v>
      </c>
      <c r="AW149" s="42">
        <v>0</v>
      </c>
      <c r="AY149" s="42">
        <f t="shared" si="16"/>
        <v>9465483</v>
      </c>
      <c r="BA149" s="42">
        <f>+'St of Act - GA Rev'!AI149-'St of Activities - GA Exp'!AY149</f>
        <v>7663395</v>
      </c>
      <c r="BC149" s="42">
        <v>4328397</v>
      </c>
      <c r="BE149" s="42">
        <f t="shared" si="17"/>
        <v>11991792</v>
      </c>
      <c r="BG149" s="42">
        <f>+'St of Net Pos - GA'!AE149-'St of Activities - GA Exp'!BE149</f>
        <v>0</v>
      </c>
    </row>
    <row r="150" spans="1:59" ht="12" hidden="1" customHeight="1">
      <c r="A150" s="9" t="s">
        <v>735</v>
      </c>
      <c r="B150" s="9"/>
      <c r="C150" s="9" t="s">
        <v>53</v>
      </c>
      <c r="D150" s="9"/>
      <c r="E150" s="23">
        <v>48934</v>
      </c>
      <c r="G150" s="42">
        <v>0</v>
      </c>
      <c r="I150" s="42">
        <v>0</v>
      </c>
      <c r="K150" s="42">
        <v>0</v>
      </c>
      <c r="M150" s="42">
        <v>0</v>
      </c>
      <c r="O150" s="42">
        <v>0</v>
      </c>
      <c r="Q150" s="42">
        <v>0</v>
      </c>
      <c r="S150" s="42">
        <v>0</v>
      </c>
      <c r="U150" s="42">
        <v>0</v>
      </c>
      <c r="W150" s="42">
        <v>0</v>
      </c>
      <c r="Y150" s="42">
        <v>0</v>
      </c>
      <c r="AA150" s="42">
        <v>0</v>
      </c>
      <c r="AC150" s="42">
        <v>0</v>
      </c>
      <c r="AE150" s="42">
        <v>0</v>
      </c>
      <c r="AG150" s="42">
        <v>0</v>
      </c>
      <c r="AI150" s="9" t="s">
        <v>735</v>
      </c>
      <c r="AJ150" s="9"/>
      <c r="AK150" s="9" t="s">
        <v>53</v>
      </c>
      <c r="AL150" s="9"/>
      <c r="AM150" s="42">
        <v>0</v>
      </c>
      <c r="AO150" s="42">
        <v>0</v>
      </c>
      <c r="AQ150" s="42">
        <v>0</v>
      </c>
      <c r="AS150" s="42">
        <v>0</v>
      </c>
      <c r="AW150" s="42">
        <v>0</v>
      </c>
      <c r="AY150" s="42">
        <f t="shared" si="16"/>
        <v>0</v>
      </c>
      <c r="BA150" s="42">
        <f>+'St of Act - GA Rev'!AI150-'St of Activities - GA Exp'!AY150</f>
        <v>0</v>
      </c>
      <c r="BC150" s="42">
        <v>0</v>
      </c>
      <c r="BE150" s="42">
        <f t="shared" si="17"/>
        <v>0</v>
      </c>
      <c r="BG150" s="42">
        <f>+'St of Net Pos - GA'!AE150-'St of Activities - GA Exp'!BE150</f>
        <v>0</v>
      </c>
    </row>
    <row r="151" spans="1:59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v>0</v>
      </c>
      <c r="I151" s="42">
        <v>0</v>
      </c>
      <c r="K151" s="42">
        <v>0</v>
      </c>
      <c r="M151" s="42">
        <v>0</v>
      </c>
      <c r="O151" s="42">
        <v>0</v>
      </c>
      <c r="Q151" s="42">
        <v>0</v>
      </c>
      <c r="S151" s="42">
        <v>0</v>
      </c>
      <c r="U151" s="42">
        <v>0</v>
      </c>
      <c r="W151" s="42">
        <v>0</v>
      </c>
      <c r="Y151" s="42">
        <v>0</v>
      </c>
      <c r="AA151" s="42">
        <v>0</v>
      </c>
      <c r="AC151" s="42">
        <v>0</v>
      </c>
      <c r="AE151" s="42">
        <v>0</v>
      </c>
      <c r="AG151" s="42">
        <v>0</v>
      </c>
      <c r="AI151" s="9" t="s">
        <v>652</v>
      </c>
      <c r="AJ151" s="9"/>
      <c r="AK151" s="9" t="s">
        <v>40</v>
      </c>
      <c r="AL151" s="9"/>
      <c r="AM151" s="42">
        <v>0</v>
      </c>
      <c r="AO151" s="42">
        <v>0</v>
      </c>
      <c r="AQ151" s="42">
        <v>0</v>
      </c>
      <c r="AS151" s="42">
        <v>0</v>
      </c>
      <c r="AW151" s="42">
        <v>0</v>
      </c>
      <c r="AY151" s="42">
        <f t="shared" si="16"/>
        <v>0</v>
      </c>
      <c r="BA151" s="42">
        <f>+'St of Act - GA Rev'!AI151-'St of Activities - GA Exp'!AY151</f>
        <v>0</v>
      </c>
      <c r="BC151" s="42">
        <v>0</v>
      </c>
      <c r="BE151" s="42">
        <f t="shared" si="17"/>
        <v>0</v>
      </c>
      <c r="BG151" s="42">
        <f>+'St of Net Pos - GA'!AE151-'St of Activities - GA Exp'!BE151</f>
        <v>0</v>
      </c>
    </row>
    <row r="152" spans="1:59">
      <c r="A152" s="9" t="s">
        <v>365</v>
      </c>
      <c r="B152" s="9"/>
      <c r="C152" s="9" t="s">
        <v>364</v>
      </c>
      <c r="D152" s="9"/>
      <c r="E152" s="23">
        <v>47928</v>
      </c>
      <c r="G152" s="42">
        <v>6828799</v>
      </c>
      <c r="I152" s="42">
        <v>920143</v>
      </c>
      <c r="K152" s="42">
        <v>252740</v>
      </c>
      <c r="M152" s="42">
        <v>0</v>
      </c>
      <c r="O152" s="42">
        <v>423305</v>
      </c>
      <c r="Q152" s="42">
        <v>618734</v>
      </c>
      <c r="S152" s="42">
        <v>451318</v>
      </c>
      <c r="U152" s="42">
        <v>44755</v>
      </c>
      <c r="W152" s="42">
        <v>829785</v>
      </c>
      <c r="Y152" s="42">
        <v>371317</v>
      </c>
      <c r="AA152" s="42">
        <v>25261</v>
      </c>
      <c r="AC152" s="42">
        <v>1118028</v>
      </c>
      <c r="AE152" s="42">
        <v>884551</v>
      </c>
      <c r="AG152" s="42">
        <v>214714</v>
      </c>
      <c r="AI152" s="9" t="s">
        <v>365</v>
      </c>
      <c r="AJ152" s="9"/>
      <c r="AK152" s="9" t="s">
        <v>364</v>
      </c>
      <c r="AL152" s="9"/>
      <c r="AM152" s="42">
        <v>662733</v>
      </c>
      <c r="AO152" s="42">
        <v>0</v>
      </c>
      <c r="AQ152" s="42">
        <v>587056</v>
      </c>
      <c r="AS152" s="42">
        <v>227129</v>
      </c>
      <c r="AW152" s="42">
        <v>0</v>
      </c>
      <c r="AY152" s="42">
        <f t="shared" si="16"/>
        <v>14460368</v>
      </c>
      <c r="BA152" s="42">
        <f>+'St of Act - GA Rev'!AI152-'St of Activities - GA Exp'!AY152</f>
        <v>-1301597</v>
      </c>
      <c r="BC152" s="42">
        <v>32905800</v>
      </c>
      <c r="BE152" s="42">
        <f t="shared" si="17"/>
        <v>31604203</v>
      </c>
      <c r="BG152" s="42">
        <f>+'St of Net Pos - GA'!AE152-'St of Activities - GA Exp'!BE152</f>
        <v>0</v>
      </c>
    </row>
    <row r="153" spans="1:59">
      <c r="A153" s="9" t="s">
        <v>426</v>
      </c>
      <c r="B153" s="9"/>
      <c r="C153" s="9" t="s">
        <v>50</v>
      </c>
      <c r="D153" s="9"/>
      <c r="E153" s="23">
        <v>43844</v>
      </c>
      <c r="G153" s="42">
        <v>62316344</v>
      </c>
      <c r="I153" s="42">
        <v>29445763</v>
      </c>
      <c r="K153" s="42">
        <v>3180800</v>
      </c>
      <c r="M153" s="42">
        <v>11860</v>
      </c>
      <c r="O153" s="42">
        <v>847269</v>
      </c>
      <c r="Q153" s="42">
        <v>10584362</v>
      </c>
      <c r="S153" s="42">
        <v>17008329</v>
      </c>
      <c r="U153" s="42">
        <v>1149317</v>
      </c>
      <c r="W153" s="42">
        <v>14929426</v>
      </c>
      <c r="Y153" s="42">
        <v>3826663</v>
      </c>
      <c r="AA153" s="42">
        <v>2550132</v>
      </c>
      <c r="AC153" s="42">
        <v>19227426</v>
      </c>
      <c r="AE153" s="42">
        <v>17396242</v>
      </c>
      <c r="AG153" s="42">
        <v>9027827</v>
      </c>
      <c r="AI153" s="9" t="s">
        <v>426</v>
      </c>
      <c r="AJ153" s="9"/>
      <c r="AK153" s="9" t="s">
        <v>50</v>
      </c>
      <c r="AL153" s="9"/>
      <c r="AM153" s="42">
        <v>0</v>
      </c>
      <c r="AO153" s="42">
        <v>69883726</v>
      </c>
      <c r="AQ153" s="42">
        <v>1779626</v>
      </c>
      <c r="AS153" s="42">
        <v>6046324</v>
      </c>
      <c r="AW153" s="42">
        <v>8420106</v>
      </c>
      <c r="AY153" s="42">
        <f t="shared" si="16"/>
        <v>277631542</v>
      </c>
      <c r="BA153" s="42">
        <f>+'St of Act - GA Rev'!AI153-'St of Activities - GA Exp'!AY153</f>
        <v>-9324715</v>
      </c>
      <c r="BC153" s="42">
        <v>375369829</v>
      </c>
      <c r="BE153" s="42">
        <f t="shared" ref="BE153:BE181" si="18">+BA153+BC153</f>
        <v>366045114</v>
      </c>
      <c r="BG153" s="42">
        <f>+'St of Net Pos - GA'!AE153-'St of Activities - GA Exp'!BE153</f>
        <v>0</v>
      </c>
    </row>
    <row r="154" spans="1:59">
      <c r="A154" s="9" t="s">
        <v>877</v>
      </c>
      <c r="B154" s="9"/>
      <c r="C154" s="9" t="s">
        <v>32</v>
      </c>
      <c r="D154" s="9"/>
      <c r="E154" s="23">
        <v>43851</v>
      </c>
      <c r="G154" s="42">
        <v>6422658</v>
      </c>
      <c r="I154" s="42">
        <v>1710121</v>
      </c>
      <c r="K154" s="42">
        <v>189425</v>
      </c>
      <c r="M154" s="42">
        <v>0</v>
      </c>
      <c r="O154" s="42">
        <v>0</v>
      </c>
      <c r="Q154" s="42">
        <v>717899</v>
      </c>
      <c r="S154" s="42">
        <v>1079966</v>
      </c>
      <c r="U154" s="42">
        <v>0</v>
      </c>
      <c r="W154" s="42">
        <f>95375+1030858</f>
        <v>1126233</v>
      </c>
      <c r="Y154" s="42">
        <v>553457</v>
      </c>
      <c r="AA154" s="42">
        <v>102700</v>
      </c>
      <c r="AC154" s="42">
        <v>1310007</v>
      </c>
      <c r="AE154" s="42">
        <v>317031</v>
      </c>
      <c r="AG154" s="42">
        <v>152244</v>
      </c>
      <c r="AI154" s="9" t="s">
        <v>877</v>
      </c>
      <c r="AJ154" s="9"/>
      <c r="AK154" s="9" t="s">
        <v>32</v>
      </c>
      <c r="AL154" s="9"/>
      <c r="AM154" s="42">
        <v>0</v>
      </c>
      <c r="AO154" s="42">
        <v>607229</v>
      </c>
      <c r="AQ154" s="42">
        <v>513724</v>
      </c>
      <c r="AS154" s="42">
        <v>13641</v>
      </c>
      <c r="AW154" s="42">
        <v>0</v>
      </c>
      <c r="AY154" s="42">
        <f t="shared" si="16"/>
        <v>14816335</v>
      </c>
      <c r="BA154" s="42">
        <f>+'St of Act - GA Rev'!AI154-'St of Activities - GA Exp'!AY154</f>
        <v>-330476</v>
      </c>
      <c r="BC154" s="42">
        <v>11224859</v>
      </c>
      <c r="BE154" s="42">
        <f t="shared" si="18"/>
        <v>10894383</v>
      </c>
      <c r="BG154" s="42">
        <f>+'St of Net Pos - GA'!AE154-'St of Activities - GA Exp'!BE154</f>
        <v>0</v>
      </c>
    </row>
    <row r="155" spans="1:59" ht="12" hidden="1" customHeight="1">
      <c r="A155" s="9" t="s">
        <v>653</v>
      </c>
      <c r="B155" s="9"/>
      <c r="C155" s="9" t="s">
        <v>22</v>
      </c>
      <c r="D155" s="9"/>
      <c r="E155" s="23">
        <v>43869</v>
      </c>
      <c r="G155" s="42">
        <v>0</v>
      </c>
      <c r="I155" s="42">
        <v>0</v>
      </c>
      <c r="K155" s="42">
        <v>0</v>
      </c>
      <c r="M155" s="42">
        <v>0</v>
      </c>
      <c r="O155" s="42">
        <v>0</v>
      </c>
      <c r="Q155" s="42">
        <v>0</v>
      </c>
      <c r="S155" s="42">
        <v>0</v>
      </c>
      <c r="U155" s="42">
        <v>0</v>
      </c>
      <c r="W155" s="42">
        <v>0</v>
      </c>
      <c r="Y155" s="42">
        <v>0</v>
      </c>
      <c r="AA155" s="42">
        <v>0</v>
      </c>
      <c r="AC155" s="42">
        <v>0</v>
      </c>
      <c r="AE155" s="42">
        <v>0</v>
      </c>
      <c r="AG155" s="42">
        <v>0</v>
      </c>
      <c r="AI155" s="9" t="s">
        <v>653</v>
      </c>
      <c r="AJ155" s="9"/>
      <c r="AK155" s="9" t="s">
        <v>22</v>
      </c>
      <c r="AL155" s="9"/>
      <c r="AM155" s="42">
        <v>0</v>
      </c>
      <c r="AO155" s="42">
        <v>0</v>
      </c>
      <c r="AQ155" s="42">
        <v>0</v>
      </c>
      <c r="AS155" s="42">
        <v>0</v>
      </c>
      <c r="AW155" s="42">
        <v>0</v>
      </c>
      <c r="AY155" s="42">
        <f t="shared" si="16"/>
        <v>0</v>
      </c>
      <c r="BA155" s="42">
        <f>+'St of Act - GA Rev'!AI155-'St of Activities - GA Exp'!AY155</f>
        <v>0</v>
      </c>
      <c r="BC155" s="42">
        <v>0</v>
      </c>
      <c r="BE155" s="42">
        <f t="shared" si="18"/>
        <v>0</v>
      </c>
      <c r="BG155" s="42">
        <f>+'St of Net Pos - GA'!AE155-'St of Activities - GA Exp'!BE155</f>
        <v>0</v>
      </c>
    </row>
    <row r="156" spans="1:59">
      <c r="A156" s="9" t="s">
        <v>736</v>
      </c>
      <c r="B156" s="9"/>
      <c r="C156" s="9" t="s">
        <v>23</v>
      </c>
      <c r="D156" s="9"/>
      <c r="E156" s="23">
        <v>43877</v>
      </c>
      <c r="G156" s="42">
        <v>24083445</v>
      </c>
      <c r="I156" s="42">
        <v>6669914</v>
      </c>
      <c r="K156" s="42">
        <v>156843</v>
      </c>
      <c r="M156" s="42">
        <v>0</v>
      </c>
      <c r="O156" s="42">
        <f>43894+186635</f>
        <v>230529</v>
      </c>
      <c r="Q156" s="42">
        <v>2631496</v>
      </c>
      <c r="S156" s="42">
        <v>2854028</v>
      </c>
      <c r="U156" s="42">
        <v>176816</v>
      </c>
      <c r="W156" s="42">
        <v>3080098</v>
      </c>
      <c r="Y156" s="42">
        <v>1154372</v>
      </c>
      <c r="AA156" s="42">
        <v>406366</v>
      </c>
      <c r="AC156" s="42">
        <v>4487853</v>
      </c>
      <c r="AE156" s="42">
        <v>3164713</v>
      </c>
      <c r="AG156" s="42">
        <v>136137</v>
      </c>
      <c r="AI156" s="9" t="s">
        <v>736</v>
      </c>
      <c r="AJ156" s="9"/>
      <c r="AK156" s="9" t="s">
        <v>23</v>
      </c>
      <c r="AL156" s="9"/>
      <c r="AM156" s="42">
        <v>0</v>
      </c>
      <c r="AO156" s="42">
        <v>3266319</v>
      </c>
      <c r="AQ156" s="42">
        <v>1265322</v>
      </c>
      <c r="AS156" s="42">
        <v>1158713</v>
      </c>
      <c r="AW156" s="42">
        <v>989183</v>
      </c>
      <c r="AY156" s="42">
        <f t="shared" si="16"/>
        <v>55912147</v>
      </c>
      <c r="BA156" s="42">
        <f>+'St of Act - GA Rev'!AI156-'St of Activities - GA Exp'!AY156</f>
        <v>5456991</v>
      </c>
      <c r="BC156" s="42">
        <v>17834619</v>
      </c>
      <c r="BE156" s="42">
        <f t="shared" si="18"/>
        <v>23291610</v>
      </c>
      <c r="BG156" s="42">
        <f>+'St of Net Pos - GA'!AE156-'St of Activities - GA Exp'!BE156</f>
        <v>0</v>
      </c>
    </row>
    <row r="157" spans="1:59">
      <c r="A157" s="9" t="s">
        <v>200</v>
      </c>
      <c r="B157" s="9"/>
      <c r="C157" s="9" t="s">
        <v>10</v>
      </c>
      <c r="D157" s="9"/>
      <c r="E157" s="23">
        <v>43885</v>
      </c>
      <c r="G157" s="42">
        <v>4715826</v>
      </c>
      <c r="I157" s="42">
        <v>1257130</v>
      </c>
      <c r="K157" s="42">
        <v>463849</v>
      </c>
      <c r="M157" s="42">
        <v>0</v>
      </c>
      <c r="O157" s="42">
        <v>0</v>
      </c>
      <c r="Q157" s="42">
        <v>518170</v>
      </c>
      <c r="S157" s="42">
        <v>339154</v>
      </c>
      <c r="U157" s="42">
        <v>28758</v>
      </c>
      <c r="W157" s="42">
        <v>985347</v>
      </c>
      <c r="Y157" s="42">
        <v>310146</v>
      </c>
      <c r="AA157" s="42">
        <v>0</v>
      </c>
      <c r="AC157" s="42">
        <v>586400</v>
      </c>
      <c r="AE157" s="42">
        <v>449227</v>
      </c>
      <c r="AG157" s="42">
        <v>6325</v>
      </c>
      <c r="AI157" s="9" t="s">
        <v>200</v>
      </c>
      <c r="AJ157" s="9"/>
      <c r="AK157" s="9" t="s">
        <v>10</v>
      </c>
      <c r="AL157" s="9"/>
      <c r="AM157" s="42">
        <v>0</v>
      </c>
      <c r="AO157" s="42">
        <v>1018254</v>
      </c>
      <c r="AQ157" s="42">
        <v>350745</v>
      </c>
      <c r="AS157" s="42">
        <v>0</v>
      </c>
      <c r="AW157" s="42">
        <v>357</v>
      </c>
      <c r="AY157" s="42">
        <f t="shared" ref="AY157" si="19">SUM(G157:AX157)</f>
        <v>11029688</v>
      </c>
      <c r="BA157" s="42">
        <f>+'St of Act - GA Rev'!AI157-'St of Activities - GA Exp'!AY157</f>
        <v>-79571</v>
      </c>
      <c r="BC157" s="42">
        <v>4649513</v>
      </c>
      <c r="BE157" s="42">
        <f t="shared" si="18"/>
        <v>4569942</v>
      </c>
      <c r="BG157" s="42">
        <f>+'St of Net Pos - GA'!AE157-'St of Activities - GA Exp'!BE157</f>
        <v>0</v>
      </c>
    </row>
    <row r="158" spans="1:59">
      <c r="A158" s="9" t="s">
        <v>530</v>
      </c>
      <c r="B158" s="9"/>
      <c r="C158" s="9" t="s">
        <v>65</v>
      </c>
      <c r="D158" s="9"/>
      <c r="E158" s="23">
        <v>43893</v>
      </c>
      <c r="G158" s="42">
        <v>11424739</v>
      </c>
      <c r="I158" s="42">
        <v>2109736</v>
      </c>
      <c r="K158" s="42">
        <v>33750</v>
      </c>
      <c r="M158" s="42">
        <v>0</v>
      </c>
      <c r="O158" s="42">
        <f>306393+235793</f>
        <v>542186</v>
      </c>
      <c r="Q158" s="42">
        <v>984882</v>
      </c>
      <c r="S158" s="42">
        <v>1150576</v>
      </c>
      <c r="U158" s="42">
        <v>57408</v>
      </c>
      <c r="W158" s="42">
        <v>1765099</v>
      </c>
      <c r="Y158" s="42">
        <v>672868</v>
      </c>
      <c r="AA158" s="42">
        <v>0</v>
      </c>
      <c r="AC158" s="42">
        <v>2000881</v>
      </c>
      <c r="AE158" s="42">
        <v>710693</v>
      </c>
      <c r="AG158" s="42">
        <v>0</v>
      </c>
      <c r="AI158" s="9" t="s">
        <v>530</v>
      </c>
      <c r="AJ158" s="9"/>
      <c r="AK158" s="9" t="s">
        <v>65</v>
      </c>
      <c r="AL158" s="9"/>
      <c r="AM158" s="42">
        <v>790106</v>
      </c>
      <c r="AO158" s="42">
        <v>164022</v>
      </c>
      <c r="AQ158" s="42">
        <v>1049892</v>
      </c>
      <c r="AS158" s="42">
        <v>173981</v>
      </c>
      <c r="AW158" s="42">
        <v>0</v>
      </c>
      <c r="AY158" s="42">
        <f t="shared" ref="AY158:AY181" si="20">SUM(G158:AX158)</f>
        <v>23630819</v>
      </c>
      <c r="BA158" s="42">
        <f>+'St of Act - GA Rev'!AI158-'St of Activities - GA Exp'!AY158</f>
        <v>516757</v>
      </c>
      <c r="BC158" s="42">
        <v>14187710</v>
      </c>
      <c r="BE158" s="42">
        <f t="shared" si="18"/>
        <v>14704467</v>
      </c>
      <c r="BG158" s="42">
        <f>+'St of Net Pos - GA'!AE158-'St of Activities - GA Exp'!BE158</f>
        <v>0</v>
      </c>
    </row>
    <row r="159" spans="1:59">
      <c r="A159" s="9" t="s">
        <v>300</v>
      </c>
      <c r="B159" s="9"/>
      <c r="C159" s="9" t="s">
        <v>27</v>
      </c>
      <c r="D159" s="9"/>
      <c r="E159" s="23">
        <v>47027</v>
      </c>
      <c r="G159" s="42">
        <v>80989757</v>
      </c>
      <c r="I159" s="42">
        <v>22404826</v>
      </c>
      <c r="K159" s="42">
        <v>219007</v>
      </c>
      <c r="M159" s="42">
        <v>0</v>
      </c>
      <c r="O159" s="42">
        <v>0</v>
      </c>
      <c r="Q159" s="42">
        <v>10869269</v>
      </c>
      <c r="S159" s="42">
        <v>16008297</v>
      </c>
      <c r="U159" s="42">
        <v>0</v>
      </c>
      <c r="W159" s="42">
        <f>191358+11510897</f>
        <v>11702255</v>
      </c>
      <c r="Y159" s="42">
        <v>3952643</v>
      </c>
      <c r="AA159" s="42">
        <v>1087612</v>
      </c>
      <c r="AC159" s="42">
        <v>12597663</v>
      </c>
      <c r="AE159" s="42">
        <v>8934768</v>
      </c>
      <c r="AG159" s="42">
        <v>5900868</v>
      </c>
      <c r="AI159" s="9" t="s">
        <v>300</v>
      </c>
      <c r="AJ159" s="9"/>
      <c r="AK159" s="9" t="s">
        <v>27</v>
      </c>
      <c r="AL159" s="9"/>
      <c r="AM159" s="42">
        <v>0</v>
      </c>
      <c r="AO159" s="42">
        <v>618621</v>
      </c>
      <c r="AQ159" s="42">
        <v>4974484</v>
      </c>
      <c r="AS159" s="42">
        <v>7725104</v>
      </c>
      <c r="AW159" s="42">
        <v>41877</v>
      </c>
      <c r="AY159" s="42">
        <f t="shared" si="20"/>
        <v>188027051</v>
      </c>
      <c r="BA159" s="42">
        <f>+'St of Act - GA Rev'!AI159-'St of Activities - GA Exp'!AY159</f>
        <v>1771317</v>
      </c>
      <c r="BC159" s="42">
        <v>72473870</v>
      </c>
      <c r="BE159" s="42">
        <f t="shared" si="18"/>
        <v>74245187</v>
      </c>
      <c r="BG159" s="42">
        <f>+'St of Net Pos - GA'!AE159-'St of Activities - GA Exp'!BE159</f>
        <v>0</v>
      </c>
    </row>
    <row r="160" spans="1:59" ht="12" customHeight="1">
      <c r="A160" s="9" t="s">
        <v>264</v>
      </c>
      <c r="B160" s="9"/>
      <c r="C160" s="9" t="s">
        <v>20</v>
      </c>
      <c r="D160" s="9"/>
      <c r="E160" s="23">
        <v>43901</v>
      </c>
      <c r="G160" s="42">
        <v>18275680</v>
      </c>
      <c r="I160" s="42">
        <v>11880786</v>
      </c>
      <c r="K160" s="42">
        <v>1584428</v>
      </c>
      <c r="M160" s="42">
        <v>37878</v>
      </c>
      <c r="O160" s="42">
        <v>6243153</v>
      </c>
      <c r="Q160" s="42">
        <v>4017826</v>
      </c>
      <c r="S160" s="42">
        <v>4154633</v>
      </c>
      <c r="U160" s="42">
        <v>54160</v>
      </c>
      <c r="W160" s="42">
        <v>4446814</v>
      </c>
      <c r="Y160" s="42">
        <v>2090617</v>
      </c>
      <c r="AA160" s="42">
        <v>537014</v>
      </c>
      <c r="AC160" s="42">
        <v>5289258</v>
      </c>
      <c r="AE160" s="42">
        <v>1394849</v>
      </c>
      <c r="AG160" s="42">
        <v>2390546</v>
      </c>
      <c r="AI160" s="9" t="s">
        <v>264</v>
      </c>
      <c r="AJ160" s="9"/>
      <c r="AK160" s="9" t="s">
        <v>20</v>
      </c>
      <c r="AL160" s="9"/>
      <c r="AM160" s="42">
        <v>1467348</v>
      </c>
      <c r="AO160" s="42">
        <v>244341</v>
      </c>
      <c r="AQ160" s="42">
        <v>563902</v>
      </c>
      <c r="AS160" s="42">
        <v>390482</v>
      </c>
      <c r="AW160" s="42">
        <v>0</v>
      </c>
      <c r="AY160" s="42">
        <f t="shared" si="20"/>
        <v>65063715</v>
      </c>
      <c r="BA160" s="42">
        <f>+'St of Act - GA Rev'!AI160-'St of Activities - GA Exp'!AY160</f>
        <v>-11605418</v>
      </c>
      <c r="BC160" s="42">
        <v>109830292</v>
      </c>
      <c r="BE160" s="42">
        <f t="shared" si="18"/>
        <v>98224874</v>
      </c>
      <c r="BG160" s="42">
        <f>+'St of Net Pos - GA'!AE160-'St of Activities - GA Exp'!BE160</f>
        <v>0</v>
      </c>
    </row>
    <row r="161" spans="1:59">
      <c r="A161" s="9" t="s">
        <v>242</v>
      </c>
      <c r="B161" s="9"/>
      <c r="C161" s="9" t="s">
        <v>18</v>
      </c>
      <c r="D161" s="9"/>
      <c r="E161" s="23">
        <v>46409</v>
      </c>
      <c r="G161" s="42">
        <v>6281588</v>
      </c>
      <c r="I161" s="42">
        <v>1385714</v>
      </c>
      <c r="K161" s="42">
        <v>90054</v>
      </c>
      <c r="M161" s="42">
        <v>0</v>
      </c>
      <c r="O161" s="42">
        <v>34</v>
      </c>
      <c r="Q161" s="42">
        <v>472547</v>
      </c>
      <c r="S161" s="42">
        <v>1015798</v>
      </c>
      <c r="U161" s="42">
        <v>42437</v>
      </c>
      <c r="W161" s="42">
        <v>999587</v>
      </c>
      <c r="Y161" s="42">
        <v>274110</v>
      </c>
      <c r="AA161" s="42">
        <v>3135</v>
      </c>
      <c r="AC161" s="42">
        <v>1164672</v>
      </c>
      <c r="AE161" s="42">
        <v>805812</v>
      </c>
      <c r="AG161" s="42">
        <v>63966</v>
      </c>
      <c r="AI161" s="9" t="s">
        <v>242</v>
      </c>
      <c r="AJ161" s="9"/>
      <c r="AK161" s="9" t="s">
        <v>18</v>
      </c>
      <c r="AL161" s="9"/>
      <c r="AM161" s="42">
        <v>574125</v>
      </c>
      <c r="AO161" s="42">
        <v>193</v>
      </c>
      <c r="AQ161" s="42">
        <v>343365</v>
      </c>
      <c r="AS161" s="42">
        <v>195465</v>
      </c>
      <c r="AW161" s="42">
        <v>0</v>
      </c>
      <c r="AY161" s="42">
        <f t="shared" si="20"/>
        <v>13712602</v>
      </c>
      <c r="BA161" s="42">
        <f>+'St of Act - GA Rev'!AI161-'St of Activities - GA Exp'!AY161</f>
        <v>761386</v>
      </c>
      <c r="BC161" s="42">
        <v>16482201</v>
      </c>
      <c r="BE161" s="42">
        <f t="shared" si="18"/>
        <v>17243587</v>
      </c>
      <c r="BG161" s="42">
        <f>+'St of Net Pos - GA'!AE161-'St of Activities - GA Exp'!BE161</f>
        <v>0</v>
      </c>
    </row>
    <row r="162" spans="1:59">
      <c r="A162" s="9" t="s">
        <v>318</v>
      </c>
      <c r="B162" s="9"/>
      <c r="C162" s="9" t="s">
        <v>31</v>
      </c>
      <c r="D162" s="9"/>
      <c r="E162" s="23">
        <v>69682</v>
      </c>
      <c r="G162" s="42">
        <v>4575155</v>
      </c>
      <c r="I162" s="42">
        <v>1307029</v>
      </c>
      <c r="K162" s="42">
        <v>128098</v>
      </c>
      <c r="M162" s="42">
        <v>5329</v>
      </c>
      <c r="O162" s="42">
        <v>1911</v>
      </c>
      <c r="Q162" s="42">
        <v>703793</v>
      </c>
      <c r="S162" s="42">
        <v>556386</v>
      </c>
      <c r="U162" s="42">
        <v>38966</v>
      </c>
      <c r="W162" s="42">
        <v>905839</v>
      </c>
      <c r="Y162" s="42">
        <v>465740</v>
      </c>
      <c r="AA162" s="42">
        <v>1245</v>
      </c>
      <c r="AC162" s="42">
        <v>1218894</v>
      </c>
      <c r="AE162" s="42">
        <v>1027173</v>
      </c>
      <c r="AG162" s="42">
        <v>57645</v>
      </c>
      <c r="AI162" s="9" t="s">
        <v>318</v>
      </c>
      <c r="AJ162" s="9"/>
      <c r="AK162" s="9" t="s">
        <v>31</v>
      </c>
      <c r="AL162" s="9"/>
      <c r="AM162" s="42">
        <v>481506</v>
      </c>
      <c r="AO162" s="42">
        <v>11669</v>
      </c>
      <c r="AQ162" s="42">
        <v>328841</v>
      </c>
      <c r="AS162" s="42">
        <v>222462</v>
      </c>
      <c r="AW162" s="42">
        <v>0</v>
      </c>
      <c r="AY162" s="42">
        <f t="shared" si="20"/>
        <v>12037681</v>
      </c>
      <c r="BA162" s="42">
        <f>+'St of Act - GA Rev'!AI162-'St of Activities - GA Exp'!AY162</f>
        <v>385940</v>
      </c>
      <c r="BC162" s="42">
        <v>25917122</v>
      </c>
      <c r="BE162" s="42">
        <f t="shared" si="18"/>
        <v>26303062</v>
      </c>
      <c r="BG162" s="42">
        <f>+'St of Net Pos - GA'!AE162-'St of Activities - GA Exp'!BE162</f>
        <v>0</v>
      </c>
    </row>
    <row r="163" spans="1:59" ht="12" customHeight="1">
      <c r="A163" s="9" t="s">
        <v>351</v>
      </c>
      <c r="B163" s="9"/>
      <c r="C163" s="9" t="s">
        <v>36</v>
      </c>
      <c r="D163" s="9"/>
      <c r="E163" s="23">
        <v>47688</v>
      </c>
      <c r="G163" s="42">
        <v>7689868</v>
      </c>
      <c r="I163" s="42">
        <v>2123171</v>
      </c>
      <c r="K163" s="42">
        <v>245787</v>
      </c>
      <c r="M163" s="42">
        <v>0</v>
      </c>
      <c r="O163" s="42">
        <v>0</v>
      </c>
      <c r="Q163" s="42">
        <v>845673</v>
      </c>
      <c r="S163" s="42">
        <v>1039641</v>
      </c>
      <c r="U163" s="42">
        <v>31442</v>
      </c>
      <c r="W163" s="42">
        <v>1580109</v>
      </c>
      <c r="Y163" s="42">
        <v>463162</v>
      </c>
      <c r="AA163" s="42">
        <v>0</v>
      </c>
      <c r="AC163" s="42">
        <v>1734596</v>
      </c>
      <c r="AE163" s="42">
        <v>1332382</v>
      </c>
      <c r="AG163" s="42">
        <v>119016</v>
      </c>
      <c r="AI163" s="9" t="s">
        <v>351</v>
      </c>
      <c r="AJ163" s="9"/>
      <c r="AK163" s="9" t="s">
        <v>36</v>
      </c>
      <c r="AL163" s="9"/>
      <c r="AM163" s="42">
        <v>699530</v>
      </c>
      <c r="AO163" s="42">
        <v>0</v>
      </c>
      <c r="AQ163" s="42">
        <v>572108</v>
      </c>
      <c r="AS163" s="42">
        <v>111148</v>
      </c>
      <c r="AW163" s="42">
        <v>0</v>
      </c>
      <c r="AY163" s="42">
        <f t="shared" si="20"/>
        <v>18587633</v>
      </c>
      <c r="BA163" s="42">
        <f>+'St of Act - GA Rev'!AI163-'St of Activities - GA Exp'!AY163</f>
        <v>693529</v>
      </c>
      <c r="BC163" s="42">
        <v>12941717</v>
      </c>
      <c r="BE163" s="42">
        <f t="shared" si="18"/>
        <v>13635246</v>
      </c>
      <c r="BG163" s="42">
        <f>+'St of Net Pos - GA'!AE163-'St of Activities - GA Exp'!BE163</f>
        <v>0</v>
      </c>
    </row>
    <row r="164" spans="1:59" ht="12" hidden="1" customHeight="1">
      <c r="A164" s="9" t="s">
        <v>654</v>
      </c>
      <c r="B164" s="9"/>
      <c r="C164" s="9" t="s">
        <v>40</v>
      </c>
      <c r="D164" s="9"/>
      <c r="E164" s="23">
        <v>47845</v>
      </c>
      <c r="G164" s="42">
        <v>0</v>
      </c>
      <c r="I164" s="42">
        <v>0</v>
      </c>
      <c r="K164" s="42">
        <v>0</v>
      </c>
      <c r="M164" s="42">
        <v>0</v>
      </c>
      <c r="O164" s="42">
        <v>0</v>
      </c>
      <c r="Q164" s="42">
        <v>0</v>
      </c>
      <c r="S164" s="42">
        <v>0</v>
      </c>
      <c r="U164" s="42">
        <v>0</v>
      </c>
      <c r="W164" s="42">
        <v>0</v>
      </c>
      <c r="Y164" s="42">
        <v>0</v>
      </c>
      <c r="AA164" s="42">
        <v>0</v>
      </c>
      <c r="AC164" s="42">
        <v>0</v>
      </c>
      <c r="AE164" s="42">
        <v>0</v>
      </c>
      <c r="AG164" s="42">
        <v>0</v>
      </c>
      <c r="AI164" s="9" t="s">
        <v>654</v>
      </c>
      <c r="AJ164" s="9"/>
      <c r="AK164" s="9" t="s">
        <v>40</v>
      </c>
      <c r="AL164" s="9"/>
      <c r="AM164" s="42">
        <v>0</v>
      </c>
      <c r="AO164" s="42">
        <v>0</v>
      </c>
      <c r="AQ164" s="42">
        <v>0</v>
      </c>
      <c r="AS164" s="42">
        <v>0</v>
      </c>
      <c r="AW164" s="42">
        <v>0</v>
      </c>
      <c r="AY164" s="42">
        <f t="shared" si="20"/>
        <v>0</v>
      </c>
      <c r="BA164" s="42">
        <f>+'St of Act - GA Rev'!AI164-'St of Activities - GA Exp'!AY164</f>
        <v>0</v>
      </c>
      <c r="BC164" s="42">
        <v>0</v>
      </c>
      <c r="BE164" s="42">
        <f t="shared" si="18"/>
        <v>0</v>
      </c>
      <c r="BG164" s="42">
        <f>+'St of Net Pos - GA'!AE164-'St of Activities - GA Exp'!BE164</f>
        <v>0</v>
      </c>
    </row>
    <row r="165" spans="1:59">
      <c r="A165" s="9" t="s">
        <v>246</v>
      </c>
      <c r="B165" s="9"/>
      <c r="C165" s="9" t="s">
        <v>111</v>
      </c>
      <c r="D165" s="9"/>
      <c r="E165" s="23">
        <v>43919</v>
      </c>
      <c r="G165" s="42">
        <v>11921017</v>
      </c>
      <c r="I165" s="42">
        <v>3254382</v>
      </c>
      <c r="K165" s="42">
        <v>1137680</v>
      </c>
      <c r="M165" s="42">
        <v>7989</v>
      </c>
      <c r="O165" s="42">
        <f>7705+1799451</f>
        <v>1807156</v>
      </c>
      <c r="Q165" s="42">
        <v>1298652</v>
      </c>
      <c r="S165" s="42">
        <v>1980527</v>
      </c>
      <c r="U165" s="42">
        <v>119294</v>
      </c>
      <c r="W165" s="42">
        <v>1653313</v>
      </c>
      <c r="Y165" s="42">
        <v>556020</v>
      </c>
      <c r="AA165" s="42">
        <v>14975</v>
      </c>
      <c r="AC165" s="42">
        <v>3237200</v>
      </c>
      <c r="AE165" s="42">
        <v>1257855</v>
      </c>
      <c r="AG165" s="42">
        <v>43379</v>
      </c>
      <c r="AI165" s="9" t="s">
        <v>246</v>
      </c>
      <c r="AJ165" s="9"/>
      <c r="AK165" s="9" t="s">
        <v>111</v>
      </c>
      <c r="AL165" s="9"/>
      <c r="AM165" s="42">
        <v>1228359</v>
      </c>
      <c r="AO165" s="42">
        <v>168379</v>
      </c>
      <c r="AQ165" s="42">
        <v>462327</v>
      </c>
      <c r="AS165" s="42">
        <v>75622</v>
      </c>
      <c r="AW165" s="42">
        <v>0</v>
      </c>
      <c r="AY165" s="42">
        <f t="shared" si="20"/>
        <v>30224126</v>
      </c>
      <c r="BA165" s="42">
        <f>+'St of Act - GA Rev'!AI165-'St of Activities - GA Exp'!AY165</f>
        <v>-2220640</v>
      </c>
      <c r="BC165" s="42">
        <v>49815126</v>
      </c>
      <c r="BE165" s="42">
        <f t="shared" si="18"/>
        <v>47594486</v>
      </c>
      <c r="BG165" s="42">
        <f>+'St of Net Pos - GA'!AE165-'St of Activities - GA Exp'!BE165</f>
        <v>0</v>
      </c>
    </row>
    <row r="166" spans="1:59">
      <c r="A166" s="9" t="s">
        <v>440</v>
      </c>
      <c r="B166" s="9"/>
      <c r="C166" s="9" t="s">
        <v>51</v>
      </c>
      <c r="D166" s="9"/>
      <c r="E166" s="23">
        <v>48835</v>
      </c>
      <c r="G166" s="42">
        <v>9748054</v>
      </c>
      <c r="I166" s="42">
        <v>2651823</v>
      </c>
      <c r="K166" s="42">
        <v>237360</v>
      </c>
      <c r="M166" s="42">
        <v>0</v>
      </c>
      <c r="O166" s="42">
        <v>375882</v>
      </c>
      <c r="Q166" s="42">
        <v>468098</v>
      </c>
      <c r="S166" s="42">
        <v>754345</v>
      </c>
      <c r="U166" s="42">
        <v>46291</v>
      </c>
      <c r="W166" s="42">
        <v>2135532</v>
      </c>
      <c r="Y166" s="42">
        <v>456062</v>
      </c>
      <c r="AA166" s="42">
        <v>0</v>
      </c>
      <c r="AC166" s="42">
        <v>1866368</v>
      </c>
      <c r="AE166" s="42">
        <v>1339180</v>
      </c>
      <c r="AG166" s="42">
        <v>171908</v>
      </c>
      <c r="AI166" s="9" t="s">
        <v>440</v>
      </c>
      <c r="AJ166" s="9"/>
      <c r="AK166" s="9" t="s">
        <v>51</v>
      </c>
      <c r="AL166" s="9"/>
      <c r="AM166" s="42">
        <v>1088906</v>
      </c>
      <c r="AO166" s="42">
        <v>0</v>
      </c>
      <c r="AQ166" s="42">
        <v>480447</v>
      </c>
      <c r="AS166" s="42">
        <v>246488</v>
      </c>
      <c r="AW166" s="42">
        <v>0</v>
      </c>
      <c r="AY166" s="42">
        <f t="shared" si="20"/>
        <v>22066744</v>
      </c>
      <c r="BA166" s="42">
        <f>+'St of Act - GA Rev'!AI166-'St of Activities - GA Exp'!AY166</f>
        <v>-1413063</v>
      </c>
      <c r="BC166" s="42">
        <v>29035493</v>
      </c>
      <c r="BE166" s="42">
        <f t="shared" si="18"/>
        <v>27622430</v>
      </c>
      <c r="BG166" s="42">
        <f>+'St of Net Pos - GA'!AE166-'St of Activities - GA Exp'!BE166</f>
        <v>0</v>
      </c>
    </row>
    <row r="167" spans="1:59">
      <c r="A167" s="9" t="s">
        <v>247</v>
      </c>
      <c r="B167" s="9"/>
      <c r="C167" s="9" t="s">
        <v>111</v>
      </c>
      <c r="D167" s="9"/>
      <c r="E167" s="23">
        <v>43927</v>
      </c>
      <c r="G167" s="42">
        <v>4361210</v>
      </c>
      <c r="I167" s="42">
        <v>2102406</v>
      </c>
      <c r="K167" s="42">
        <v>40855</v>
      </c>
      <c r="M167" s="42">
        <v>0</v>
      </c>
      <c r="O167" s="42">
        <v>0</v>
      </c>
      <c r="Q167" s="42">
        <v>578844</v>
      </c>
      <c r="S167" s="42">
        <v>258024</v>
      </c>
      <c r="U167" s="42">
        <v>19496</v>
      </c>
      <c r="W167" s="42">
        <v>737401</v>
      </c>
      <c r="Y167" s="42">
        <v>265128</v>
      </c>
      <c r="AA167" s="42">
        <v>831682</v>
      </c>
      <c r="AC167" s="42">
        <v>1058904</v>
      </c>
      <c r="AE167" s="42">
        <v>589793</v>
      </c>
      <c r="AG167" s="42">
        <v>0</v>
      </c>
      <c r="AI167" s="9" t="s">
        <v>247</v>
      </c>
      <c r="AJ167" s="9"/>
      <c r="AK167" s="9" t="s">
        <v>111</v>
      </c>
      <c r="AL167" s="9"/>
      <c r="AM167" s="42">
        <v>535550</v>
      </c>
      <c r="AO167" s="42">
        <v>1000</v>
      </c>
      <c r="AQ167" s="42">
        <v>733757</v>
      </c>
      <c r="AS167" s="42">
        <v>73917</v>
      </c>
      <c r="AW167" s="42">
        <v>0</v>
      </c>
      <c r="AY167" s="42">
        <f t="shared" si="20"/>
        <v>12187967</v>
      </c>
      <c r="BA167" s="42">
        <f>+'St of Act - GA Rev'!AI167-'St of Activities - GA Exp'!AY167</f>
        <v>-90279</v>
      </c>
      <c r="BC167" s="42">
        <v>22475729</v>
      </c>
      <c r="BE167" s="42">
        <f t="shared" si="18"/>
        <v>22385450</v>
      </c>
      <c r="BG167" s="42">
        <f>+'St of Net Pos - GA'!AE167-'St of Activities - GA Exp'!BE167</f>
        <v>0</v>
      </c>
    </row>
    <row r="168" spans="1:59">
      <c r="A168" s="9" t="s">
        <v>217</v>
      </c>
      <c r="B168" s="9"/>
      <c r="C168" s="9" t="s">
        <v>77</v>
      </c>
      <c r="D168" s="9"/>
      <c r="E168" s="23">
        <v>46037</v>
      </c>
      <c r="G168" s="42">
        <v>5707587</v>
      </c>
      <c r="I168" s="42">
        <v>1632552</v>
      </c>
      <c r="K168" s="42">
        <v>99593</v>
      </c>
      <c r="M168" s="42">
        <v>0</v>
      </c>
      <c r="O168" s="42">
        <v>1338811</v>
      </c>
      <c r="Q168" s="42">
        <v>362489</v>
      </c>
      <c r="S168" s="42">
        <v>1000466</v>
      </c>
      <c r="U168" s="42">
        <v>25558</v>
      </c>
      <c r="W168" s="42">
        <v>993639</v>
      </c>
      <c r="Y168" s="42">
        <v>462016</v>
      </c>
      <c r="AA168" s="42">
        <v>4745</v>
      </c>
      <c r="AC168" s="42">
        <v>1471101</v>
      </c>
      <c r="AE168" s="42">
        <v>1057312</v>
      </c>
      <c r="AG168" s="42">
        <v>45547</v>
      </c>
      <c r="AI168" s="9" t="s">
        <v>217</v>
      </c>
      <c r="AJ168" s="9"/>
      <c r="AK168" s="9" t="s">
        <v>77</v>
      </c>
      <c r="AL168" s="9"/>
      <c r="AM168" s="42">
        <v>0</v>
      </c>
      <c r="AO168" s="42">
        <v>640853</v>
      </c>
      <c r="AQ168" s="42">
        <v>238152</v>
      </c>
      <c r="AS168" s="42">
        <v>355533</v>
      </c>
      <c r="AW168" s="42">
        <v>0</v>
      </c>
      <c r="AY168" s="42">
        <f t="shared" si="20"/>
        <v>15435954</v>
      </c>
      <c r="BA168" s="42">
        <f>+'St of Act - GA Rev'!AI168-'St of Activities - GA Exp'!AY168</f>
        <v>-206629</v>
      </c>
      <c r="BC168" s="42">
        <v>40098357</v>
      </c>
      <c r="BE168" s="42">
        <f t="shared" si="18"/>
        <v>39891728</v>
      </c>
      <c r="BG168" s="42">
        <f>+'St of Net Pos - GA'!AE168-'St of Activities - GA Exp'!BE168</f>
        <v>0</v>
      </c>
    </row>
    <row r="169" spans="1:59">
      <c r="A169" s="9" t="s">
        <v>217</v>
      </c>
      <c r="B169" s="9"/>
      <c r="C169" s="9" t="s">
        <v>417</v>
      </c>
      <c r="D169" s="9"/>
      <c r="E169" s="23">
        <v>48512</v>
      </c>
      <c r="G169" s="42">
        <v>4066840</v>
      </c>
      <c r="I169" s="42">
        <v>785874</v>
      </c>
      <c r="K169" s="42">
        <v>0</v>
      </c>
      <c r="M169" s="42">
        <v>0</v>
      </c>
      <c r="O169" s="42">
        <f>19839+43</f>
        <v>19882</v>
      </c>
      <c r="Q169" s="42">
        <v>502040</v>
      </c>
      <c r="S169" s="42">
        <v>393973</v>
      </c>
      <c r="U169" s="42">
        <v>26641</v>
      </c>
      <c r="W169" s="42">
        <v>610278</v>
      </c>
      <c r="Y169" s="42">
        <v>264094</v>
      </c>
      <c r="AA169" s="42">
        <v>0</v>
      </c>
      <c r="AC169" s="42">
        <v>1074853</v>
      </c>
      <c r="AE169" s="42">
        <v>672158</v>
      </c>
      <c r="AG169" s="42">
        <v>94660</v>
      </c>
      <c r="AI169" s="9" t="s">
        <v>217</v>
      </c>
      <c r="AJ169" s="9"/>
      <c r="AK169" s="9" t="s">
        <v>417</v>
      </c>
      <c r="AL169" s="9"/>
      <c r="AM169" s="42">
        <v>0</v>
      </c>
      <c r="AO169" s="42">
        <v>411894</v>
      </c>
      <c r="AQ169" s="42">
        <v>256112</v>
      </c>
      <c r="AS169" s="42">
        <v>38640</v>
      </c>
      <c r="AW169" s="42">
        <v>0</v>
      </c>
      <c r="AY169" s="42">
        <f t="shared" si="20"/>
        <v>9217939</v>
      </c>
      <c r="BA169" s="42">
        <f>+'St of Act - GA Rev'!AI169-'St of Activities - GA Exp'!AY169</f>
        <v>-151234</v>
      </c>
      <c r="BC169" s="42">
        <v>9264062</v>
      </c>
      <c r="BE169" s="42">
        <f t="shared" si="18"/>
        <v>9112828</v>
      </c>
      <c r="BG169" s="42">
        <f>+'St of Net Pos - GA'!AE169-'St of Activities - GA Exp'!BE169</f>
        <v>0</v>
      </c>
    </row>
    <row r="170" spans="1:59" ht="12" hidden="1" customHeight="1">
      <c r="A170" s="9" t="s">
        <v>655</v>
      </c>
      <c r="B170" s="9"/>
      <c r="C170" s="9" t="s">
        <v>55</v>
      </c>
      <c r="D170" s="9"/>
      <c r="E170" s="23">
        <v>49122</v>
      </c>
      <c r="G170" s="42">
        <v>0</v>
      </c>
      <c r="I170" s="42">
        <v>0</v>
      </c>
      <c r="K170" s="42">
        <v>0</v>
      </c>
      <c r="M170" s="42">
        <v>0</v>
      </c>
      <c r="O170" s="42">
        <v>0</v>
      </c>
      <c r="Q170" s="42">
        <v>0</v>
      </c>
      <c r="S170" s="42">
        <v>0</v>
      </c>
      <c r="U170" s="42">
        <v>0</v>
      </c>
      <c r="W170" s="42">
        <v>0</v>
      </c>
      <c r="Y170" s="42">
        <v>0</v>
      </c>
      <c r="AA170" s="42">
        <v>0</v>
      </c>
      <c r="AC170" s="42">
        <v>0</v>
      </c>
      <c r="AE170" s="42">
        <v>0</v>
      </c>
      <c r="AG170" s="42">
        <v>0</v>
      </c>
      <c r="AI170" s="9" t="s">
        <v>655</v>
      </c>
      <c r="AJ170" s="9"/>
      <c r="AK170" s="9" t="s">
        <v>55</v>
      </c>
      <c r="AL170" s="9"/>
      <c r="AM170" s="42">
        <v>0</v>
      </c>
      <c r="AO170" s="42">
        <v>0</v>
      </c>
      <c r="AQ170" s="42">
        <v>0</v>
      </c>
      <c r="AS170" s="42">
        <v>0</v>
      </c>
      <c r="AW170" s="42">
        <v>0</v>
      </c>
      <c r="AY170" s="42">
        <f t="shared" si="20"/>
        <v>0</v>
      </c>
      <c r="BA170" s="42">
        <f>+'St of Act - GA Rev'!AI170-'St of Activities - GA Exp'!AY170</f>
        <v>0</v>
      </c>
      <c r="BC170" s="42">
        <v>0</v>
      </c>
      <c r="BE170" s="42">
        <f t="shared" si="18"/>
        <v>0</v>
      </c>
      <c r="BG170" s="42">
        <f>+'St of Net Pos - GA'!AE170-'St of Activities - GA Exp'!BE170</f>
        <v>0</v>
      </c>
    </row>
    <row r="171" spans="1:59">
      <c r="A171" s="9" t="s">
        <v>550</v>
      </c>
      <c r="B171" s="9"/>
      <c r="C171" s="9" t="s">
        <v>72</v>
      </c>
      <c r="D171" s="9"/>
      <c r="E171" s="23">
        <v>50674</v>
      </c>
      <c r="G171" s="42">
        <v>7501298</v>
      </c>
      <c r="I171" s="42">
        <v>1757358</v>
      </c>
      <c r="K171" s="42">
        <v>154918</v>
      </c>
      <c r="M171" s="42">
        <v>68</v>
      </c>
      <c r="O171" s="42">
        <v>0</v>
      </c>
      <c r="Q171" s="42">
        <v>467658</v>
      </c>
      <c r="S171" s="42">
        <v>513779</v>
      </c>
      <c r="U171" s="42">
        <v>33067</v>
      </c>
      <c r="W171" s="42">
        <v>1256272</v>
      </c>
      <c r="Y171" s="42">
        <v>548374</v>
      </c>
      <c r="AA171" s="42">
        <v>68</v>
      </c>
      <c r="AC171" s="42">
        <v>1400474</v>
      </c>
      <c r="AE171" s="42">
        <v>1044142</v>
      </c>
      <c r="AG171" s="42">
        <v>1749</v>
      </c>
      <c r="AI171" s="9" t="s">
        <v>550</v>
      </c>
      <c r="AJ171" s="9"/>
      <c r="AK171" s="9" t="s">
        <v>72</v>
      </c>
      <c r="AL171" s="9"/>
      <c r="AM171" s="42">
        <v>0</v>
      </c>
      <c r="AO171" s="42">
        <v>618824</v>
      </c>
      <c r="AQ171" s="42">
        <v>663590</v>
      </c>
      <c r="AS171" s="42">
        <v>117246</v>
      </c>
      <c r="AW171" s="42">
        <v>0</v>
      </c>
      <c r="AY171" s="42">
        <f t="shared" si="20"/>
        <v>16078885</v>
      </c>
      <c r="BA171" s="42">
        <f>+'St of Act - GA Rev'!AI171-'St of Activities - GA Exp'!AY171</f>
        <v>878694</v>
      </c>
      <c r="BC171" s="42">
        <v>9645056</v>
      </c>
      <c r="BE171" s="42">
        <f t="shared" si="18"/>
        <v>10523750</v>
      </c>
      <c r="BG171" s="42">
        <f>+'St of Net Pos - GA'!AE171-'St of Activities - GA Exp'!BE171</f>
        <v>0</v>
      </c>
    </row>
    <row r="172" spans="1:59" hidden="1">
      <c r="A172" s="8" t="s">
        <v>858</v>
      </c>
      <c r="B172" s="9"/>
      <c r="C172" s="9" t="s">
        <v>57</v>
      </c>
      <c r="D172" s="9"/>
      <c r="E172" s="23">
        <v>43935</v>
      </c>
      <c r="G172" s="42">
        <v>0</v>
      </c>
      <c r="I172" s="42">
        <v>0</v>
      </c>
      <c r="K172" s="42">
        <v>0</v>
      </c>
      <c r="M172" s="42">
        <v>0</v>
      </c>
      <c r="O172" s="42">
        <v>0</v>
      </c>
      <c r="Q172" s="42">
        <v>0</v>
      </c>
      <c r="S172" s="42">
        <v>0</v>
      </c>
      <c r="U172" s="42">
        <v>0</v>
      </c>
      <c r="W172" s="42">
        <v>0</v>
      </c>
      <c r="Y172" s="42">
        <v>0</v>
      </c>
      <c r="AA172" s="42">
        <v>0</v>
      </c>
      <c r="AC172" s="42">
        <v>0</v>
      </c>
      <c r="AE172" s="42">
        <v>0</v>
      </c>
      <c r="AG172" s="42">
        <v>0</v>
      </c>
      <c r="AI172" s="8" t="s">
        <v>858</v>
      </c>
      <c r="AJ172" s="9"/>
      <c r="AK172" s="9" t="s">
        <v>57</v>
      </c>
      <c r="AL172" s="9"/>
      <c r="AM172" s="42">
        <v>0</v>
      </c>
      <c r="AO172" s="42">
        <v>0</v>
      </c>
      <c r="AQ172" s="42">
        <v>0</v>
      </c>
      <c r="AS172" s="42">
        <v>0</v>
      </c>
      <c r="AW172" s="42">
        <v>0</v>
      </c>
      <c r="AY172" s="42">
        <f t="shared" si="20"/>
        <v>0</v>
      </c>
      <c r="BA172" s="42">
        <f>+'St of Act - GA Rev'!AI172-'St of Activities - GA Exp'!AY172</f>
        <v>0</v>
      </c>
      <c r="BC172" s="42">
        <v>0</v>
      </c>
      <c r="BE172" s="42">
        <f t="shared" si="18"/>
        <v>0</v>
      </c>
      <c r="BG172" s="42">
        <f>+'St of Net Pos - GA'!AE172-'St of Activities - GA Exp'!BE172</f>
        <v>0</v>
      </c>
    </row>
    <row r="173" spans="1:59" hidden="1">
      <c r="A173" s="9" t="s">
        <v>656</v>
      </c>
      <c r="B173" s="9"/>
      <c r="C173" s="9" t="s">
        <v>548</v>
      </c>
      <c r="D173" s="9"/>
      <c r="E173" s="23">
        <v>50617</v>
      </c>
      <c r="G173" s="42">
        <v>0</v>
      </c>
      <c r="I173" s="42">
        <v>0</v>
      </c>
      <c r="K173" s="42">
        <v>0</v>
      </c>
      <c r="M173" s="42">
        <v>0</v>
      </c>
      <c r="O173" s="42">
        <v>0</v>
      </c>
      <c r="Q173" s="42">
        <v>0</v>
      </c>
      <c r="S173" s="42">
        <v>0</v>
      </c>
      <c r="U173" s="42">
        <v>0</v>
      </c>
      <c r="W173" s="42">
        <v>0</v>
      </c>
      <c r="Y173" s="42">
        <v>0</v>
      </c>
      <c r="AA173" s="42">
        <v>0</v>
      </c>
      <c r="AC173" s="42">
        <v>0</v>
      </c>
      <c r="AE173" s="42">
        <v>0</v>
      </c>
      <c r="AG173" s="42">
        <v>0</v>
      </c>
      <c r="AI173" s="9" t="s">
        <v>656</v>
      </c>
      <c r="AJ173" s="9"/>
      <c r="AK173" s="9" t="s">
        <v>548</v>
      </c>
      <c r="AL173" s="9"/>
      <c r="AM173" s="42">
        <v>0</v>
      </c>
      <c r="AO173" s="42">
        <v>0</v>
      </c>
      <c r="AQ173" s="42">
        <v>0</v>
      </c>
      <c r="AS173" s="42">
        <v>0</v>
      </c>
      <c r="AW173" s="42">
        <v>0</v>
      </c>
      <c r="AY173" s="42">
        <f t="shared" si="20"/>
        <v>0</v>
      </c>
      <c r="BA173" s="42">
        <f>+'St of Act - GA Rev'!AI173-'St of Activities - GA Exp'!AY173</f>
        <v>0</v>
      </c>
      <c r="BC173" s="42">
        <v>0</v>
      </c>
      <c r="BE173" s="42">
        <f t="shared" si="18"/>
        <v>0</v>
      </c>
      <c r="BG173" s="42">
        <f>+'St of Net Pos - GA'!AE173-'St of Activities - GA Exp'!BE173</f>
        <v>0</v>
      </c>
    </row>
    <row r="174" spans="1:59" ht="12" customHeight="1">
      <c r="A174" s="9" t="s">
        <v>657</v>
      </c>
      <c r="B174" s="9"/>
      <c r="C174" s="9" t="s">
        <v>220</v>
      </c>
      <c r="D174" s="9"/>
      <c r="E174" s="23">
        <v>46094</v>
      </c>
      <c r="G174" s="42">
        <v>15184910</v>
      </c>
      <c r="I174" s="42">
        <v>3717970</v>
      </c>
      <c r="K174" s="42">
        <v>0</v>
      </c>
      <c r="M174" s="42">
        <v>0</v>
      </c>
      <c r="O174" s="42">
        <v>74670</v>
      </c>
      <c r="Q174" s="42">
        <v>1797230</v>
      </c>
      <c r="S174" s="42">
        <v>3485788</v>
      </c>
      <c r="U174" s="42">
        <v>296181</v>
      </c>
      <c r="W174" s="42">
        <v>1308915</v>
      </c>
      <c r="Y174" s="42">
        <v>830789</v>
      </c>
      <c r="AA174" s="42">
        <v>30634</v>
      </c>
      <c r="AC174" s="42">
        <v>4912088</v>
      </c>
      <c r="AE174" s="42">
        <v>1445147</v>
      </c>
      <c r="AG174" s="42">
        <v>188782</v>
      </c>
      <c r="AI174" s="9" t="s">
        <v>657</v>
      </c>
      <c r="AJ174" s="9"/>
      <c r="AK174" s="9" t="s">
        <v>220</v>
      </c>
      <c r="AL174" s="9"/>
      <c r="AM174" s="42">
        <v>1463440</v>
      </c>
      <c r="AO174" s="42">
        <v>21306</v>
      </c>
      <c r="AQ174" s="42">
        <v>693340</v>
      </c>
      <c r="AS174" s="42">
        <v>2668574</v>
      </c>
      <c r="AW174" s="42">
        <v>0</v>
      </c>
      <c r="AY174" s="42">
        <f t="shared" si="20"/>
        <v>38119764</v>
      </c>
      <c r="BA174" s="42">
        <f>+'St of Act - GA Rev'!AI174-'St of Activities - GA Exp'!AY174</f>
        <v>2393251</v>
      </c>
      <c r="BC174" s="42">
        <v>31178141</v>
      </c>
      <c r="BE174" s="42">
        <f t="shared" si="18"/>
        <v>33571392</v>
      </c>
      <c r="BG174" s="42">
        <f>+'St of Net Pos - GA'!AE174-'St of Activities - GA Exp'!BE174</f>
        <v>0</v>
      </c>
    </row>
    <row r="175" spans="1:59">
      <c r="A175" s="9" t="s">
        <v>360</v>
      </c>
      <c r="B175" s="9"/>
      <c r="C175" s="9" t="s">
        <v>24</v>
      </c>
      <c r="D175" s="9"/>
      <c r="E175" s="23">
        <v>46789</v>
      </c>
      <c r="G175" s="42">
        <v>6960322</v>
      </c>
      <c r="I175" s="42">
        <v>2427942</v>
      </c>
      <c r="K175" s="42">
        <v>77651</v>
      </c>
      <c r="M175" s="42">
        <v>0</v>
      </c>
      <c r="O175" s="42">
        <v>989920</v>
      </c>
      <c r="Q175" s="42">
        <v>465424</v>
      </c>
      <c r="S175" s="42">
        <v>739215</v>
      </c>
      <c r="U175" s="42">
        <v>111650</v>
      </c>
      <c r="W175" s="42">
        <v>1251535</v>
      </c>
      <c r="Y175" s="42">
        <v>267314</v>
      </c>
      <c r="AA175" s="42">
        <v>0</v>
      </c>
      <c r="AC175" s="42">
        <v>1149847</v>
      </c>
      <c r="AE175" s="42">
        <v>1033445</v>
      </c>
      <c r="AG175" s="42">
        <v>110768</v>
      </c>
      <c r="AI175" s="9" t="s">
        <v>360</v>
      </c>
      <c r="AJ175" s="9"/>
      <c r="AK175" s="9" t="s">
        <v>24</v>
      </c>
      <c r="AL175" s="9"/>
      <c r="AM175" s="42">
        <v>696191</v>
      </c>
      <c r="AO175" s="42">
        <v>100533</v>
      </c>
      <c r="AQ175" s="42">
        <v>809539</v>
      </c>
      <c r="AS175" s="42">
        <v>4144</v>
      </c>
      <c r="AW175" s="42">
        <v>0</v>
      </c>
      <c r="AY175" s="42">
        <f t="shared" ref="AY175" si="21">SUM(G175:AX175)</f>
        <v>17195440</v>
      </c>
      <c r="BA175" s="42">
        <f>+'St of Act - GA Rev'!AI175-'St of Activities - GA Exp'!AY175</f>
        <v>-1170461</v>
      </c>
      <c r="BC175" s="42">
        <v>8412412</v>
      </c>
      <c r="BE175" s="42">
        <f t="shared" ref="BE175" si="22">+BA175+BC175</f>
        <v>7241951</v>
      </c>
      <c r="BG175" s="42">
        <f>+'St of Net Pos - GA'!AE175-'St of Activities - GA Exp'!BE175</f>
        <v>0</v>
      </c>
    </row>
    <row r="176" spans="1:59">
      <c r="A176" s="9" t="s">
        <v>360</v>
      </c>
      <c r="B176" s="9"/>
      <c r="C176" s="9" t="s">
        <v>39</v>
      </c>
      <c r="D176" s="9"/>
      <c r="E176" s="23">
        <v>47795</v>
      </c>
      <c r="G176" s="42">
        <v>6954290</v>
      </c>
      <c r="I176" s="42">
        <v>1565570</v>
      </c>
      <c r="K176" s="42">
        <v>126592</v>
      </c>
      <c r="M176" s="42">
        <v>3500</v>
      </c>
      <c r="O176" s="42">
        <v>2834338</v>
      </c>
      <c r="Q176" s="42">
        <v>630771</v>
      </c>
      <c r="S176" s="42">
        <v>1124544</v>
      </c>
      <c r="U176" s="42">
        <v>153817</v>
      </c>
      <c r="W176" s="42">
        <v>1359729</v>
      </c>
      <c r="Y176" s="42">
        <v>540028</v>
      </c>
      <c r="AA176" s="42">
        <v>17672</v>
      </c>
      <c r="AC176" s="42">
        <v>1457219</v>
      </c>
      <c r="AE176" s="42">
        <v>1625443</v>
      </c>
      <c r="AG176" s="42">
        <v>227900</v>
      </c>
      <c r="AI176" s="9" t="s">
        <v>360</v>
      </c>
      <c r="AJ176" s="9"/>
      <c r="AK176" s="9" t="s">
        <v>39</v>
      </c>
      <c r="AL176" s="9"/>
      <c r="AM176" s="42">
        <v>911840</v>
      </c>
      <c r="AO176" s="42">
        <v>63243</v>
      </c>
      <c r="AQ176" s="42">
        <v>315539</v>
      </c>
      <c r="AS176" s="42">
        <v>9923</v>
      </c>
      <c r="AW176" s="42">
        <v>0</v>
      </c>
      <c r="AY176" s="42">
        <f t="shared" si="20"/>
        <v>19921958</v>
      </c>
      <c r="BA176" s="42">
        <f>+'St of Act - GA Rev'!AI176-'St of Activities - GA Exp'!AY176</f>
        <v>782284</v>
      </c>
      <c r="BC176" s="42">
        <v>2967903</v>
      </c>
      <c r="BE176" s="42">
        <f t="shared" si="18"/>
        <v>3750187</v>
      </c>
      <c r="BG176" s="42">
        <f>+'St of Net Pos - GA'!AE176-'St of Activities - GA Exp'!BE176</f>
        <v>0</v>
      </c>
    </row>
    <row r="177" spans="1:59" hidden="1">
      <c r="A177" s="9" t="s">
        <v>859</v>
      </c>
      <c r="B177" s="9"/>
      <c r="C177" s="9" t="s">
        <v>548</v>
      </c>
      <c r="D177" s="9"/>
      <c r="E177" s="23">
        <v>50625</v>
      </c>
      <c r="G177" s="42">
        <v>0</v>
      </c>
      <c r="I177" s="42">
        <v>0</v>
      </c>
      <c r="K177" s="42">
        <v>0</v>
      </c>
      <c r="M177" s="42">
        <v>0</v>
      </c>
      <c r="O177" s="42">
        <v>0</v>
      </c>
      <c r="Q177" s="42">
        <v>0</v>
      </c>
      <c r="S177" s="42">
        <v>0</v>
      </c>
      <c r="U177" s="42">
        <v>0</v>
      </c>
      <c r="W177" s="42">
        <v>0</v>
      </c>
      <c r="Y177" s="42">
        <v>0</v>
      </c>
      <c r="AA177" s="42">
        <v>0</v>
      </c>
      <c r="AC177" s="42">
        <v>0</v>
      </c>
      <c r="AE177" s="42">
        <v>0</v>
      </c>
      <c r="AG177" s="42">
        <v>0</v>
      </c>
      <c r="AI177" s="9" t="s">
        <v>859</v>
      </c>
      <c r="AJ177" s="9"/>
      <c r="AK177" s="9" t="s">
        <v>548</v>
      </c>
      <c r="AL177" s="9"/>
      <c r="AM177" s="42">
        <v>0</v>
      </c>
      <c r="AO177" s="42">
        <v>0</v>
      </c>
      <c r="AQ177" s="42">
        <v>0</v>
      </c>
      <c r="AS177" s="42">
        <v>0</v>
      </c>
      <c r="AW177" s="42">
        <v>0</v>
      </c>
      <c r="AY177" s="42">
        <f t="shared" si="20"/>
        <v>0</v>
      </c>
      <c r="BA177" s="42">
        <f>+'St of Act - GA Rev'!AI177-'St of Activities - GA Exp'!AY177</f>
        <v>0</v>
      </c>
      <c r="BC177" s="42">
        <v>0</v>
      </c>
      <c r="BE177" s="42">
        <f t="shared" si="18"/>
        <v>0</v>
      </c>
      <c r="BG177" s="42">
        <f>+'St of Net Pos - GA'!AE177-'St of Activities - GA Exp'!BE177</f>
        <v>0</v>
      </c>
    </row>
    <row r="178" spans="1:59">
      <c r="A178" s="9" t="s">
        <v>672</v>
      </c>
      <c r="B178" s="9"/>
      <c r="C178" s="9" t="s">
        <v>46</v>
      </c>
      <c r="D178" s="9"/>
      <c r="E178" s="23">
        <v>48413</v>
      </c>
      <c r="G178" s="42">
        <v>7094886</v>
      </c>
      <c r="I178" s="42">
        <v>1416541</v>
      </c>
      <c r="K178" s="42">
        <v>110666</v>
      </c>
      <c r="M178" s="42">
        <v>0</v>
      </c>
      <c r="O178" s="42">
        <v>0</v>
      </c>
      <c r="Q178" s="42">
        <v>624900</v>
      </c>
      <c r="S178" s="42">
        <v>272967</v>
      </c>
      <c r="U178" s="42">
        <v>29747</v>
      </c>
      <c r="W178" s="42">
        <v>1032696</v>
      </c>
      <c r="Y178" s="42">
        <v>461308</v>
      </c>
      <c r="AA178" s="42">
        <v>16309</v>
      </c>
      <c r="AC178" s="42">
        <v>782331</v>
      </c>
      <c r="AE178" s="42">
        <v>850849</v>
      </c>
      <c r="AG178" s="42">
        <v>121138</v>
      </c>
      <c r="AI178" s="9" t="s">
        <v>672</v>
      </c>
      <c r="AJ178" s="9"/>
      <c r="AK178" s="9" t="s">
        <v>46</v>
      </c>
      <c r="AL178" s="9"/>
      <c r="AM178" s="42">
        <v>0</v>
      </c>
      <c r="AO178" s="42">
        <v>590824</v>
      </c>
      <c r="AQ178" s="42">
        <v>413560</v>
      </c>
      <c r="AS178" s="42">
        <v>1033669</v>
      </c>
      <c r="AW178" s="42">
        <v>0</v>
      </c>
      <c r="AY178" s="42">
        <f t="shared" ref="AY178" si="23">SUM(G178:AX178)</f>
        <v>14852391</v>
      </c>
      <c r="BA178" s="42">
        <f>+'St of Act - GA Rev'!AI178-'St of Activities - GA Exp'!AY178</f>
        <v>886426</v>
      </c>
      <c r="BC178" s="42">
        <v>29237357</v>
      </c>
      <c r="BE178" s="42">
        <f t="shared" ref="BE178" si="24">+BA178+BC178</f>
        <v>30123783</v>
      </c>
      <c r="BG178" s="42">
        <f>+'St of Net Pos - GA'!AE178-'St of Activities - GA Exp'!BE178</f>
        <v>0</v>
      </c>
    </row>
    <row r="179" spans="1:59" hidden="1">
      <c r="A179" s="9" t="s">
        <v>658</v>
      </c>
      <c r="B179" s="9"/>
      <c r="C179" s="9" t="s">
        <v>10</v>
      </c>
      <c r="D179" s="9"/>
      <c r="E179" s="23">
        <v>45773</v>
      </c>
      <c r="G179" s="42">
        <v>0</v>
      </c>
      <c r="I179" s="42">
        <v>0</v>
      </c>
      <c r="K179" s="42">
        <v>0</v>
      </c>
      <c r="M179" s="42">
        <v>0</v>
      </c>
      <c r="O179" s="42">
        <v>0</v>
      </c>
      <c r="Q179" s="42">
        <v>0</v>
      </c>
      <c r="S179" s="42">
        <v>0</v>
      </c>
      <c r="U179" s="42">
        <v>0</v>
      </c>
      <c r="W179" s="42">
        <v>0</v>
      </c>
      <c r="Y179" s="42">
        <v>0</v>
      </c>
      <c r="AA179" s="42">
        <v>0</v>
      </c>
      <c r="AC179" s="42">
        <v>0</v>
      </c>
      <c r="AE179" s="42">
        <v>0</v>
      </c>
      <c r="AG179" s="42">
        <v>0</v>
      </c>
      <c r="AI179" s="9" t="s">
        <v>658</v>
      </c>
      <c r="AJ179" s="9"/>
      <c r="AK179" s="9" t="s">
        <v>10</v>
      </c>
      <c r="AL179" s="9"/>
      <c r="AM179" s="42">
        <v>0</v>
      </c>
      <c r="AO179" s="42">
        <v>0</v>
      </c>
      <c r="AQ179" s="42">
        <v>0</v>
      </c>
      <c r="AS179" s="42">
        <v>0</v>
      </c>
      <c r="AW179" s="42">
        <v>0</v>
      </c>
      <c r="AY179" s="42">
        <f t="shared" si="20"/>
        <v>0</v>
      </c>
      <c r="BA179" s="42">
        <f>+'St of Act - GA Rev'!AI179-'St of Activities - GA Exp'!AY179</f>
        <v>0</v>
      </c>
      <c r="BC179" s="42">
        <v>0</v>
      </c>
      <c r="BE179" s="42">
        <f t="shared" si="18"/>
        <v>0</v>
      </c>
      <c r="BG179" s="42">
        <f>+'St of Net Pos - GA'!AE179-'St of Activities - GA Exp'!BE179</f>
        <v>0</v>
      </c>
    </row>
    <row r="180" spans="1:59" hidden="1">
      <c r="A180" s="9" t="s">
        <v>687</v>
      </c>
      <c r="B180" s="9"/>
      <c r="C180" s="9" t="s">
        <v>72</v>
      </c>
      <c r="D180" s="9"/>
      <c r="E180" s="23">
        <v>50682</v>
      </c>
      <c r="G180" s="42">
        <v>0</v>
      </c>
      <c r="I180" s="42">
        <v>0</v>
      </c>
      <c r="K180" s="42">
        <v>0</v>
      </c>
      <c r="M180" s="42">
        <v>0</v>
      </c>
      <c r="O180" s="42">
        <v>0</v>
      </c>
      <c r="Q180" s="42">
        <v>0</v>
      </c>
      <c r="S180" s="42">
        <v>0</v>
      </c>
      <c r="U180" s="42">
        <v>0</v>
      </c>
      <c r="W180" s="42">
        <v>0</v>
      </c>
      <c r="Y180" s="42">
        <v>0</v>
      </c>
      <c r="AA180" s="42">
        <v>0</v>
      </c>
      <c r="AC180" s="42">
        <v>0</v>
      </c>
      <c r="AE180" s="42">
        <v>0</v>
      </c>
      <c r="AG180" s="42">
        <v>0</v>
      </c>
      <c r="AI180" s="9" t="s">
        <v>687</v>
      </c>
      <c r="AJ180" s="9"/>
      <c r="AK180" s="9" t="s">
        <v>72</v>
      </c>
      <c r="AL180" s="9"/>
      <c r="AM180" s="42">
        <v>0</v>
      </c>
      <c r="AO180" s="42">
        <v>0</v>
      </c>
      <c r="AQ180" s="42">
        <v>0</v>
      </c>
      <c r="AS180" s="42">
        <v>0</v>
      </c>
      <c r="AW180" s="42">
        <v>0</v>
      </c>
      <c r="AY180" s="42">
        <f t="shared" si="20"/>
        <v>0</v>
      </c>
      <c r="BA180" s="42">
        <f>+'St of Act - GA Rev'!AI180-'St of Activities - GA Exp'!AY180</f>
        <v>0</v>
      </c>
      <c r="BC180" s="42">
        <v>0</v>
      </c>
      <c r="BE180" s="42">
        <f t="shared" si="18"/>
        <v>0</v>
      </c>
      <c r="BG180" s="42">
        <f>+'St of Net Pos - GA'!AE180-'St of Activities - GA Exp'!BE180</f>
        <v>0</v>
      </c>
    </row>
    <row r="181" spans="1:59">
      <c r="A181" s="9" t="s">
        <v>381</v>
      </c>
      <c r="B181" s="9"/>
      <c r="C181" s="9" t="s">
        <v>44</v>
      </c>
      <c r="D181" s="9"/>
      <c r="E181" s="23">
        <v>43943</v>
      </c>
      <c r="G181" s="42">
        <v>29742158</v>
      </c>
      <c r="I181" s="42">
        <v>10263748</v>
      </c>
      <c r="K181" s="42">
        <v>210958</v>
      </c>
      <c r="M181" s="42">
        <v>0</v>
      </c>
      <c r="O181" s="42">
        <f>313019+10677875</f>
        <v>10990894</v>
      </c>
      <c r="Q181" s="42">
        <v>4204449</v>
      </c>
      <c r="S181" s="42">
        <v>3905652</v>
      </c>
      <c r="U181" s="42">
        <v>49142</v>
      </c>
      <c r="W181" s="42">
        <v>4692880</v>
      </c>
      <c r="Y181" s="42">
        <v>1561203</v>
      </c>
      <c r="AA181" s="42">
        <v>660481</v>
      </c>
      <c r="AC181" s="42">
        <v>6986114</v>
      </c>
      <c r="AE181" s="42">
        <v>3503997</v>
      </c>
      <c r="AG181" s="42">
        <v>1533966</v>
      </c>
      <c r="AI181" s="9" t="s">
        <v>381</v>
      </c>
      <c r="AJ181" s="9"/>
      <c r="AK181" s="9" t="s">
        <v>44</v>
      </c>
      <c r="AL181" s="9"/>
      <c r="AM181" s="42">
        <v>0</v>
      </c>
      <c r="AO181" s="42">
        <v>1837363</v>
      </c>
      <c r="AQ181" s="42">
        <v>1793238</v>
      </c>
      <c r="AS181" s="42">
        <v>2481366</v>
      </c>
      <c r="AW181" s="42">
        <v>0</v>
      </c>
      <c r="AY181" s="42">
        <f t="shared" si="20"/>
        <v>84417609</v>
      </c>
      <c r="BA181" s="42">
        <f>+'St of Act - GA Rev'!AI181-'St of Activities - GA Exp'!AY181</f>
        <v>-1206250</v>
      </c>
      <c r="BC181" s="42">
        <v>32962860</v>
      </c>
      <c r="BE181" s="42">
        <f t="shared" si="18"/>
        <v>31756610</v>
      </c>
      <c r="BG181" s="42">
        <f>+'St of Net Pos - GA'!AE181-'St of Activities - GA Exp'!BE181</f>
        <v>0</v>
      </c>
    </row>
    <row r="182" spans="1:59">
      <c r="A182" s="9" t="s">
        <v>265</v>
      </c>
      <c r="B182" s="9"/>
      <c r="C182" s="9" t="s">
        <v>20</v>
      </c>
      <c r="D182" s="9"/>
      <c r="E182" s="23">
        <v>43950</v>
      </c>
      <c r="G182" s="42">
        <v>25854329</v>
      </c>
      <c r="I182" s="42">
        <v>15998660</v>
      </c>
      <c r="K182" s="42">
        <v>1123135</v>
      </c>
      <c r="M182" s="42">
        <v>127155</v>
      </c>
      <c r="O182" s="42">
        <v>24037</v>
      </c>
      <c r="Q182" s="42">
        <v>4391061</v>
      </c>
      <c r="S182" s="42">
        <v>5383985</v>
      </c>
      <c r="U182" s="42">
        <v>96477</v>
      </c>
      <c r="W182" s="42">
        <v>4745436</v>
      </c>
      <c r="Y182" s="42">
        <v>2009442</v>
      </c>
      <c r="AA182" s="42">
        <v>594531</v>
      </c>
      <c r="AC182" s="42">
        <v>6930699</v>
      </c>
      <c r="AE182" s="42">
        <v>4519965</v>
      </c>
      <c r="AG182" s="42">
        <v>1710140</v>
      </c>
      <c r="AI182" s="9" t="s">
        <v>265</v>
      </c>
      <c r="AJ182" s="9"/>
      <c r="AK182" s="9" t="s">
        <v>20</v>
      </c>
      <c r="AL182" s="9"/>
      <c r="AM182" s="42">
        <v>0</v>
      </c>
      <c r="AO182" s="42">
        <v>879096</v>
      </c>
      <c r="AQ182" s="42">
        <v>1025761</v>
      </c>
      <c r="AS182" s="42">
        <v>1959815</v>
      </c>
      <c r="AW182" s="42">
        <v>0</v>
      </c>
      <c r="AY182" s="42">
        <f t="shared" ref="AY182:AY249" si="25">SUM(G182:AX182)</f>
        <v>77373724</v>
      </c>
      <c r="BA182" s="42">
        <f>+'St of Act - GA Rev'!AI182-'St of Activities - GA Exp'!AY182</f>
        <v>-1752142</v>
      </c>
      <c r="BC182" s="42">
        <v>64951644</v>
      </c>
      <c r="BE182" s="42">
        <f t="shared" ref="BE182:BE250" si="26">+BA182+BC182</f>
        <v>63199502</v>
      </c>
      <c r="BG182" s="42">
        <f>+'St of Net Pos - GA'!AE182-'St of Activities - GA Exp'!BE182</f>
        <v>0</v>
      </c>
    </row>
    <row r="183" spans="1:59" ht="12" hidden="1" customHeight="1">
      <c r="A183" s="9" t="s">
        <v>614</v>
      </c>
      <c r="B183" s="9"/>
      <c r="C183" s="9" t="s">
        <v>28</v>
      </c>
      <c r="D183" s="9"/>
      <c r="E183" s="23">
        <v>47050</v>
      </c>
      <c r="G183" s="42">
        <v>0</v>
      </c>
      <c r="I183" s="42">
        <v>0</v>
      </c>
      <c r="K183" s="42">
        <v>0</v>
      </c>
      <c r="M183" s="42">
        <v>0</v>
      </c>
      <c r="O183" s="42">
        <v>0</v>
      </c>
      <c r="Q183" s="42">
        <v>0</v>
      </c>
      <c r="S183" s="42">
        <v>0</v>
      </c>
      <c r="U183" s="42">
        <v>0</v>
      </c>
      <c r="W183" s="42">
        <v>0</v>
      </c>
      <c r="Y183" s="42">
        <v>0</v>
      </c>
      <c r="AA183" s="42">
        <v>0</v>
      </c>
      <c r="AC183" s="42">
        <v>0</v>
      </c>
      <c r="AE183" s="42">
        <v>0</v>
      </c>
      <c r="AG183" s="42">
        <v>0</v>
      </c>
      <c r="AI183" s="9" t="s">
        <v>614</v>
      </c>
      <c r="AJ183" s="9"/>
      <c r="AK183" s="9" t="s">
        <v>28</v>
      </c>
      <c r="AL183" s="9"/>
      <c r="AM183" s="42">
        <v>0</v>
      </c>
      <c r="AO183" s="42">
        <v>0</v>
      </c>
      <c r="AQ183" s="42">
        <v>0</v>
      </c>
      <c r="AS183" s="42">
        <v>0</v>
      </c>
      <c r="AW183" s="42">
        <v>0</v>
      </c>
      <c r="AY183" s="42">
        <f t="shared" si="25"/>
        <v>0</v>
      </c>
      <c r="BA183" s="42">
        <f>+'St of Act - GA Rev'!AI183-'St of Activities - GA Exp'!AY183</f>
        <v>0</v>
      </c>
      <c r="BC183" s="42">
        <v>0</v>
      </c>
      <c r="BE183" s="42">
        <f t="shared" si="26"/>
        <v>0</v>
      </c>
      <c r="BG183" s="42">
        <f>+'St of Net Pos - GA'!AE183-'St of Activities - GA Exp'!BE183</f>
        <v>0</v>
      </c>
    </row>
    <row r="184" spans="1:59">
      <c r="A184" s="9" t="s">
        <v>535</v>
      </c>
      <c r="B184" s="9"/>
      <c r="C184" s="9" t="s">
        <v>66</v>
      </c>
      <c r="D184" s="9"/>
      <c r="E184" s="23">
        <v>50328</v>
      </c>
      <c r="G184" s="42">
        <v>4697085</v>
      </c>
      <c r="I184" s="42">
        <v>923643</v>
      </c>
      <c r="K184" s="42">
        <v>16389</v>
      </c>
      <c r="M184" s="42">
        <v>0</v>
      </c>
      <c r="O184" s="42">
        <v>80514</v>
      </c>
      <c r="Q184" s="42">
        <v>707000</v>
      </c>
      <c r="S184" s="42">
        <v>547057</v>
      </c>
      <c r="U184" s="42">
        <v>47489</v>
      </c>
      <c r="W184" s="42">
        <v>771774</v>
      </c>
      <c r="Y184" s="42">
        <v>421012</v>
      </c>
      <c r="AA184" s="42">
        <v>0</v>
      </c>
      <c r="AC184" s="42">
        <v>1344494</v>
      </c>
      <c r="AE184" s="42">
        <v>758669</v>
      </c>
      <c r="AG184" s="42">
        <v>5400</v>
      </c>
      <c r="AI184" s="9" t="s">
        <v>535</v>
      </c>
      <c r="AJ184" s="9"/>
      <c r="AK184" s="9" t="s">
        <v>66</v>
      </c>
      <c r="AL184" s="9"/>
      <c r="AM184" s="42">
        <v>325830</v>
      </c>
      <c r="AO184" s="42">
        <v>136581</v>
      </c>
      <c r="AQ184" s="42">
        <v>36342</v>
      </c>
      <c r="AS184" s="42">
        <v>680435</v>
      </c>
      <c r="AW184" s="42">
        <v>0</v>
      </c>
      <c r="AY184" s="42">
        <f t="shared" si="25"/>
        <v>11499714</v>
      </c>
      <c r="BA184" s="42">
        <f>+'St of Act - GA Rev'!AI184-'St of Activities - GA Exp'!AY184</f>
        <v>1101211</v>
      </c>
      <c r="BC184" s="42">
        <v>8878819</v>
      </c>
      <c r="BE184" s="42">
        <f t="shared" si="26"/>
        <v>9980030</v>
      </c>
      <c r="BG184" s="42">
        <f>+'St of Net Pos - GA'!AE184-'St of Activities - GA Exp'!BE184</f>
        <v>0</v>
      </c>
    </row>
    <row r="185" spans="1:59">
      <c r="A185" s="9" t="s">
        <v>621</v>
      </c>
      <c r="B185" s="9"/>
      <c r="C185" s="9" t="s">
        <v>113</v>
      </c>
      <c r="D185" s="9"/>
      <c r="E185" s="23">
        <v>43968</v>
      </c>
      <c r="G185" s="42">
        <v>18303069</v>
      </c>
      <c r="I185" s="42">
        <v>7220416</v>
      </c>
      <c r="K185" s="42">
        <v>0</v>
      </c>
      <c r="M185" s="42">
        <v>0</v>
      </c>
      <c r="O185" s="42">
        <v>3260717</v>
      </c>
      <c r="Q185" s="42">
        <v>2621214</v>
      </c>
      <c r="S185" s="42">
        <v>2114751</v>
      </c>
      <c r="U185" s="42">
        <v>0</v>
      </c>
      <c r="W185" s="42">
        <f>48278+3105266</f>
        <v>3153544</v>
      </c>
      <c r="Y185" s="42">
        <v>763665</v>
      </c>
      <c r="AA185" s="42">
        <v>263279</v>
      </c>
      <c r="AC185" s="42">
        <v>3565573</v>
      </c>
      <c r="AE185" s="42">
        <v>2643613</v>
      </c>
      <c r="AG185" s="42">
        <v>381502</v>
      </c>
      <c r="AI185" s="9" t="s">
        <v>621</v>
      </c>
      <c r="AJ185" s="9"/>
      <c r="AK185" s="9" t="s">
        <v>113</v>
      </c>
      <c r="AL185" s="9"/>
      <c r="AM185" s="42">
        <v>0</v>
      </c>
      <c r="AO185" s="42">
        <v>2005027</v>
      </c>
      <c r="AQ185" s="42">
        <v>668171</v>
      </c>
      <c r="AS185" s="42">
        <v>899871</v>
      </c>
      <c r="AW185" s="42">
        <v>0</v>
      </c>
      <c r="AY185" s="42">
        <f t="shared" si="25"/>
        <v>47864412</v>
      </c>
      <c r="BA185" s="42">
        <f>+'St of Act - GA Rev'!AI185-'St of Activities - GA Exp'!AY185</f>
        <v>-451701</v>
      </c>
      <c r="BC185" s="42">
        <v>453929</v>
      </c>
      <c r="BE185" s="42">
        <f t="shared" si="26"/>
        <v>2228</v>
      </c>
      <c r="BG185" s="42">
        <f>+'St of Net Pos - GA'!AE185-'St of Activities - GA Exp'!BE185</f>
        <v>0</v>
      </c>
    </row>
    <row r="186" spans="1:59">
      <c r="A186" s="9" t="s">
        <v>221</v>
      </c>
      <c r="B186" s="9"/>
      <c r="C186" s="9" t="s">
        <v>220</v>
      </c>
      <c r="D186" s="9"/>
      <c r="E186" s="23">
        <v>46102</v>
      </c>
      <c r="G186" s="42">
        <v>33108783</v>
      </c>
      <c r="I186" s="42">
        <v>10819955</v>
      </c>
      <c r="K186" s="42">
        <v>0</v>
      </c>
      <c r="M186" s="42">
        <v>0</v>
      </c>
      <c r="O186" s="42">
        <v>3010092</v>
      </c>
      <c r="Q186" s="42">
        <v>3839884</v>
      </c>
      <c r="S186" s="42">
        <v>5626602</v>
      </c>
      <c r="U186" s="42">
        <v>0</v>
      </c>
      <c r="W186" s="42">
        <f>8649+6287534</f>
        <v>6296183</v>
      </c>
      <c r="Y186" s="42">
        <v>1340958</v>
      </c>
      <c r="AA186" s="42">
        <v>265827</v>
      </c>
      <c r="AC186" s="42">
        <v>5588661</v>
      </c>
      <c r="AE186" s="42">
        <v>5757806</v>
      </c>
      <c r="AG186" s="42">
        <v>117471</v>
      </c>
      <c r="AI186" s="9" t="s">
        <v>221</v>
      </c>
      <c r="AJ186" s="9"/>
      <c r="AK186" s="9" t="s">
        <v>220</v>
      </c>
      <c r="AL186" s="9"/>
      <c r="AM186" s="42">
        <v>0</v>
      </c>
      <c r="AO186" s="42">
        <v>4851628</v>
      </c>
      <c r="AQ186" s="42">
        <v>1575357</v>
      </c>
      <c r="AS186" s="42">
        <v>1237214</v>
      </c>
      <c r="AW186" s="42">
        <v>0</v>
      </c>
      <c r="AY186" s="42">
        <f t="shared" si="25"/>
        <v>83436421</v>
      </c>
      <c r="BA186" s="42">
        <f>+'St of Act - GA Rev'!AI186-'St of Activities - GA Exp'!AY186</f>
        <v>9483122</v>
      </c>
      <c r="BC186" s="42">
        <v>35185206</v>
      </c>
      <c r="BE186" s="42">
        <f t="shared" si="26"/>
        <v>44668328</v>
      </c>
      <c r="BG186" s="42">
        <f>+'St of Net Pos - GA'!AE186-'St of Activities - GA Exp'!BE186</f>
        <v>0</v>
      </c>
    </row>
    <row r="187" spans="1:59">
      <c r="A187" s="9" t="s">
        <v>347</v>
      </c>
      <c r="B187" s="9"/>
      <c r="C187" s="9" t="s">
        <v>346</v>
      </c>
      <c r="D187" s="9"/>
      <c r="E187" s="23">
        <v>47621</v>
      </c>
      <c r="G187" s="42">
        <v>4103208</v>
      </c>
      <c r="I187" s="42">
        <v>593464</v>
      </c>
      <c r="K187" s="42">
        <v>155287</v>
      </c>
      <c r="M187" s="42">
        <v>0</v>
      </c>
      <c r="O187" s="42">
        <v>4840</v>
      </c>
      <c r="Q187" s="42">
        <v>289992</v>
      </c>
      <c r="S187" s="42">
        <v>701700</v>
      </c>
      <c r="U187" s="42">
        <v>50736</v>
      </c>
      <c r="W187" s="42">
        <v>671693</v>
      </c>
      <c r="Y187" s="42">
        <v>344933</v>
      </c>
      <c r="AA187" s="42">
        <v>183396</v>
      </c>
      <c r="AC187" s="42">
        <v>674719</v>
      </c>
      <c r="AE187" s="42">
        <v>521800</v>
      </c>
      <c r="AG187" s="42">
        <v>100789</v>
      </c>
      <c r="AI187" s="9" t="s">
        <v>347</v>
      </c>
      <c r="AJ187" s="9"/>
      <c r="AK187" s="9" t="s">
        <v>346</v>
      </c>
      <c r="AL187" s="9"/>
      <c r="AM187" s="42">
        <v>386934</v>
      </c>
      <c r="AO187" s="42">
        <v>3658</v>
      </c>
      <c r="AQ187" s="42">
        <v>168767</v>
      </c>
      <c r="AS187" s="42">
        <v>137050</v>
      </c>
      <c r="AW187" s="42">
        <v>0</v>
      </c>
      <c r="AY187" s="42">
        <f t="shared" si="25"/>
        <v>9092966</v>
      </c>
      <c r="BA187" s="42">
        <f>+'St of Act - GA Rev'!AI187-'St of Activities - GA Exp'!AY187</f>
        <v>-333117</v>
      </c>
      <c r="BC187" s="42">
        <v>14776043</v>
      </c>
      <c r="BE187" s="42">
        <f t="shared" si="26"/>
        <v>14442926</v>
      </c>
      <c r="BG187" s="42">
        <f>+'St of Net Pos - GA'!AE187-'St of Activities - GA Exp'!BE187</f>
        <v>0</v>
      </c>
    </row>
    <row r="188" spans="1:59">
      <c r="A188" s="9" t="s">
        <v>292</v>
      </c>
      <c r="B188" s="9"/>
      <c r="C188" s="9" t="s">
        <v>25</v>
      </c>
      <c r="D188" s="9"/>
      <c r="E188" s="23">
        <v>46870</v>
      </c>
      <c r="G188" s="42">
        <v>10146124</v>
      </c>
      <c r="I188" s="42">
        <v>2679882</v>
      </c>
      <c r="K188" s="42">
        <v>478177</v>
      </c>
      <c r="M188" s="42">
        <v>0</v>
      </c>
      <c r="O188" s="42">
        <v>276219</v>
      </c>
      <c r="Q188" s="42">
        <v>1044907</v>
      </c>
      <c r="S188" s="42">
        <v>904248</v>
      </c>
      <c r="U188" s="42">
        <v>38432</v>
      </c>
      <c r="W188" s="42">
        <v>1433390</v>
      </c>
      <c r="Y188" s="42">
        <v>603761</v>
      </c>
      <c r="AA188" s="42">
        <v>0</v>
      </c>
      <c r="AC188" s="42">
        <v>2018781</v>
      </c>
      <c r="AE188" s="42">
        <v>2131428</v>
      </c>
      <c r="AG188" s="42">
        <v>148372</v>
      </c>
      <c r="AI188" s="9" t="s">
        <v>292</v>
      </c>
      <c r="AJ188" s="9"/>
      <c r="AK188" s="9" t="s">
        <v>25</v>
      </c>
      <c r="AL188" s="9"/>
      <c r="AM188" s="42">
        <v>1071493</v>
      </c>
      <c r="AO188" s="42">
        <v>2221</v>
      </c>
      <c r="AQ188" s="42">
        <v>691696</v>
      </c>
      <c r="AS188" s="42">
        <v>1061912</v>
      </c>
      <c r="AW188" s="42">
        <v>0</v>
      </c>
      <c r="AY188" s="42">
        <f t="shared" si="25"/>
        <v>24731043</v>
      </c>
      <c r="BA188" s="42">
        <f>+'St of Act - GA Rev'!AI188-'St of Activities - GA Exp'!AY188</f>
        <v>-1240793</v>
      </c>
      <c r="BC188" s="42">
        <v>59906371</v>
      </c>
      <c r="BE188" s="42">
        <f t="shared" si="26"/>
        <v>58665578</v>
      </c>
      <c r="BG188" s="42">
        <f>+'St of Net Pos - GA'!AE188-'St of Activities - GA Exp'!BE188</f>
        <v>0</v>
      </c>
    </row>
    <row r="189" spans="1:59" s="24" customFormat="1">
      <c r="A189" s="51" t="s">
        <v>366</v>
      </c>
      <c r="B189" s="51"/>
      <c r="C189" s="51" t="s">
        <v>364</v>
      </c>
      <c r="D189" s="51"/>
      <c r="E189" s="23">
        <v>47936</v>
      </c>
      <c r="G189" s="42">
        <v>8029463</v>
      </c>
      <c r="H189" s="42"/>
      <c r="I189" s="42">
        <v>2104537</v>
      </c>
      <c r="J189" s="42"/>
      <c r="K189" s="42">
        <v>88068</v>
      </c>
      <c r="L189" s="42"/>
      <c r="M189" s="42">
        <v>0</v>
      </c>
      <c r="N189" s="42"/>
      <c r="O189" s="42">
        <f>10192+121887</f>
        <v>132079</v>
      </c>
      <c r="P189" s="42"/>
      <c r="Q189" s="42">
        <v>525610</v>
      </c>
      <c r="R189" s="42"/>
      <c r="S189" s="42">
        <v>782336</v>
      </c>
      <c r="T189" s="42"/>
      <c r="U189" s="42">
        <v>102631</v>
      </c>
      <c r="V189" s="42"/>
      <c r="W189" s="42">
        <v>1180226</v>
      </c>
      <c r="X189" s="42"/>
      <c r="Y189" s="42">
        <v>408861</v>
      </c>
      <c r="Z189" s="42"/>
      <c r="AA189" s="42">
        <v>45314</v>
      </c>
      <c r="AB189" s="42"/>
      <c r="AC189" s="42">
        <v>2470574</v>
      </c>
      <c r="AD189" s="42"/>
      <c r="AE189" s="42">
        <v>898784</v>
      </c>
      <c r="AF189" s="42"/>
      <c r="AG189" s="42">
        <v>9363</v>
      </c>
      <c r="AI189" s="51" t="s">
        <v>366</v>
      </c>
      <c r="AJ189" s="51"/>
      <c r="AK189" s="51" t="s">
        <v>364</v>
      </c>
      <c r="AL189" s="51"/>
      <c r="AM189" s="42">
        <v>0</v>
      </c>
      <c r="AN189" s="42"/>
      <c r="AO189" s="42">
        <v>606224</v>
      </c>
      <c r="AP189" s="42"/>
      <c r="AQ189" s="42">
        <v>327794</v>
      </c>
      <c r="AR189" s="42"/>
      <c r="AS189" s="42">
        <v>67138</v>
      </c>
      <c r="AT189" s="42"/>
      <c r="AU189" s="42"/>
      <c r="AV189" s="42"/>
      <c r="AW189" s="42">
        <v>0</v>
      </c>
      <c r="AX189" s="42"/>
      <c r="AY189" s="42">
        <f t="shared" si="25"/>
        <v>17779002</v>
      </c>
      <c r="AZ189" s="42"/>
      <c r="BA189" s="42">
        <f>+'St of Act - GA Rev'!AI189-'St of Activities - GA Exp'!AY189</f>
        <v>-2433270</v>
      </c>
      <c r="BB189" s="42"/>
      <c r="BC189" s="42">
        <v>31554652</v>
      </c>
      <c r="BD189" s="42"/>
      <c r="BE189" s="42">
        <f t="shared" si="26"/>
        <v>29121382</v>
      </c>
      <c r="BF189" s="42"/>
      <c r="BG189" s="42">
        <f>+'St of Net Pos - GA'!AE189-'St of Activities - GA Exp'!BE189</f>
        <v>0</v>
      </c>
    </row>
    <row r="190" spans="1:59" ht="12" hidden="1" customHeight="1">
      <c r="A190" s="9" t="s">
        <v>615</v>
      </c>
      <c r="B190" s="9"/>
      <c r="C190" s="9" t="s">
        <v>61</v>
      </c>
      <c r="D190" s="9"/>
      <c r="E190" s="23">
        <v>49775</v>
      </c>
      <c r="G190" s="42">
        <v>0</v>
      </c>
      <c r="I190" s="42">
        <v>0</v>
      </c>
      <c r="K190" s="42">
        <v>0</v>
      </c>
      <c r="M190" s="42">
        <v>0</v>
      </c>
      <c r="O190" s="42">
        <v>0</v>
      </c>
      <c r="Q190" s="42">
        <v>0</v>
      </c>
      <c r="S190" s="42">
        <v>0</v>
      </c>
      <c r="U190" s="42">
        <v>0</v>
      </c>
      <c r="W190" s="42">
        <v>0</v>
      </c>
      <c r="Y190" s="42">
        <v>0</v>
      </c>
      <c r="AA190" s="42">
        <v>0</v>
      </c>
      <c r="AC190" s="42">
        <v>0</v>
      </c>
      <c r="AE190" s="42">
        <v>0</v>
      </c>
      <c r="AG190" s="42">
        <v>0</v>
      </c>
      <c r="AI190" s="9" t="s">
        <v>615</v>
      </c>
      <c r="AJ190" s="9"/>
      <c r="AK190" s="9" t="s">
        <v>61</v>
      </c>
      <c r="AL190" s="9"/>
      <c r="AM190" s="42">
        <v>0</v>
      </c>
      <c r="AO190" s="42">
        <v>0</v>
      </c>
      <c r="AQ190" s="42">
        <v>0</v>
      </c>
      <c r="AS190" s="42">
        <v>0</v>
      </c>
      <c r="AW190" s="42">
        <v>0</v>
      </c>
      <c r="AY190" s="42">
        <f t="shared" si="25"/>
        <v>0</v>
      </c>
      <c r="BA190" s="42">
        <f>+'St of Act - GA Rev'!AI190-'St of Activities - GA Exp'!AY190</f>
        <v>0</v>
      </c>
      <c r="BC190" s="42">
        <v>0</v>
      </c>
      <c r="BE190" s="42">
        <f t="shared" si="26"/>
        <v>0</v>
      </c>
      <c r="BG190" s="42">
        <f>+'St of Net Pos - GA'!AE190-'St of Activities - GA Exp'!BE190</f>
        <v>0</v>
      </c>
    </row>
    <row r="191" spans="1:59">
      <c r="A191" s="9" t="s">
        <v>492</v>
      </c>
      <c r="B191" s="9"/>
      <c r="C191" s="9" t="s">
        <v>62</v>
      </c>
      <c r="D191" s="9"/>
      <c r="E191" s="23">
        <v>49841</v>
      </c>
      <c r="G191" s="42">
        <v>7782005</v>
      </c>
      <c r="I191" s="42">
        <v>2436812</v>
      </c>
      <c r="K191" s="42">
        <v>159162</v>
      </c>
      <c r="M191" s="42">
        <v>0</v>
      </c>
      <c r="O191" s="42">
        <v>383997</v>
      </c>
      <c r="Q191" s="42">
        <v>1046780</v>
      </c>
      <c r="S191" s="42">
        <v>475308</v>
      </c>
      <c r="U191" s="42">
        <v>17933</v>
      </c>
      <c r="W191" s="42">
        <v>1536127</v>
      </c>
      <c r="Y191" s="42">
        <v>418454</v>
      </c>
      <c r="AA191" s="42">
        <v>857</v>
      </c>
      <c r="AC191" s="42">
        <v>1398890</v>
      </c>
      <c r="AE191" s="42">
        <v>1110149</v>
      </c>
      <c r="AG191" s="42">
        <v>101530</v>
      </c>
      <c r="AI191" s="9" t="s">
        <v>492</v>
      </c>
      <c r="AJ191" s="9"/>
      <c r="AK191" s="9" t="s">
        <v>62</v>
      </c>
      <c r="AL191" s="9"/>
      <c r="AM191" s="42">
        <v>788342</v>
      </c>
      <c r="AO191" s="42">
        <v>26578</v>
      </c>
      <c r="AQ191" s="42">
        <v>522544</v>
      </c>
      <c r="AS191" s="42">
        <v>361563</v>
      </c>
      <c r="AW191" s="42">
        <v>0</v>
      </c>
      <c r="AY191" s="42">
        <f t="shared" si="25"/>
        <v>18567031</v>
      </c>
      <c r="BA191" s="42">
        <f>+'St of Act - GA Rev'!AI191-'St of Activities - GA Exp'!AY191</f>
        <v>-1735531</v>
      </c>
      <c r="BC191" s="42">
        <v>18571749</v>
      </c>
      <c r="BE191" s="42">
        <f t="shared" si="26"/>
        <v>16836218</v>
      </c>
      <c r="BG191" s="42">
        <f>+'St of Net Pos - GA'!AE191-'St of Activities - GA Exp'!BE191</f>
        <v>0</v>
      </c>
    </row>
    <row r="192" spans="1:59" ht="12" hidden="1" customHeight="1">
      <c r="A192" s="8" t="s">
        <v>878</v>
      </c>
      <c r="B192" s="9"/>
      <c r="C192" s="9" t="s">
        <v>41</v>
      </c>
      <c r="D192" s="9"/>
      <c r="E192" s="23">
        <v>45369</v>
      </c>
      <c r="G192" s="42">
        <v>0</v>
      </c>
      <c r="I192" s="42">
        <v>0</v>
      </c>
      <c r="K192" s="42">
        <v>0</v>
      </c>
      <c r="M192" s="42">
        <v>0</v>
      </c>
      <c r="O192" s="42">
        <v>0</v>
      </c>
      <c r="Q192" s="42">
        <v>0</v>
      </c>
      <c r="S192" s="42">
        <v>0</v>
      </c>
      <c r="U192" s="42">
        <v>0</v>
      </c>
      <c r="W192" s="42">
        <v>0</v>
      </c>
      <c r="Y192" s="42">
        <v>0</v>
      </c>
      <c r="AA192" s="42">
        <v>0</v>
      </c>
      <c r="AC192" s="42">
        <v>0</v>
      </c>
      <c r="AE192" s="42">
        <v>0</v>
      </c>
      <c r="AG192" s="42">
        <v>0</v>
      </c>
      <c r="AI192" s="8" t="s">
        <v>878</v>
      </c>
      <c r="AJ192" s="9"/>
      <c r="AK192" s="9" t="s">
        <v>41</v>
      </c>
      <c r="AL192" s="9"/>
      <c r="AM192" s="42">
        <v>0</v>
      </c>
      <c r="AO192" s="42">
        <v>0</v>
      </c>
      <c r="AQ192" s="42">
        <v>0</v>
      </c>
      <c r="AS192" s="42">
        <v>0</v>
      </c>
      <c r="AW192" s="42">
        <v>0</v>
      </c>
      <c r="AY192" s="42">
        <f t="shared" si="25"/>
        <v>0</v>
      </c>
      <c r="BA192" s="42">
        <f>+'St of Act - GA Rev'!AI192-'St of Activities - GA Exp'!AY192</f>
        <v>0</v>
      </c>
      <c r="BC192" s="42">
        <v>0</v>
      </c>
      <c r="BE192" s="42">
        <f t="shared" si="26"/>
        <v>0</v>
      </c>
      <c r="BG192" s="42">
        <f>+'St of Net Pos - GA'!AE192-'St of Activities - GA Exp'!BE192</f>
        <v>0</v>
      </c>
    </row>
    <row r="193" spans="1:59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v>10159477</v>
      </c>
      <c r="I193" s="24">
        <v>2763960</v>
      </c>
      <c r="K193" s="24">
        <v>101276</v>
      </c>
      <c r="M193" s="24">
        <v>0</v>
      </c>
      <c r="O193" s="24">
        <v>27004</v>
      </c>
      <c r="Q193" s="24">
        <v>1372568</v>
      </c>
      <c r="S193" s="24">
        <v>589672</v>
      </c>
      <c r="U193" s="24">
        <v>33499</v>
      </c>
      <c r="W193" s="24">
        <v>1465239</v>
      </c>
      <c r="Y193" s="24">
        <v>682284</v>
      </c>
      <c r="AA193" s="24">
        <v>33442</v>
      </c>
      <c r="AC193" s="24">
        <v>1767999</v>
      </c>
      <c r="AE193" s="24">
        <v>636919</v>
      </c>
      <c r="AG193" s="24">
        <v>271886</v>
      </c>
      <c r="AI193" s="51" t="s">
        <v>266</v>
      </c>
      <c r="AJ193" s="51"/>
      <c r="AK193" s="51" t="s">
        <v>20</v>
      </c>
      <c r="AL193" s="51"/>
      <c r="AM193" s="24">
        <v>0</v>
      </c>
      <c r="AO193" s="24">
        <v>448198</v>
      </c>
      <c r="AQ193" s="24">
        <v>531641</v>
      </c>
      <c r="AS193" s="24">
        <v>861026</v>
      </c>
      <c r="AW193" s="24">
        <v>304956</v>
      </c>
      <c r="AY193" s="24">
        <f t="shared" si="25"/>
        <v>22051046</v>
      </c>
      <c r="BA193" s="24">
        <f>+'St of Act - GA Rev'!AI193-'St of Activities - GA Exp'!AY193</f>
        <v>2136566</v>
      </c>
      <c r="BC193" s="24">
        <v>23550481</v>
      </c>
      <c r="BE193" s="24">
        <f t="shared" si="26"/>
        <v>25687047</v>
      </c>
      <c r="BG193" s="24">
        <f>+'St of Net Pos - GA'!AE193-'St of Activities - GA Exp'!BE193</f>
        <v>0</v>
      </c>
    </row>
    <row r="194" spans="1:59" hidden="1">
      <c r="A194" s="9" t="s">
        <v>739</v>
      </c>
      <c r="B194" s="9"/>
      <c r="C194" s="9" t="s">
        <v>28</v>
      </c>
      <c r="D194" s="9"/>
      <c r="E194" s="23">
        <v>47068</v>
      </c>
      <c r="G194" s="42">
        <v>0</v>
      </c>
      <c r="I194" s="42">
        <v>0</v>
      </c>
      <c r="K194" s="42">
        <v>0</v>
      </c>
      <c r="M194" s="42">
        <v>0</v>
      </c>
      <c r="O194" s="42">
        <v>0</v>
      </c>
      <c r="Q194" s="42">
        <v>0</v>
      </c>
      <c r="S194" s="42">
        <v>0</v>
      </c>
      <c r="U194" s="42">
        <v>0</v>
      </c>
      <c r="W194" s="42">
        <v>0</v>
      </c>
      <c r="Y194" s="42">
        <v>0</v>
      </c>
      <c r="AA194" s="42">
        <v>0</v>
      </c>
      <c r="AC194" s="42">
        <v>0</v>
      </c>
      <c r="AE194" s="42">
        <v>0</v>
      </c>
      <c r="AG194" s="42">
        <v>0</v>
      </c>
      <c r="AI194" s="9" t="s">
        <v>739</v>
      </c>
      <c r="AJ194" s="9"/>
      <c r="AK194" s="9" t="s">
        <v>28</v>
      </c>
      <c r="AL194" s="9"/>
      <c r="AM194" s="42">
        <v>0</v>
      </c>
      <c r="AO194" s="42">
        <v>0</v>
      </c>
      <c r="AQ194" s="42">
        <v>0</v>
      </c>
      <c r="AS194" s="42">
        <v>0</v>
      </c>
      <c r="AW194" s="42">
        <v>0</v>
      </c>
      <c r="AY194" s="42">
        <f t="shared" si="25"/>
        <v>0</v>
      </c>
      <c r="BA194" s="42">
        <f>+'St of Act - GA Rev'!AI194-'St of Activities - GA Exp'!AY194</f>
        <v>0</v>
      </c>
      <c r="BC194" s="42">
        <v>0</v>
      </c>
      <c r="BE194" s="42">
        <f t="shared" si="26"/>
        <v>0</v>
      </c>
      <c r="BG194" s="42">
        <f>+'St of Net Pos - GA'!AE194-'St of Activities - GA Exp'!BE194</f>
        <v>0</v>
      </c>
    </row>
    <row r="195" spans="1:59">
      <c r="A195" s="9" t="s">
        <v>218</v>
      </c>
      <c r="B195" s="9"/>
      <c r="C195" s="9" t="s">
        <v>77</v>
      </c>
      <c r="D195" s="9"/>
      <c r="E195" s="23">
        <v>46045</v>
      </c>
      <c r="G195" s="42">
        <v>4080810</v>
      </c>
      <c r="I195" s="42">
        <v>782006</v>
      </c>
      <c r="K195" s="42">
        <v>197661</v>
      </c>
      <c r="M195" s="42">
        <v>0</v>
      </c>
      <c r="O195" s="42">
        <v>311487</v>
      </c>
      <c r="Q195" s="42">
        <v>409321</v>
      </c>
      <c r="S195" s="42">
        <v>746291</v>
      </c>
      <c r="U195" s="42">
        <v>51085</v>
      </c>
      <c r="W195" s="42">
        <v>649298</v>
      </c>
      <c r="Y195" s="42">
        <v>307231</v>
      </c>
      <c r="AA195" s="42">
        <v>0</v>
      </c>
      <c r="AC195" s="42">
        <v>822129</v>
      </c>
      <c r="AE195" s="42">
        <v>602774</v>
      </c>
      <c r="AG195" s="42">
        <v>9058</v>
      </c>
      <c r="AI195" s="9" t="s">
        <v>218</v>
      </c>
      <c r="AJ195" s="9"/>
      <c r="AK195" s="9" t="s">
        <v>77</v>
      </c>
      <c r="AL195" s="9"/>
      <c r="AM195" s="42">
        <v>414622</v>
      </c>
      <c r="AO195" s="42">
        <v>134026</v>
      </c>
      <c r="AQ195" s="42">
        <v>194798</v>
      </c>
      <c r="AS195" s="42">
        <v>310843</v>
      </c>
      <c r="AW195" s="42">
        <v>0</v>
      </c>
      <c r="AY195" s="42">
        <f t="shared" si="25"/>
        <v>10023440</v>
      </c>
      <c r="BA195" s="42">
        <f>+'St of Act - GA Rev'!AI195-'St of Activities - GA Exp'!AY195</f>
        <v>-960628</v>
      </c>
      <c r="BC195" s="42">
        <v>23896706</v>
      </c>
      <c r="BE195" s="42">
        <f t="shared" si="26"/>
        <v>22936078</v>
      </c>
      <c r="BG195" s="42">
        <f>+'St of Net Pos - GA'!AE195-'St of Activities - GA Exp'!BE195</f>
        <v>0</v>
      </c>
    </row>
    <row r="196" spans="1:59">
      <c r="A196" s="9" t="s">
        <v>737</v>
      </c>
      <c r="B196" s="9"/>
      <c r="C196" s="9" t="s">
        <v>13</v>
      </c>
      <c r="D196" s="9"/>
      <c r="E196" s="23">
        <v>45914</v>
      </c>
      <c r="G196" s="42">
        <v>6671966</v>
      </c>
      <c r="I196" s="42">
        <v>1574899</v>
      </c>
      <c r="K196" s="42">
        <v>245200</v>
      </c>
      <c r="M196" s="42">
        <v>0</v>
      </c>
      <c r="O196" s="42">
        <v>1100</v>
      </c>
      <c r="Q196" s="42">
        <v>360536</v>
      </c>
      <c r="S196" s="42">
        <v>411926</v>
      </c>
      <c r="U196" s="42">
        <v>29329</v>
      </c>
      <c r="W196" s="42">
        <v>911961</v>
      </c>
      <c r="Y196" s="42">
        <v>387537</v>
      </c>
      <c r="AA196" s="42">
        <v>0</v>
      </c>
      <c r="AC196" s="42">
        <v>940397</v>
      </c>
      <c r="AE196" s="42">
        <v>1183609</v>
      </c>
      <c r="AG196" s="42">
        <v>53996</v>
      </c>
      <c r="AI196" s="9" t="s">
        <v>737</v>
      </c>
      <c r="AJ196" s="9"/>
      <c r="AK196" s="9" t="s">
        <v>13</v>
      </c>
      <c r="AL196" s="9"/>
      <c r="AM196" s="42">
        <v>486341</v>
      </c>
      <c r="AO196" s="42">
        <v>12727</v>
      </c>
      <c r="AQ196" s="42">
        <v>137043</v>
      </c>
      <c r="AS196" s="42">
        <v>37692</v>
      </c>
      <c r="AW196" s="42">
        <v>0</v>
      </c>
      <c r="AY196" s="42">
        <f t="shared" si="25"/>
        <v>13446259</v>
      </c>
      <c r="BA196" s="42">
        <f>+'St of Act - GA Rev'!AI196-'St of Activities - GA Exp'!AY196</f>
        <v>496386</v>
      </c>
      <c r="BC196" s="42">
        <v>11691703</v>
      </c>
      <c r="BE196" s="42">
        <f t="shared" si="26"/>
        <v>12188089</v>
      </c>
      <c r="BG196" s="42">
        <f>+'St of Net Pos - GA'!AE196-'St of Activities - GA Exp'!BE196</f>
        <v>0</v>
      </c>
    </row>
    <row r="197" spans="1:59">
      <c r="A197" s="9" t="s">
        <v>237</v>
      </c>
      <c r="B197" s="9"/>
      <c r="C197" s="9" t="s">
        <v>112</v>
      </c>
      <c r="D197" s="9"/>
      <c r="E197" s="23">
        <v>46334</v>
      </c>
      <c r="G197" s="42">
        <v>4847555</v>
      </c>
      <c r="I197" s="42">
        <v>2532142</v>
      </c>
      <c r="K197" s="42">
        <v>0</v>
      </c>
      <c r="M197" s="42">
        <v>0</v>
      </c>
      <c r="O197" s="42">
        <v>121216</v>
      </c>
      <c r="Q197" s="42">
        <v>519369</v>
      </c>
      <c r="S197" s="42">
        <v>252291</v>
      </c>
      <c r="U197" s="42">
        <v>16533</v>
      </c>
      <c r="W197" s="42">
        <v>645292</v>
      </c>
      <c r="Y197" s="42">
        <v>333267</v>
      </c>
      <c r="AA197" s="42">
        <v>0</v>
      </c>
      <c r="AC197" s="42">
        <v>804215</v>
      </c>
      <c r="AE197" s="42">
        <v>642552</v>
      </c>
      <c r="AG197" s="42">
        <v>0</v>
      </c>
      <c r="AI197" s="9" t="s">
        <v>237</v>
      </c>
      <c r="AJ197" s="9"/>
      <c r="AK197" s="9" t="s">
        <v>112</v>
      </c>
      <c r="AL197" s="9"/>
      <c r="AM197" s="42">
        <v>517903</v>
      </c>
      <c r="AO197" s="42">
        <v>0</v>
      </c>
      <c r="AQ197" s="42">
        <v>179395</v>
      </c>
      <c r="AS197" s="42">
        <v>74155</v>
      </c>
      <c r="AW197" s="42">
        <v>0</v>
      </c>
      <c r="AY197" s="42">
        <f t="shared" si="25"/>
        <v>11485885</v>
      </c>
      <c r="BA197" s="42">
        <f>+'St of Act - GA Rev'!AI197-'St of Activities - GA Exp'!AY197</f>
        <v>-471443</v>
      </c>
      <c r="BC197" s="42">
        <v>17658697</v>
      </c>
      <c r="BE197" s="42">
        <f t="shared" si="26"/>
        <v>17187254</v>
      </c>
      <c r="BG197" s="42">
        <f>+'St of Net Pos - GA'!AE197-'St of Activities - GA Exp'!BE197</f>
        <v>0</v>
      </c>
    </row>
    <row r="198" spans="1:59">
      <c r="A198" s="9" t="s">
        <v>714</v>
      </c>
      <c r="B198" s="9"/>
      <c r="C198" s="9" t="s">
        <v>56</v>
      </c>
      <c r="D198" s="9"/>
      <c r="E198" s="23">
        <v>49197</v>
      </c>
      <c r="G198" s="42">
        <v>10086466</v>
      </c>
      <c r="I198" s="42">
        <v>1674679</v>
      </c>
      <c r="K198" s="42">
        <v>55258</v>
      </c>
      <c r="M198" s="42">
        <v>30799</v>
      </c>
      <c r="O198" s="42">
        <v>1622</v>
      </c>
      <c r="Q198" s="42">
        <v>840002</v>
      </c>
      <c r="S198" s="42">
        <v>608373</v>
      </c>
      <c r="U198" s="42">
        <v>53279</v>
      </c>
      <c r="W198" s="42">
        <v>2078343</v>
      </c>
      <c r="Y198" s="42">
        <v>589752</v>
      </c>
      <c r="AA198" s="42">
        <v>159039</v>
      </c>
      <c r="AC198" s="42">
        <v>1513306</v>
      </c>
      <c r="AE198" s="42">
        <v>899713</v>
      </c>
      <c r="AG198" s="42">
        <v>71965</v>
      </c>
      <c r="AI198" s="9" t="s">
        <v>714</v>
      </c>
      <c r="AJ198" s="9"/>
      <c r="AK198" s="9" t="s">
        <v>56</v>
      </c>
      <c r="AL198" s="9"/>
      <c r="AM198" s="42">
        <v>696675</v>
      </c>
      <c r="AO198" s="42">
        <v>334</v>
      </c>
      <c r="AQ198" s="42">
        <v>397036</v>
      </c>
      <c r="AS198" s="42">
        <v>1021430</v>
      </c>
      <c r="AW198" s="42">
        <v>177882</v>
      </c>
      <c r="AY198" s="42">
        <f t="shared" si="25"/>
        <v>20955953</v>
      </c>
      <c r="BA198" s="42">
        <f>+'St of Act - GA Rev'!AI198-'St of Activities - GA Exp'!AY198</f>
        <v>5160</v>
      </c>
      <c r="BC198" s="42">
        <v>4160231</v>
      </c>
      <c r="BE198" s="42">
        <f t="shared" si="26"/>
        <v>4165391</v>
      </c>
      <c r="BG198" s="42">
        <f>+'St of Net Pos - GA'!AE198-'St of Activities - GA Exp'!BE198</f>
        <v>0</v>
      </c>
    </row>
    <row r="199" spans="1:59">
      <c r="A199" s="9" t="s">
        <v>335</v>
      </c>
      <c r="B199" s="9"/>
      <c r="C199" s="9" t="s">
        <v>33</v>
      </c>
      <c r="D199" s="9"/>
      <c r="E199" s="23">
        <v>43984</v>
      </c>
      <c r="G199" s="42">
        <v>22985887</v>
      </c>
      <c r="I199" s="42">
        <v>6886178</v>
      </c>
      <c r="K199" s="42">
        <v>2849763</v>
      </c>
      <c r="M199" s="42">
        <v>95473</v>
      </c>
      <c r="O199" s="42">
        <v>5561892</v>
      </c>
      <c r="Q199" s="42">
        <v>3883659</v>
      </c>
      <c r="S199" s="42">
        <v>4450922</v>
      </c>
      <c r="U199" s="42">
        <v>135643</v>
      </c>
      <c r="W199" s="42">
        <v>3730286</v>
      </c>
      <c r="Y199" s="42">
        <v>1383421</v>
      </c>
      <c r="AA199" s="42">
        <v>0</v>
      </c>
      <c r="AC199" s="42">
        <v>3248967</v>
      </c>
      <c r="AE199" s="42">
        <v>2185744</v>
      </c>
      <c r="AG199" s="42">
        <v>117913</v>
      </c>
      <c r="AI199" s="9" t="s">
        <v>335</v>
      </c>
      <c r="AJ199" s="9"/>
      <c r="AK199" s="9" t="s">
        <v>33</v>
      </c>
      <c r="AL199" s="9"/>
      <c r="AM199" s="42">
        <v>1625835</v>
      </c>
      <c r="AO199" s="42">
        <v>649898</v>
      </c>
      <c r="AQ199" s="42">
        <v>1267489</v>
      </c>
      <c r="AS199" s="42">
        <v>2942525</v>
      </c>
      <c r="AW199" s="42">
        <v>0</v>
      </c>
      <c r="AY199" s="42">
        <f t="shared" si="25"/>
        <v>64001495</v>
      </c>
      <c r="BA199" s="42">
        <f>+'St of Act - GA Rev'!AI199-'St of Activities - GA Exp'!AY199</f>
        <v>3466582</v>
      </c>
      <c r="BC199" s="42">
        <v>53644475</v>
      </c>
      <c r="BE199" s="42">
        <f t="shared" si="26"/>
        <v>57111057</v>
      </c>
      <c r="BG199" s="42">
        <f>+'St of Net Pos - GA'!AE199-'St of Activities - GA Exp'!BE199</f>
        <v>0</v>
      </c>
    </row>
    <row r="200" spans="1:59">
      <c r="A200" s="9" t="s">
        <v>320</v>
      </c>
      <c r="B200" s="9"/>
      <c r="C200" s="9" t="s">
        <v>32</v>
      </c>
      <c r="D200" s="9"/>
      <c r="E200" s="23">
        <v>47332</v>
      </c>
      <c r="G200" s="42">
        <v>6669772</v>
      </c>
      <c r="I200" s="42">
        <v>3220555</v>
      </c>
      <c r="K200" s="42">
        <v>19046</v>
      </c>
      <c r="M200" s="42">
        <v>0</v>
      </c>
      <c r="O200" s="42">
        <v>1056867</v>
      </c>
      <c r="Q200" s="42">
        <v>1397122</v>
      </c>
      <c r="S200" s="42">
        <v>297195</v>
      </c>
      <c r="U200" s="42">
        <v>0</v>
      </c>
      <c r="W200" s="42">
        <f>36433+1242060</f>
        <v>1278493</v>
      </c>
      <c r="Y200" s="42">
        <v>501656</v>
      </c>
      <c r="AA200" s="42">
        <v>366125</v>
      </c>
      <c r="AC200" s="42">
        <v>1575020</v>
      </c>
      <c r="AE200" s="42">
        <v>986069</v>
      </c>
      <c r="AG200" s="42">
        <v>242391</v>
      </c>
      <c r="AI200" s="9" t="s">
        <v>320</v>
      </c>
      <c r="AJ200" s="9"/>
      <c r="AK200" s="9" t="s">
        <v>32</v>
      </c>
      <c r="AL200" s="9"/>
      <c r="AM200" s="42">
        <v>0</v>
      </c>
      <c r="AO200" s="42">
        <v>1772298</v>
      </c>
      <c r="AQ200" s="42">
        <v>529158</v>
      </c>
      <c r="AS200" s="42">
        <v>348073</v>
      </c>
      <c r="AW200" s="42">
        <v>0</v>
      </c>
      <c r="AY200" s="42">
        <f t="shared" si="25"/>
        <v>20259840</v>
      </c>
      <c r="BA200" s="42">
        <f>+'St of Act - GA Rev'!AI200-'St of Activities - GA Exp'!AY200</f>
        <v>1117014</v>
      </c>
      <c r="BC200" s="42">
        <v>5549884</v>
      </c>
      <c r="BE200" s="42">
        <f t="shared" si="26"/>
        <v>6666898</v>
      </c>
      <c r="BG200" s="42">
        <f>+'St of Net Pos - GA'!AE200-'St of Activities - GA Exp'!BE200</f>
        <v>0</v>
      </c>
    </row>
    <row r="201" spans="1:59">
      <c r="A201" s="9" t="s">
        <v>382</v>
      </c>
      <c r="B201" s="9"/>
      <c r="C201" s="9" t="s">
        <v>44</v>
      </c>
      <c r="D201" s="9"/>
      <c r="E201" s="23">
        <v>48157</v>
      </c>
      <c r="G201" s="42">
        <v>7181967</v>
      </c>
      <c r="I201" s="42">
        <v>1813365</v>
      </c>
      <c r="K201" s="42">
        <v>239901</v>
      </c>
      <c r="M201" s="42">
        <v>0</v>
      </c>
      <c r="O201" s="42">
        <v>1635931</v>
      </c>
      <c r="Q201" s="42">
        <v>1132572</v>
      </c>
      <c r="S201" s="42">
        <v>494194</v>
      </c>
      <c r="U201" s="42">
        <v>24645</v>
      </c>
      <c r="W201" s="42">
        <v>1395230</v>
      </c>
      <c r="Y201" s="42">
        <v>456154</v>
      </c>
      <c r="AA201" s="42">
        <v>0</v>
      </c>
      <c r="AC201" s="42">
        <v>1304331</v>
      </c>
      <c r="AE201" s="42">
        <v>1267862</v>
      </c>
      <c r="AG201" s="42">
        <v>401655</v>
      </c>
      <c r="AI201" s="9" t="s">
        <v>382</v>
      </c>
      <c r="AJ201" s="9"/>
      <c r="AK201" s="9" t="s">
        <v>44</v>
      </c>
      <c r="AL201" s="9"/>
      <c r="AM201" s="42">
        <v>691171</v>
      </c>
      <c r="AO201" s="42">
        <v>28428</v>
      </c>
      <c r="AQ201" s="42">
        <v>509992</v>
      </c>
      <c r="AS201" s="42">
        <v>61381</v>
      </c>
      <c r="AW201" s="42">
        <v>0</v>
      </c>
      <c r="AY201" s="42">
        <f t="shared" si="25"/>
        <v>18638779</v>
      </c>
      <c r="BA201" s="42">
        <f>+'St of Act - GA Rev'!AI201-'St of Activities - GA Exp'!AY201</f>
        <v>1154177</v>
      </c>
      <c r="BC201" s="42">
        <v>5887167</v>
      </c>
      <c r="BE201" s="42">
        <f t="shared" si="26"/>
        <v>7041344</v>
      </c>
      <c r="BG201" s="42">
        <f>+'St of Net Pos - GA'!AE201-'St of Activities - GA Exp'!BE201</f>
        <v>0</v>
      </c>
    </row>
    <row r="202" spans="1:59">
      <c r="A202" s="9" t="s">
        <v>321</v>
      </c>
      <c r="B202" s="9"/>
      <c r="C202" s="9" t="s">
        <v>32</v>
      </c>
      <c r="D202" s="9"/>
      <c r="E202" s="23">
        <v>47340</v>
      </c>
      <c r="G202" s="42">
        <v>34752267</v>
      </c>
      <c r="I202" s="42">
        <v>10254995</v>
      </c>
      <c r="K202" s="42">
        <v>0</v>
      </c>
      <c r="M202" s="42">
        <v>0</v>
      </c>
      <c r="O202" s="42">
        <v>1350989</v>
      </c>
      <c r="Q202" s="42">
        <v>5006848</v>
      </c>
      <c r="S202" s="42">
        <v>4137106</v>
      </c>
      <c r="U202" s="42">
        <v>37757</v>
      </c>
      <c r="W202" s="42">
        <v>4927505</v>
      </c>
      <c r="Y202" s="42">
        <v>1332449</v>
      </c>
      <c r="AA202" s="42">
        <v>219268</v>
      </c>
      <c r="AC202" s="42">
        <v>5920586</v>
      </c>
      <c r="AE202" s="42">
        <v>4144193</v>
      </c>
      <c r="AG202" s="42">
        <v>771289</v>
      </c>
      <c r="AI202" s="9" t="s">
        <v>321</v>
      </c>
      <c r="AJ202" s="9"/>
      <c r="AK202" s="9" t="s">
        <v>32</v>
      </c>
      <c r="AL202" s="9"/>
      <c r="AM202" s="42">
        <v>2122045</v>
      </c>
      <c r="AO202" s="42">
        <v>823962</v>
      </c>
      <c r="AQ202" s="42">
        <v>2208187</v>
      </c>
      <c r="AS202" s="42">
        <v>284308</v>
      </c>
      <c r="AW202" s="42">
        <v>0</v>
      </c>
      <c r="AY202" s="42">
        <f t="shared" si="25"/>
        <v>78293754</v>
      </c>
      <c r="BA202" s="42">
        <f>+'St of Act - GA Rev'!AI202-'St of Activities - GA Exp'!AY202</f>
        <v>2618831</v>
      </c>
      <c r="BC202" s="42">
        <v>40183614</v>
      </c>
      <c r="BE202" s="42">
        <f t="shared" si="26"/>
        <v>42802445</v>
      </c>
      <c r="BG202" s="42">
        <f>+'St of Net Pos - GA'!AE202-'St of Activities - GA Exp'!BE202</f>
        <v>0</v>
      </c>
    </row>
    <row r="203" spans="1:59" hidden="1">
      <c r="A203" s="9" t="s">
        <v>611</v>
      </c>
      <c r="B203" s="9"/>
      <c r="C203" s="9" t="s">
        <v>70</v>
      </c>
      <c r="D203" s="9"/>
      <c r="E203" s="23">
        <v>50484</v>
      </c>
      <c r="G203" s="42">
        <v>0</v>
      </c>
      <c r="I203" s="42">
        <v>0</v>
      </c>
      <c r="K203" s="42">
        <v>0</v>
      </c>
      <c r="M203" s="42">
        <v>0</v>
      </c>
      <c r="O203" s="42">
        <v>0</v>
      </c>
      <c r="Q203" s="42">
        <v>0</v>
      </c>
      <c r="S203" s="42">
        <v>0</v>
      </c>
      <c r="U203" s="42">
        <v>0</v>
      </c>
      <c r="W203" s="42">
        <v>0</v>
      </c>
      <c r="Y203" s="42">
        <v>0</v>
      </c>
      <c r="AA203" s="42">
        <v>0</v>
      </c>
      <c r="AC203" s="42">
        <v>0</v>
      </c>
      <c r="AE203" s="42">
        <v>0</v>
      </c>
      <c r="AG203" s="42">
        <v>0</v>
      </c>
      <c r="AI203" s="9" t="s">
        <v>611</v>
      </c>
      <c r="AJ203" s="9"/>
      <c r="AK203" s="9" t="s">
        <v>70</v>
      </c>
      <c r="AL203" s="9"/>
      <c r="AM203" s="42">
        <v>0</v>
      </c>
      <c r="AO203" s="42">
        <v>0</v>
      </c>
      <c r="AQ203" s="42">
        <v>0</v>
      </c>
      <c r="AS203" s="42">
        <v>0</v>
      </c>
      <c r="AW203" s="42">
        <v>0</v>
      </c>
      <c r="AY203" s="42">
        <f t="shared" si="25"/>
        <v>0</v>
      </c>
      <c r="BA203" s="42">
        <f>+'St of Act - GA Rev'!AI203-'St of Activities - GA Exp'!AY203</f>
        <v>0</v>
      </c>
      <c r="BC203" s="42">
        <v>0</v>
      </c>
      <c r="BE203" s="42">
        <f t="shared" si="26"/>
        <v>0</v>
      </c>
      <c r="BG203" s="42">
        <f>+'St of Net Pos - GA'!AE203-'St of Activities - GA Exp'!BE203</f>
        <v>0</v>
      </c>
    </row>
    <row r="204" spans="1:59">
      <c r="A204" s="9" t="s">
        <v>486</v>
      </c>
      <c r="B204" s="9"/>
      <c r="C204" s="9" t="s">
        <v>61</v>
      </c>
      <c r="D204" s="9"/>
      <c r="E204" s="23">
        <v>49783</v>
      </c>
      <c r="G204" s="42">
        <v>3978154</v>
      </c>
      <c r="I204" s="42">
        <v>794462</v>
      </c>
      <c r="K204" s="42">
        <v>14510</v>
      </c>
      <c r="M204" s="42">
        <v>0</v>
      </c>
      <c r="O204" s="42">
        <v>0</v>
      </c>
      <c r="Q204" s="42">
        <v>753627</v>
      </c>
      <c r="S204" s="42">
        <v>85629</v>
      </c>
      <c r="U204" s="42">
        <v>22573</v>
      </c>
      <c r="W204" s="42">
        <v>534127</v>
      </c>
      <c r="Y204" s="42">
        <v>250224</v>
      </c>
      <c r="AA204" s="42">
        <v>742</v>
      </c>
      <c r="AC204" s="42">
        <v>720482</v>
      </c>
      <c r="AE204" s="42">
        <v>283901</v>
      </c>
      <c r="AG204" s="42">
        <v>67970</v>
      </c>
      <c r="AI204" s="9" t="s">
        <v>486</v>
      </c>
      <c r="AJ204" s="9"/>
      <c r="AK204" s="9" t="s">
        <v>61</v>
      </c>
      <c r="AL204" s="9"/>
      <c r="AM204" s="42">
        <v>0</v>
      </c>
      <c r="AO204" s="42">
        <v>399699</v>
      </c>
      <c r="AQ204" s="42">
        <v>492327</v>
      </c>
      <c r="AS204" s="42">
        <v>627262</v>
      </c>
      <c r="AW204" s="42">
        <v>0</v>
      </c>
      <c r="AY204" s="42">
        <f t="shared" si="25"/>
        <v>9025689</v>
      </c>
      <c r="BA204" s="42">
        <f>+'St of Act - GA Rev'!AI204-'St of Activities - GA Exp'!AY204</f>
        <v>120417</v>
      </c>
      <c r="BC204" s="42">
        <v>16755723</v>
      </c>
      <c r="BE204" s="42">
        <f t="shared" si="26"/>
        <v>16876140</v>
      </c>
      <c r="BG204" s="42">
        <f>+'St of Net Pos - GA'!AE204-'St of Activities - GA Exp'!BE204</f>
        <v>0</v>
      </c>
    </row>
    <row r="205" spans="1:59" hidden="1">
      <c r="A205" s="9" t="s">
        <v>758</v>
      </c>
      <c r="B205" s="9"/>
      <c r="C205" s="9" t="s">
        <v>419</v>
      </c>
      <c r="D205" s="9"/>
      <c r="E205" s="23">
        <v>48595</v>
      </c>
      <c r="G205" s="42">
        <v>0</v>
      </c>
      <c r="I205" s="42">
        <v>0</v>
      </c>
      <c r="K205" s="42">
        <v>0</v>
      </c>
      <c r="M205" s="42">
        <v>0</v>
      </c>
      <c r="O205" s="42">
        <v>0</v>
      </c>
      <c r="Q205" s="42">
        <v>0</v>
      </c>
      <c r="S205" s="42">
        <v>0</v>
      </c>
      <c r="U205" s="42">
        <v>0</v>
      </c>
      <c r="W205" s="42">
        <v>0</v>
      </c>
      <c r="Y205" s="42">
        <v>0</v>
      </c>
      <c r="AA205" s="42">
        <v>0</v>
      </c>
      <c r="AC205" s="42">
        <v>0</v>
      </c>
      <c r="AE205" s="42">
        <v>0</v>
      </c>
      <c r="AG205" s="42">
        <v>0</v>
      </c>
      <c r="AI205" s="9" t="s">
        <v>758</v>
      </c>
      <c r="AJ205" s="9"/>
      <c r="AK205" s="9" t="s">
        <v>419</v>
      </c>
      <c r="AL205" s="9"/>
      <c r="AM205" s="42">
        <v>0</v>
      </c>
      <c r="AO205" s="42">
        <v>0</v>
      </c>
      <c r="AQ205" s="42">
        <v>0</v>
      </c>
      <c r="AS205" s="42">
        <v>0</v>
      </c>
      <c r="AW205" s="42">
        <v>0</v>
      </c>
      <c r="AY205" s="42">
        <f t="shared" si="25"/>
        <v>0</v>
      </c>
      <c r="BA205" s="42">
        <f>+'St of Act - GA Rev'!AI205-'St of Activities - GA Exp'!AY205</f>
        <v>0</v>
      </c>
      <c r="BC205" s="42">
        <v>0</v>
      </c>
      <c r="BE205" s="42">
        <f t="shared" si="26"/>
        <v>0</v>
      </c>
      <c r="BG205" s="42">
        <f>+'St of Net Pos - GA'!AE205-'St of Activities - GA Exp'!BE205</f>
        <v>0</v>
      </c>
    </row>
    <row r="206" spans="1:59" hidden="1">
      <c r="A206" s="9" t="s">
        <v>741</v>
      </c>
      <c r="B206" s="9"/>
      <c r="C206" s="9" t="s">
        <v>60</v>
      </c>
      <c r="D206" s="9"/>
      <c r="E206" s="23">
        <v>43992</v>
      </c>
      <c r="G206" s="42">
        <v>0</v>
      </c>
      <c r="I206" s="42">
        <v>0</v>
      </c>
      <c r="K206" s="42">
        <v>0</v>
      </c>
      <c r="M206" s="42">
        <v>0</v>
      </c>
      <c r="O206" s="42">
        <v>0</v>
      </c>
      <c r="Q206" s="42">
        <v>0</v>
      </c>
      <c r="S206" s="42">
        <v>0</v>
      </c>
      <c r="U206" s="42">
        <v>0</v>
      </c>
      <c r="W206" s="42">
        <v>0</v>
      </c>
      <c r="Y206" s="42">
        <v>0</v>
      </c>
      <c r="AA206" s="42">
        <v>0</v>
      </c>
      <c r="AC206" s="42">
        <v>0</v>
      </c>
      <c r="AE206" s="42">
        <v>0</v>
      </c>
      <c r="AG206" s="42">
        <v>0</v>
      </c>
      <c r="AI206" s="9" t="s">
        <v>741</v>
      </c>
      <c r="AJ206" s="9"/>
      <c r="AK206" s="9" t="s">
        <v>60</v>
      </c>
      <c r="AL206" s="9"/>
      <c r="AM206" s="42">
        <v>0</v>
      </c>
      <c r="AO206" s="42">
        <v>0</v>
      </c>
      <c r="AQ206" s="42">
        <v>0</v>
      </c>
      <c r="AS206" s="42">
        <v>0</v>
      </c>
      <c r="AW206" s="42">
        <v>0</v>
      </c>
      <c r="AY206" s="42">
        <f t="shared" si="25"/>
        <v>0</v>
      </c>
      <c r="BA206" s="42">
        <f>+'St of Act - GA Rev'!AI206-'St of Activities - GA Exp'!AY206</f>
        <v>0</v>
      </c>
      <c r="BC206" s="42">
        <v>0</v>
      </c>
      <c r="BE206" s="42">
        <f t="shared" si="26"/>
        <v>0</v>
      </c>
      <c r="BG206" s="42">
        <f>+'St of Net Pos - GA'!AE206-'St of Activities - GA Exp'!BE206</f>
        <v>0</v>
      </c>
    </row>
    <row r="207" spans="1:59">
      <c r="A207" s="9" t="s">
        <v>540</v>
      </c>
      <c r="B207" s="9"/>
      <c r="C207" s="9" t="s">
        <v>69</v>
      </c>
      <c r="D207" s="9"/>
      <c r="E207" s="23">
        <v>44008</v>
      </c>
      <c r="G207" s="42">
        <v>14819445</v>
      </c>
      <c r="I207" s="42">
        <v>4014906</v>
      </c>
      <c r="K207" s="42">
        <v>284679</v>
      </c>
      <c r="M207" s="42">
        <v>0</v>
      </c>
      <c r="O207" s="42">
        <f>318+70833</f>
        <v>71151</v>
      </c>
      <c r="Q207" s="42">
        <v>1551159</v>
      </c>
      <c r="S207" s="42">
        <v>1565773</v>
      </c>
      <c r="U207" s="42">
        <v>34767</v>
      </c>
      <c r="W207" s="42">
        <v>2144721</v>
      </c>
      <c r="Y207" s="42">
        <v>579033</v>
      </c>
      <c r="AA207" s="42">
        <v>171686</v>
      </c>
      <c r="AC207" s="42">
        <v>2412655</v>
      </c>
      <c r="AE207" s="42">
        <v>1267029</v>
      </c>
      <c r="AG207" s="42">
        <v>417246</v>
      </c>
      <c r="AI207" s="9" t="s">
        <v>540</v>
      </c>
      <c r="AJ207" s="9"/>
      <c r="AK207" s="9" t="s">
        <v>69</v>
      </c>
      <c r="AL207" s="9"/>
      <c r="AM207" s="42">
        <v>0</v>
      </c>
      <c r="AO207" s="42">
        <v>1799593</v>
      </c>
      <c r="AQ207" s="42">
        <v>868663</v>
      </c>
      <c r="AS207" s="42">
        <v>288891</v>
      </c>
      <c r="AW207" s="42">
        <v>0</v>
      </c>
      <c r="AY207" s="42">
        <f t="shared" si="25"/>
        <v>32291397</v>
      </c>
      <c r="BA207" s="42">
        <f>+'St of Act - GA Rev'!AI207-'St of Activities - GA Exp'!AY207</f>
        <v>321087</v>
      </c>
      <c r="BC207" s="42">
        <v>16161326</v>
      </c>
      <c r="BE207" s="42">
        <f t="shared" si="26"/>
        <v>16482413</v>
      </c>
      <c r="BG207" s="42">
        <f>+'St of Net Pos - GA'!AE207-'St of Activities - GA Exp'!BE207</f>
        <v>0</v>
      </c>
    </row>
    <row r="208" spans="1:59">
      <c r="A208" s="9" t="s">
        <v>441</v>
      </c>
      <c r="B208" s="9"/>
      <c r="C208" s="9" t="s">
        <v>51</v>
      </c>
      <c r="D208" s="9"/>
      <c r="E208" s="23">
        <v>48843</v>
      </c>
      <c r="G208" s="42">
        <v>13788367</v>
      </c>
      <c r="I208" s="42">
        <v>2565648</v>
      </c>
      <c r="K208" s="42">
        <v>133572</v>
      </c>
      <c r="M208" s="42">
        <v>0</v>
      </c>
      <c r="O208" s="42">
        <v>225604</v>
      </c>
      <c r="Q208" s="42">
        <v>781359</v>
      </c>
      <c r="S208" s="42">
        <v>749543</v>
      </c>
      <c r="U208" s="42">
        <v>109326</v>
      </c>
      <c r="W208" s="42">
        <v>1543589</v>
      </c>
      <c r="Y208" s="42">
        <v>462427</v>
      </c>
      <c r="AA208" s="42">
        <v>0</v>
      </c>
      <c r="AC208" s="42">
        <v>2299062</v>
      </c>
      <c r="AE208" s="42">
        <v>1730019</v>
      </c>
      <c r="AG208" s="42">
        <v>186508</v>
      </c>
      <c r="AI208" s="9" t="s">
        <v>441</v>
      </c>
      <c r="AJ208" s="9"/>
      <c r="AK208" s="9" t="s">
        <v>51</v>
      </c>
      <c r="AL208" s="9"/>
      <c r="AM208" s="42">
        <v>1344185</v>
      </c>
      <c r="AO208" s="42">
        <v>2762</v>
      </c>
      <c r="AQ208" s="42">
        <v>640811</v>
      </c>
      <c r="AS208" s="42">
        <v>247740</v>
      </c>
      <c r="AW208" s="42">
        <v>0</v>
      </c>
      <c r="AY208" s="42">
        <f t="shared" si="25"/>
        <v>26810522</v>
      </c>
      <c r="BA208" s="42">
        <f>+'St of Act - GA Rev'!AI208-'St of Activities - GA Exp'!AY208</f>
        <v>-691920</v>
      </c>
      <c r="BC208" s="42">
        <v>43588424</v>
      </c>
      <c r="BE208" s="42">
        <f t="shared" si="26"/>
        <v>42896504</v>
      </c>
      <c r="BG208" s="42">
        <f>+'St of Net Pos - GA'!AE208-'St of Activities - GA Exp'!BE208</f>
        <v>0</v>
      </c>
    </row>
    <row r="209" spans="1:59" ht="12" hidden="1" customHeight="1">
      <c r="A209" s="9" t="s">
        <v>610</v>
      </c>
      <c r="B209" s="9"/>
      <c r="C209" s="9" t="s">
        <v>21</v>
      </c>
      <c r="D209" s="9"/>
      <c r="E209" s="23">
        <v>46649</v>
      </c>
      <c r="G209" s="42">
        <v>0</v>
      </c>
      <c r="I209" s="42">
        <v>0</v>
      </c>
      <c r="K209" s="42">
        <v>0</v>
      </c>
      <c r="M209" s="42">
        <v>0</v>
      </c>
      <c r="O209" s="42">
        <v>0</v>
      </c>
      <c r="Q209" s="42">
        <v>0</v>
      </c>
      <c r="S209" s="42">
        <v>0</v>
      </c>
      <c r="U209" s="42">
        <v>0</v>
      </c>
      <c r="W209" s="42">
        <v>0</v>
      </c>
      <c r="Y209" s="42">
        <v>0</v>
      </c>
      <c r="AA209" s="42">
        <v>0</v>
      </c>
      <c r="AC209" s="42">
        <v>0</v>
      </c>
      <c r="AE209" s="42">
        <v>0</v>
      </c>
      <c r="AG209" s="42">
        <v>0</v>
      </c>
      <c r="AI209" s="9" t="s">
        <v>610</v>
      </c>
      <c r="AJ209" s="9"/>
      <c r="AK209" s="9" t="s">
        <v>21</v>
      </c>
      <c r="AL209" s="9"/>
      <c r="AM209" s="42">
        <v>0</v>
      </c>
      <c r="AO209" s="42">
        <v>0</v>
      </c>
      <c r="AQ209" s="42">
        <v>0</v>
      </c>
      <c r="AS209" s="42">
        <v>0</v>
      </c>
      <c r="AW209" s="42">
        <v>0</v>
      </c>
      <c r="AY209" s="42">
        <f t="shared" si="25"/>
        <v>0</v>
      </c>
      <c r="BA209" s="42">
        <f>+'St of Act - GA Rev'!AI209-'St of Activities - GA Exp'!AY209</f>
        <v>0</v>
      </c>
      <c r="BC209" s="42">
        <v>0</v>
      </c>
      <c r="BE209" s="42">
        <f t="shared" si="26"/>
        <v>0</v>
      </c>
      <c r="BG209" s="42">
        <f>+'St of Net Pos - GA'!AE209-'St of Activities - GA Exp'!BE209</f>
        <v>0</v>
      </c>
    </row>
    <row r="210" spans="1:59" hidden="1">
      <c r="A210" s="9" t="s">
        <v>659</v>
      </c>
      <c r="B210" s="9"/>
      <c r="C210" s="9" t="s">
        <v>40</v>
      </c>
      <c r="D210" s="9"/>
      <c r="E210" s="23">
        <v>47852</v>
      </c>
      <c r="G210" s="42">
        <v>0</v>
      </c>
      <c r="I210" s="42">
        <v>0</v>
      </c>
      <c r="K210" s="42">
        <v>0</v>
      </c>
      <c r="M210" s="42">
        <v>0</v>
      </c>
      <c r="O210" s="42">
        <v>0</v>
      </c>
      <c r="Q210" s="42">
        <v>0</v>
      </c>
      <c r="S210" s="42">
        <v>0</v>
      </c>
      <c r="U210" s="42">
        <v>0</v>
      </c>
      <c r="W210" s="42">
        <v>0</v>
      </c>
      <c r="Y210" s="42">
        <v>0</v>
      </c>
      <c r="AA210" s="42">
        <v>0</v>
      </c>
      <c r="AC210" s="42">
        <v>0</v>
      </c>
      <c r="AE210" s="42">
        <v>0</v>
      </c>
      <c r="AG210" s="42">
        <v>0</v>
      </c>
      <c r="AI210" s="9" t="s">
        <v>659</v>
      </c>
      <c r="AJ210" s="9"/>
      <c r="AK210" s="9" t="s">
        <v>40</v>
      </c>
      <c r="AL210" s="9"/>
      <c r="AM210" s="42">
        <v>0</v>
      </c>
      <c r="AO210" s="42">
        <v>0</v>
      </c>
      <c r="AQ210" s="42">
        <v>0</v>
      </c>
      <c r="AS210" s="42">
        <v>0</v>
      </c>
      <c r="AW210" s="42">
        <v>0</v>
      </c>
      <c r="AY210" s="42">
        <f t="shared" si="25"/>
        <v>0</v>
      </c>
      <c r="BA210" s="42">
        <f>+'St of Act - GA Rev'!AI210-'St of Activities - GA Exp'!AY210</f>
        <v>0</v>
      </c>
      <c r="BC210" s="42">
        <v>0</v>
      </c>
      <c r="BE210" s="42">
        <f t="shared" si="26"/>
        <v>0</v>
      </c>
      <c r="BG210" s="42">
        <f>+'St of Net Pos - GA'!AE210-'St of Activities - GA Exp'!BE210</f>
        <v>0</v>
      </c>
    </row>
    <row r="211" spans="1:59" ht="12" customHeight="1">
      <c r="A211" s="9" t="s">
        <v>639</v>
      </c>
      <c r="B211" s="9"/>
      <c r="C211" s="9" t="s">
        <v>79</v>
      </c>
      <c r="D211" s="9"/>
      <c r="E211" s="23">
        <v>44016</v>
      </c>
      <c r="G211" s="42">
        <v>19040730</v>
      </c>
      <c r="I211" s="42">
        <v>6102927</v>
      </c>
      <c r="K211" s="42">
        <v>109303</v>
      </c>
      <c r="M211" s="42">
        <v>0</v>
      </c>
      <c r="O211" s="42">
        <v>237810</v>
      </c>
      <c r="Q211" s="42">
        <v>2542356</v>
      </c>
      <c r="S211" s="42">
        <v>2201414</v>
      </c>
      <c r="U211" s="42">
        <v>67830</v>
      </c>
      <c r="W211" s="42">
        <v>3249380</v>
      </c>
      <c r="Y211" s="42">
        <v>795760</v>
      </c>
      <c r="AA211" s="42">
        <v>153085</v>
      </c>
      <c r="AC211" s="42">
        <v>4170792</v>
      </c>
      <c r="AE211" s="42">
        <v>1673877</v>
      </c>
      <c r="AG211" s="42">
        <v>529726</v>
      </c>
      <c r="AI211" s="9" t="s">
        <v>639</v>
      </c>
      <c r="AJ211" s="9"/>
      <c r="AK211" s="9" t="s">
        <v>79</v>
      </c>
      <c r="AL211" s="9"/>
      <c r="AM211" s="42">
        <v>0</v>
      </c>
      <c r="AO211" s="42">
        <v>2104721</v>
      </c>
      <c r="AQ211" s="42">
        <v>973516</v>
      </c>
      <c r="AS211" s="42">
        <v>835053</v>
      </c>
      <c r="AW211" s="42">
        <v>0</v>
      </c>
      <c r="AY211" s="42">
        <f t="shared" si="25"/>
        <v>44788280</v>
      </c>
      <c r="BA211" s="42">
        <f>+'St of Act - GA Rev'!AI211-'St of Activities - GA Exp'!AY211</f>
        <v>-7004613</v>
      </c>
      <c r="BC211" s="42">
        <v>39294795</v>
      </c>
      <c r="BE211" s="42">
        <f t="shared" si="26"/>
        <v>32290182</v>
      </c>
      <c r="BG211" s="42">
        <f>+'St of Net Pos - GA'!AE211-'St of Activities - GA Exp'!BE211</f>
        <v>0</v>
      </c>
    </row>
    <row r="212" spans="1:59">
      <c r="A212" s="9" t="s">
        <v>544</v>
      </c>
      <c r="B212" s="9"/>
      <c r="C212" s="9" t="s">
        <v>70</v>
      </c>
      <c r="D212" s="9"/>
      <c r="E212" s="23">
        <v>50492</v>
      </c>
      <c r="G212" s="42">
        <v>3811119</v>
      </c>
      <c r="I212" s="42">
        <v>1217827</v>
      </c>
      <c r="K212" s="42">
        <v>216852</v>
      </c>
      <c r="M212" s="42">
        <v>250</v>
      </c>
      <c r="O212" s="42">
        <v>0</v>
      </c>
      <c r="Q212" s="42">
        <v>302311</v>
      </c>
      <c r="S212" s="42">
        <v>110320</v>
      </c>
      <c r="U212" s="42">
        <v>28200</v>
      </c>
      <c r="W212" s="42">
        <v>954480</v>
      </c>
      <c r="Y212" s="42">
        <v>285296</v>
      </c>
      <c r="AA212" s="42">
        <v>19</v>
      </c>
      <c r="AC212" s="42">
        <v>1384293</v>
      </c>
      <c r="AE212" s="42">
        <v>738725</v>
      </c>
      <c r="AG212" s="42">
        <v>13386</v>
      </c>
      <c r="AI212" s="9" t="s">
        <v>544</v>
      </c>
      <c r="AJ212" s="9"/>
      <c r="AK212" s="9" t="s">
        <v>70</v>
      </c>
      <c r="AL212" s="9"/>
      <c r="AM212" s="42">
        <v>382223</v>
      </c>
      <c r="AO212" s="42">
        <v>0</v>
      </c>
      <c r="AQ212" s="42">
        <v>154604</v>
      </c>
      <c r="AS212" s="42">
        <v>105949</v>
      </c>
      <c r="AW212" s="42">
        <v>0</v>
      </c>
      <c r="AY212" s="42">
        <f t="shared" si="25"/>
        <v>9705854</v>
      </c>
      <c r="BA212" s="42">
        <f>+'St of Act - GA Rev'!AI212-'St of Activities - GA Exp'!AY212</f>
        <v>-1527175</v>
      </c>
      <c r="BC212" s="42">
        <v>18118893</v>
      </c>
      <c r="BE212" s="42">
        <f t="shared" si="26"/>
        <v>16591718</v>
      </c>
      <c r="BG212" s="42">
        <f>+'St of Net Pos - GA'!AE212-'St of Activities - GA Exp'!BE212</f>
        <v>0</v>
      </c>
    </row>
    <row r="213" spans="1:59" ht="12" customHeight="1">
      <c r="A213" s="9" t="s">
        <v>636</v>
      </c>
      <c r="B213" s="9"/>
      <c r="C213" s="9" t="s">
        <v>27</v>
      </c>
      <c r="D213" s="9"/>
      <c r="E213" s="23">
        <v>46961</v>
      </c>
      <c r="G213" s="42">
        <v>41222832</v>
      </c>
      <c r="I213" s="42">
        <v>12163955</v>
      </c>
      <c r="K213" s="42">
        <v>818721</v>
      </c>
      <c r="M213" s="42">
        <v>0</v>
      </c>
      <c r="O213" s="42">
        <v>0</v>
      </c>
      <c r="Q213" s="42">
        <v>3756347</v>
      </c>
      <c r="S213" s="42">
        <v>3559035</v>
      </c>
      <c r="U213" s="42">
        <v>516273</v>
      </c>
      <c r="W213" s="42">
        <v>6948261</v>
      </c>
      <c r="Y213" s="42">
        <v>1839018</v>
      </c>
      <c r="AA213" s="42">
        <v>65646</v>
      </c>
      <c r="AC213" s="42">
        <v>5961655</v>
      </c>
      <c r="AE213" s="42">
        <v>3178241</v>
      </c>
      <c r="AG213" s="42">
        <v>431896</v>
      </c>
      <c r="AI213" s="9" t="s">
        <v>636</v>
      </c>
      <c r="AJ213" s="9"/>
      <c r="AK213" s="9" t="s">
        <v>27</v>
      </c>
      <c r="AL213" s="9"/>
      <c r="AM213" s="42">
        <v>2385304</v>
      </c>
      <c r="AO213" s="42">
        <v>1776579</v>
      </c>
      <c r="AQ213" s="42">
        <v>1392728</v>
      </c>
      <c r="AS213" s="42">
        <v>1392584</v>
      </c>
      <c r="AW213" s="42">
        <v>167733</v>
      </c>
      <c r="AY213" s="42">
        <f t="shared" si="25"/>
        <v>87576808</v>
      </c>
      <c r="BA213" s="42">
        <f>+'St of Act - GA Rev'!AI213-'St of Activities - GA Exp'!AY213</f>
        <v>-2291279</v>
      </c>
      <c r="BC213" s="42">
        <v>40152690</v>
      </c>
      <c r="BE213" s="42">
        <f t="shared" si="26"/>
        <v>37861411</v>
      </c>
      <c r="BG213" s="42">
        <f>+'St of Net Pos - GA'!AE213-'St of Activities - GA Exp'!BE213</f>
        <v>0</v>
      </c>
    </row>
    <row r="214" spans="1:59">
      <c r="A214" s="9" t="s">
        <v>257</v>
      </c>
      <c r="B214" s="9"/>
      <c r="C214" s="9" t="s">
        <v>110</v>
      </c>
      <c r="D214" s="9"/>
      <c r="E214" s="23">
        <v>44024</v>
      </c>
      <c r="G214" s="42">
        <v>8942661</v>
      </c>
      <c r="I214" s="42">
        <v>3007645</v>
      </c>
      <c r="K214" s="42">
        <v>97139</v>
      </c>
      <c r="M214" s="42">
        <v>0</v>
      </c>
      <c r="O214" s="42">
        <v>0</v>
      </c>
      <c r="Q214" s="42">
        <v>871356</v>
      </c>
      <c r="S214" s="42">
        <v>739118</v>
      </c>
      <c r="U214" s="42">
        <v>80166</v>
      </c>
      <c r="W214" s="42">
        <v>1289764</v>
      </c>
      <c r="Y214" s="42">
        <v>453781</v>
      </c>
      <c r="AA214" s="42">
        <v>0</v>
      </c>
      <c r="AC214" s="42">
        <v>1696916</v>
      </c>
      <c r="AE214" s="42">
        <v>778503</v>
      </c>
      <c r="AG214" s="42">
        <v>182150</v>
      </c>
      <c r="AI214" s="9" t="s">
        <v>257</v>
      </c>
      <c r="AJ214" s="9"/>
      <c r="AK214" s="9" t="s">
        <v>110</v>
      </c>
      <c r="AL214" s="9"/>
      <c r="AM214" s="42">
        <v>0</v>
      </c>
      <c r="AO214" s="42">
        <v>1341837</v>
      </c>
      <c r="AQ214" s="42">
        <v>643399</v>
      </c>
      <c r="AS214" s="42">
        <v>1043573</v>
      </c>
      <c r="AW214" s="42">
        <v>0</v>
      </c>
      <c r="AY214" s="42">
        <f t="shared" si="25"/>
        <v>21168008</v>
      </c>
      <c r="BA214" s="42">
        <f>+'St of Act - GA Rev'!AI214-'St of Activities - GA Exp'!AY214</f>
        <v>-1364091</v>
      </c>
      <c r="BC214" s="42">
        <v>40950744</v>
      </c>
      <c r="BE214" s="42">
        <f t="shared" si="26"/>
        <v>39586653</v>
      </c>
      <c r="BG214" s="42">
        <f>+'St of Net Pos - GA'!AE214-'St of Activities - GA Exp'!BE214</f>
        <v>0</v>
      </c>
    </row>
    <row r="215" spans="1:59" ht="12" customHeight="1">
      <c r="A215" s="9" t="s">
        <v>637</v>
      </c>
      <c r="B215" s="9"/>
      <c r="C215" s="9" t="s">
        <v>29</v>
      </c>
      <c r="D215" s="9"/>
      <c r="E215" s="23">
        <v>65680</v>
      </c>
      <c r="G215" s="42">
        <v>10066267</v>
      </c>
      <c r="I215" s="42">
        <v>2796229</v>
      </c>
      <c r="K215" s="42">
        <v>452068</v>
      </c>
      <c r="M215" s="42">
        <v>0</v>
      </c>
      <c r="O215" s="42">
        <v>2018128</v>
      </c>
      <c r="Q215" s="42">
        <v>544767</v>
      </c>
      <c r="S215" s="42">
        <v>1085800</v>
      </c>
      <c r="U215" s="42">
        <v>159528</v>
      </c>
      <c r="W215" s="42">
        <v>1743885</v>
      </c>
      <c r="Y215" s="42">
        <v>718294</v>
      </c>
      <c r="AA215" s="42">
        <v>31263</v>
      </c>
      <c r="AC215" s="42">
        <v>2377548</v>
      </c>
      <c r="AE215" s="42">
        <v>2325741</v>
      </c>
      <c r="AG215" s="42">
        <v>678400</v>
      </c>
      <c r="AI215" s="9" t="s">
        <v>637</v>
      </c>
      <c r="AJ215" s="9"/>
      <c r="AK215" s="9" t="s">
        <v>29</v>
      </c>
      <c r="AL215" s="9"/>
      <c r="AM215" s="42">
        <v>0</v>
      </c>
      <c r="AO215" s="42">
        <v>1172797</v>
      </c>
      <c r="AQ215" s="42">
        <v>977606</v>
      </c>
      <c r="AS215" s="42">
        <v>1881342</v>
      </c>
      <c r="AW215" s="42">
        <v>0</v>
      </c>
      <c r="AY215" s="42">
        <f t="shared" si="25"/>
        <v>29029663</v>
      </c>
      <c r="BA215" s="42">
        <f>+'St of Act - GA Rev'!AI215-'St of Activities - GA Exp'!AY215</f>
        <v>572883</v>
      </c>
      <c r="BC215" s="42">
        <v>28407643</v>
      </c>
      <c r="BE215" s="42">
        <f t="shared" si="26"/>
        <v>28980526</v>
      </c>
      <c r="BG215" s="42">
        <f>+'St of Net Pos - GA'!AE215-'St of Activities - GA Exp'!BE215</f>
        <v>0</v>
      </c>
    </row>
    <row r="216" spans="1:59">
      <c r="A216" s="9" t="s">
        <v>311</v>
      </c>
      <c r="B216" s="9"/>
      <c r="C216" s="9" t="s">
        <v>29</v>
      </c>
      <c r="D216" s="9"/>
      <c r="E216" s="23">
        <v>44032</v>
      </c>
      <c r="G216" s="42">
        <v>10280007</v>
      </c>
      <c r="I216" s="42">
        <v>3590173</v>
      </c>
      <c r="K216" s="42">
        <v>131007</v>
      </c>
      <c r="M216" s="42">
        <v>0</v>
      </c>
      <c r="O216" s="42">
        <v>0</v>
      </c>
      <c r="Q216" s="42">
        <v>1226358</v>
      </c>
      <c r="S216" s="42">
        <v>1449122</v>
      </c>
      <c r="U216" s="42">
        <v>56090</v>
      </c>
      <c r="W216" s="42">
        <v>2348751</v>
      </c>
      <c r="Y216" s="42">
        <v>436307</v>
      </c>
      <c r="AA216" s="42">
        <v>0</v>
      </c>
      <c r="AC216" s="42">
        <v>2586537</v>
      </c>
      <c r="AE216" s="42">
        <v>1578142</v>
      </c>
      <c r="AG216" s="42">
        <v>181564</v>
      </c>
      <c r="AI216" s="9" t="s">
        <v>311</v>
      </c>
      <c r="AJ216" s="9"/>
      <c r="AK216" s="9" t="s">
        <v>29</v>
      </c>
      <c r="AL216" s="9"/>
      <c r="AM216" s="42">
        <v>948001</v>
      </c>
      <c r="AO216" s="42">
        <v>5757</v>
      </c>
      <c r="AQ216" s="42">
        <v>625622</v>
      </c>
      <c r="AS216" s="42">
        <v>1301470</v>
      </c>
      <c r="AW216" s="42">
        <v>0</v>
      </c>
      <c r="AY216" s="42">
        <f t="shared" si="25"/>
        <v>26744908</v>
      </c>
      <c r="BA216" s="42">
        <f>+'St of Act - GA Rev'!AI216-'St of Activities - GA Exp'!AY216</f>
        <v>-2769096</v>
      </c>
      <c r="BC216" s="42">
        <v>54058745</v>
      </c>
      <c r="BE216" s="42">
        <f t="shared" si="26"/>
        <v>51289649</v>
      </c>
      <c r="BG216" s="42">
        <f>+'St of Net Pos - GA'!AE216-'St of Activities - GA Exp'!BE216</f>
        <v>0</v>
      </c>
    </row>
    <row r="217" spans="1:59">
      <c r="A217" s="9" t="s">
        <v>531</v>
      </c>
      <c r="B217" s="9"/>
      <c r="C217" s="9" t="s">
        <v>65</v>
      </c>
      <c r="D217" s="9"/>
      <c r="E217" s="23">
        <v>50278</v>
      </c>
      <c r="G217" s="42">
        <v>5538403</v>
      </c>
      <c r="I217" s="42">
        <v>1466281</v>
      </c>
      <c r="K217" s="42">
        <v>448</v>
      </c>
      <c r="M217" s="42">
        <v>0</v>
      </c>
      <c r="O217" s="42">
        <v>87396</v>
      </c>
      <c r="Q217" s="42">
        <v>315856</v>
      </c>
      <c r="S217" s="42">
        <v>740630</v>
      </c>
      <c r="U217" s="42">
        <v>15109</v>
      </c>
      <c r="W217" s="42">
        <v>996045</v>
      </c>
      <c r="Y217" s="42">
        <v>391259</v>
      </c>
      <c r="AA217" s="42">
        <v>0</v>
      </c>
      <c r="AC217" s="42">
        <v>1011615</v>
      </c>
      <c r="AE217" s="42">
        <v>872709</v>
      </c>
      <c r="AG217" s="42">
        <v>40359</v>
      </c>
      <c r="AI217" s="9" t="s">
        <v>531</v>
      </c>
      <c r="AJ217" s="9"/>
      <c r="AK217" s="9" t="s">
        <v>65</v>
      </c>
      <c r="AL217" s="9"/>
      <c r="AM217" s="42">
        <v>424134</v>
      </c>
      <c r="AO217" s="42">
        <v>13278</v>
      </c>
      <c r="AQ217" s="42">
        <v>317569</v>
      </c>
      <c r="AS217" s="42">
        <v>38754</v>
      </c>
      <c r="AW217" s="42">
        <v>0</v>
      </c>
      <c r="AY217" s="42">
        <f t="shared" si="25"/>
        <v>12269845</v>
      </c>
      <c r="BA217" s="42">
        <f>+'St of Act - GA Rev'!AI217-'St of Activities - GA Exp'!AY217</f>
        <v>-144715</v>
      </c>
      <c r="BC217" s="42">
        <v>5878657</v>
      </c>
      <c r="BE217" s="42">
        <f t="shared" si="26"/>
        <v>5733942</v>
      </c>
      <c r="BG217" s="42">
        <f>+'St of Net Pos - GA'!AE217-'St of Activities - GA Exp'!BE217</f>
        <v>0</v>
      </c>
    </row>
    <row r="218" spans="1:59" ht="12" customHeight="1">
      <c r="A218" s="9" t="s">
        <v>673</v>
      </c>
      <c r="B218" s="9"/>
      <c r="C218" s="9" t="s">
        <v>20</v>
      </c>
      <c r="D218" s="9"/>
      <c r="E218" s="23">
        <v>44040</v>
      </c>
      <c r="G218" s="42">
        <v>16553681</v>
      </c>
      <c r="I218" s="42">
        <v>3722219</v>
      </c>
      <c r="K218" s="42">
        <v>75921</v>
      </c>
      <c r="M218" s="42">
        <v>0</v>
      </c>
      <c r="O218" s="42">
        <v>3983816</v>
      </c>
      <c r="Q218" s="42">
        <v>2326542</v>
      </c>
      <c r="S218" s="42">
        <v>1789676</v>
      </c>
      <c r="U218" s="42">
        <v>53745</v>
      </c>
      <c r="W218" s="42">
        <v>3528931</v>
      </c>
      <c r="Y218" s="42">
        <v>921294</v>
      </c>
      <c r="AA218" s="42">
        <v>613525</v>
      </c>
      <c r="AC218" s="42">
        <v>5430690</v>
      </c>
      <c r="AE218" s="42">
        <v>1076801</v>
      </c>
      <c r="AG218" s="42">
        <v>399985</v>
      </c>
      <c r="AI218" s="9" t="s">
        <v>673</v>
      </c>
      <c r="AJ218" s="9"/>
      <c r="AK218" s="9" t="s">
        <v>20</v>
      </c>
      <c r="AL218" s="9"/>
      <c r="AM218" s="42">
        <v>1322176</v>
      </c>
      <c r="AO218" s="42">
        <v>1102642</v>
      </c>
      <c r="AQ218" s="42">
        <v>520091</v>
      </c>
      <c r="AS218" s="42">
        <v>2357435</v>
      </c>
      <c r="AW218" s="42">
        <v>0</v>
      </c>
      <c r="AY218" s="42">
        <f t="shared" si="25"/>
        <v>45779170</v>
      </c>
      <c r="BA218" s="42">
        <f>+'St of Act - GA Rev'!AI218-'St of Activities - GA Exp'!AY218</f>
        <v>-1083757</v>
      </c>
      <c r="BC218" s="42">
        <v>21974806</v>
      </c>
      <c r="BE218" s="42">
        <f t="shared" si="26"/>
        <v>20891049</v>
      </c>
      <c r="BG218" s="42">
        <f>+'St of Net Pos - GA'!AE218-'St of Activities - GA Exp'!BE218</f>
        <v>0</v>
      </c>
    </row>
    <row r="219" spans="1:59" ht="12" customHeight="1">
      <c r="A219" s="9" t="s">
        <v>638</v>
      </c>
      <c r="B219" s="9"/>
      <c r="C219" s="9" t="s">
        <v>12</v>
      </c>
      <c r="D219" s="9"/>
      <c r="E219" s="23">
        <v>44057</v>
      </c>
      <c r="G219" s="42">
        <v>10277760</v>
      </c>
      <c r="I219" s="42">
        <v>3515634</v>
      </c>
      <c r="K219" s="42">
        <v>183324</v>
      </c>
      <c r="M219" s="42">
        <v>0</v>
      </c>
      <c r="O219" s="42">
        <v>1240993</v>
      </c>
      <c r="Q219" s="42">
        <v>1166368</v>
      </c>
      <c r="S219" s="42">
        <v>456282</v>
      </c>
      <c r="U219" s="42">
        <v>16980</v>
      </c>
      <c r="W219" s="42">
        <v>1962910</v>
      </c>
      <c r="Y219" s="42">
        <v>557129</v>
      </c>
      <c r="AA219" s="42">
        <v>29104</v>
      </c>
      <c r="AC219" s="42">
        <v>3397909</v>
      </c>
      <c r="AE219" s="42">
        <v>1321832</v>
      </c>
      <c r="AG219" s="42">
        <v>31046</v>
      </c>
      <c r="AI219" s="9" t="s">
        <v>638</v>
      </c>
      <c r="AJ219" s="9"/>
      <c r="AK219" s="9" t="s">
        <v>12</v>
      </c>
      <c r="AL219" s="9"/>
      <c r="AM219" s="42">
        <v>0</v>
      </c>
      <c r="AO219" s="42">
        <v>1454732</v>
      </c>
      <c r="AQ219" s="42">
        <v>634896</v>
      </c>
      <c r="AS219" s="42">
        <v>637831</v>
      </c>
      <c r="AW219" s="42">
        <v>0</v>
      </c>
      <c r="AY219" s="42">
        <f t="shared" si="25"/>
        <v>26884730</v>
      </c>
      <c r="BA219" s="42">
        <f>+'St of Act - GA Rev'!AI219-'St of Activities - GA Exp'!AY219</f>
        <v>-1028036</v>
      </c>
      <c r="BC219" s="42">
        <v>64068632</v>
      </c>
      <c r="BE219" s="42">
        <f t="shared" si="26"/>
        <v>63040596</v>
      </c>
      <c r="BG219" s="42">
        <f>+'St of Net Pos - GA'!AE219-'St of Activities - GA Exp'!BE219</f>
        <v>0</v>
      </c>
    </row>
    <row r="220" spans="1:59" hidden="1">
      <c r="A220" s="9" t="s">
        <v>826</v>
      </c>
      <c r="B220" s="9"/>
      <c r="C220" s="9" t="s">
        <v>53</v>
      </c>
      <c r="D220" s="9"/>
      <c r="E220" s="23">
        <v>48942</v>
      </c>
      <c r="G220" s="42">
        <v>0</v>
      </c>
      <c r="I220" s="42">
        <v>0</v>
      </c>
      <c r="K220" s="42">
        <v>0</v>
      </c>
      <c r="M220" s="42">
        <v>0</v>
      </c>
      <c r="O220" s="42">
        <v>0</v>
      </c>
      <c r="Q220" s="42">
        <v>0</v>
      </c>
      <c r="S220" s="42">
        <v>0</v>
      </c>
      <c r="U220" s="42">
        <v>0</v>
      </c>
      <c r="W220" s="42">
        <v>0</v>
      </c>
      <c r="Y220" s="42">
        <v>0</v>
      </c>
      <c r="AA220" s="42">
        <v>0</v>
      </c>
      <c r="AC220" s="42">
        <v>0</v>
      </c>
      <c r="AE220" s="42">
        <v>0</v>
      </c>
      <c r="AG220" s="42">
        <v>0</v>
      </c>
      <c r="AI220" s="9" t="s">
        <v>826</v>
      </c>
      <c r="AJ220" s="9"/>
      <c r="AK220" s="9" t="s">
        <v>53</v>
      </c>
      <c r="AL220" s="9"/>
      <c r="AM220" s="42">
        <v>0</v>
      </c>
      <c r="AO220" s="42">
        <v>0</v>
      </c>
      <c r="AQ220" s="42">
        <v>0</v>
      </c>
      <c r="AS220" s="42">
        <v>0</v>
      </c>
      <c r="AW220" s="42">
        <v>0</v>
      </c>
      <c r="AY220" s="42">
        <f t="shared" si="25"/>
        <v>0</v>
      </c>
      <c r="BA220" s="42">
        <f>+'St of Act - GA Rev'!AI220-'St of Activities - GA Exp'!AY220</f>
        <v>0</v>
      </c>
      <c r="BC220" s="42">
        <v>0</v>
      </c>
      <c r="BE220" s="42">
        <f t="shared" si="26"/>
        <v>0</v>
      </c>
      <c r="BG220" s="42">
        <f>+'St of Net Pos - GA'!AE220-'St of Activities - GA Exp'!BE220</f>
        <v>0</v>
      </c>
    </row>
    <row r="221" spans="1:59" hidden="1">
      <c r="A221" s="9" t="s">
        <v>660</v>
      </c>
      <c r="B221" s="9"/>
      <c r="C221" s="9" t="s">
        <v>77</v>
      </c>
      <c r="D221" s="9"/>
      <c r="E221" s="23">
        <v>45377</v>
      </c>
      <c r="G221" s="42">
        <v>0</v>
      </c>
      <c r="I221" s="42">
        <v>0</v>
      </c>
      <c r="K221" s="42">
        <v>0</v>
      </c>
      <c r="M221" s="42">
        <v>0</v>
      </c>
      <c r="O221" s="42">
        <v>0</v>
      </c>
      <c r="Q221" s="42">
        <v>0</v>
      </c>
      <c r="S221" s="42">
        <v>0</v>
      </c>
      <c r="U221" s="42">
        <v>0</v>
      </c>
      <c r="W221" s="42">
        <v>0</v>
      </c>
      <c r="Y221" s="42">
        <v>0</v>
      </c>
      <c r="AA221" s="42">
        <v>0</v>
      </c>
      <c r="AC221" s="42">
        <v>0</v>
      </c>
      <c r="AE221" s="42">
        <v>0</v>
      </c>
      <c r="AG221" s="42">
        <v>0</v>
      </c>
      <c r="AI221" s="9" t="s">
        <v>660</v>
      </c>
      <c r="AJ221" s="9"/>
      <c r="AK221" s="9" t="s">
        <v>77</v>
      </c>
      <c r="AL221" s="9"/>
      <c r="AM221" s="42">
        <v>0</v>
      </c>
      <c r="AO221" s="42">
        <v>0</v>
      </c>
      <c r="AQ221" s="42">
        <v>0</v>
      </c>
      <c r="AS221" s="42">
        <v>0</v>
      </c>
      <c r="AW221" s="42">
        <v>0</v>
      </c>
      <c r="AY221" s="42">
        <f t="shared" si="25"/>
        <v>0</v>
      </c>
      <c r="BA221" s="42">
        <f>+'St of Act - GA Rev'!AI221-'St of Activities - GA Exp'!AY221</f>
        <v>0</v>
      </c>
      <c r="BC221" s="42">
        <v>0</v>
      </c>
      <c r="BE221" s="42">
        <f t="shared" si="26"/>
        <v>0</v>
      </c>
      <c r="BG221" s="42">
        <f>+'St of Net Pos - GA'!AE221-'St of Activities - GA Exp'!BE221</f>
        <v>0</v>
      </c>
    </row>
    <row r="222" spans="1:59">
      <c r="A222" s="9" t="s">
        <v>742</v>
      </c>
      <c r="B222" s="9"/>
      <c r="C222" s="9" t="s">
        <v>79</v>
      </c>
      <c r="D222" s="9"/>
      <c r="E222" s="23">
        <v>45385</v>
      </c>
      <c r="G222" s="42">
        <v>5275172</v>
      </c>
      <c r="I222" s="42">
        <v>928652</v>
      </c>
      <c r="K222" s="42">
        <v>212440</v>
      </c>
      <c r="M222" s="42">
        <v>0</v>
      </c>
      <c r="O222" s="42">
        <v>0</v>
      </c>
      <c r="Q222" s="42">
        <v>404085</v>
      </c>
      <c r="S222" s="42">
        <v>25158</v>
      </c>
      <c r="U222" s="42">
        <v>48775</v>
      </c>
      <c r="W222" s="42">
        <v>963621</v>
      </c>
      <c r="Y222" s="42">
        <v>435425</v>
      </c>
      <c r="AA222" s="42">
        <v>6335</v>
      </c>
      <c r="AC222" s="42">
        <v>1299672</v>
      </c>
      <c r="AE222" s="42">
        <v>398275</v>
      </c>
      <c r="AG222" s="42">
        <v>1565</v>
      </c>
      <c r="AI222" s="9" t="s">
        <v>742</v>
      </c>
      <c r="AJ222" s="9"/>
      <c r="AK222" s="9" t="s">
        <v>79</v>
      </c>
      <c r="AL222" s="9"/>
      <c r="AM222" s="42">
        <v>562274</v>
      </c>
      <c r="AO222" s="42">
        <v>140549</v>
      </c>
      <c r="AQ222" s="42">
        <v>328411</v>
      </c>
      <c r="AS222" s="42">
        <v>196700</v>
      </c>
      <c r="AW222" s="42">
        <v>0</v>
      </c>
      <c r="AY222" s="42">
        <f t="shared" si="25"/>
        <v>11227109</v>
      </c>
      <c r="BA222" s="42">
        <f>+'St of Act - GA Rev'!AI222-'St of Activities - GA Exp'!AY222</f>
        <v>-1261750</v>
      </c>
      <c r="BC222" s="42">
        <v>19245448</v>
      </c>
      <c r="BE222" s="42">
        <f t="shared" si="26"/>
        <v>17983698</v>
      </c>
      <c r="BG222" s="42">
        <f>+'St of Net Pos - GA'!AE222-'St of Activities - GA Exp'!BE222</f>
        <v>0</v>
      </c>
    </row>
    <row r="223" spans="1:59" ht="12" customHeight="1">
      <c r="A223" s="9" t="s">
        <v>517</v>
      </c>
      <c r="B223" s="9"/>
      <c r="C223" s="9" t="s">
        <v>64</v>
      </c>
      <c r="D223" s="9"/>
      <c r="E223" s="23">
        <v>44065</v>
      </c>
      <c r="G223" s="42">
        <v>7943525</v>
      </c>
      <c r="I223" s="42">
        <v>1892089</v>
      </c>
      <c r="K223" s="42">
        <v>252123</v>
      </c>
      <c r="M223" s="42">
        <v>0</v>
      </c>
      <c r="O223" s="42">
        <v>910740</v>
      </c>
      <c r="Q223" s="42">
        <v>1045012</v>
      </c>
      <c r="S223" s="42">
        <v>209116</v>
      </c>
      <c r="U223" s="42">
        <v>30647</v>
      </c>
      <c r="W223" s="42">
        <v>1399133</v>
      </c>
      <c r="Y223" s="42">
        <v>873287</v>
      </c>
      <c r="AA223" s="42">
        <v>0</v>
      </c>
      <c r="AC223" s="42">
        <v>1559800</v>
      </c>
      <c r="AE223" s="42">
        <v>607024</v>
      </c>
      <c r="AG223" s="42">
        <v>0</v>
      </c>
      <c r="AI223" s="9" t="s">
        <v>517</v>
      </c>
      <c r="AJ223" s="9"/>
      <c r="AK223" s="9" t="s">
        <v>64</v>
      </c>
      <c r="AL223" s="9"/>
      <c r="AM223" s="42">
        <v>691590</v>
      </c>
      <c r="AO223" s="42">
        <v>273167</v>
      </c>
      <c r="AQ223" s="42">
        <v>690079</v>
      </c>
      <c r="AS223" s="42">
        <v>517935</v>
      </c>
      <c r="AW223" s="42">
        <v>0</v>
      </c>
      <c r="AY223" s="42">
        <f t="shared" si="25"/>
        <v>18895267</v>
      </c>
      <c r="BA223" s="42">
        <f>+'St of Act - GA Rev'!AI223-'St of Activities - GA Exp'!AY223</f>
        <v>-1838858</v>
      </c>
      <c r="BC223" s="42">
        <v>32377206</v>
      </c>
      <c r="BE223" s="42">
        <f t="shared" si="26"/>
        <v>30538348</v>
      </c>
      <c r="BG223" s="42">
        <f>+'St of Net Pos - GA'!AE223-'St of Activities - GA Exp'!BE223</f>
        <v>0</v>
      </c>
    </row>
    <row r="224" spans="1:59" hidden="1">
      <c r="A224" s="9" t="s">
        <v>784</v>
      </c>
      <c r="B224" s="9"/>
      <c r="C224" s="9" t="s">
        <v>28</v>
      </c>
      <c r="D224" s="9"/>
      <c r="E224" s="23">
        <v>47068</v>
      </c>
      <c r="G224" s="42">
        <v>0</v>
      </c>
      <c r="I224" s="42">
        <v>0</v>
      </c>
      <c r="K224" s="42">
        <v>0</v>
      </c>
      <c r="M224" s="42">
        <v>0</v>
      </c>
      <c r="O224" s="42">
        <v>0</v>
      </c>
      <c r="Q224" s="42">
        <v>0</v>
      </c>
      <c r="S224" s="42">
        <v>0</v>
      </c>
      <c r="U224" s="42">
        <v>0</v>
      </c>
      <c r="W224" s="42">
        <v>0</v>
      </c>
      <c r="Y224" s="42">
        <v>0</v>
      </c>
      <c r="AA224" s="42">
        <v>0</v>
      </c>
      <c r="AC224" s="42">
        <v>0</v>
      </c>
      <c r="AE224" s="42">
        <v>0</v>
      </c>
      <c r="AG224" s="42">
        <v>0</v>
      </c>
      <c r="AI224" s="9" t="s">
        <v>784</v>
      </c>
      <c r="AJ224" s="9"/>
      <c r="AK224" s="9" t="s">
        <v>28</v>
      </c>
      <c r="AL224" s="9"/>
      <c r="AM224" s="42">
        <v>0</v>
      </c>
      <c r="AO224" s="42">
        <v>0</v>
      </c>
      <c r="AQ224" s="42">
        <v>0</v>
      </c>
      <c r="AS224" s="42">
        <v>0</v>
      </c>
      <c r="AW224" s="42">
        <v>0</v>
      </c>
      <c r="AY224" s="42">
        <f t="shared" si="25"/>
        <v>0</v>
      </c>
      <c r="BA224" s="42">
        <f>+'St of Act - GA Rev'!AI224-'St of Activities - GA Exp'!AY224</f>
        <v>0</v>
      </c>
      <c r="BC224" s="42">
        <v>0</v>
      </c>
      <c r="BE224" s="42">
        <f t="shared" si="26"/>
        <v>0</v>
      </c>
      <c r="BG224" s="42">
        <f>+'St of Net Pos - GA'!AE224-'St of Activities - GA Exp'!BE224</f>
        <v>0</v>
      </c>
    </row>
    <row r="225" spans="1:59">
      <c r="A225" s="9" t="s">
        <v>238</v>
      </c>
      <c r="B225" s="9"/>
      <c r="C225" s="9" t="s">
        <v>112</v>
      </c>
      <c r="D225" s="9"/>
      <c r="E225" s="23">
        <v>46342</v>
      </c>
      <c r="G225" s="42">
        <v>11080317</v>
      </c>
      <c r="I225" s="42">
        <v>4298228</v>
      </c>
      <c r="K225" s="42">
        <v>396789</v>
      </c>
      <c r="M225" s="42">
        <v>0</v>
      </c>
      <c r="O225" s="42">
        <v>0</v>
      </c>
      <c r="Q225" s="42">
        <v>2299228</v>
      </c>
      <c r="S225" s="42">
        <v>1425436</v>
      </c>
      <c r="U225" s="42">
        <v>24611</v>
      </c>
      <c r="W225" s="42">
        <v>1791010</v>
      </c>
      <c r="Y225" s="42">
        <v>533316</v>
      </c>
      <c r="AA225" s="42">
        <v>150760</v>
      </c>
      <c r="AC225" s="42">
        <v>1903350</v>
      </c>
      <c r="AE225" s="42">
        <v>2592824</v>
      </c>
      <c r="AG225" s="42">
        <v>0</v>
      </c>
      <c r="AI225" s="9" t="s">
        <v>238</v>
      </c>
      <c r="AJ225" s="9"/>
      <c r="AK225" s="9" t="s">
        <v>112</v>
      </c>
      <c r="AL225" s="9"/>
      <c r="AM225" s="42">
        <v>1324988</v>
      </c>
      <c r="AO225" s="42">
        <v>19845</v>
      </c>
      <c r="AQ225" s="42">
        <v>598089</v>
      </c>
      <c r="AS225" s="42">
        <v>620350</v>
      </c>
      <c r="AW225" s="42">
        <v>0</v>
      </c>
      <c r="AY225" s="42">
        <f t="shared" si="25"/>
        <v>29059141</v>
      </c>
      <c r="BA225" s="42">
        <f>+'St of Act - GA Rev'!AI225-'St of Activities - GA Exp'!AY225</f>
        <v>-942222</v>
      </c>
      <c r="BC225" s="42">
        <v>28749307</v>
      </c>
      <c r="BE225" s="42">
        <f t="shared" si="26"/>
        <v>27807085</v>
      </c>
      <c r="BG225" s="42">
        <f>+'St of Net Pos - GA'!AE225-'St of Activities - GA Exp'!BE225</f>
        <v>0</v>
      </c>
    </row>
    <row r="226" spans="1:59" hidden="1">
      <c r="A226" s="9" t="s">
        <v>785</v>
      </c>
      <c r="B226" s="9"/>
      <c r="C226" s="9" t="s">
        <v>227</v>
      </c>
      <c r="D226" s="9"/>
      <c r="E226" s="23">
        <v>46193</v>
      </c>
      <c r="G226" s="42">
        <v>0</v>
      </c>
      <c r="I226" s="42">
        <v>0</v>
      </c>
      <c r="K226" s="42">
        <v>0</v>
      </c>
      <c r="M226" s="42">
        <v>0</v>
      </c>
      <c r="O226" s="42">
        <v>0</v>
      </c>
      <c r="Q226" s="42">
        <v>0</v>
      </c>
      <c r="S226" s="42">
        <v>0</v>
      </c>
      <c r="U226" s="42">
        <v>0</v>
      </c>
      <c r="W226" s="42">
        <v>0</v>
      </c>
      <c r="Y226" s="42">
        <v>0</v>
      </c>
      <c r="AA226" s="42">
        <v>0</v>
      </c>
      <c r="AC226" s="42">
        <v>0</v>
      </c>
      <c r="AE226" s="42">
        <v>0</v>
      </c>
      <c r="AG226" s="42">
        <v>0</v>
      </c>
      <c r="AI226" s="9" t="s">
        <v>785</v>
      </c>
      <c r="AJ226" s="9"/>
      <c r="AK226" s="9" t="s">
        <v>227</v>
      </c>
      <c r="AL226" s="9"/>
      <c r="AM226" s="42">
        <v>0</v>
      </c>
      <c r="AO226" s="42">
        <v>0</v>
      </c>
      <c r="AQ226" s="42">
        <v>0</v>
      </c>
      <c r="AS226" s="42">
        <v>0</v>
      </c>
      <c r="AW226" s="42">
        <v>0</v>
      </c>
      <c r="AY226" s="42">
        <f t="shared" si="25"/>
        <v>0</v>
      </c>
      <c r="BA226" s="42">
        <f>+'St of Act - GA Rev'!AI226-'St of Activities - GA Exp'!AY226</f>
        <v>0</v>
      </c>
      <c r="BC226" s="42">
        <v>0</v>
      </c>
      <c r="BE226" s="42">
        <f t="shared" si="26"/>
        <v>0</v>
      </c>
      <c r="BG226" s="42">
        <f>+'St of Net Pos - GA'!AE226-'St of Activities - GA Exp'!BE226</f>
        <v>0</v>
      </c>
    </row>
    <row r="227" spans="1:59">
      <c r="A227" s="9" t="s">
        <v>207</v>
      </c>
      <c r="B227" s="9"/>
      <c r="C227" s="9" t="s">
        <v>12</v>
      </c>
      <c r="D227" s="9"/>
      <c r="E227" s="23">
        <v>45864</v>
      </c>
      <c r="G227" s="42">
        <v>6601375</v>
      </c>
      <c r="I227" s="42">
        <v>819302</v>
      </c>
      <c r="K227" s="42">
        <v>166464</v>
      </c>
      <c r="M227" s="42">
        <v>0</v>
      </c>
      <c r="O227" s="42">
        <v>0</v>
      </c>
      <c r="Q227" s="42">
        <v>473062</v>
      </c>
      <c r="S227" s="42">
        <v>264326</v>
      </c>
      <c r="U227" s="42">
        <v>18436</v>
      </c>
      <c r="W227" s="42">
        <v>1088890</v>
      </c>
      <c r="Y227" s="42">
        <v>292429</v>
      </c>
      <c r="AA227" s="42">
        <v>23970</v>
      </c>
      <c r="AC227" s="42">
        <v>1228039</v>
      </c>
      <c r="AE227" s="42">
        <v>1183518</v>
      </c>
      <c r="AG227" s="42">
        <v>21777</v>
      </c>
      <c r="AI227" s="9" t="s">
        <v>207</v>
      </c>
      <c r="AJ227" s="9"/>
      <c r="AK227" s="9" t="s">
        <v>12</v>
      </c>
      <c r="AL227" s="9"/>
      <c r="AM227" s="42">
        <v>478609</v>
      </c>
      <c r="AO227" s="42">
        <v>0</v>
      </c>
      <c r="AQ227" s="42">
        <v>416357</v>
      </c>
      <c r="AS227" s="42">
        <v>370280</v>
      </c>
      <c r="AW227" s="42">
        <v>0</v>
      </c>
      <c r="AY227" s="42">
        <f t="shared" si="25"/>
        <v>13446834</v>
      </c>
      <c r="BA227" s="42">
        <f>+'St of Act - GA Rev'!AI227-'St of Activities - GA Exp'!AY227</f>
        <v>-1564075</v>
      </c>
      <c r="BC227" s="42">
        <v>27368509</v>
      </c>
      <c r="BE227" s="42">
        <f t="shared" si="26"/>
        <v>25804434</v>
      </c>
      <c r="BG227" s="42">
        <f>+'St of Net Pos - GA'!AE227-'St of Activities - GA Exp'!BE227</f>
        <v>0</v>
      </c>
    </row>
    <row r="228" spans="1:59">
      <c r="A228" s="9" t="s">
        <v>301</v>
      </c>
      <c r="B228" s="9"/>
      <c r="C228" s="9" t="s">
        <v>27</v>
      </c>
      <c r="D228" s="9"/>
      <c r="E228" s="23">
        <v>44073</v>
      </c>
      <c r="G228" s="42">
        <v>7388023</v>
      </c>
      <c r="I228" s="42">
        <v>2054254</v>
      </c>
      <c r="K228" s="42">
        <v>117836</v>
      </c>
      <c r="M228" s="42">
        <v>0</v>
      </c>
      <c r="O228" s="42">
        <v>0</v>
      </c>
      <c r="Q228" s="42">
        <v>1885000</v>
      </c>
      <c r="S228" s="42">
        <v>909907</v>
      </c>
      <c r="U228" s="42">
        <v>18962</v>
      </c>
      <c r="W228" s="42">
        <v>1129030</v>
      </c>
      <c r="Y228" s="42">
        <v>571841</v>
      </c>
      <c r="AA228" s="42">
        <v>124783</v>
      </c>
      <c r="AC228" s="42">
        <v>1167046</v>
      </c>
      <c r="AE228" s="42">
        <v>9853</v>
      </c>
      <c r="AG228" s="42">
        <v>62767</v>
      </c>
      <c r="AI228" s="9" t="s">
        <v>301</v>
      </c>
      <c r="AJ228" s="9"/>
      <c r="AK228" s="9" t="s">
        <v>27</v>
      </c>
      <c r="AL228" s="9"/>
      <c r="AM228" s="42">
        <v>0</v>
      </c>
      <c r="AO228" s="42">
        <v>496176</v>
      </c>
      <c r="AQ228" s="42">
        <v>899471</v>
      </c>
      <c r="AS228" s="42">
        <v>725449</v>
      </c>
      <c r="AW228" s="42">
        <v>0</v>
      </c>
      <c r="AY228" s="42">
        <f t="shared" si="25"/>
        <v>17560398</v>
      </c>
      <c r="BA228" s="42">
        <f>+'St of Act - GA Rev'!AI228-'St of Activities - GA Exp'!AY228</f>
        <v>-630042</v>
      </c>
      <c r="BC228" s="42">
        <v>17345692</v>
      </c>
      <c r="BE228" s="42">
        <f t="shared" si="26"/>
        <v>16715650</v>
      </c>
      <c r="BG228" s="42">
        <f>+'St of Net Pos - GA'!AE228-'St of Activities - GA Exp'!BE228</f>
        <v>0</v>
      </c>
    </row>
    <row r="229" spans="1:59">
      <c r="A229" s="9" t="s">
        <v>661</v>
      </c>
      <c r="B229" s="9"/>
      <c r="C229" s="9" t="s">
        <v>42</v>
      </c>
      <c r="D229" s="9"/>
      <c r="E229" s="23">
        <v>45393</v>
      </c>
      <c r="G229" s="42">
        <v>12032640</v>
      </c>
      <c r="I229" s="42">
        <v>2427252</v>
      </c>
      <c r="K229" s="42">
        <v>127574</v>
      </c>
      <c r="M229" s="42">
        <v>0</v>
      </c>
      <c r="O229" s="42">
        <v>0</v>
      </c>
      <c r="Q229" s="42">
        <v>1565592</v>
      </c>
      <c r="S229" s="42">
        <v>1343952</v>
      </c>
      <c r="U229" s="42">
        <v>3870</v>
      </c>
      <c r="W229" s="42">
        <v>1524711</v>
      </c>
      <c r="Y229" s="42">
        <v>829495</v>
      </c>
      <c r="AA229" s="42">
        <v>41163</v>
      </c>
      <c r="AC229" s="42">
        <v>2160331</v>
      </c>
      <c r="AE229" s="42">
        <v>1567902</v>
      </c>
      <c r="AG229" s="42">
        <v>514654</v>
      </c>
      <c r="AI229" s="9" t="s">
        <v>661</v>
      </c>
      <c r="AJ229" s="9"/>
      <c r="AK229" s="9" t="s">
        <v>42</v>
      </c>
      <c r="AL229" s="9"/>
      <c r="AM229" s="42">
        <v>0</v>
      </c>
      <c r="AO229" s="42">
        <v>922346</v>
      </c>
      <c r="AQ229" s="42">
        <v>1350595</v>
      </c>
      <c r="AS229" s="42">
        <v>2714886</v>
      </c>
      <c r="AW229" s="42">
        <v>0</v>
      </c>
      <c r="AY229" s="42">
        <f t="shared" si="25"/>
        <v>29126963</v>
      </c>
      <c r="BA229" s="42">
        <f>+'St of Act - GA Rev'!AI229-'St of Activities - GA Exp'!AY229</f>
        <v>-662196</v>
      </c>
      <c r="BC229" s="42">
        <v>3549456</v>
      </c>
      <c r="BE229" s="42">
        <f t="shared" si="26"/>
        <v>2887260</v>
      </c>
      <c r="BG229" s="42">
        <f>+'St of Net Pos - GA'!AE229-'St of Activities - GA Exp'!BE229</f>
        <v>0</v>
      </c>
    </row>
    <row r="230" spans="1:59">
      <c r="A230" s="9" t="s">
        <v>478</v>
      </c>
      <c r="B230" s="9"/>
      <c r="C230" s="9" t="s">
        <v>59</v>
      </c>
      <c r="D230" s="9"/>
      <c r="E230" s="23">
        <v>49619</v>
      </c>
      <c r="G230" s="42">
        <v>2351463</v>
      </c>
      <c r="I230" s="42">
        <v>661068</v>
      </c>
      <c r="K230" s="42">
        <v>17713</v>
      </c>
      <c r="M230" s="42">
        <v>0</v>
      </c>
      <c r="O230" s="42">
        <v>1234249</v>
      </c>
      <c r="Q230" s="42">
        <v>338195</v>
      </c>
      <c r="S230" s="42">
        <v>446365</v>
      </c>
      <c r="U230" s="42">
        <v>186933</v>
      </c>
      <c r="W230" s="42">
        <v>544268</v>
      </c>
      <c r="Y230" s="42">
        <v>266278</v>
      </c>
      <c r="AA230" s="42">
        <v>0</v>
      </c>
      <c r="AC230" s="42">
        <v>503311</v>
      </c>
      <c r="AE230" s="42">
        <v>489735</v>
      </c>
      <c r="AG230" s="42">
        <v>0</v>
      </c>
      <c r="AI230" s="9" t="s">
        <v>478</v>
      </c>
      <c r="AJ230" s="9"/>
      <c r="AK230" s="9" t="s">
        <v>59</v>
      </c>
      <c r="AL230" s="9"/>
      <c r="AM230" s="42">
        <v>0</v>
      </c>
      <c r="AO230" s="42">
        <v>229283</v>
      </c>
      <c r="AQ230" s="42">
        <v>103883</v>
      </c>
      <c r="AS230" s="42">
        <v>5850</v>
      </c>
      <c r="AW230" s="42">
        <v>0</v>
      </c>
      <c r="AY230" s="42">
        <f t="shared" si="25"/>
        <v>7378594</v>
      </c>
      <c r="BA230" s="42">
        <f>+'St of Act - GA Rev'!AI230-'St of Activities - GA Exp'!AY230</f>
        <v>233083</v>
      </c>
      <c r="BC230" s="42">
        <v>2533050</v>
      </c>
      <c r="BE230" s="42">
        <f t="shared" si="26"/>
        <v>2766133</v>
      </c>
      <c r="BG230" s="42">
        <f>+'St of Net Pos - GA'!AE230-'St of Activities - GA Exp'!BE230</f>
        <v>0</v>
      </c>
    </row>
    <row r="231" spans="1:59">
      <c r="A231" s="9" t="s">
        <v>478</v>
      </c>
      <c r="B231" s="9"/>
      <c r="C231" s="9" t="s">
        <v>63</v>
      </c>
      <c r="D231" s="9"/>
      <c r="E231" s="23">
        <v>50013</v>
      </c>
      <c r="G231" s="42">
        <v>16901574</v>
      </c>
      <c r="I231" s="42">
        <v>6573451</v>
      </c>
      <c r="K231" s="42">
        <v>151513</v>
      </c>
      <c r="M231" s="42">
        <v>0</v>
      </c>
      <c r="O231" s="42">
        <f>70492+1447971</f>
        <v>1518463</v>
      </c>
      <c r="Q231" s="42">
        <v>2611344</v>
      </c>
      <c r="S231" s="42">
        <v>1964906</v>
      </c>
      <c r="U231" s="42">
        <v>27003</v>
      </c>
      <c r="W231" s="42">
        <v>2985177</v>
      </c>
      <c r="Y231" s="42">
        <v>1249830</v>
      </c>
      <c r="AA231" s="42">
        <v>202581</v>
      </c>
      <c r="AC231" s="42">
        <v>3034604</v>
      </c>
      <c r="AE231" s="42">
        <v>2130902</v>
      </c>
      <c r="AG231" s="42">
        <v>8546</v>
      </c>
      <c r="AI231" s="9" t="s">
        <v>478</v>
      </c>
      <c r="AJ231" s="9"/>
      <c r="AK231" s="9" t="s">
        <v>63</v>
      </c>
      <c r="AL231" s="9"/>
      <c r="AM231" s="42">
        <v>1059113</v>
      </c>
      <c r="AO231" s="42">
        <v>138130</v>
      </c>
      <c r="AQ231" s="42">
        <v>1391324</v>
      </c>
      <c r="AS231" s="42">
        <v>413382</v>
      </c>
      <c r="AW231" s="42">
        <v>0</v>
      </c>
      <c r="AY231" s="42">
        <f t="shared" si="25"/>
        <v>42361843</v>
      </c>
      <c r="BA231" s="42">
        <f>+'St of Act - GA Rev'!AI231-'St of Activities - GA Exp'!AY231</f>
        <v>651608</v>
      </c>
      <c r="BC231" s="42">
        <v>2011400</v>
      </c>
      <c r="BE231" s="42">
        <f t="shared" si="26"/>
        <v>2663008</v>
      </c>
      <c r="BG231" s="42">
        <f>+'St of Net Pos - GA'!AE231-'St of Activities - GA Exp'!BE231</f>
        <v>0</v>
      </c>
    </row>
    <row r="232" spans="1:59" hidden="1">
      <c r="A232" s="8" t="s">
        <v>845</v>
      </c>
      <c r="B232" s="9"/>
      <c r="C232" s="9" t="s">
        <v>71</v>
      </c>
      <c r="D232" s="9"/>
      <c r="E232" s="23">
        <v>50559</v>
      </c>
      <c r="G232" s="42">
        <v>0</v>
      </c>
      <c r="I232" s="42">
        <v>0</v>
      </c>
      <c r="K232" s="42">
        <v>0</v>
      </c>
      <c r="M232" s="42">
        <v>0</v>
      </c>
      <c r="O232" s="42">
        <v>0</v>
      </c>
      <c r="Q232" s="42">
        <v>0</v>
      </c>
      <c r="S232" s="42">
        <v>0</v>
      </c>
      <c r="U232" s="42">
        <v>0</v>
      </c>
      <c r="W232" s="42">
        <v>0</v>
      </c>
      <c r="Y232" s="42">
        <v>0</v>
      </c>
      <c r="AA232" s="42">
        <v>0</v>
      </c>
      <c r="AC232" s="42">
        <v>0</v>
      </c>
      <c r="AE232" s="42">
        <v>0</v>
      </c>
      <c r="AG232" s="42">
        <v>0</v>
      </c>
      <c r="AI232" s="8" t="s">
        <v>845</v>
      </c>
      <c r="AJ232" s="9"/>
      <c r="AK232" s="9" t="s">
        <v>71</v>
      </c>
      <c r="AL232" s="9"/>
      <c r="AM232" s="42">
        <v>0</v>
      </c>
      <c r="AO232" s="42">
        <v>0</v>
      </c>
      <c r="AQ232" s="42">
        <v>0</v>
      </c>
      <c r="AS232" s="42">
        <v>0</v>
      </c>
      <c r="AW232" s="42">
        <v>0</v>
      </c>
      <c r="AY232" s="42">
        <f t="shared" si="25"/>
        <v>0</v>
      </c>
      <c r="BA232" s="42">
        <f>+'St of Act - GA Rev'!AI232-'St of Activities - GA Exp'!AY232</f>
        <v>0</v>
      </c>
      <c r="BC232" s="42">
        <v>0</v>
      </c>
      <c r="BE232" s="42">
        <f t="shared" si="26"/>
        <v>0</v>
      </c>
      <c r="BG232" s="42">
        <f>+'St of Net Pos - GA'!AE232-'St of Activities - GA Exp'!BE232</f>
        <v>0</v>
      </c>
    </row>
    <row r="233" spans="1:59">
      <c r="A233" s="9" t="s">
        <v>316</v>
      </c>
      <c r="B233" s="9"/>
      <c r="C233" s="9" t="s">
        <v>113</v>
      </c>
      <c r="D233" s="9"/>
      <c r="E233" s="23">
        <v>47266</v>
      </c>
      <c r="G233" s="42">
        <v>5569157</v>
      </c>
      <c r="I233" s="42">
        <v>1859967</v>
      </c>
      <c r="K233" s="42">
        <v>0</v>
      </c>
      <c r="M233" s="42">
        <v>0</v>
      </c>
      <c r="O233" s="42">
        <v>12906</v>
      </c>
      <c r="Q233" s="42">
        <v>717477</v>
      </c>
      <c r="S233" s="42">
        <v>389754</v>
      </c>
      <c r="U233" s="42">
        <v>78452</v>
      </c>
      <c r="W233" s="42">
        <v>1405008</v>
      </c>
      <c r="Y233" s="42">
        <v>362198</v>
      </c>
      <c r="AA233" s="42">
        <v>0</v>
      </c>
      <c r="AC233" s="42">
        <v>1350676</v>
      </c>
      <c r="AE233" s="42">
        <v>1008234</v>
      </c>
      <c r="AG233" s="42">
        <v>1745</v>
      </c>
      <c r="AI233" s="9" t="s">
        <v>316</v>
      </c>
      <c r="AJ233" s="9"/>
      <c r="AK233" s="9" t="s">
        <v>113</v>
      </c>
      <c r="AL233" s="9"/>
      <c r="AM233" s="42">
        <v>0</v>
      </c>
      <c r="AO233" s="42">
        <v>491447</v>
      </c>
      <c r="AQ233" s="42">
        <v>326743</v>
      </c>
      <c r="AS233" s="42">
        <v>327697</v>
      </c>
      <c r="AW233" s="42">
        <v>0</v>
      </c>
      <c r="AY233" s="42">
        <f t="shared" si="25"/>
        <v>13901461</v>
      </c>
      <c r="BA233" s="42">
        <f>+'St of Act - GA Rev'!AI233-'St of Activities - GA Exp'!AY233</f>
        <v>430925</v>
      </c>
      <c r="BC233" s="42">
        <v>28364732</v>
      </c>
      <c r="BE233" s="42">
        <f t="shared" si="26"/>
        <v>28795657</v>
      </c>
      <c r="BG233" s="42">
        <f>+'St of Net Pos - GA'!AE233-'St of Activities - GA Exp'!BE233</f>
        <v>0</v>
      </c>
    </row>
    <row r="234" spans="1:59" ht="12" customHeight="1">
      <c r="A234" s="9" t="s">
        <v>754</v>
      </c>
      <c r="B234" s="9"/>
      <c r="C234" s="9" t="s">
        <v>346</v>
      </c>
      <c r="D234" s="9"/>
      <c r="E234" s="23">
        <v>45401</v>
      </c>
      <c r="G234" s="42">
        <v>8977466</v>
      </c>
      <c r="I234" s="42">
        <v>2021653</v>
      </c>
      <c r="K234" s="42">
        <v>414321</v>
      </c>
      <c r="M234" s="42">
        <v>0</v>
      </c>
      <c r="O234" s="42">
        <v>1281473</v>
      </c>
      <c r="Q234" s="42">
        <v>942949</v>
      </c>
      <c r="S234" s="42">
        <v>631480</v>
      </c>
      <c r="U234" s="42">
        <v>67254</v>
      </c>
      <c r="W234" s="42">
        <v>1826384</v>
      </c>
      <c r="Y234" s="42">
        <v>416531</v>
      </c>
      <c r="AA234" s="42">
        <v>0</v>
      </c>
      <c r="AC234" s="42">
        <v>1812816</v>
      </c>
      <c r="AE234" s="42">
        <v>1103652</v>
      </c>
      <c r="AG234" s="42">
        <v>61164</v>
      </c>
      <c r="AI234" s="9" t="s">
        <v>754</v>
      </c>
      <c r="AJ234" s="9"/>
      <c r="AK234" s="9" t="s">
        <v>346</v>
      </c>
      <c r="AL234" s="9"/>
      <c r="AM234" s="42">
        <v>0</v>
      </c>
      <c r="AO234" s="42">
        <v>704449</v>
      </c>
      <c r="AQ234" s="42">
        <v>397134</v>
      </c>
      <c r="AS234" s="42">
        <v>74334</v>
      </c>
      <c r="AW234" s="42">
        <v>0</v>
      </c>
      <c r="AY234" s="42">
        <f t="shared" si="25"/>
        <v>20733060</v>
      </c>
      <c r="BA234" s="42">
        <f>+'St of Act - GA Rev'!AI234-'St of Activities - GA Exp'!AY234</f>
        <v>1155353</v>
      </c>
      <c r="BC234" s="42">
        <v>32508342</v>
      </c>
      <c r="BE234" s="42">
        <f t="shared" si="26"/>
        <v>33663695</v>
      </c>
      <c r="BG234" s="42">
        <f>+'St of Net Pos - GA'!AE234-'St of Activities - GA Exp'!BE234</f>
        <v>0</v>
      </c>
    </row>
    <row r="235" spans="1:59">
      <c r="A235" s="9" t="s">
        <v>230</v>
      </c>
      <c r="B235" s="9"/>
      <c r="C235" s="9" t="s">
        <v>17</v>
      </c>
      <c r="D235" s="9"/>
      <c r="E235" s="23">
        <v>46235</v>
      </c>
      <c r="G235" s="42">
        <v>7423651</v>
      </c>
      <c r="I235" s="42">
        <v>1638821</v>
      </c>
      <c r="K235" s="42">
        <v>240045</v>
      </c>
      <c r="M235" s="42">
        <v>0</v>
      </c>
      <c r="O235" s="42">
        <v>452070</v>
      </c>
      <c r="Q235" s="42">
        <v>874902</v>
      </c>
      <c r="S235" s="42">
        <v>581533</v>
      </c>
      <c r="U235" s="42">
        <v>136894</v>
      </c>
      <c r="W235" s="42">
        <v>1225038</v>
      </c>
      <c r="Y235" s="42">
        <v>482956</v>
      </c>
      <c r="AA235" s="42">
        <v>114566</v>
      </c>
      <c r="AC235" s="42">
        <v>1508533</v>
      </c>
      <c r="AE235" s="42">
        <v>1176105</v>
      </c>
      <c r="AG235" s="42">
        <v>161545</v>
      </c>
      <c r="AI235" s="9" t="s">
        <v>230</v>
      </c>
      <c r="AJ235" s="9"/>
      <c r="AK235" s="9" t="s">
        <v>17</v>
      </c>
      <c r="AL235" s="9"/>
      <c r="AM235" s="42">
        <v>696589</v>
      </c>
      <c r="AO235" s="42">
        <v>41700</v>
      </c>
      <c r="AQ235" s="42">
        <v>569737</v>
      </c>
      <c r="AS235" s="42">
        <v>1469</v>
      </c>
      <c r="AW235" s="42">
        <v>0</v>
      </c>
      <c r="AY235" s="42">
        <f>SUM(G235:AX235)</f>
        <v>17326154</v>
      </c>
      <c r="BA235" s="42">
        <f>+'St of Act - GA Rev'!AI235-'St of Activities - GA Exp'!AY235</f>
        <v>-237012</v>
      </c>
      <c r="BC235" s="42">
        <v>9417726</v>
      </c>
      <c r="BE235" s="42">
        <f t="shared" si="26"/>
        <v>9180714</v>
      </c>
      <c r="BG235" s="42">
        <f>+'St of Net Pos - GA'!AE235-'St of Activities - GA Exp'!BE235</f>
        <v>0</v>
      </c>
    </row>
    <row r="236" spans="1:59">
      <c r="A236" s="9" t="s">
        <v>280</v>
      </c>
      <c r="B236" s="9"/>
      <c r="C236" s="9" t="s">
        <v>21</v>
      </c>
      <c r="D236" s="9"/>
      <c r="E236" s="23">
        <v>44099</v>
      </c>
      <c r="G236" s="42">
        <v>12948604</v>
      </c>
      <c r="I236" s="42">
        <v>4495423</v>
      </c>
      <c r="K236" s="42">
        <v>1730041</v>
      </c>
      <c r="M236" s="42">
        <v>78076</v>
      </c>
      <c r="O236" s="42">
        <v>207419</v>
      </c>
      <c r="Q236" s="42">
        <v>1455339</v>
      </c>
      <c r="S236" s="42">
        <v>967829</v>
      </c>
      <c r="U236" s="42">
        <v>79257</v>
      </c>
      <c r="W236" s="42">
        <v>2175668</v>
      </c>
      <c r="Y236" s="42">
        <v>850389</v>
      </c>
      <c r="AA236" s="42">
        <v>12339</v>
      </c>
      <c r="AC236" s="42">
        <v>1563886</v>
      </c>
      <c r="AE236" s="42">
        <v>1060731</v>
      </c>
      <c r="AG236" s="42">
        <v>18874</v>
      </c>
      <c r="AI236" s="9" t="s">
        <v>280</v>
      </c>
      <c r="AJ236" s="9"/>
      <c r="AK236" s="9" t="s">
        <v>21</v>
      </c>
      <c r="AL236" s="9"/>
      <c r="AM236" s="42">
        <v>0</v>
      </c>
      <c r="AO236" s="42">
        <v>1097100</v>
      </c>
      <c r="AQ236" s="42">
        <v>672965</v>
      </c>
      <c r="AS236" s="42">
        <v>0</v>
      </c>
      <c r="AW236" s="42">
        <v>0</v>
      </c>
      <c r="AY236" s="42">
        <f t="shared" si="25"/>
        <v>29413940</v>
      </c>
      <c r="BA236" s="42">
        <f>+'St of Act - GA Rev'!AI236-'St of Activities - GA Exp'!AY236</f>
        <v>-46092</v>
      </c>
      <c r="BC236" s="42">
        <v>19260784</v>
      </c>
      <c r="BE236" s="42">
        <f t="shared" si="26"/>
        <v>19214692</v>
      </c>
      <c r="BG236" s="42">
        <f>+'St of Net Pos - GA'!AE236-'St of Activities - GA Exp'!BE236</f>
        <v>0</v>
      </c>
    </row>
    <row r="237" spans="1:59">
      <c r="A237" s="9" t="s">
        <v>302</v>
      </c>
      <c r="B237" s="9"/>
      <c r="C237" s="9" t="s">
        <v>27</v>
      </c>
      <c r="D237" s="9"/>
      <c r="E237" s="23">
        <v>46979</v>
      </c>
      <c r="G237" s="42">
        <v>32387942</v>
      </c>
      <c r="I237" s="42">
        <v>9094320</v>
      </c>
      <c r="K237" s="42">
        <v>1539</v>
      </c>
      <c r="M237" s="42">
        <v>0</v>
      </c>
      <c r="O237" s="42">
        <v>42206</v>
      </c>
      <c r="Q237" s="42">
        <v>3161410</v>
      </c>
      <c r="S237" s="42">
        <v>4375287</v>
      </c>
      <c r="U237" s="42">
        <v>802317</v>
      </c>
      <c r="W237" s="42">
        <v>4671886</v>
      </c>
      <c r="Y237" s="42">
        <v>1492743</v>
      </c>
      <c r="AA237" s="42">
        <v>87814</v>
      </c>
      <c r="AC237" s="42">
        <v>5770866</v>
      </c>
      <c r="AE237" s="42">
        <v>5458627</v>
      </c>
      <c r="AG237" s="42">
        <v>860026</v>
      </c>
      <c r="AI237" s="9" t="s">
        <v>302</v>
      </c>
      <c r="AJ237" s="9"/>
      <c r="AK237" s="9" t="s">
        <v>27</v>
      </c>
      <c r="AL237" s="9"/>
      <c r="AM237" s="42">
        <v>0</v>
      </c>
      <c r="AO237" s="42">
        <v>2920651</v>
      </c>
      <c r="AQ237" s="42">
        <v>336401</v>
      </c>
      <c r="AS237" s="42">
        <v>0</v>
      </c>
      <c r="AW237" s="42">
        <v>779498</v>
      </c>
      <c r="AY237" s="42">
        <f t="shared" si="25"/>
        <v>72243533</v>
      </c>
      <c r="BA237" s="42">
        <f>+'St of Act - GA Rev'!AI237-'St of Activities - GA Exp'!AY237</f>
        <v>-2678356</v>
      </c>
      <c r="BC237" s="42">
        <v>15261139</v>
      </c>
      <c r="BE237" s="42">
        <f t="shared" si="26"/>
        <v>12582783</v>
      </c>
      <c r="BG237" s="42">
        <f>+'St of Net Pos - GA'!AE237-'St of Activities - GA Exp'!BE237</f>
        <v>0</v>
      </c>
    </row>
    <row r="238" spans="1:59" ht="11.25" hidden="1" customHeight="1">
      <c r="A238" s="8" t="s">
        <v>846</v>
      </c>
      <c r="B238" s="9"/>
      <c r="C238" s="9" t="s">
        <v>220</v>
      </c>
      <c r="D238" s="9"/>
      <c r="E238" s="23">
        <v>44107</v>
      </c>
      <c r="G238" s="42">
        <v>0</v>
      </c>
      <c r="I238" s="42">
        <v>0</v>
      </c>
      <c r="K238" s="42">
        <v>0</v>
      </c>
      <c r="M238" s="42">
        <v>0</v>
      </c>
      <c r="O238" s="42">
        <v>0</v>
      </c>
      <c r="Q238" s="42">
        <v>0</v>
      </c>
      <c r="S238" s="42">
        <v>0</v>
      </c>
      <c r="U238" s="42">
        <v>0</v>
      </c>
      <c r="W238" s="42">
        <v>0</v>
      </c>
      <c r="Y238" s="42">
        <v>0</v>
      </c>
      <c r="AA238" s="42">
        <v>0</v>
      </c>
      <c r="AC238" s="42">
        <v>0</v>
      </c>
      <c r="AE238" s="42">
        <v>0</v>
      </c>
      <c r="AG238" s="42">
        <v>0</v>
      </c>
      <c r="AI238" s="8" t="s">
        <v>846</v>
      </c>
      <c r="AJ238" s="9"/>
      <c r="AK238" s="9" t="s">
        <v>220</v>
      </c>
      <c r="AL238" s="9"/>
      <c r="AM238" s="42">
        <v>0</v>
      </c>
      <c r="AO238" s="42">
        <v>0</v>
      </c>
      <c r="AQ238" s="42">
        <v>0</v>
      </c>
      <c r="AS238" s="42">
        <v>0</v>
      </c>
      <c r="AW238" s="42">
        <v>0</v>
      </c>
      <c r="AY238" s="42">
        <f>SUM(G238:AX238)</f>
        <v>0</v>
      </c>
      <c r="BA238" s="42">
        <f>+'St of Act - GA Rev'!AI238-'St of Activities - GA Exp'!AY238</f>
        <v>0</v>
      </c>
      <c r="BC238" s="42">
        <v>0</v>
      </c>
      <c r="BE238" s="42">
        <f t="shared" si="26"/>
        <v>0</v>
      </c>
      <c r="BG238" s="42">
        <f>+'St of Net Pos - GA'!AE238-'St of Activities - GA Exp'!BE238</f>
        <v>0</v>
      </c>
    </row>
    <row r="239" spans="1:59">
      <c r="A239" s="8" t="s">
        <v>796</v>
      </c>
      <c r="B239" s="9"/>
      <c r="C239" s="9" t="s">
        <v>27</v>
      </c>
      <c r="D239" s="9"/>
      <c r="E239" s="23">
        <v>46953</v>
      </c>
      <c r="G239" s="42">
        <v>12980868</v>
      </c>
      <c r="I239" s="42">
        <v>2386009</v>
      </c>
      <c r="K239" s="42">
        <v>209755</v>
      </c>
      <c r="M239" s="42">
        <v>0</v>
      </c>
      <c r="O239" s="42">
        <v>1750364</v>
      </c>
      <c r="Q239" s="42">
        <v>1184648</v>
      </c>
      <c r="S239" s="42">
        <v>538481</v>
      </c>
      <c r="U239" s="42">
        <v>13487</v>
      </c>
      <c r="W239" s="42">
        <v>2211173</v>
      </c>
      <c r="Y239" s="42">
        <v>1424308</v>
      </c>
      <c r="AA239" s="42">
        <v>0</v>
      </c>
      <c r="AC239" s="42">
        <v>2928152</v>
      </c>
      <c r="AE239" s="42">
        <v>917658</v>
      </c>
      <c r="AG239" s="42">
        <v>88271</v>
      </c>
      <c r="AI239" s="8" t="s">
        <v>796</v>
      </c>
      <c r="AJ239" s="9"/>
      <c r="AK239" s="9" t="s">
        <v>27</v>
      </c>
      <c r="AL239" s="9"/>
      <c r="AM239" s="42">
        <v>0</v>
      </c>
      <c r="AO239" s="42">
        <v>1744200</v>
      </c>
      <c r="AQ239" s="42">
        <v>1013683</v>
      </c>
      <c r="AS239" s="42">
        <v>1251162</v>
      </c>
      <c r="AW239" s="42">
        <v>0</v>
      </c>
      <c r="AY239" s="42">
        <f t="shared" ref="AY239" si="27">SUM(G239:AX239)</f>
        <v>30642219</v>
      </c>
      <c r="BA239" s="42">
        <f>+'St of Act - GA Rev'!AI239-'St of Activities - GA Exp'!AY239</f>
        <v>-2076939</v>
      </c>
      <c r="BC239" s="42">
        <v>61269359</v>
      </c>
      <c r="BE239" s="42">
        <f t="shared" si="26"/>
        <v>59192420</v>
      </c>
      <c r="BG239" s="42">
        <f>+'St of Net Pos - GA'!AE239-'St of Activities - GA Exp'!BE239</f>
        <v>0</v>
      </c>
    </row>
    <row r="240" spans="1:59" hidden="1">
      <c r="A240" s="8" t="s">
        <v>338</v>
      </c>
      <c r="B240" s="9"/>
      <c r="C240" s="9" t="s">
        <v>337</v>
      </c>
      <c r="D240" s="9"/>
      <c r="E240" s="23">
        <v>47498</v>
      </c>
      <c r="G240" s="42">
        <v>0</v>
      </c>
      <c r="I240" s="42">
        <v>0</v>
      </c>
      <c r="K240" s="42">
        <v>0</v>
      </c>
      <c r="M240" s="42">
        <v>0</v>
      </c>
      <c r="O240" s="42">
        <v>0</v>
      </c>
      <c r="Q240" s="42">
        <v>0</v>
      </c>
      <c r="S240" s="42">
        <v>0</v>
      </c>
      <c r="U240" s="42">
        <v>0</v>
      </c>
      <c r="W240" s="42">
        <v>0</v>
      </c>
      <c r="Y240" s="42">
        <v>0</v>
      </c>
      <c r="AA240" s="42">
        <v>0</v>
      </c>
      <c r="AC240" s="42">
        <v>0</v>
      </c>
      <c r="AE240" s="42">
        <v>0</v>
      </c>
      <c r="AG240" s="42">
        <v>0</v>
      </c>
      <c r="AI240" s="8" t="s">
        <v>338</v>
      </c>
      <c r="AJ240" s="9"/>
      <c r="AK240" s="9" t="s">
        <v>337</v>
      </c>
      <c r="AL240" s="9"/>
      <c r="AM240" s="42">
        <v>0</v>
      </c>
      <c r="AO240" s="42">
        <v>0</v>
      </c>
      <c r="AQ240" s="42">
        <v>0</v>
      </c>
      <c r="AS240" s="42">
        <v>0</v>
      </c>
      <c r="AW240" s="42">
        <v>0</v>
      </c>
      <c r="AY240" s="42">
        <f t="shared" si="25"/>
        <v>0</v>
      </c>
      <c r="BA240" s="42">
        <f>+'St of Act - GA Rev'!AI240-'St of Activities - GA Exp'!AY240</f>
        <v>0</v>
      </c>
      <c r="BC240" s="42">
        <v>0</v>
      </c>
      <c r="BE240" s="42">
        <f t="shared" si="26"/>
        <v>0</v>
      </c>
      <c r="BG240" s="42">
        <f>+'St of Net Pos - GA'!AE240-'St of Activities - GA Exp'!BE240</f>
        <v>0</v>
      </c>
    </row>
    <row r="241" spans="1:59">
      <c r="A241" s="8" t="s">
        <v>487</v>
      </c>
      <c r="B241" s="9"/>
      <c r="C241" s="9" t="s">
        <v>61</v>
      </c>
      <c r="D241" s="9"/>
      <c r="E241" s="23">
        <v>49791</v>
      </c>
      <c r="G241" s="42">
        <v>3957784</v>
      </c>
      <c r="I241" s="42">
        <v>581187</v>
      </c>
      <c r="K241" s="42">
        <v>93249</v>
      </c>
      <c r="M241" s="42">
        <v>0</v>
      </c>
      <c r="O241" s="42">
        <f>1056+105849</f>
        <v>106905</v>
      </c>
      <c r="Q241" s="42">
        <v>632060</v>
      </c>
      <c r="S241" s="42">
        <v>298980</v>
      </c>
      <c r="U241" s="42">
        <v>7169</v>
      </c>
      <c r="W241" s="42">
        <v>552167</v>
      </c>
      <c r="Y241" s="42">
        <v>257351</v>
      </c>
      <c r="AA241" s="42">
        <v>1323</v>
      </c>
      <c r="AC241" s="42">
        <v>710724</v>
      </c>
      <c r="AE241" s="42">
        <v>644069</v>
      </c>
      <c r="AG241" s="42">
        <v>21330</v>
      </c>
      <c r="AI241" s="8" t="s">
        <v>487</v>
      </c>
      <c r="AJ241" s="9"/>
      <c r="AK241" s="9" t="s">
        <v>61</v>
      </c>
      <c r="AL241" s="9"/>
      <c r="AM241" s="42">
        <v>0</v>
      </c>
      <c r="AO241" s="42">
        <v>287819</v>
      </c>
      <c r="AQ241" s="42">
        <v>206369</v>
      </c>
      <c r="AS241" s="42">
        <v>467282</v>
      </c>
      <c r="AW241" s="42">
        <v>249439</v>
      </c>
      <c r="AY241" s="42">
        <f t="shared" si="25"/>
        <v>9075207</v>
      </c>
      <c r="BA241" s="42">
        <f>+'St of Act - GA Rev'!AI241-'St of Activities - GA Exp'!AY241</f>
        <v>311070</v>
      </c>
      <c r="BC241" s="42">
        <v>18464489</v>
      </c>
      <c r="BE241" s="42">
        <f t="shared" si="26"/>
        <v>18775559</v>
      </c>
      <c r="BG241" s="42">
        <f>+'St of Net Pos - GA'!AE241-'St of Activities - GA Exp'!BE241</f>
        <v>0</v>
      </c>
    </row>
    <row r="242" spans="1:59" hidden="1">
      <c r="A242" s="8" t="s">
        <v>847</v>
      </c>
      <c r="B242" s="9"/>
      <c r="C242" s="9" t="s">
        <v>341</v>
      </c>
      <c r="D242" s="9"/>
      <c r="E242" s="23">
        <v>45245</v>
      </c>
      <c r="G242" s="42">
        <v>0</v>
      </c>
      <c r="I242" s="42">
        <v>0</v>
      </c>
      <c r="K242" s="42">
        <v>0</v>
      </c>
      <c r="M242" s="42">
        <v>0</v>
      </c>
      <c r="O242" s="42">
        <v>0</v>
      </c>
      <c r="Q242" s="42">
        <v>0</v>
      </c>
      <c r="S242" s="42">
        <v>0</v>
      </c>
      <c r="U242" s="42">
        <v>0</v>
      </c>
      <c r="W242" s="42">
        <v>0</v>
      </c>
      <c r="Y242" s="42">
        <v>0</v>
      </c>
      <c r="AA242" s="42">
        <v>0</v>
      </c>
      <c r="AC242" s="42">
        <v>0</v>
      </c>
      <c r="AE242" s="42">
        <v>0</v>
      </c>
      <c r="AG242" s="42">
        <v>0</v>
      </c>
      <c r="AI242" s="8" t="s">
        <v>847</v>
      </c>
      <c r="AJ242" s="9"/>
      <c r="AK242" s="9" t="s">
        <v>341</v>
      </c>
      <c r="AL242" s="9"/>
      <c r="AM242" s="42">
        <v>0</v>
      </c>
      <c r="AO242" s="42">
        <v>0</v>
      </c>
      <c r="AQ242" s="42">
        <v>0</v>
      </c>
      <c r="AS242" s="42">
        <v>0</v>
      </c>
      <c r="AW242" s="42">
        <v>0</v>
      </c>
      <c r="AY242" s="42">
        <f t="shared" si="25"/>
        <v>0</v>
      </c>
      <c r="BA242" s="42">
        <f>+'St of Act - GA Rev'!AI242-'St of Activities - GA Exp'!AY242</f>
        <v>0</v>
      </c>
      <c r="BC242" s="42">
        <v>0</v>
      </c>
      <c r="BE242" s="42">
        <f t="shared" si="26"/>
        <v>0</v>
      </c>
      <c r="BG242" s="42">
        <f>+'St of Net Pos - GA'!AE242-'St of Activities - GA Exp'!BE242</f>
        <v>0</v>
      </c>
    </row>
    <row r="243" spans="1:59">
      <c r="A243" s="9" t="s">
        <v>371</v>
      </c>
      <c r="B243" s="9"/>
      <c r="C243" s="9" t="s">
        <v>42</v>
      </c>
      <c r="D243" s="9"/>
      <c r="E243" s="23">
        <v>44115</v>
      </c>
      <c r="G243" s="42">
        <v>10304880</v>
      </c>
      <c r="I243" s="42">
        <v>0</v>
      </c>
      <c r="K243" s="42">
        <v>0</v>
      </c>
      <c r="M243" s="42">
        <v>0</v>
      </c>
      <c r="O243" s="42">
        <v>0</v>
      </c>
      <c r="Q243" s="42">
        <v>632193</v>
      </c>
      <c r="S243" s="42">
        <v>318009</v>
      </c>
      <c r="U243" s="42">
        <v>79588</v>
      </c>
      <c r="W243" s="42">
        <v>1468112</v>
      </c>
      <c r="Y243" s="42">
        <v>506287</v>
      </c>
      <c r="AA243" s="42">
        <v>29284</v>
      </c>
      <c r="AC243" s="42">
        <v>1351000</v>
      </c>
      <c r="AE243" s="42">
        <v>654334</v>
      </c>
      <c r="AG243" s="42">
        <v>275932</v>
      </c>
      <c r="AI243" s="9" t="s">
        <v>371</v>
      </c>
      <c r="AJ243" s="9"/>
      <c r="AK243" s="9" t="s">
        <v>42</v>
      </c>
      <c r="AL243" s="9"/>
      <c r="AM243" s="42">
        <v>616807</v>
      </c>
      <c r="AO243" s="42">
        <v>1776</v>
      </c>
      <c r="AQ243" s="42">
        <v>601322</v>
      </c>
      <c r="AS243" s="42">
        <v>1117528</v>
      </c>
      <c r="AW243" s="42">
        <v>0</v>
      </c>
      <c r="AY243" s="42">
        <f t="shared" si="25"/>
        <v>17957052</v>
      </c>
      <c r="BA243" s="42">
        <f>+'St of Act - GA Rev'!AI243-'St of Activities - GA Exp'!AY243</f>
        <v>-1946713</v>
      </c>
      <c r="BC243" s="42">
        <v>3002594</v>
      </c>
      <c r="BE243" s="42">
        <f t="shared" si="26"/>
        <v>1055881</v>
      </c>
      <c r="BG243" s="42">
        <f>+'St of Net Pos - GA'!AE243-'St of Activities - GA Exp'!BE243</f>
        <v>0</v>
      </c>
    </row>
    <row r="244" spans="1:59" ht="12" hidden="1" customHeight="1">
      <c r="A244" s="9" t="s">
        <v>662</v>
      </c>
      <c r="B244" s="9"/>
      <c r="C244" s="9" t="s">
        <v>22</v>
      </c>
      <c r="D244" s="9"/>
      <c r="E244" s="23">
        <v>45419</v>
      </c>
      <c r="G244" s="42">
        <v>0</v>
      </c>
      <c r="I244" s="42">
        <v>0</v>
      </c>
      <c r="K244" s="42">
        <v>0</v>
      </c>
      <c r="M244" s="42">
        <v>0</v>
      </c>
      <c r="O244" s="42">
        <v>0</v>
      </c>
      <c r="Q244" s="42">
        <v>0</v>
      </c>
      <c r="S244" s="42">
        <v>0</v>
      </c>
      <c r="U244" s="42">
        <v>0</v>
      </c>
      <c r="W244" s="42">
        <v>0</v>
      </c>
      <c r="Y244" s="42">
        <v>0</v>
      </c>
      <c r="AA244" s="42">
        <v>0</v>
      </c>
      <c r="AC244" s="42">
        <v>0</v>
      </c>
      <c r="AE244" s="42">
        <v>0</v>
      </c>
      <c r="AG244" s="42">
        <v>0</v>
      </c>
      <c r="AI244" s="9" t="s">
        <v>662</v>
      </c>
      <c r="AJ244" s="9"/>
      <c r="AK244" s="9" t="s">
        <v>22</v>
      </c>
      <c r="AL244" s="9"/>
      <c r="AM244" s="42">
        <v>0</v>
      </c>
      <c r="AO244" s="42">
        <v>0</v>
      </c>
      <c r="AQ244" s="42">
        <v>0</v>
      </c>
      <c r="AS244" s="42">
        <v>0</v>
      </c>
      <c r="AW244" s="42">
        <v>0</v>
      </c>
      <c r="AY244" s="42">
        <f t="shared" si="25"/>
        <v>0</v>
      </c>
      <c r="BA244" s="42">
        <f>+'St of Act - GA Rev'!AI244-'St of Activities - GA Exp'!AY244</f>
        <v>0</v>
      </c>
      <c r="BC244" s="42">
        <v>0</v>
      </c>
      <c r="BE244" s="42">
        <f t="shared" si="26"/>
        <v>0</v>
      </c>
      <c r="BG244" s="42">
        <f>+'St of Net Pos - GA'!AE244-'St of Activities - GA Exp'!BE244</f>
        <v>0</v>
      </c>
    </row>
    <row r="245" spans="1:59">
      <c r="A245" s="9" t="s">
        <v>414</v>
      </c>
      <c r="B245" s="9"/>
      <c r="C245" s="9" t="s">
        <v>47</v>
      </c>
      <c r="D245" s="9"/>
      <c r="E245" s="23">
        <v>48496</v>
      </c>
      <c r="G245" s="42">
        <v>12871326</v>
      </c>
      <c r="I245" s="42">
        <v>3020373</v>
      </c>
      <c r="K245" s="42">
        <v>174978</v>
      </c>
      <c r="M245" s="42">
        <v>0</v>
      </c>
      <c r="O245" s="42">
        <v>138331</v>
      </c>
      <c r="Q245" s="42">
        <v>1693796</v>
      </c>
      <c r="S245" s="42">
        <v>1615746</v>
      </c>
      <c r="U245" s="42">
        <v>26183</v>
      </c>
      <c r="W245" s="42">
        <v>2095174</v>
      </c>
      <c r="Y245" s="42">
        <v>865692</v>
      </c>
      <c r="AA245" s="42">
        <v>29088</v>
      </c>
      <c r="AC245" s="42">
        <v>2892366</v>
      </c>
      <c r="AE245" s="42">
        <v>1961636</v>
      </c>
      <c r="AG245" s="42">
        <v>227927</v>
      </c>
      <c r="AI245" s="9" t="s">
        <v>414</v>
      </c>
      <c r="AJ245" s="9"/>
      <c r="AK245" s="9" t="s">
        <v>47</v>
      </c>
      <c r="AL245" s="9"/>
      <c r="AM245" s="42">
        <v>1125550</v>
      </c>
      <c r="AO245" s="42">
        <v>194263</v>
      </c>
      <c r="AQ245" s="42">
        <v>1466326</v>
      </c>
      <c r="AS245" s="42">
        <v>1363893</v>
      </c>
      <c r="AW245" s="42">
        <v>0</v>
      </c>
      <c r="AY245" s="42">
        <f t="shared" si="25"/>
        <v>31762648</v>
      </c>
      <c r="BA245" s="42">
        <f>+'St of Act - GA Rev'!AI245-'St of Activities - GA Exp'!AY245</f>
        <v>3490591</v>
      </c>
      <c r="BC245" s="42">
        <v>19690174</v>
      </c>
      <c r="BE245" s="42">
        <f t="shared" si="26"/>
        <v>23180765</v>
      </c>
      <c r="BG245" s="42">
        <f>+'St of Net Pos - GA'!AE245-'St of Activities - GA Exp'!BE245</f>
        <v>0</v>
      </c>
    </row>
    <row r="246" spans="1:59">
      <c r="A246" s="9" t="s">
        <v>414</v>
      </c>
      <c r="B246" s="9"/>
      <c r="C246" s="9" t="s">
        <v>78</v>
      </c>
      <c r="D246" s="9"/>
      <c r="E246" s="23">
        <v>48801</v>
      </c>
      <c r="G246" s="42">
        <v>7778458</v>
      </c>
      <c r="I246" s="42">
        <v>2635944</v>
      </c>
      <c r="K246" s="42">
        <v>229103</v>
      </c>
      <c r="M246" s="42">
        <v>0</v>
      </c>
      <c r="O246" s="42">
        <v>0</v>
      </c>
      <c r="Q246" s="42">
        <v>498738</v>
      </c>
      <c r="S246" s="42">
        <v>752985</v>
      </c>
      <c r="U246" s="42">
        <v>193779</v>
      </c>
      <c r="W246" s="42">
        <v>1130745</v>
      </c>
      <c r="Y246" s="42">
        <v>447431</v>
      </c>
      <c r="AA246" s="42">
        <v>0</v>
      </c>
      <c r="AC246" s="42">
        <v>1632359</v>
      </c>
      <c r="AE246" s="42">
        <v>1440560</v>
      </c>
      <c r="AG246" s="42">
        <v>367</v>
      </c>
      <c r="AI246" s="9" t="s">
        <v>414</v>
      </c>
      <c r="AJ246" s="9"/>
      <c r="AK246" s="9" t="s">
        <v>78</v>
      </c>
      <c r="AL246" s="9"/>
      <c r="AM246" s="42">
        <v>0</v>
      </c>
      <c r="AO246" s="42">
        <v>834525</v>
      </c>
      <c r="AQ246" s="42">
        <v>396581</v>
      </c>
      <c r="AS246" s="42">
        <v>1022362</v>
      </c>
      <c r="AW246" s="42">
        <v>0</v>
      </c>
      <c r="AY246" s="42">
        <f t="shared" si="25"/>
        <v>18993937</v>
      </c>
      <c r="BA246" s="42">
        <f>+'St of Act - GA Rev'!AI246-'St of Activities - GA Exp'!AY246</f>
        <v>-1134720</v>
      </c>
      <c r="BC246" s="42">
        <v>52473429</v>
      </c>
      <c r="BE246" s="42">
        <f t="shared" si="26"/>
        <v>51338709</v>
      </c>
      <c r="BG246" s="42">
        <f>+'St of Net Pos - GA'!AE246-'St of Activities - GA Exp'!BE246</f>
        <v>0</v>
      </c>
    </row>
    <row r="247" spans="1:59">
      <c r="A247" s="9" t="s">
        <v>303</v>
      </c>
      <c r="B247" s="9"/>
      <c r="C247" s="9" t="s">
        <v>27</v>
      </c>
      <c r="D247" s="9"/>
      <c r="E247" s="23">
        <v>47019</v>
      </c>
      <c r="G247" s="42">
        <v>88134477</v>
      </c>
      <c r="I247" s="42">
        <v>17336817</v>
      </c>
      <c r="K247" s="42">
        <v>6643022</v>
      </c>
      <c r="M247" s="42">
        <v>0</v>
      </c>
      <c r="O247" s="42">
        <v>0</v>
      </c>
      <c r="Q247" s="42">
        <v>12363839</v>
      </c>
      <c r="S247" s="42">
        <v>8461569</v>
      </c>
      <c r="U247" s="42">
        <v>392731</v>
      </c>
      <c r="W247" s="42">
        <v>8453457</v>
      </c>
      <c r="Y247" s="42">
        <v>5617968</v>
      </c>
      <c r="AA247" s="42">
        <v>800665</v>
      </c>
      <c r="AC247" s="42">
        <v>17294230</v>
      </c>
      <c r="AE247" s="42">
        <v>8233115</v>
      </c>
      <c r="AG247" s="42">
        <v>1602582</v>
      </c>
      <c r="AI247" s="9" t="s">
        <v>303</v>
      </c>
      <c r="AJ247" s="9"/>
      <c r="AK247" s="9" t="s">
        <v>27</v>
      </c>
      <c r="AL247" s="9"/>
      <c r="AM247" s="42">
        <v>4846102</v>
      </c>
      <c r="AO247" s="42">
        <v>2901939</v>
      </c>
      <c r="AQ247" s="42">
        <v>4705386</v>
      </c>
      <c r="AS247" s="42">
        <v>9755664</v>
      </c>
      <c r="AW247" s="42">
        <v>0</v>
      </c>
      <c r="AY247" s="42">
        <f t="shared" si="25"/>
        <v>197543563</v>
      </c>
      <c r="BA247" s="42">
        <f>+'St of Act - GA Rev'!AI247-'St of Activities - GA Exp'!AY247</f>
        <v>-2417008</v>
      </c>
      <c r="BC247" s="42">
        <v>58293855</v>
      </c>
      <c r="BE247" s="42">
        <f t="shared" si="26"/>
        <v>55876847</v>
      </c>
      <c r="BG247" s="42">
        <f>+'St of Net Pos - GA'!AE247-'St of Activities - GA Exp'!BE247</f>
        <v>0</v>
      </c>
    </row>
    <row r="248" spans="1:59" ht="12" customHeight="1">
      <c r="A248" s="9" t="s">
        <v>348</v>
      </c>
      <c r="B248" s="9"/>
      <c r="C248" s="9" t="s">
        <v>346</v>
      </c>
      <c r="D248" s="9"/>
      <c r="E248" s="23">
        <v>44123</v>
      </c>
      <c r="G248" s="42">
        <v>12111362</v>
      </c>
      <c r="I248" s="42">
        <v>2158059</v>
      </c>
      <c r="K248" s="42">
        <v>763240</v>
      </c>
      <c r="M248" s="42">
        <v>0</v>
      </c>
      <c r="O248" s="42">
        <v>2212</v>
      </c>
      <c r="Q248" s="42">
        <v>1007897</v>
      </c>
      <c r="S248" s="42">
        <v>2880164</v>
      </c>
      <c r="U248" s="42">
        <v>38732</v>
      </c>
      <c r="W248" s="42">
        <v>2036284</v>
      </c>
      <c r="Y248" s="42">
        <v>92710</v>
      </c>
      <c r="AA248" s="42">
        <v>9858</v>
      </c>
      <c r="AC248" s="42">
        <v>1959042</v>
      </c>
      <c r="AE248" s="42">
        <v>1792521</v>
      </c>
      <c r="AG248" s="42">
        <v>40941</v>
      </c>
      <c r="AI248" s="9" t="s">
        <v>348</v>
      </c>
      <c r="AJ248" s="9"/>
      <c r="AK248" s="9" t="s">
        <v>346</v>
      </c>
      <c r="AL248" s="9"/>
      <c r="AM248" s="42">
        <v>1120667</v>
      </c>
      <c r="AO248" s="42">
        <v>142484</v>
      </c>
      <c r="AQ248" s="42">
        <v>654830</v>
      </c>
      <c r="AS248" s="42">
        <v>565289</v>
      </c>
      <c r="AW248" s="42">
        <v>0</v>
      </c>
      <c r="AY248" s="42">
        <f t="shared" si="25"/>
        <v>27376292</v>
      </c>
      <c r="BA248" s="42">
        <f>+'St of Act - GA Rev'!AI248-'St of Activities - GA Exp'!AY248</f>
        <v>-333239</v>
      </c>
      <c r="BC248" s="42">
        <v>55608833</v>
      </c>
      <c r="BE248" s="42">
        <f t="shared" si="26"/>
        <v>55275594</v>
      </c>
      <c r="BG248" s="42">
        <f>+'St of Net Pos - GA'!AE248-'St of Activities - GA Exp'!BE248</f>
        <v>0</v>
      </c>
    </row>
    <row r="249" spans="1:59">
      <c r="A249" s="9" t="s">
        <v>203</v>
      </c>
      <c r="B249" s="9"/>
      <c r="C249" s="9" t="s">
        <v>11</v>
      </c>
      <c r="D249" s="9"/>
      <c r="E249" s="23">
        <v>45823</v>
      </c>
      <c r="G249" s="42">
        <v>4929438</v>
      </c>
      <c r="I249" s="42">
        <v>798174</v>
      </c>
      <c r="K249" s="42">
        <v>338951</v>
      </c>
      <c r="M249" s="42">
        <v>0</v>
      </c>
      <c r="O249" s="42">
        <v>252075</v>
      </c>
      <c r="Q249" s="42">
        <v>518788</v>
      </c>
      <c r="S249" s="42">
        <v>363691</v>
      </c>
      <c r="U249" s="42">
        <v>57615</v>
      </c>
      <c r="W249" s="42">
        <v>1025729</v>
      </c>
      <c r="Y249" s="42">
        <v>354248</v>
      </c>
      <c r="AA249" s="42">
        <v>0</v>
      </c>
      <c r="AC249" s="42">
        <v>683925</v>
      </c>
      <c r="AE249" s="42">
        <v>890746</v>
      </c>
      <c r="AG249" s="42">
        <v>0</v>
      </c>
      <c r="AI249" s="9" t="s">
        <v>203</v>
      </c>
      <c r="AJ249" s="9"/>
      <c r="AK249" s="9" t="s">
        <v>11</v>
      </c>
      <c r="AL249" s="9"/>
      <c r="AM249" s="42">
        <v>381515</v>
      </c>
      <c r="AO249" s="42">
        <v>7168</v>
      </c>
      <c r="AQ249" s="42">
        <v>361020</v>
      </c>
      <c r="AS249" s="42">
        <v>9219</v>
      </c>
      <c r="AW249" s="42">
        <v>0</v>
      </c>
      <c r="AY249" s="42">
        <f t="shared" si="25"/>
        <v>10972302</v>
      </c>
      <c r="BA249" s="42">
        <f>+'St of Act - GA Rev'!AI249-'St of Activities - GA Exp'!AY249</f>
        <v>-593198</v>
      </c>
      <c r="BC249" s="42">
        <v>2477410</v>
      </c>
      <c r="BE249" s="42">
        <f t="shared" si="26"/>
        <v>1884212</v>
      </c>
      <c r="BG249" s="42">
        <f>+'St of Net Pos - GA'!AE249-'St of Activities - GA Exp'!BE249</f>
        <v>0</v>
      </c>
    </row>
    <row r="250" spans="1:59">
      <c r="A250" s="9" t="s">
        <v>342</v>
      </c>
      <c r="B250" s="9"/>
      <c r="C250" s="9" t="s">
        <v>34</v>
      </c>
      <c r="D250" s="9"/>
      <c r="E250" s="23">
        <v>47571</v>
      </c>
      <c r="G250" s="42">
        <v>2843490</v>
      </c>
      <c r="I250" s="42">
        <v>587376</v>
      </c>
      <c r="K250" s="42">
        <v>121987</v>
      </c>
      <c r="M250" s="42">
        <v>0</v>
      </c>
      <c r="O250" s="42">
        <v>0</v>
      </c>
      <c r="Q250" s="42">
        <v>274319</v>
      </c>
      <c r="S250" s="42">
        <v>251112</v>
      </c>
      <c r="U250" s="42">
        <v>11740</v>
      </c>
      <c r="W250" s="42">
        <v>491008</v>
      </c>
      <c r="Y250" s="42">
        <v>226026</v>
      </c>
      <c r="AA250" s="42">
        <v>8065</v>
      </c>
      <c r="AC250" s="42">
        <v>478916</v>
      </c>
      <c r="AE250" s="42">
        <v>240452</v>
      </c>
      <c r="AG250" s="42">
        <v>85504</v>
      </c>
      <c r="AI250" s="9" t="s">
        <v>342</v>
      </c>
      <c r="AJ250" s="9"/>
      <c r="AK250" s="9" t="s">
        <v>34</v>
      </c>
      <c r="AL250" s="9"/>
      <c r="AM250" s="42">
        <v>0</v>
      </c>
      <c r="AO250" s="42">
        <v>266742</v>
      </c>
      <c r="AQ250" s="42">
        <v>276580</v>
      </c>
      <c r="AS250" s="42">
        <v>187317</v>
      </c>
      <c r="AW250" s="42">
        <v>0</v>
      </c>
      <c r="AY250" s="42">
        <f t="shared" ref="AY250:AY274" si="28">SUM(G250:AX250)</f>
        <v>6350634</v>
      </c>
      <c r="BA250" s="42">
        <f>+'St of Act - GA Rev'!AI250-'St of Activities - GA Exp'!AY250</f>
        <v>-131711</v>
      </c>
      <c r="BC250" s="42">
        <v>19530865</v>
      </c>
      <c r="BE250" s="42">
        <f t="shared" si="26"/>
        <v>19399154</v>
      </c>
      <c r="BG250" s="42">
        <f>+'St of Net Pos - GA'!AE250-'St of Activities - GA Exp'!BE250</f>
        <v>0</v>
      </c>
    </row>
    <row r="251" spans="1:59" ht="12" hidden="1" customHeight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42">
        <v>0</v>
      </c>
      <c r="M251" s="42">
        <v>0</v>
      </c>
      <c r="O251" s="42">
        <v>0</v>
      </c>
      <c r="Q251" s="42">
        <v>0</v>
      </c>
      <c r="S251" s="42">
        <v>0</v>
      </c>
      <c r="U251" s="42">
        <v>0</v>
      </c>
      <c r="W251" s="42">
        <v>0</v>
      </c>
      <c r="Y251" s="42">
        <v>0</v>
      </c>
      <c r="AA251" s="42">
        <v>0</v>
      </c>
      <c r="AC251" s="42">
        <v>0</v>
      </c>
      <c r="AE251" s="42">
        <v>0</v>
      </c>
      <c r="AG251" s="42">
        <v>0</v>
      </c>
      <c r="AI251" s="8" t="s">
        <v>879</v>
      </c>
      <c r="AJ251" s="8"/>
      <c r="AK251" s="8" t="s">
        <v>60</v>
      </c>
      <c r="AL251" s="9"/>
      <c r="AM251" s="42">
        <v>0</v>
      </c>
      <c r="AO251" s="42">
        <v>0</v>
      </c>
      <c r="AQ251" s="42">
        <v>0</v>
      </c>
      <c r="AS251" s="42">
        <v>0</v>
      </c>
      <c r="AW251" s="42">
        <v>0</v>
      </c>
      <c r="AY251" s="42">
        <f t="shared" ref="AY251" si="29">SUM(G251:AX251)</f>
        <v>0</v>
      </c>
      <c r="BA251" s="42">
        <f>+'St of Act - GA Rev'!AI251-'St of Activities - GA Exp'!AY251</f>
        <v>0</v>
      </c>
      <c r="BC251" s="42">
        <v>0</v>
      </c>
      <c r="BE251" s="42">
        <f t="shared" ref="BE251" si="30">+BA251+BC251</f>
        <v>0</v>
      </c>
      <c r="BG251" s="42">
        <f>+'St of Net Pos - GA'!AE251-'St of Activities - GA Exp'!BE251</f>
        <v>0</v>
      </c>
    </row>
    <row r="252" spans="1:59">
      <c r="A252" s="9" t="s">
        <v>518</v>
      </c>
      <c r="B252" s="9"/>
      <c r="C252" s="9" t="s">
        <v>64</v>
      </c>
      <c r="D252" s="9"/>
      <c r="E252" s="23">
        <v>50161</v>
      </c>
      <c r="G252" s="42">
        <v>15151045</v>
      </c>
      <c r="I252" s="42">
        <v>3119038</v>
      </c>
      <c r="K252" s="42">
        <v>443305</v>
      </c>
      <c r="M252" s="42">
        <v>0</v>
      </c>
      <c r="O252" s="42">
        <v>9751</v>
      </c>
      <c r="Q252" s="42">
        <v>1625681</v>
      </c>
      <c r="S252" s="42">
        <v>962258</v>
      </c>
      <c r="U252" s="42">
        <v>349618</v>
      </c>
      <c r="W252" s="42">
        <v>2318226</v>
      </c>
      <c r="Y252" s="42">
        <v>664796</v>
      </c>
      <c r="AA252" s="42">
        <v>100510</v>
      </c>
      <c r="AC252" s="42">
        <v>3215304</v>
      </c>
      <c r="AE252" s="42">
        <v>1610451</v>
      </c>
      <c r="AG252" s="42">
        <v>4491</v>
      </c>
      <c r="AI252" s="9" t="s">
        <v>518</v>
      </c>
      <c r="AJ252" s="9"/>
      <c r="AK252" s="9" t="s">
        <v>64</v>
      </c>
      <c r="AL252" s="9"/>
      <c r="AM252" s="42">
        <v>694267</v>
      </c>
      <c r="AO252" s="42">
        <v>300154</v>
      </c>
      <c r="AQ252" s="42">
        <v>670144</v>
      </c>
      <c r="AS252" s="42">
        <v>61351</v>
      </c>
      <c r="AW252" s="42">
        <v>0</v>
      </c>
      <c r="AY252" s="42">
        <f t="shared" si="28"/>
        <v>31300390</v>
      </c>
      <c r="BA252" s="42">
        <f>+'St of Act - GA Rev'!AI252-'St of Activities - GA Exp'!AY252</f>
        <v>-735570</v>
      </c>
      <c r="BC252" s="42">
        <v>2261714</v>
      </c>
      <c r="BE252" s="42">
        <f t="shared" ref="BE252:BE276" si="31">+BA252+BC252</f>
        <v>1526144</v>
      </c>
      <c r="BG252" s="42">
        <f>+'St of Net Pos - GA'!AE252-'St of Activities - GA Exp'!BE252</f>
        <v>0</v>
      </c>
    </row>
    <row r="253" spans="1:59">
      <c r="A253" s="9" t="s">
        <v>755</v>
      </c>
      <c r="B253" s="9"/>
      <c r="C253" s="9" t="s">
        <v>64</v>
      </c>
      <c r="D253" s="9"/>
      <c r="E253" s="23">
        <v>45427</v>
      </c>
      <c r="G253" s="42">
        <v>14156252</v>
      </c>
      <c r="I253" s="42">
        <v>1636816</v>
      </c>
      <c r="K253" s="42">
        <v>191739</v>
      </c>
      <c r="M253" s="42">
        <v>0</v>
      </c>
      <c r="O253" s="42">
        <v>658000</v>
      </c>
      <c r="Q253" s="42">
        <v>1053231</v>
      </c>
      <c r="S253" s="42">
        <v>1206461</v>
      </c>
      <c r="U253" s="42">
        <v>13123</v>
      </c>
      <c r="W253" s="42">
        <v>1443418</v>
      </c>
      <c r="Y253" s="42">
        <v>529841</v>
      </c>
      <c r="AA253" s="42">
        <v>12610</v>
      </c>
      <c r="AC253" s="42">
        <v>2444731</v>
      </c>
      <c r="AE253" s="42">
        <v>1341688</v>
      </c>
      <c r="AG253" s="42">
        <v>297990</v>
      </c>
      <c r="AI253" s="9" t="s">
        <v>755</v>
      </c>
      <c r="AJ253" s="9"/>
      <c r="AK253" s="9" t="s">
        <v>64</v>
      </c>
      <c r="AL253" s="9"/>
      <c r="AM253" s="42">
        <v>898471</v>
      </c>
      <c r="AO253" s="42">
        <v>435820</v>
      </c>
      <c r="AQ253" s="42">
        <v>1273491</v>
      </c>
      <c r="AS253" s="42">
        <v>845590</v>
      </c>
      <c r="AW253" s="42">
        <v>0</v>
      </c>
      <c r="AY253" s="42">
        <f t="shared" si="28"/>
        <v>28439272</v>
      </c>
      <c r="BA253" s="42">
        <f>+'St of Act - GA Rev'!AI253-'St of Activities - GA Exp'!AY253</f>
        <v>-7452668</v>
      </c>
      <c r="BC253" s="42">
        <v>48737455</v>
      </c>
      <c r="BE253" s="42">
        <f t="shared" si="31"/>
        <v>41284787</v>
      </c>
      <c r="BG253" s="42">
        <f>+'St of Net Pos - GA'!AE253-'St of Activities - GA Exp'!BE253</f>
        <v>0</v>
      </c>
    </row>
    <row r="254" spans="1:59">
      <c r="A254" s="9" t="s">
        <v>427</v>
      </c>
      <c r="B254" s="9"/>
      <c r="C254" s="9" t="s">
        <v>50</v>
      </c>
      <c r="D254" s="9"/>
      <c r="E254" s="23">
        <v>48751</v>
      </c>
      <c r="G254" s="42">
        <v>45300456</v>
      </c>
      <c r="I254" s="42">
        <v>0</v>
      </c>
      <c r="K254" s="42">
        <v>0</v>
      </c>
      <c r="M254" s="42">
        <v>0</v>
      </c>
      <c r="O254" s="42">
        <v>0</v>
      </c>
      <c r="Q254" s="42">
        <v>2790357</v>
      </c>
      <c r="S254" s="42">
        <v>4031821</v>
      </c>
      <c r="U254" s="42">
        <v>25428</v>
      </c>
      <c r="W254" s="42">
        <v>3876862</v>
      </c>
      <c r="Y254" s="42">
        <v>1022716</v>
      </c>
      <c r="AA254" s="42">
        <v>348034</v>
      </c>
      <c r="AC254" s="42">
        <v>4488435</v>
      </c>
      <c r="AE254" s="42">
        <v>2979631</v>
      </c>
      <c r="AG254" s="42">
        <v>481344</v>
      </c>
      <c r="AI254" s="9" t="s">
        <v>427</v>
      </c>
      <c r="AJ254" s="9"/>
      <c r="AK254" s="9" t="s">
        <v>50</v>
      </c>
      <c r="AL254" s="9"/>
      <c r="AM254" s="42">
        <v>2245135</v>
      </c>
      <c r="AO254" s="42">
        <v>345757</v>
      </c>
      <c r="AQ254" s="42">
        <v>879185</v>
      </c>
      <c r="AS254" s="42">
        <v>3769233</v>
      </c>
      <c r="AW254" s="42">
        <v>0</v>
      </c>
      <c r="AY254" s="42">
        <f t="shared" si="28"/>
        <v>72584394</v>
      </c>
      <c r="BA254" s="42">
        <f>+'St of Act - GA Rev'!AI254-'St of Activities - GA Exp'!AY254</f>
        <v>-9052902</v>
      </c>
      <c r="BC254" s="42">
        <v>110359030</v>
      </c>
      <c r="BE254" s="42">
        <f t="shared" si="31"/>
        <v>101306128</v>
      </c>
      <c r="BG254" s="42">
        <f>+'St of Net Pos - GA'!AE254-'St of Activities - GA Exp'!BE254</f>
        <v>0</v>
      </c>
    </row>
    <row r="255" spans="1:59">
      <c r="A255" s="9" t="s">
        <v>505</v>
      </c>
      <c r="B255" s="9"/>
      <c r="C255" s="9" t="s">
        <v>63</v>
      </c>
      <c r="D255" s="9"/>
      <c r="E255" s="23">
        <v>50021</v>
      </c>
      <c r="G255" s="42">
        <v>28142699</v>
      </c>
      <c r="I255" s="42">
        <v>6518659</v>
      </c>
      <c r="K255" s="42">
        <v>265708</v>
      </c>
      <c r="M255" s="42">
        <v>0</v>
      </c>
      <c r="O255" s="42">
        <v>1211810</v>
      </c>
      <c r="Q255" s="42">
        <v>4959355</v>
      </c>
      <c r="S255" s="42">
        <v>4475298</v>
      </c>
      <c r="U255" s="42">
        <v>44337</v>
      </c>
      <c r="W255" s="42">
        <v>4294431</v>
      </c>
      <c r="Y255" s="42">
        <v>2029663</v>
      </c>
      <c r="AA255" s="42">
        <v>599758</v>
      </c>
      <c r="AC255" s="42">
        <v>5820731</v>
      </c>
      <c r="AE255" s="42">
        <v>4122142</v>
      </c>
      <c r="AG255" s="42">
        <v>495129</v>
      </c>
      <c r="AI255" s="9" t="s">
        <v>505</v>
      </c>
      <c r="AJ255" s="9"/>
      <c r="AK255" s="9" t="s">
        <v>63</v>
      </c>
      <c r="AL255" s="9"/>
      <c r="AM255" s="42">
        <v>1489944</v>
      </c>
      <c r="AO255" s="42">
        <v>22872</v>
      </c>
      <c r="AQ255" s="42">
        <v>1408146</v>
      </c>
      <c r="AS255" s="42">
        <v>1579616</v>
      </c>
      <c r="AW255" s="42">
        <v>0</v>
      </c>
      <c r="AY255" s="42">
        <f t="shared" si="28"/>
        <v>67480298</v>
      </c>
      <c r="BA255" s="42">
        <f>+'St of Act - GA Rev'!AI255-'St of Activities - GA Exp'!AY255</f>
        <v>7437696</v>
      </c>
      <c r="BC255" s="42">
        <v>41085083</v>
      </c>
      <c r="BE255" s="42">
        <f t="shared" si="31"/>
        <v>48522779</v>
      </c>
      <c r="BG255" s="42">
        <f>+'St of Net Pos - GA'!AE255-'St of Activities - GA Exp'!BE255</f>
        <v>0</v>
      </c>
    </row>
    <row r="256" spans="1:59">
      <c r="A256" s="9" t="s">
        <v>471</v>
      </c>
      <c r="B256" s="9"/>
      <c r="C256" s="9" t="s">
        <v>58</v>
      </c>
      <c r="D256" s="9"/>
      <c r="E256" s="23">
        <v>49502</v>
      </c>
      <c r="G256" s="42">
        <v>6838368</v>
      </c>
      <c r="I256" s="42">
        <v>1350111</v>
      </c>
      <c r="K256" s="42">
        <v>0</v>
      </c>
      <c r="M256" s="42">
        <v>0</v>
      </c>
      <c r="O256" s="42">
        <v>827940</v>
      </c>
      <c r="Q256" s="42">
        <v>551387</v>
      </c>
      <c r="S256" s="42">
        <v>269430</v>
      </c>
      <c r="U256" s="42">
        <v>28198</v>
      </c>
      <c r="W256" s="42">
        <v>994408</v>
      </c>
      <c r="Y256" s="42">
        <v>275889</v>
      </c>
      <c r="AA256" s="42">
        <v>0</v>
      </c>
      <c r="AC256" s="42">
        <v>1204547</v>
      </c>
      <c r="AE256" s="42">
        <v>916362</v>
      </c>
      <c r="AG256" s="42">
        <v>2538</v>
      </c>
      <c r="AI256" s="9" t="s">
        <v>471</v>
      </c>
      <c r="AJ256" s="9"/>
      <c r="AK256" s="9" t="s">
        <v>58</v>
      </c>
      <c r="AL256" s="9"/>
      <c r="AM256" s="42">
        <v>626838</v>
      </c>
      <c r="AO256" s="42">
        <v>1968</v>
      </c>
      <c r="AQ256" s="42">
        <v>324908</v>
      </c>
      <c r="AS256" s="42">
        <v>37199</v>
      </c>
      <c r="AW256" s="42">
        <v>0</v>
      </c>
      <c r="AY256" s="42">
        <f t="shared" si="28"/>
        <v>14250091</v>
      </c>
      <c r="BA256" s="42">
        <f>+'St of Act - GA Rev'!AI256-'St of Activities - GA Exp'!AY256</f>
        <v>-1146211</v>
      </c>
      <c r="BC256" s="42">
        <v>14435163</v>
      </c>
      <c r="BE256" s="42">
        <f t="shared" si="31"/>
        <v>13288952</v>
      </c>
      <c r="BG256" s="42">
        <f>+'St of Net Pos - GA'!AE256-'St of Activities - GA Exp'!BE256</f>
        <v>0</v>
      </c>
    </row>
    <row r="257" spans="1:59">
      <c r="A257" s="9" t="s">
        <v>284</v>
      </c>
      <c r="B257" s="9"/>
      <c r="C257" s="9" t="s">
        <v>24</v>
      </c>
      <c r="D257" s="9"/>
      <c r="E257" s="23">
        <v>44131</v>
      </c>
      <c r="G257" s="42">
        <v>7772850</v>
      </c>
      <c r="I257" s="42">
        <v>2147824</v>
      </c>
      <c r="K257" s="42">
        <v>0</v>
      </c>
      <c r="M257" s="42">
        <v>0</v>
      </c>
      <c r="O257" s="42">
        <v>106454</v>
      </c>
      <c r="Q257" s="42">
        <v>678122</v>
      </c>
      <c r="S257" s="42">
        <v>669994</v>
      </c>
      <c r="U257" s="42">
        <v>83017</v>
      </c>
      <c r="W257" s="42">
        <v>1716149</v>
      </c>
      <c r="Y257" s="42">
        <v>563157</v>
      </c>
      <c r="AA257" s="42">
        <v>0</v>
      </c>
      <c r="AC257" s="42">
        <v>1311617</v>
      </c>
      <c r="AE257" s="42">
        <v>907662</v>
      </c>
      <c r="AG257" s="42">
        <v>0</v>
      </c>
      <c r="AI257" s="9" t="s">
        <v>284</v>
      </c>
      <c r="AJ257" s="9"/>
      <c r="AK257" s="9" t="s">
        <v>24</v>
      </c>
      <c r="AL257" s="9"/>
      <c r="AM257" s="42">
        <v>656923</v>
      </c>
      <c r="AO257" s="42">
        <v>291185</v>
      </c>
      <c r="AQ257" s="42">
        <v>815668</v>
      </c>
      <c r="AS257" s="42">
        <v>336352</v>
      </c>
      <c r="AW257" s="42">
        <v>4476</v>
      </c>
      <c r="AY257" s="42">
        <f t="shared" si="28"/>
        <v>18061450</v>
      </c>
      <c r="BA257" s="42">
        <f>+'St of Act - GA Rev'!AI257-'St of Activities - GA Exp'!AY257</f>
        <v>-478028</v>
      </c>
      <c r="BC257" s="42">
        <v>8107758</v>
      </c>
      <c r="BE257" s="42">
        <f t="shared" si="31"/>
        <v>7629730</v>
      </c>
      <c r="BG257" s="42">
        <f>+'St of Net Pos - GA'!AE257-'St of Activities - GA Exp'!BE257</f>
        <v>0</v>
      </c>
    </row>
    <row r="258" spans="1:59">
      <c r="A258" s="9" t="s">
        <v>267</v>
      </c>
      <c r="B258" s="9"/>
      <c r="C258" s="9" t="s">
        <v>20</v>
      </c>
      <c r="D258" s="9"/>
      <c r="E258" s="23">
        <v>46565</v>
      </c>
      <c r="G258" s="42">
        <v>8143521</v>
      </c>
      <c r="I258" s="42">
        <v>950621</v>
      </c>
      <c r="K258" s="42">
        <v>1011</v>
      </c>
      <c r="M258" s="42">
        <v>0</v>
      </c>
      <c r="O258" s="42">
        <f>27726+162297</f>
        <v>190023</v>
      </c>
      <c r="Q258" s="42">
        <v>899232</v>
      </c>
      <c r="S258" s="42">
        <v>1307171</v>
      </c>
      <c r="U258" s="42">
        <v>172677</v>
      </c>
      <c r="W258" s="42">
        <v>1078126</v>
      </c>
      <c r="Y258" s="42">
        <v>510981</v>
      </c>
      <c r="AA258" s="42">
        <v>189642</v>
      </c>
      <c r="AC258" s="42">
        <v>1712939</v>
      </c>
      <c r="AE258" s="42">
        <v>908572</v>
      </c>
      <c r="AG258" s="42">
        <v>0</v>
      </c>
      <c r="AI258" s="9" t="s">
        <v>267</v>
      </c>
      <c r="AJ258" s="9"/>
      <c r="AK258" s="9" t="s">
        <v>20</v>
      </c>
      <c r="AL258" s="9"/>
      <c r="AM258" s="42">
        <v>316996</v>
      </c>
      <c r="AO258" s="42">
        <v>318278</v>
      </c>
      <c r="AQ258" s="42">
        <v>567925</v>
      </c>
      <c r="AS258" s="42">
        <v>531046</v>
      </c>
      <c r="AW258" s="42">
        <v>0</v>
      </c>
      <c r="AY258" s="42">
        <f t="shared" si="28"/>
        <v>17798761</v>
      </c>
      <c r="BA258" s="42">
        <f>+'St of Act - GA Rev'!AI258-'St of Activities - GA Exp'!AY258</f>
        <v>3229681</v>
      </c>
      <c r="BC258" s="42">
        <v>15970149</v>
      </c>
      <c r="BE258" s="42">
        <f t="shared" si="31"/>
        <v>19199830</v>
      </c>
      <c r="BG258" s="42">
        <f>+'St of Net Pos - GA'!AE258-'St of Activities - GA Exp'!BE258</f>
        <v>0</v>
      </c>
    </row>
    <row r="259" spans="1:59">
      <c r="A259" s="9" t="s">
        <v>361</v>
      </c>
      <c r="B259" s="9"/>
      <c r="C259" s="9" t="s">
        <v>39</v>
      </c>
      <c r="D259" s="9"/>
      <c r="E259" s="23">
        <v>47803</v>
      </c>
      <c r="G259" s="42">
        <v>9814691</v>
      </c>
      <c r="I259" s="42">
        <v>2516315</v>
      </c>
      <c r="K259" s="42">
        <v>218243</v>
      </c>
      <c r="M259" s="42">
        <v>2100</v>
      </c>
      <c r="O259" s="42">
        <v>189028</v>
      </c>
      <c r="Q259" s="42">
        <v>740829</v>
      </c>
      <c r="S259" s="42">
        <v>1058321</v>
      </c>
      <c r="U259" s="42">
        <v>14856</v>
      </c>
      <c r="W259" s="42">
        <v>1781890</v>
      </c>
      <c r="Y259" s="42">
        <v>451330</v>
      </c>
      <c r="AA259" s="42">
        <v>0</v>
      </c>
      <c r="AC259" s="42">
        <v>1999361</v>
      </c>
      <c r="AE259" s="42">
        <v>1041238</v>
      </c>
      <c r="AG259" s="42">
        <v>247734</v>
      </c>
      <c r="AI259" s="9" t="s">
        <v>361</v>
      </c>
      <c r="AJ259" s="9"/>
      <c r="AK259" s="9" t="s">
        <v>39</v>
      </c>
      <c r="AL259" s="9"/>
      <c r="AM259" s="42">
        <v>994840</v>
      </c>
      <c r="AO259" s="42">
        <v>99245</v>
      </c>
      <c r="AQ259" s="42">
        <v>353346</v>
      </c>
      <c r="AS259" s="42">
        <v>745689</v>
      </c>
      <c r="AW259" s="42">
        <v>0</v>
      </c>
      <c r="AY259" s="42">
        <f t="shared" si="28"/>
        <v>22269056</v>
      </c>
      <c r="BA259" s="42">
        <f>+'St of Act - GA Rev'!AI259-'St of Activities - GA Exp'!AY259</f>
        <v>864215</v>
      </c>
      <c r="BC259" s="42">
        <v>10165311</v>
      </c>
      <c r="BE259" s="42">
        <f t="shared" si="31"/>
        <v>11029526</v>
      </c>
      <c r="BG259" s="42">
        <f>+'St of Net Pos - GA'!AE259-'St of Activities - GA Exp'!BE259</f>
        <v>0</v>
      </c>
    </row>
    <row r="260" spans="1:59" ht="12" customHeight="1">
      <c r="A260" s="9" t="s">
        <v>756</v>
      </c>
      <c r="B260" s="9"/>
      <c r="C260" s="9" t="s">
        <v>32</v>
      </c>
      <c r="D260" s="9"/>
      <c r="E260" s="23">
        <v>45435</v>
      </c>
      <c r="G260" s="42">
        <v>14352949</v>
      </c>
      <c r="I260" s="42">
        <v>3001484</v>
      </c>
      <c r="K260" s="42">
        <v>11170</v>
      </c>
      <c r="M260" s="42">
        <v>0</v>
      </c>
      <c r="O260" s="42">
        <v>573880</v>
      </c>
      <c r="Q260" s="42">
        <v>2485211</v>
      </c>
      <c r="S260" s="42">
        <v>2187762</v>
      </c>
      <c r="U260" s="42">
        <v>17050</v>
      </c>
      <c r="W260" s="42">
        <v>2282233</v>
      </c>
      <c r="Y260" s="42">
        <v>788280</v>
      </c>
      <c r="AA260" s="42">
        <v>81723</v>
      </c>
      <c r="AC260" s="42">
        <v>4822408</v>
      </c>
      <c r="AE260" s="42">
        <v>2258715</v>
      </c>
      <c r="AG260" s="42">
        <v>48945</v>
      </c>
      <c r="AI260" s="9" t="s">
        <v>756</v>
      </c>
      <c r="AJ260" s="9"/>
      <c r="AK260" s="9" t="s">
        <v>32</v>
      </c>
      <c r="AL260" s="9"/>
      <c r="AM260" s="42">
        <v>743211</v>
      </c>
      <c r="AO260" s="42">
        <v>1067122</v>
      </c>
      <c r="AQ260" s="42">
        <v>920692</v>
      </c>
      <c r="AS260" s="42">
        <v>1500470</v>
      </c>
      <c r="AW260" s="42">
        <v>0</v>
      </c>
      <c r="AY260" s="42">
        <f t="shared" si="28"/>
        <v>37143305</v>
      </c>
      <c r="BA260" s="42">
        <f>+'St of Act - GA Rev'!AI260-'St of Activities - GA Exp'!AY260</f>
        <v>2608516</v>
      </c>
      <c r="BC260" s="42">
        <v>51111576</v>
      </c>
      <c r="BE260" s="42">
        <f t="shared" si="31"/>
        <v>53720092</v>
      </c>
      <c r="BG260" s="42">
        <f>+'St of Net Pos - GA'!AE260-'St of Activities - GA Exp'!BE260</f>
        <v>0</v>
      </c>
    </row>
    <row r="261" spans="1:59" ht="12" hidden="1" customHeight="1">
      <c r="A261" s="9" t="s">
        <v>789</v>
      </c>
      <c r="B261" s="9"/>
      <c r="C261" s="9" t="s">
        <v>43</v>
      </c>
      <c r="D261" s="9"/>
      <c r="E261" s="23">
        <v>48082</v>
      </c>
      <c r="G261" s="42">
        <v>0</v>
      </c>
      <c r="I261" s="42">
        <v>0</v>
      </c>
      <c r="K261" s="42">
        <v>0</v>
      </c>
      <c r="M261" s="42">
        <v>0</v>
      </c>
      <c r="O261" s="42">
        <v>0</v>
      </c>
      <c r="Q261" s="42">
        <v>0</v>
      </c>
      <c r="S261" s="42">
        <v>0</v>
      </c>
      <c r="U261" s="42">
        <v>0</v>
      </c>
      <c r="W261" s="42">
        <v>0</v>
      </c>
      <c r="Y261" s="42">
        <v>0</v>
      </c>
      <c r="AA261" s="42">
        <v>0</v>
      </c>
      <c r="AC261" s="42">
        <v>0</v>
      </c>
      <c r="AE261" s="42">
        <v>0</v>
      </c>
      <c r="AG261" s="42">
        <v>0</v>
      </c>
      <c r="AI261" s="9" t="s">
        <v>789</v>
      </c>
      <c r="AJ261" s="9"/>
      <c r="AK261" s="9" t="s">
        <v>43</v>
      </c>
      <c r="AL261" s="9"/>
      <c r="AM261" s="42">
        <v>0</v>
      </c>
      <c r="AO261" s="42">
        <v>0</v>
      </c>
      <c r="AQ261" s="42">
        <v>0</v>
      </c>
      <c r="AS261" s="42">
        <v>0</v>
      </c>
      <c r="AW261" s="42">
        <v>0</v>
      </c>
      <c r="AY261" s="42">
        <f t="shared" si="28"/>
        <v>0</v>
      </c>
      <c r="BA261" s="42">
        <f>+'St of Act - GA Rev'!AI261-'St of Activities - GA Exp'!AY261</f>
        <v>0</v>
      </c>
      <c r="BC261" s="42">
        <v>0</v>
      </c>
      <c r="BE261" s="42">
        <f t="shared" si="31"/>
        <v>0</v>
      </c>
      <c r="BG261" s="42">
        <f>+'St of Net Pos - GA'!AE261-'St of Activities - GA Exp'!BE261</f>
        <v>0</v>
      </c>
    </row>
    <row r="262" spans="1:59">
      <c r="A262" s="9" t="s">
        <v>532</v>
      </c>
      <c r="B262" s="9"/>
      <c r="C262" s="9" t="s">
        <v>65</v>
      </c>
      <c r="D262" s="9"/>
      <c r="E262" s="23">
        <v>50286</v>
      </c>
      <c r="G262" s="42">
        <v>8265619</v>
      </c>
      <c r="I262" s="42">
        <v>1545377</v>
      </c>
      <c r="K262" s="42">
        <v>201984</v>
      </c>
      <c r="M262" s="42">
        <v>0</v>
      </c>
      <c r="O262" s="42">
        <v>1745641</v>
      </c>
      <c r="Q262" s="42">
        <v>463512</v>
      </c>
      <c r="S262" s="42">
        <v>755544</v>
      </c>
      <c r="U262" s="42">
        <v>48662</v>
      </c>
      <c r="W262" s="42">
        <v>1173630</v>
      </c>
      <c r="Y262" s="42">
        <v>406772</v>
      </c>
      <c r="AA262" s="42">
        <v>122836</v>
      </c>
      <c r="AC262" s="42">
        <v>1722108</v>
      </c>
      <c r="AE262" s="42">
        <v>1151057</v>
      </c>
      <c r="AG262" s="42">
        <v>9228</v>
      </c>
      <c r="AI262" s="9" t="s">
        <v>532</v>
      </c>
      <c r="AJ262" s="9"/>
      <c r="AK262" s="9" t="s">
        <v>65</v>
      </c>
      <c r="AL262" s="9"/>
      <c r="AM262" s="42">
        <v>846610</v>
      </c>
      <c r="AO262" s="42">
        <v>0</v>
      </c>
      <c r="AQ262" s="42">
        <v>558436</v>
      </c>
      <c r="AS262" s="42">
        <v>543071</v>
      </c>
      <c r="AW262" s="42">
        <v>0</v>
      </c>
      <c r="AY262" s="42">
        <f t="shared" si="28"/>
        <v>19560087</v>
      </c>
      <c r="BA262" s="42">
        <f>+'St of Act - GA Rev'!AI262-'St of Activities - GA Exp'!AY262</f>
        <v>-1011131</v>
      </c>
      <c r="BC262" s="42">
        <v>33794788</v>
      </c>
      <c r="BE262" s="42">
        <f t="shared" si="31"/>
        <v>32783657</v>
      </c>
      <c r="BG262" s="42">
        <f>+'St of Net Pos - GA'!AE262-'St of Activities - GA Exp'!BE262</f>
        <v>0</v>
      </c>
    </row>
    <row r="263" spans="1:59" ht="12" customHeight="1">
      <c r="A263" s="9" t="s">
        <v>367</v>
      </c>
      <c r="B263" s="9"/>
      <c r="C263" s="9" t="s">
        <v>364</v>
      </c>
      <c r="D263" s="9"/>
      <c r="E263" s="23">
        <v>44149</v>
      </c>
      <c r="G263" s="42">
        <v>8517808</v>
      </c>
      <c r="I263" s="42">
        <v>1365067</v>
      </c>
      <c r="K263" s="42">
        <v>113134</v>
      </c>
      <c r="M263" s="42">
        <v>0</v>
      </c>
      <c r="O263" s="42">
        <v>205683</v>
      </c>
      <c r="Q263" s="42">
        <v>706864</v>
      </c>
      <c r="S263" s="42">
        <v>483749</v>
      </c>
      <c r="U263" s="42">
        <v>250576</v>
      </c>
      <c r="W263" s="42">
        <v>987728</v>
      </c>
      <c r="Y263" s="42">
        <v>642874</v>
      </c>
      <c r="AA263" s="42">
        <v>0</v>
      </c>
      <c r="AC263" s="42">
        <v>1930561</v>
      </c>
      <c r="AE263" s="42">
        <v>685178</v>
      </c>
      <c r="AG263" s="42">
        <v>110086</v>
      </c>
      <c r="AI263" s="9" t="s">
        <v>367</v>
      </c>
      <c r="AJ263" s="9"/>
      <c r="AK263" s="9" t="s">
        <v>364</v>
      </c>
      <c r="AL263" s="9"/>
      <c r="AM263" s="42">
        <v>645251</v>
      </c>
      <c r="AO263" s="42">
        <v>158071</v>
      </c>
      <c r="AQ263" s="42">
        <v>779207</v>
      </c>
      <c r="AS263" s="42">
        <v>401279</v>
      </c>
      <c r="AW263" s="42">
        <v>0</v>
      </c>
      <c r="AY263" s="42">
        <f t="shared" si="28"/>
        <v>17983116</v>
      </c>
      <c r="BA263" s="42">
        <f>+'St of Act - GA Rev'!AI263-'St of Activities - GA Exp'!AY263</f>
        <v>-1594846</v>
      </c>
      <c r="BC263" s="42">
        <v>36237106</v>
      </c>
      <c r="BE263" s="42">
        <f t="shared" si="31"/>
        <v>34642260</v>
      </c>
      <c r="BG263" s="42">
        <f>+'St of Net Pos - GA'!AE263-'St of Activities - GA Exp'!BE263</f>
        <v>0</v>
      </c>
    </row>
    <row r="264" spans="1:59" ht="12" hidden="1" customHeight="1">
      <c r="A264" s="9" t="s">
        <v>663</v>
      </c>
      <c r="B264" s="9"/>
      <c r="C264" s="9" t="s">
        <v>61</v>
      </c>
      <c r="D264" s="9"/>
      <c r="E264" s="23">
        <v>49809</v>
      </c>
      <c r="G264" s="42">
        <v>0</v>
      </c>
      <c r="I264" s="42">
        <v>0</v>
      </c>
      <c r="K264" s="42">
        <v>0</v>
      </c>
      <c r="M264" s="42">
        <v>0</v>
      </c>
      <c r="O264" s="42">
        <v>0</v>
      </c>
      <c r="Q264" s="42">
        <v>0</v>
      </c>
      <c r="S264" s="42">
        <v>0</v>
      </c>
      <c r="U264" s="42">
        <v>0</v>
      </c>
      <c r="W264" s="42">
        <v>0</v>
      </c>
      <c r="Y264" s="42">
        <v>0</v>
      </c>
      <c r="AA264" s="42">
        <v>0</v>
      </c>
      <c r="AC264" s="42">
        <v>0</v>
      </c>
      <c r="AE264" s="42">
        <v>0</v>
      </c>
      <c r="AG264" s="42">
        <v>0</v>
      </c>
      <c r="AI264" s="9" t="s">
        <v>663</v>
      </c>
      <c r="AJ264" s="9"/>
      <c r="AK264" s="9" t="s">
        <v>61</v>
      </c>
      <c r="AL264" s="9"/>
      <c r="AM264" s="42">
        <v>0</v>
      </c>
      <c r="AO264" s="42">
        <v>0</v>
      </c>
      <c r="AQ264" s="42">
        <v>0</v>
      </c>
      <c r="AS264" s="42">
        <v>0</v>
      </c>
      <c r="AW264" s="42">
        <v>0</v>
      </c>
      <c r="AY264" s="42">
        <f t="shared" si="28"/>
        <v>0</v>
      </c>
      <c r="BA264" s="42">
        <f>+'St of Act - GA Rev'!AI264-'St of Activities - GA Exp'!AY264</f>
        <v>0</v>
      </c>
      <c r="BC264" s="42">
        <v>0</v>
      </c>
      <c r="BE264" s="42">
        <f t="shared" si="31"/>
        <v>0</v>
      </c>
      <c r="BG264" s="42">
        <f>+'St of Net Pos - GA'!AE264-'St of Activities - GA Exp'!BE264</f>
        <v>0</v>
      </c>
    </row>
    <row r="265" spans="1:59" ht="12" hidden="1" customHeight="1">
      <c r="A265" s="9" t="s">
        <v>674</v>
      </c>
      <c r="B265" s="9"/>
      <c r="C265" s="9" t="s">
        <v>38</v>
      </c>
      <c r="D265" s="9"/>
      <c r="E265" s="23">
        <v>44156</v>
      </c>
      <c r="G265" s="42">
        <v>0</v>
      </c>
      <c r="I265" s="42">
        <v>0</v>
      </c>
      <c r="K265" s="42">
        <v>0</v>
      </c>
      <c r="M265" s="42">
        <v>0</v>
      </c>
      <c r="O265" s="42">
        <v>0</v>
      </c>
      <c r="Q265" s="42">
        <v>0</v>
      </c>
      <c r="S265" s="42">
        <v>0</v>
      </c>
      <c r="U265" s="42">
        <v>0</v>
      </c>
      <c r="W265" s="42">
        <v>0</v>
      </c>
      <c r="Y265" s="42">
        <v>0</v>
      </c>
      <c r="AA265" s="42">
        <v>0</v>
      </c>
      <c r="AC265" s="42">
        <v>0</v>
      </c>
      <c r="AE265" s="42">
        <v>0</v>
      </c>
      <c r="AG265" s="42">
        <v>0</v>
      </c>
      <c r="AI265" s="9" t="s">
        <v>674</v>
      </c>
      <c r="AJ265" s="9"/>
      <c r="AK265" s="9" t="s">
        <v>38</v>
      </c>
      <c r="AL265" s="9"/>
      <c r="AM265" s="42">
        <v>0</v>
      </c>
      <c r="AO265" s="42">
        <v>0</v>
      </c>
      <c r="AQ265" s="42">
        <v>0</v>
      </c>
      <c r="AS265" s="42">
        <v>0</v>
      </c>
      <c r="AW265" s="42">
        <v>0</v>
      </c>
      <c r="AY265" s="42">
        <f t="shared" si="28"/>
        <v>0</v>
      </c>
      <c r="BA265" s="42">
        <f>+'St of Act - GA Rev'!AI265-'St of Activities - GA Exp'!AY265</f>
        <v>0</v>
      </c>
      <c r="BC265" s="42">
        <v>0</v>
      </c>
      <c r="BE265" s="42">
        <f t="shared" si="31"/>
        <v>0</v>
      </c>
      <c r="BG265" s="42">
        <f>+'St of Net Pos - GA'!AE265-'St of Activities - GA Exp'!BE265</f>
        <v>0</v>
      </c>
    </row>
    <row r="266" spans="1:59">
      <c r="A266" s="9" t="s">
        <v>493</v>
      </c>
      <c r="B266" s="9"/>
      <c r="C266" s="9" t="s">
        <v>62</v>
      </c>
      <c r="D266" s="9"/>
      <c r="E266" s="23">
        <v>49858</v>
      </c>
      <c r="G266" s="42">
        <v>24390265</v>
      </c>
      <c r="I266" s="42">
        <v>4624226</v>
      </c>
      <c r="K266" s="42">
        <v>1169595</v>
      </c>
      <c r="M266" s="42">
        <v>52488</v>
      </c>
      <c r="O266" s="42">
        <v>1454960</v>
      </c>
      <c r="Q266" s="42">
        <v>3643038</v>
      </c>
      <c r="S266" s="42">
        <v>2562273</v>
      </c>
      <c r="U266" s="42">
        <v>19858</v>
      </c>
      <c r="W266" s="42">
        <v>3024970</v>
      </c>
      <c r="Y266" s="42">
        <v>1205670</v>
      </c>
      <c r="AA266" s="42">
        <v>359454</v>
      </c>
      <c r="AC266" s="42">
        <v>4790547</v>
      </c>
      <c r="AE266" s="42">
        <v>3428164</v>
      </c>
      <c r="AG266" s="42">
        <v>962580</v>
      </c>
      <c r="AI266" s="9" t="s">
        <v>493</v>
      </c>
      <c r="AJ266" s="9"/>
      <c r="AK266" s="9" t="s">
        <v>62</v>
      </c>
      <c r="AL266" s="9"/>
      <c r="AM266" s="42">
        <v>2096769</v>
      </c>
      <c r="AO266" s="42">
        <v>3604</v>
      </c>
      <c r="AQ266" s="42">
        <v>2140347</v>
      </c>
      <c r="AS266" s="42">
        <v>3034839</v>
      </c>
      <c r="AW266" s="42">
        <v>0</v>
      </c>
      <c r="AY266" s="42">
        <f t="shared" si="28"/>
        <v>58963647</v>
      </c>
      <c r="BA266" s="42">
        <f>+'St of Act - GA Rev'!AI266-'St of Activities - GA Exp'!AY266</f>
        <v>1521301</v>
      </c>
      <c r="BC266" s="42">
        <v>43087125</v>
      </c>
      <c r="BE266" s="42">
        <f t="shared" si="31"/>
        <v>44608426</v>
      </c>
      <c r="BG266" s="42">
        <f>+'St of Net Pos - GA'!AE266-'St of Activities - GA Exp'!BE266</f>
        <v>0</v>
      </c>
    </row>
    <row r="267" spans="1:59" ht="12" customHeight="1">
      <c r="A267" s="9" t="s">
        <v>401</v>
      </c>
      <c r="B267" s="9"/>
      <c r="C267" s="9" t="s">
        <v>45</v>
      </c>
      <c r="D267" s="9"/>
      <c r="E267" s="23">
        <v>48322</v>
      </c>
      <c r="G267" s="42">
        <v>5023119</v>
      </c>
      <c r="I267" s="42">
        <v>1404977</v>
      </c>
      <c r="K267" s="42">
        <v>81567</v>
      </c>
      <c r="M267" s="42">
        <v>0</v>
      </c>
      <c r="O267" s="42">
        <v>0</v>
      </c>
      <c r="Q267" s="42">
        <v>544843</v>
      </c>
      <c r="S267" s="42">
        <v>184435</v>
      </c>
      <c r="U267" s="42">
        <v>85346</v>
      </c>
      <c r="W267" s="42">
        <v>600608</v>
      </c>
      <c r="Y267" s="42">
        <v>422549</v>
      </c>
      <c r="AA267" s="42">
        <v>0</v>
      </c>
      <c r="AC267" s="42">
        <v>794957</v>
      </c>
      <c r="AE267" s="42">
        <v>737201</v>
      </c>
      <c r="AG267" s="42">
        <v>0</v>
      </c>
      <c r="AI267" s="9" t="s">
        <v>401</v>
      </c>
      <c r="AJ267" s="9"/>
      <c r="AK267" s="9" t="s">
        <v>45</v>
      </c>
      <c r="AL267" s="9"/>
      <c r="AM267" s="42">
        <v>440167</v>
      </c>
      <c r="AO267" s="42">
        <v>0</v>
      </c>
      <c r="AQ267" s="42">
        <v>454064</v>
      </c>
      <c r="AS267" s="42">
        <v>658960</v>
      </c>
      <c r="AW267" s="42">
        <v>0</v>
      </c>
      <c r="AY267" s="42">
        <f t="shared" si="28"/>
        <v>11432793</v>
      </c>
      <c r="BA267" s="42">
        <f>+'St of Act - GA Rev'!AI267-'St of Activities - GA Exp'!AY267</f>
        <v>-546293</v>
      </c>
      <c r="BC267" s="42">
        <v>5219568</v>
      </c>
      <c r="BE267" s="42">
        <f t="shared" si="31"/>
        <v>4673275</v>
      </c>
      <c r="BG267" s="42">
        <f>+'St of Net Pos - GA'!AE267-'St of Activities - GA Exp'!BE267</f>
        <v>0</v>
      </c>
    </row>
    <row r="268" spans="1:59">
      <c r="A268" s="9" t="s">
        <v>457</v>
      </c>
      <c r="B268" s="9"/>
      <c r="C268" s="9" t="s">
        <v>56</v>
      </c>
      <c r="D268" s="9"/>
      <c r="E268" s="23">
        <v>49205</v>
      </c>
      <c r="G268" s="42">
        <v>6888816</v>
      </c>
      <c r="I268" s="42">
        <v>1302354</v>
      </c>
      <c r="K268" s="42">
        <v>0</v>
      </c>
      <c r="M268" s="42">
        <v>0</v>
      </c>
      <c r="O268" s="42">
        <v>2656</v>
      </c>
      <c r="Q268" s="42">
        <v>626893</v>
      </c>
      <c r="S268" s="42">
        <v>624699</v>
      </c>
      <c r="U268" s="42">
        <v>36810</v>
      </c>
      <c r="W268" s="42">
        <v>1006822</v>
      </c>
      <c r="Y268" s="42">
        <v>315045</v>
      </c>
      <c r="AA268" s="42">
        <v>0</v>
      </c>
      <c r="AC268" s="42">
        <v>1215593</v>
      </c>
      <c r="AE268" s="42">
        <v>872966</v>
      </c>
      <c r="AG268" s="42">
        <v>51597</v>
      </c>
      <c r="AI268" s="9" t="s">
        <v>457</v>
      </c>
      <c r="AJ268" s="9"/>
      <c r="AK268" s="9" t="s">
        <v>56</v>
      </c>
      <c r="AL268" s="9"/>
      <c r="AM268" s="42">
        <v>624049</v>
      </c>
      <c r="AO268" s="42">
        <v>10646</v>
      </c>
      <c r="AQ268" s="42">
        <v>489036</v>
      </c>
      <c r="AS268" s="42">
        <v>185620</v>
      </c>
      <c r="AW268" s="42">
        <v>0</v>
      </c>
      <c r="AY268" s="42">
        <f t="shared" si="28"/>
        <v>14253602</v>
      </c>
      <c r="BA268" s="42">
        <f>+'St of Act - GA Rev'!AI268-'St of Activities - GA Exp'!AY268</f>
        <v>-647247</v>
      </c>
      <c r="BC268" s="42">
        <v>3999280</v>
      </c>
      <c r="BE268" s="42">
        <f t="shared" si="31"/>
        <v>3352033</v>
      </c>
      <c r="BG268" s="42">
        <f>+'St of Net Pos - GA'!AE268-'St of Activities - GA Exp'!BE268</f>
        <v>0</v>
      </c>
    </row>
    <row r="269" spans="1:59" ht="12" customHeight="1">
      <c r="A269" s="9" t="s">
        <v>208</v>
      </c>
      <c r="B269" s="9"/>
      <c r="C269" s="9" t="s">
        <v>12</v>
      </c>
      <c r="D269" s="9"/>
      <c r="E269" s="23">
        <v>45872</v>
      </c>
      <c r="G269" s="42">
        <v>8272222</v>
      </c>
      <c r="I269" s="42">
        <v>1623403</v>
      </c>
      <c r="K269" s="42">
        <v>18483</v>
      </c>
      <c r="M269" s="42">
        <v>0</v>
      </c>
      <c r="O269" s="42">
        <v>0</v>
      </c>
      <c r="Q269" s="42">
        <v>1218795</v>
      </c>
      <c r="S269" s="42">
        <v>380954</v>
      </c>
      <c r="U269" s="42">
        <v>18165</v>
      </c>
      <c r="W269" s="42">
        <v>1303509</v>
      </c>
      <c r="Y269" s="42">
        <v>479389</v>
      </c>
      <c r="AA269" s="42">
        <v>5587</v>
      </c>
      <c r="AC269" s="42">
        <v>1599145</v>
      </c>
      <c r="AE269" s="42">
        <v>1339011</v>
      </c>
      <c r="AG269" s="42">
        <v>196369</v>
      </c>
      <c r="AI269" s="9" t="s">
        <v>208</v>
      </c>
      <c r="AJ269" s="9"/>
      <c r="AK269" s="9" t="s">
        <v>12</v>
      </c>
      <c r="AL269" s="9"/>
      <c r="AM269" s="42">
        <v>724853</v>
      </c>
      <c r="AO269" s="42">
        <v>93309</v>
      </c>
      <c r="AQ269" s="42">
        <v>561815</v>
      </c>
      <c r="AS269" s="42">
        <v>809091</v>
      </c>
      <c r="AW269" s="42">
        <v>314977</v>
      </c>
      <c r="AY269" s="42">
        <f t="shared" si="28"/>
        <v>18959077</v>
      </c>
      <c r="BA269" s="42">
        <f>+'St of Act - GA Rev'!AI269-'St of Activities - GA Exp'!AY269</f>
        <v>-983200</v>
      </c>
      <c r="BC269" s="42">
        <v>43868119</v>
      </c>
      <c r="BE269" s="42">
        <f t="shared" si="31"/>
        <v>42884919</v>
      </c>
      <c r="BG269" s="42">
        <f>+'St of Net Pos - GA'!AE269-'St of Activities - GA Exp'!BE269</f>
        <v>0</v>
      </c>
    </row>
    <row r="270" spans="1:59">
      <c r="A270" s="9" t="s">
        <v>394</v>
      </c>
      <c r="B270" s="9"/>
      <c r="C270" s="9" t="s">
        <v>395</v>
      </c>
      <c r="D270" s="9"/>
      <c r="E270" s="23">
        <v>48256</v>
      </c>
      <c r="G270" s="42">
        <v>5524946</v>
      </c>
      <c r="I270" s="42">
        <v>1778583</v>
      </c>
      <c r="K270" s="42">
        <v>0</v>
      </c>
      <c r="M270" s="42">
        <v>0</v>
      </c>
      <c r="O270" s="42">
        <v>0</v>
      </c>
      <c r="Q270" s="42">
        <v>643051</v>
      </c>
      <c r="S270" s="42">
        <v>576222</v>
      </c>
      <c r="U270" s="42">
        <v>100429</v>
      </c>
      <c r="W270" s="42">
        <v>912453</v>
      </c>
      <c r="Y270" s="42">
        <v>485566</v>
      </c>
      <c r="AA270" s="42">
        <v>36588</v>
      </c>
      <c r="AC270" s="42">
        <v>1325839</v>
      </c>
      <c r="AE270" s="42">
        <v>738373</v>
      </c>
      <c r="AG270" s="42">
        <v>373169</v>
      </c>
      <c r="AI270" s="9" t="s">
        <v>394</v>
      </c>
      <c r="AJ270" s="9"/>
      <c r="AK270" s="9" t="s">
        <v>395</v>
      </c>
      <c r="AL270" s="9"/>
      <c r="AM270" s="42">
        <v>692060</v>
      </c>
      <c r="AO270" s="42">
        <v>293</v>
      </c>
      <c r="AQ270" s="42">
        <v>661262</v>
      </c>
      <c r="AS270" s="42">
        <v>364603</v>
      </c>
      <c r="AW270" s="42">
        <v>201211</v>
      </c>
      <c r="AY270" s="42">
        <f t="shared" si="28"/>
        <v>14414648</v>
      </c>
      <c r="BA270" s="42">
        <f>+'St of Act - GA Rev'!AI270-'St of Activities - GA Exp'!AY270</f>
        <v>67308</v>
      </c>
      <c r="BC270" s="42">
        <v>23484205</v>
      </c>
      <c r="BE270" s="42">
        <f t="shared" si="31"/>
        <v>23551513</v>
      </c>
      <c r="BG270" s="42">
        <f>+'St of Net Pos - GA'!AE270-'St of Activities - GA Exp'!BE270</f>
        <v>0</v>
      </c>
    </row>
    <row r="271" spans="1:59" ht="12" customHeight="1">
      <c r="A271" s="9" t="s">
        <v>675</v>
      </c>
      <c r="B271" s="9"/>
      <c r="C271" s="9" t="s">
        <v>50</v>
      </c>
      <c r="D271" s="9"/>
      <c r="E271" s="23">
        <v>48686</v>
      </c>
      <c r="G271" s="42">
        <v>1849646</v>
      </c>
      <c r="I271" s="42">
        <v>1121923</v>
      </c>
      <c r="K271" s="42">
        <v>0</v>
      </c>
      <c r="M271" s="42">
        <v>0</v>
      </c>
      <c r="O271" s="42">
        <v>1439916</v>
      </c>
      <c r="Q271" s="42">
        <v>182663</v>
      </c>
      <c r="S271" s="42">
        <v>293573</v>
      </c>
      <c r="U271" s="42">
        <v>59738</v>
      </c>
      <c r="W271" s="42">
        <v>773178</v>
      </c>
      <c r="Y271" s="42">
        <v>250796</v>
      </c>
      <c r="AA271" s="42">
        <v>484</v>
      </c>
      <c r="AC271" s="42">
        <v>805464</v>
      </c>
      <c r="AE271" s="42">
        <v>398649</v>
      </c>
      <c r="AG271" s="42">
        <v>59574</v>
      </c>
      <c r="AI271" s="9" t="s">
        <v>675</v>
      </c>
      <c r="AJ271" s="9"/>
      <c r="AK271" s="9" t="s">
        <v>50</v>
      </c>
      <c r="AL271" s="9"/>
      <c r="AM271" s="42">
        <v>258349</v>
      </c>
      <c r="AO271" s="42">
        <v>13053</v>
      </c>
      <c r="AQ271" s="42">
        <v>125454</v>
      </c>
      <c r="AS271" s="42">
        <v>37471</v>
      </c>
      <c r="AW271" s="42">
        <v>0</v>
      </c>
      <c r="AY271" s="42">
        <f t="shared" si="28"/>
        <v>7669931</v>
      </c>
      <c r="BA271" s="42">
        <f>+'St of Act - GA Rev'!AI271-'St of Activities - GA Exp'!AY271</f>
        <v>892849</v>
      </c>
      <c r="BC271" s="42">
        <v>4165698</v>
      </c>
      <c r="BE271" s="42">
        <f t="shared" si="31"/>
        <v>5058547</v>
      </c>
      <c r="BG271" s="42">
        <f>+'St of Net Pos - GA'!AE271-'St of Activities - GA Exp'!BE271</f>
        <v>0</v>
      </c>
    </row>
    <row r="272" spans="1:59" ht="12" hidden="1" customHeight="1">
      <c r="A272" s="9" t="s">
        <v>860</v>
      </c>
      <c r="B272" s="9"/>
      <c r="C272" s="9" t="s">
        <v>464</v>
      </c>
      <c r="D272" s="9"/>
      <c r="E272" s="23">
        <v>49338</v>
      </c>
      <c r="G272" s="42">
        <v>0</v>
      </c>
      <c r="I272" s="42">
        <v>0</v>
      </c>
      <c r="K272" s="42">
        <v>0</v>
      </c>
      <c r="M272" s="42">
        <v>0</v>
      </c>
      <c r="O272" s="42">
        <v>0</v>
      </c>
      <c r="Q272" s="42">
        <v>0</v>
      </c>
      <c r="S272" s="42">
        <v>0</v>
      </c>
      <c r="U272" s="42">
        <v>0</v>
      </c>
      <c r="W272" s="42">
        <v>0</v>
      </c>
      <c r="Y272" s="42">
        <v>0</v>
      </c>
      <c r="AA272" s="42">
        <v>0</v>
      </c>
      <c r="AC272" s="42">
        <v>0</v>
      </c>
      <c r="AE272" s="42">
        <v>0</v>
      </c>
      <c r="AG272" s="42">
        <v>0</v>
      </c>
      <c r="AI272" s="9" t="s">
        <v>860</v>
      </c>
      <c r="AJ272" s="9"/>
      <c r="AK272" s="9" t="s">
        <v>464</v>
      </c>
      <c r="AL272" s="9"/>
      <c r="AM272" s="42">
        <v>0</v>
      </c>
      <c r="AO272" s="42">
        <v>0</v>
      </c>
      <c r="AQ272" s="42">
        <v>0</v>
      </c>
      <c r="AS272" s="42">
        <v>0</v>
      </c>
      <c r="AW272" s="42">
        <v>0</v>
      </c>
      <c r="AY272" s="42">
        <f t="shared" si="28"/>
        <v>0</v>
      </c>
      <c r="BA272" s="42">
        <f>+'St of Act - GA Rev'!AI272-'St of Activities - GA Exp'!AY272</f>
        <v>0</v>
      </c>
      <c r="BC272" s="42">
        <v>0</v>
      </c>
      <c r="BE272" s="42">
        <f t="shared" si="31"/>
        <v>0</v>
      </c>
      <c r="BG272" s="42">
        <f>+'St of Net Pos - GA'!AE272-'St of Activities - GA Exp'!BE272</f>
        <v>0</v>
      </c>
    </row>
    <row r="273" spans="1:59">
      <c r="A273" s="9" t="s">
        <v>372</v>
      </c>
      <c r="B273" s="9"/>
      <c r="C273" s="9" t="s">
        <v>42</v>
      </c>
      <c r="D273" s="9"/>
      <c r="E273" s="23">
        <v>47985</v>
      </c>
      <c r="G273" s="42">
        <v>6595935</v>
      </c>
      <c r="I273" s="42">
        <v>1564157</v>
      </c>
      <c r="K273" s="42">
        <v>170427</v>
      </c>
      <c r="M273" s="42">
        <v>0</v>
      </c>
      <c r="O273" s="42">
        <v>343083</v>
      </c>
      <c r="Q273" s="42">
        <v>348278</v>
      </c>
      <c r="S273" s="42">
        <v>456847</v>
      </c>
      <c r="U273" s="42">
        <v>89415</v>
      </c>
      <c r="W273" s="42">
        <v>1013648</v>
      </c>
      <c r="Y273" s="42">
        <v>451288</v>
      </c>
      <c r="AA273" s="42">
        <v>1510</v>
      </c>
      <c r="AC273" s="42">
        <v>1140381</v>
      </c>
      <c r="AE273" s="42">
        <v>916924</v>
      </c>
      <c r="AG273" s="42">
        <v>55414</v>
      </c>
      <c r="AI273" s="9" t="s">
        <v>372</v>
      </c>
      <c r="AJ273" s="9"/>
      <c r="AK273" s="9" t="s">
        <v>42</v>
      </c>
      <c r="AL273" s="9"/>
      <c r="AM273" s="42">
        <v>358457</v>
      </c>
      <c r="AO273" s="42">
        <v>0</v>
      </c>
      <c r="AQ273" s="42">
        <v>425995</v>
      </c>
      <c r="AS273" s="42">
        <v>6151</v>
      </c>
      <c r="AW273" s="42">
        <v>0</v>
      </c>
      <c r="AY273" s="42">
        <f t="shared" si="28"/>
        <v>13937910</v>
      </c>
      <c r="BA273" s="42">
        <f>+'St of Act - GA Rev'!AI273-'St of Activities - GA Exp'!AY273</f>
        <v>2100002</v>
      </c>
      <c r="BC273" s="42">
        <v>14265361</v>
      </c>
      <c r="BE273" s="42">
        <f t="shared" si="31"/>
        <v>16365363</v>
      </c>
      <c r="BG273" s="42">
        <f>+'St of Net Pos - GA'!AE273-'St of Activities - GA Exp'!BE273</f>
        <v>0</v>
      </c>
    </row>
    <row r="274" spans="1:59">
      <c r="A274" s="9" t="s">
        <v>396</v>
      </c>
      <c r="B274" s="9"/>
      <c r="C274" s="9" t="s">
        <v>395</v>
      </c>
      <c r="D274" s="9"/>
      <c r="E274" s="23">
        <v>48264</v>
      </c>
      <c r="G274" s="42">
        <v>9387349</v>
      </c>
      <c r="I274" s="42">
        <v>1993960</v>
      </c>
      <c r="K274" s="42">
        <v>74449</v>
      </c>
      <c r="M274" s="42">
        <v>0</v>
      </c>
      <c r="O274" s="42">
        <v>87658</v>
      </c>
      <c r="Q274" s="42">
        <v>1380496</v>
      </c>
      <c r="S274" s="42">
        <v>519582</v>
      </c>
      <c r="U274" s="42">
        <v>129168</v>
      </c>
      <c r="W274" s="42">
        <v>1699641</v>
      </c>
      <c r="Y274" s="42">
        <v>692469</v>
      </c>
      <c r="AA274" s="42">
        <v>2672</v>
      </c>
      <c r="AC274" s="42">
        <v>1650367</v>
      </c>
      <c r="AE274" s="42">
        <v>1136179</v>
      </c>
      <c r="AG274" s="42">
        <v>0</v>
      </c>
      <c r="AI274" s="9" t="s">
        <v>396</v>
      </c>
      <c r="AJ274" s="9"/>
      <c r="AK274" s="9" t="s">
        <v>395</v>
      </c>
      <c r="AL274" s="9"/>
      <c r="AM274" s="42">
        <v>1085434</v>
      </c>
      <c r="AO274" s="42">
        <v>0</v>
      </c>
      <c r="AQ274" s="42">
        <v>637836</v>
      </c>
      <c r="AS274" s="42">
        <v>943682</v>
      </c>
      <c r="AW274" s="42">
        <v>0</v>
      </c>
      <c r="AY274" s="42">
        <f t="shared" si="28"/>
        <v>21420942</v>
      </c>
      <c r="BA274" s="42">
        <f>+'St of Act - GA Rev'!AI274-'St of Activities - GA Exp'!AY274</f>
        <v>-146601</v>
      </c>
      <c r="BC274" s="42">
        <v>34876323</v>
      </c>
      <c r="BE274" s="42">
        <f t="shared" si="31"/>
        <v>34729722</v>
      </c>
      <c r="BG274" s="42">
        <f>+'St of Net Pos - GA'!AE274-'St of Activities - GA Exp'!BE274</f>
        <v>0</v>
      </c>
    </row>
    <row r="275" spans="1:59">
      <c r="A275" s="9" t="s">
        <v>519</v>
      </c>
      <c r="B275" s="9"/>
      <c r="C275" s="9" t="s">
        <v>64</v>
      </c>
      <c r="D275" s="9"/>
      <c r="E275" s="23">
        <v>50179</v>
      </c>
      <c r="G275" s="42">
        <v>4196184</v>
      </c>
      <c r="I275" s="42">
        <v>795564</v>
      </c>
      <c r="K275" s="42">
        <v>50680</v>
      </c>
      <c r="M275" s="42">
        <v>0</v>
      </c>
      <c r="O275" s="42">
        <v>69934</v>
      </c>
      <c r="Q275" s="42">
        <v>304603</v>
      </c>
      <c r="S275" s="42">
        <v>94080</v>
      </c>
      <c r="U275" s="42">
        <v>43967</v>
      </c>
      <c r="W275" s="42">
        <v>679347</v>
      </c>
      <c r="Y275" s="42">
        <v>362970</v>
      </c>
      <c r="AA275" s="42">
        <v>0</v>
      </c>
      <c r="AC275" s="42">
        <v>730358</v>
      </c>
      <c r="AE275" s="42">
        <v>787209</v>
      </c>
      <c r="AG275" s="42">
        <v>115664</v>
      </c>
      <c r="AI275" s="9" t="s">
        <v>519</v>
      </c>
      <c r="AJ275" s="9"/>
      <c r="AK275" s="9" t="s">
        <v>64</v>
      </c>
      <c r="AL275" s="9"/>
      <c r="AM275" s="42">
        <v>0</v>
      </c>
      <c r="AO275" s="42">
        <v>544370</v>
      </c>
      <c r="AQ275" s="42">
        <v>251167</v>
      </c>
      <c r="AS275" s="42">
        <v>477328</v>
      </c>
      <c r="AW275" s="42">
        <v>0</v>
      </c>
      <c r="AY275" s="42">
        <f t="shared" ref="AY275:AY320" si="32">SUM(G275:AX275)</f>
        <v>9503425</v>
      </c>
      <c r="BA275" s="42">
        <f>+'St of Act - GA Rev'!AI275-'St of Activities - GA Exp'!AY275</f>
        <v>-673997</v>
      </c>
      <c r="BC275" s="42">
        <v>19120773</v>
      </c>
      <c r="BE275" s="42">
        <f t="shared" si="31"/>
        <v>18446776</v>
      </c>
      <c r="BG275" s="42">
        <f>+'St of Net Pos - GA'!AE275-'St of Activities - GA Exp'!BE275</f>
        <v>0</v>
      </c>
    </row>
    <row r="276" spans="1:59" hidden="1">
      <c r="A276" s="8" t="s">
        <v>861</v>
      </c>
      <c r="B276" s="8"/>
      <c r="C276" s="8" t="s">
        <v>464</v>
      </c>
      <c r="D276" s="9"/>
      <c r="E276" s="23">
        <v>49346</v>
      </c>
      <c r="G276" s="42">
        <v>0</v>
      </c>
      <c r="I276" s="42">
        <v>0</v>
      </c>
      <c r="K276" s="42">
        <v>0</v>
      </c>
      <c r="M276" s="42">
        <v>0</v>
      </c>
      <c r="O276" s="42">
        <v>0</v>
      </c>
      <c r="Q276" s="42">
        <v>0</v>
      </c>
      <c r="S276" s="42">
        <v>0</v>
      </c>
      <c r="U276" s="42">
        <v>0</v>
      </c>
      <c r="W276" s="42">
        <v>0</v>
      </c>
      <c r="Y276" s="42">
        <v>0</v>
      </c>
      <c r="AA276" s="42">
        <v>0</v>
      </c>
      <c r="AC276" s="42">
        <v>0</v>
      </c>
      <c r="AE276" s="42">
        <v>0</v>
      </c>
      <c r="AG276" s="42">
        <v>0</v>
      </c>
      <c r="AI276" s="8" t="s">
        <v>861</v>
      </c>
      <c r="AJ276" s="8"/>
      <c r="AK276" s="8" t="s">
        <v>464</v>
      </c>
      <c r="AL276" s="9"/>
      <c r="AM276" s="42">
        <v>0</v>
      </c>
      <c r="AO276" s="42">
        <v>0</v>
      </c>
      <c r="AQ276" s="42">
        <v>0</v>
      </c>
      <c r="AS276" s="42">
        <v>0</v>
      </c>
      <c r="AW276" s="42">
        <v>0</v>
      </c>
      <c r="AY276" s="42">
        <f t="shared" ref="AY276" si="33">SUM(G276:AX276)</f>
        <v>0</v>
      </c>
      <c r="BA276" s="42">
        <f>+'St of Act - GA Rev'!AI276-'St of Activities - GA Exp'!AY276</f>
        <v>0</v>
      </c>
      <c r="BC276" s="42">
        <v>0</v>
      </c>
      <c r="BE276" s="42">
        <f t="shared" si="31"/>
        <v>0</v>
      </c>
      <c r="BG276" s="42">
        <f>+'St of Net Pos - GA'!AE276-'St of Activities - GA Exp'!BE276</f>
        <v>0</v>
      </c>
    </row>
    <row r="277" spans="1:59">
      <c r="A277" s="9" t="s">
        <v>285</v>
      </c>
      <c r="B277" s="9"/>
      <c r="C277" s="9" t="s">
        <v>24</v>
      </c>
      <c r="D277" s="9"/>
      <c r="E277" s="23">
        <v>46797</v>
      </c>
      <c r="G277" s="42">
        <v>178929</v>
      </c>
      <c r="I277" s="42">
        <v>0</v>
      </c>
      <c r="K277" s="42">
        <v>0</v>
      </c>
      <c r="M277" s="42">
        <v>14200</v>
      </c>
      <c r="O277" s="42">
        <v>0</v>
      </c>
      <c r="Q277" s="42">
        <v>452</v>
      </c>
      <c r="S277" s="42">
        <v>23896</v>
      </c>
      <c r="U277" s="42">
        <v>10952</v>
      </c>
      <c r="W277" s="42">
        <v>77097</v>
      </c>
      <c r="Y277" s="42">
        <v>35469</v>
      </c>
      <c r="AA277" s="42">
        <v>0</v>
      </c>
      <c r="AC277" s="42">
        <v>172965</v>
      </c>
      <c r="AE277" s="42">
        <v>0</v>
      </c>
      <c r="AG277" s="42">
        <v>0</v>
      </c>
      <c r="AI277" s="9" t="s">
        <v>285</v>
      </c>
      <c r="AJ277" s="9"/>
      <c r="AK277" s="9" t="s">
        <v>24</v>
      </c>
      <c r="AL277" s="9"/>
      <c r="AM277" s="42">
        <v>0</v>
      </c>
      <c r="AO277" s="42">
        <v>0</v>
      </c>
      <c r="AQ277" s="42">
        <v>0</v>
      </c>
      <c r="AS277" s="42">
        <v>0</v>
      </c>
      <c r="AW277" s="42">
        <v>0</v>
      </c>
      <c r="AY277" s="42">
        <f t="shared" si="32"/>
        <v>513960</v>
      </c>
      <c r="BA277" s="42">
        <f>+'St of Act - GA Rev'!AI277-'St of Activities - GA Exp'!AY277</f>
        <v>40096</v>
      </c>
      <c r="BC277" s="42">
        <v>2822773</v>
      </c>
      <c r="BE277" s="42">
        <f t="shared" ref="BE277:BE320" si="34">+BA277+BC277</f>
        <v>2862869</v>
      </c>
      <c r="BG277" s="42">
        <f>+'St of Net Pos - GA'!AE277-'St of Activities - GA Exp'!BE277</f>
        <v>0</v>
      </c>
    </row>
    <row r="278" spans="1:59">
      <c r="A278" s="9" t="s">
        <v>312</v>
      </c>
      <c r="B278" s="9"/>
      <c r="C278" s="9" t="s">
        <v>30</v>
      </c>
      <c r="D278" s="9"/>
      <c r="E278" s="23">
        <v>47191</v>
      </c>
      <c r="G278" s="42">
        <v>16375043</v>
      </c>
      <c r="I278" s="42">
        <v>4217000</v>
      </c>
      <c r="K278" s="42">
        <v>137649</v>
      </c>
      <c r="M278" s="42">
        <v>0</v>
      </c>
      <c r="O278" s="42">
        <v>563386</v>
      </c>
      <c r="Q278" s="42">
        <v>2433085</v>
      </c>
      <c r="S278" s="42">
        <v>1204051</v>
      </c>
      <c r="U278" s="42">
        <v>45287</v>
      </c>
      <c r="W278" s="42">
        <v>2834396</v>
      </c>
      <c r="Y278" s="42">
        <v>1086914</v>
      </c>
      <c r="AA278" s="42">
        <v>20513</v>
      </c>
      <c r="AC278" s="42">
        <v>3983705</v>
      </c>
      <c r="AE278" s="42">
        <v>2699879</v>
      </c>
      <c r="AG278" s="42">
        <v>500334</v>
      </c>
      <c r="AI278" s="9" t="s">
        <v>312</v>
      </c>
      <c r="AJ278" s="9"/>
      <c r="AK278" s="9" t="s">
        <v>30</v>
      </c>
      <c r="AL278" s="9"/>
      <c r="AM278" s="42">
        <v>0</v>
      </c>
      <c r="AO278" s="42">
        <v>184551</v>
      </c>
      <c r="AQ278" s="42">
        <v>1460454</v>
      </c>
      <c r="AS278" s="42">
        <v>1434993</v>
      </c>
      <c r="AW278" s="42">
        <v>0</v>
      </c>
      <c r="AY278" s="42">
        <f t="shared" si="32"/>
        <v>39181240</v>
      </c>
      <c r="BA278" s="42">
        <f>+'St of Act - GA Rev'!AI278-'St of Activities - GA Exp'!AY278</f>
        <v>-616484</v>
      </c>
      <c r="BC278" s="42">
        <v>28200292</v>
      </c>
      <c r="BE278" s="42">
        <f t="shared" si="34"/>
        <v>27583808</v>
      </c>
      <c r="BG278" s="42">
        <f>+'St of Net Pos - GA'!AE278-'St of Activities - GA Exp'!BE278</f>
        <v>0</v>
      </c>
    </row>
    <row r="279" spans="1:59">
      <c r="A279" s="9" t="s">
        <v>458</v>
      </c>
      <c r="B279" s="9"/>
      <c r="C279" s="9" t="s">
        <v>56</v>
      </c>
      <c r="D279" s="9"/>
      <c r="E279" s="23">
        <v>44164</v>
      </c>
      <c r="G279" s="42">
        <v>20269464</v>
      </c>
      <c r="I279" s="42">
        <v>6486017</v>
      </c>
      <c r="K279" s="42">
        <v>1958262</v>
      </c>
      <c r="M279" s="42">
        <v>47016</v>
      </c>
      <c r="O279" s="42">
        <f>473587+555704</f>
        <v>1029291</v>
      </c>
      <c r="Q279" s="42">
        <v>2872413</v>
      </c>
      <c r="S279" s="42">
        <v>1626881</v>
      </c>
      <c r="U279" s="42">
        <v>155761</v>
      </c>
      <c r="W279" s="42">
        <v>3393617</v>
      </c>
      <c r="Y279" s="42">
        <v>1122685</v>
      </c>
      <c r="AA279" s="42">
        <v>285401</v>
      </c>
      <c r="AC279" s="42">
        <v>3426166</v>
      </c>
      <c r="AE279" s="42">
        <v>1934159</v>
      </c>
      <c r="AG279" s="42">
        <v>83133</v>
      </c>
      <c r="AI279" s="9" t="s">
        <v>458</v>
      </c>
      <c r="AJ279" s="9"/>
      <c r="AK279" s="9" t="s">
        <v>56</v>
      </c>
      <c r="AL279" s="9"/>
      <c r="AM279" s="42">
        <v>1265387</v>
      </c>
      <c r="AO279" s="42">
        <f>411754+176359</f>
        <v>588113</v>
      </c>
      <c r="AQ279" s="42">
        <v>1214049</v>
      </c>
      <c r="AS279" s="42">
        <v>2146580</v>
      </c>
      <c r="AW279" s="42">
        <v>206875</v>
      </c>
      <c r="AY279" s="42">
        <f t="shared" si="32"/>
        <v>50111270</v>
      </c>
      <c r="BA279" s="42">
        <f>+'St of Act - GA Rev'!AI279-'St of Activities - GA Exp'!AY279</f>
        <v>-3019265</v>
      </c>
      <c r="BC279" s="42">
        <v>17434533</v>
      </c>
      <c r="BE279" s="42">
        <f t="shared" si="34"/>
        <v>14415268</v>
      </c>
      <c r="BG279" s="42">
        <f>+'St of Net Pos - GA'!AE279-'St of Activities - GA Exp'!BE279</f>
        <v>0</v>
      </c>
    </row>
    <row r="280" spans="1:59" ht="12" hidden="1" customHeight="1">
      <c r="A280" s="9" t="s">
        <v>902</v>
      </c>
      <c r="B280" s="9"/>
      <c r="C280" s="9" t="s">
        <v>337</v>
      </c>
      <c r="D280" s="9"/>
      <c r="E280" s="23">
        <v>44172</v>
      </c>
      <c r="G280" s="42">
        <v>0</v>
      </c>
      <c r="I280" s="42">
        <v>0</v>
      </c>
      <c r="K280" s="42">
        <v>0</v>
      </c>
      <c r="M280" s="42">
        <v>0</v>
      </c>
      <c r="O280" s="42">
        <v>0</v>
      </c>
      <c r="Q280" s="42">
        <v>0</v>
      </c>
      <c r="S280" s="42">
        <v>0</v>
      </c>
      <c r="U280" s="42">
        <v>0</v>
      </c>
      <c r="W280" s="42">
        <v>0</v>
      </c>
      <c r="Y280" s="42">
        <v>0</v>
      </c>
      <c r="AA280" s="42">
        <v>0</v>
      </c>
      <c r="AC280" s="42">
        <v>0</v>
      </c>
      <c r="AE280" s="42">
        <v>0</v>
      </c>
      <c r="AG280" s="42">
        <v>0</v>
      </c>
      <c r="AI280" s="9" t="s">
        <v>339</v>
      </c>
      <c r="AJ280" s="9"/>
      <c r="AK280" s="9" t="s">
        <v>337</v>
      </c>
      <c r="AL280" s="9"/>
      <c r="AM280" s="42">
        <v>0</v>
      </c>
      <c r="AO280" s="42">
        <v>0</v>
      </c>
      <c r="AQ280" s="42">
        <v>0</v>
      </c>
      <c r="AS280" s="42">
        <v>0</v>
      </c>
      <c r="AW280" s="42">
        <v>0</v>
      </c>
      <c r="AY280" s="42">
        <f t="shared" si="32"/>
        <v>0</v>
      </c>
      <c r="BA280" s="42">
        <f>+'St of Act - GA Rev'!AI280-'St of Activities - GA Exp'!AY280</f>
        <v>0</v>
      </c>
      <c r="BC280" s="42">
        <v>0</v>
      </c>
      <c r="BE280" s="42">
        <f t="shared" si="34"/>
        <v>0</v>
      </c>
      <c r="BG280" s="42">
        <f>+'St of Net Pos - GA'!AE280-'St of Activities - GA Exp'!BE280</f>
        <v>0</v>
      </c>
    </row>
    <row r="281" spans="1:59" s="24" customFormat="1">
      <c r="A281" s="51" t="s">
        <v>428</v>
      </c>
      <c r="B281" s="51"/>
      <c r="C281" s="51" t="s">
        <v>50</v>
      </c>
      <c r="D281" s="51"/>
      <c r="E281" s="23">
        <v>44180</v>
      </c>
      <c r="G281" s="42">
        <v>35679782</v>
      </c>
      <c r="H281" s="42"/>
      <c r="I281" s="42">
        <v>9745956</v>
      </c>
      <c r="J281" s="42"/>
      <c r="K281" s="42">
        <v>2765023</v>
      </c>
      <c r="L281" s="42"/>
      <c r="M281" s="42">
        <v>91829</v>
      </c>
      <c r="N281" s="42"/>
      <c r="O281" s="42">
        <v>3982459</v>
      </c>
      <c r="P281" s="42"/>
      <c r="Q281" s="42">
        <v>7444865</v>
      </c>
      <c r="R281" s="42"/>
      <c r="S281" s="42">
        <v>6052370</v>
      </c>
      <c r="T281" s="42"/>
      <c r="U281" s="42">
        <v>53648</v>
      </c>
      <c r="V281" s="42"/>
      <c r="W281" s="42">
        <v>5533408</v>
      </c>
      <c r="X281" s="42"/>
      <c r="Y281" s="42">
        <v>1740590</v>
      </c>
      <c r="Z281" s="42"/>
      <c r="AA281" s="42">
        <v>489754</v>
      </c>
      <c r="AB281" s="42"/>
      <c r="AC281" s="42">
        <v>8183719</v>
      </c>
      <c r="AD281" s="42"/>
      <c r="AE281" s="42">
        <v>3803988</v>
      </c>
      <c r="AF281" s="42"/>
      <c r="AG281" s="42">
        <v>1800269</v>
      </c>
      <c r="AI281" s="51" t="s">
        <v>428</v>
      </c>
      <c r="AJ281" s="51"/>
      <c r="AK281" s="51" t="s">
        <v>50</v>
      </c>
      <c r="AL281" s="51"/>
      <c r="AM281" s="42">
        <v>0</v>
      </c>
      <c r="AN281" s="42"/>
      <c r="AO281" s="42">
        <v>5781286</v>
      </c>
      <c r="AP281" s="42"/>
      <c r="AQ281" s="42">
        <v>1522424</v>
      </c>
      <c r="AR281" s="42"/>
      <c r="AS281" s="42">
        <v>3861797</v>
      </c>
      <c r="AT281" s="42"/>
      <c r="AU281" s="42"/>
      <c r="AV281" s="42"/>
      <c r="AW281" s="42">
        <v>277689</v>
      </c>
      <c r="AX281" s="42"/>
      <c r="AY281" s="42">
        <f t="shared" si="32"/>
        <v>98810856</v>
      </c>
      <c r="AZ281" s="42"/>
      <c r="BA281" s="42">
        <f>+'St of Act - GA Rev'!AI281-'St of Activities - GA Exp'!AY281</f>
        <v>-3042576</v>
      </c>
      <c r="BB281" s="42"/>
      <c r="BC281" s="42">
        <v>29561088</v>
      </c>
      <c r="BD281" s="42"/>
      <c r="BE281" s="42">
        <f t="shared" si="34"/>
        <v>26518512</v>
      </c>
      <c r="BF281" s="42"/>
      <c r="BG281" s="42">
        <f>+'St of Net Pos - GA'!AE281-'St of Activities - GA Exp'!BE281</f>
        <v>0</v>
      </c>
    </row>
    <row r="282" spans="1:59" ht="12" customHeight="1">
      <c r="A282" s="9" t="s">
        <v>632</v>
      </c>
      <c r="B282" s="9"/>
      <c r="C282" s="9" t="s">
        <v>44</v>
      </c>
      <c r="D282" s="9"/>
      <c r="E282" s="23">
        <v>48165</v>
      </c>
      <c r="G282" s="42">
        <v>8089685</v>
      </c>
      <c r="I282" s="42">
        <v>1908297</v>
      </c>
      <c r="K282" s="42">
        <v>73140</v>
      </c>
      <c r="M282" s="42">
        <v>0</v>
      </c>
      <c r="O282" s="42">
        <v>102219</v>
      </c>
      <c r="Q282" s="42">
        <v>982553</v>
      </c>
      <c r="S282" s="42">
        <v>438155</v>
      </c>
      <c r="U282" s="42">
        <v>31080</v>
      </c>
      <c r="W282" s="42">
        <v>1328357</v>
      </c>
      <c r="Y282" s="42">
        <v>486395</v>
      </c>
      <c r="AA282" s="42">
        <v>0</v>
      </c>
      <c r="AC282" s="42">
        <v>1489655</v>
      </c>
      <c r="AE282" s="42">
        <v>922047</v>
      </c>
      <c r="AG282" s="42">
        <v>347854</v>
      </c>
      <c r="AI282" s="9" t="s">
        <v>632</v>
      </c>
      <c r="AJ282" s="9"/>
      <c r="AK282" s="9" t="s">
        <v>44</v>
      </c>
      <c r="AL282" s="9"/>
      <c r="AM282" s="42">
        <v>533896</v>
      </c>
      <c r="AO282" s="42">
        <f>61874+121521</f>
        <v>183395</v>
      </c>
      <c r="AQ282" s="42">
        <v>456214</v>
      </c>
      <c r="AS282" s="42">
        <v>1292291</v>
      </c>
      <c r="AW282" s="42">
        <v>97895</v>
      </c>
      <c r="AY282" s="42">
        <f t="shared" si="32"/>
        <v>18763128</v>
      </c>
      <c r="BA282" s="42">
        <f>+'St of Act - GA Rev'!AI282-'St of Activities - GA Exp'!AY282</f>
        <v>19785154</v>
      </c>
      <c r="BC282" s="42">
        <v>9673387</v>
      </c>
      <c r="BE282" s="42">
        <f t="shared" si="34"/>
        <v>29458541</v>
      </c>
      <c r="BG282" s="42">
        <f>+'St of Net Pos - GA'!AE282-'St of Activities - GA Exp'!BE282</f>
        <v>0</v>
      </c>
    </row>
    <row r="283" spans="1:59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v>18634984</v>
      </c>
      <c r="I283" s="24">
        <v>4982219</v>
      </c>
      <c r="K283" s="24">
        <v>0</v>
      </c>
      <c r="M283" s="24">
        <v>0</v>
      </c>
      <c r="O283" s="24">
        <f>1135912+194</f>
        <v>1136106</v>
      </c>
      <c r="Q283" s="24">
        <v>2514651</v>
      </c>
      <c r="S283" s="24">
        <v>1251801</v>
      </c>
      <c r="U283" s="24">
        <v>48959</v>
      </c>
      <c r="W283" s="24">
        <v>3237217</v>
      </c>
      <c r="Y283" s="24">
        <v>849778</v>
      </c>
      <c r="AA283" s="24">
        <v>219142</v>
      </c>
      <c r="AC283" s="24">
        <v>5510826</v>
      </c>
      <c r="AE283" s="24">
        <v>3304281</v>
      </c>
      <c r="AG283" s="24">
        <v>245288</v>
      </c>
      <c r="AI283" s="51" t="s">
        <v>715</v>
      </c>
      <c r="AJ283" s="51"/>
      <c r="AK283" s="51" t="s">
        <v>69</v>
      </c>
      <c r="AL283" s="51"/>
      <c r="AM283" s="24">
        <v>0</v>
      </c>
      <c r="AO283" s="24">
        <v>648611</v>
      </c>
      <c r="AQ283" s="24">
        <v>1386236</v>
      </c>
      <c r="AS283" s="24">
        <v>2753834</v>
      </c>
      <c r="AW283" s="24">
        <v>0</v>
      </c>
      <c r="AY283" s="24">
        <f t="shared" si="32"/>
        <v>46723933</v>
      </c>
      <c r="BA283" s="24">
        <f>+'St of Act - GA Rev'!AI283-'St of Activities - GA Exp'!AY283</f>
        <v>1877597</v>
      </c>
      <c r="BC283" s="24">
        <v>8424252</v>
      </c>
      <c r="BE283" s="24">
        <f t="shared" si="34"/>
        <v>10301849</v>
      </c>
      <c r="BG283" s="24">
        <f>+'St of Net Pos - GA'!AE283-'St of Activities - GA Exp'!BE283</f>
        <v>0</v>
      </c>
    </row>
    <row r="284" spans="1:59" ht="12" customHeight="1">
      <c r="A284" s="9" t="s">
        <v>903</v>
      </c>
      <c r="B284" s="9"/>
      <c r="C284" s="9" t="s">
        <v>41</v>
      </c>
      <c r="D284" s="9"/>
      <c r="E284" s="23">
        <v>47878</v>
      </c>
      <c r="G284" s="42">
        <v>6845337</v>
      </c>
      <c r="I284" s="42">
        <v>1484814</v>
      </c>
      <c r="K284" s="42">
        <v>93419</v>
      </c>
      <c r="M284" s="42">
        <v>0</v>
      </c>
      <c r="O284" s="42">
        <v>139417</v>
      </c>
      <c r="Q284" s="42">
        <v>967895</v>
      </c>
      <c r="S284" s="42">
        <v>373723</v>
      </c>
      <c r="U284" s="42">
        <v>207717</v>
      </c>
      <c r="W284" s="42">
        <v>1051717</v>
      </c>
      <c r="Y284" s="42">
        <v>492206</v>
      </c>
      <c r="AA284" s="42">
        <v>16679</v>
      </c>
      <c r="AC284" s="42">
        <v>1455737</v>
      </c>
      <c r="AE284" s="42">
        <v>1110385</v>
      </c>
      <c r="AG284" s="42">
        <v>147686</v>
      </c>
      <c r="AI284" s="9" t="s">
        <v>903</v>
      </c>
      <c r="AJ284" s="9"/>
      <c r="AK284" s="9" t="s">
        <v>41</v>
      </c>
      <c r="AL284" s="9"/>
      <c r="AM284" s="42">
        <v>225265</v>
      </c>
      <c r="AO284" s="42">
        <v>130787</v>
      </c>
      <c r="AQ284" s="42">
        <v>814767</v>
      </c>
      <c r="AS284" s="42">
        <v>678073</v>
      </c>
      <c r="AW284" s="42">
        <v>0</v>
      </c>
      <c r="AY284" s="42">
        <v>16235624</v>
      </c>
      <c r="BA284" s="42">
        <v>-197697</v>
      </c>
      <c r="BC284" s="42">
        <v>9179370</v>
      </c>
      <c r="BE284" s="42">
        <v>8981673</v>
      </c>
      <c r="BG284" s="42">
        <f>+'St of Net Pos - GA'!AE284-'St of Activities - GA Exp'!BE284</f>
        <v>0</v>
      </c>
    </row>
    <row r="285" spans="1:59">
      <c r="A285" s="9" t="s">
        <v>520</v>
      </c>
      <c r="B285" s="9"/>
      <c r="C285" s="9" t="s">
        <v>64</v>
      </c>
      <c r="D285" s="9"/>
      <c r="E285" s="23">
        <v>50245</v>
      </c>
      <c r="G285" s="42">
        <v>7070108</v>
      </c>
      <c r="I285" s="42">
        <v>1874613</v>
      </c>
      <c r="K285" s="42">
        <v>74795</v>
      </c>
      <c r="M285" s="42">
        <v>0</v>
      </c>
      <c r="O285" s="42">
        <v>362453</v>
      </c>
      <c r="Q285" s="42">
        <v>773442</v>
      </c>
      <c r="S285" s="42">
        <v>336657</v>
      </c>
      <c r="U285" s="42">
        <v>56989</v>
      </c>
      <c r="W285" s="42">
        <v>1098258</v>
      </c>
      <c r="Y285" s="42">
        <v>341803</v>
      </c>
      <c r="AA285" s="42">
        <v>0</v>
      </c>
      <c r="AC285" s="42">
        <v>1618095</v>
      </c>
      <c r="AE285" s="42">
        <v>587720</v>
      </c>
      <c r="AG285" s="42">
        <v>93648</v>
      </c>
      <c r="AI285" s="9" t="s">
        <v>520</v>
      </c>
      <c r="AJ285" s="9"/>
      <c r="AK285" s="9" t="s">
        <v>64</v>
      </c>
      <c r="AL285" s="9"/>
      <c r="AM285" s="42">
        <v>704046</v>
      </c>
      <c r="AO285" s="42">
        <v>6021</v>
      </c>
      <c r="AQ285" s="42">
        <v>571821</v>
      </c>
      <c r="AS285" s="42">
        <v>309133</v>
      </c>
      <c r="AW285" s="42">
        <v>0</v>
      </c>
      <c r="AY285" s="42">
        <v>15879602</v>
      </c>
      <c r="BA285" s="42">
        <v>-1437331</v>
      </c>
      <c r="BC285" s="42">
        <v>19887319</v>
      </c>
      <c r="BE285" s="42">
        <v>18449988</v>
      </c>
      <c r="BG285" s="42">
        <f>+'St of Net Pos - GA'!AE285-'St of Activities - GA Exp'!BE285</f>
        <v>0</v>
      </c>
    </row>
    <row r="286" spans="1:59">
      <c r="A286" s="9" t="s">
        <v>494</v>
      </c>
      <c r="B286" s="9"/>
      <c r="C286" s="9" t="s">
        <v>62</v>
      </c>
      <c r="D286" s="9"/>
      <c r="E286" s="23">
        <v>49866</v>
      </c>
      <c r="G286" s="42">
        <v>14026848</v>
      </c>
      <c r="I286" s="42">
        <v>3162904</v>
      </c>
      <c r="K286" s="42">
        <v>392304</v>
      </c>
      <c r="M286" s="42">
        <v>0</v>
      </c>
      <c r="O286" s="42">
        <v>1228717</v>
      </c>
      <c r="Q286" s="42">
        <v>899485</v>
      </c>
      <c r="S286" s="42">
        <v>1508822</v>
      </c>
      <c r="U286" s="42">
        <v>26227</v>
      </c>
      <c r="W286" s="42">
        <v>2843926</v>
      </c>
      <c r="Y286" s="42">
        <v>786392</v>
      </c>
      <c r="AA286" s="42">
        <v>93110</v>
      </c>
      <c r="AC286" s="42">
        <v>2706908</v>
      </c>
      <c r="AE286" s="42">
        <v>2012911</v>
      </c>
      <c r="AG286" s="42">
        <v>179541</v>
      </c>
      <c r="AI286" s="9" t="s">
        <v>494</v>
      </c>
      <c r="AJ286" s="9"/>
      <c r="AK286" s="9" t="s">
        <v>62</v>
      </c>
      <c r="AL286" s="9"/>
      <c r="AM286" s="42">
        <v>0</v>
      </c>
      <c r="AO286" s="42">
        <v>591728</v>
      </c>
      <c r="AQ286" s="42">
        <v>1162154</v>
      </c>
      <c r="AS286" s="42">
        <v>1269722</v>
      </c>
      <c r="AW286" s="42">
        <v>0</v>
      </c>
      <c r="AY286" s="42">
        <v>32891699</v>
      </c>
      <c r="BA286" s="42">
        <v>-587988</v>
      </c>
      <c r="BC286" s="42">
        <v>13837674</v>
      </c>
      <c r="BE286" s="42">
        <v>13249686</v>
      </c>
      <c r="BG286" s="42">
        <f>+'St of Net Pos - GA'!AE286-'St of Activities - GA Exp'!BE286</f>
        <v>0</v>
      </c>
    </row>
    <row r="287" spans="1:59" hidden="1">
      <c r="A287" s="9" t="s">
        <v>790</v>
      </c>
      <c r="B287" s="9"/>
      <c r="C287" s="9" t="s">
        <v>72</v>
      </c>
      <c r="D287" s="9"/>
      <c r="E287" s="23">
        <v>50690</v>
      </c>
      <c r="G287" s="42">
        <v>0</v>
      </c>
      <c r="I287" s="42">
        <v>0</v>
      </c>
      <c r="K287" s="42">
        <v>0</v>
      </c>
      <c r="M287" s="42">
        <v>0</v>
      </c>
      <c r="O287" s="42">
        <v>0</v>
      </c>
      <c r="Q287" s="42">
        <v>0</v>
      </c>
      <c r="S287" s="42">
        <v>0</v>
      </c>
      <c r="U287" s="42">
        <v>0</v>
      </c>
      <c r="W287" s="42">
        <v>0</v>
      </c>
      <c r="Y287" s="42">
        <v>0</v>
      </c>
      <c r="AA287" s="42">
        <v>0</v>
      </c>
      <c r="AC287" s="42">
        <v>0</v>
      </c>
      <c r="AE287" s="42">
        <v>0</v>
      </c>
      <c r="AG287" s="42">
        <v>0</v>
      </c>
      <c r="AI287" s="9" t="s">
        <v>790</v>
      </c>
      <c r="AJ287" s="9"/>
      <c r="AK287" s="9" t="s">
        <v>72</v>
      </c>
      <c r="AL287" s="9"/>
      <c r="AM287" s="42">
        <v>0</v>
      </c>
      <c r="AO287" s="42">
        <v>0</v>
      </c>
      <c r="AQ287" s="42">
        <v>0</v>
      </c>
      <c r="AS287" s="42">
        <v>0</v>
      </c>
      <c r="AW287" s="42">
        <v>0</v>
      </c>
      <c r="AY287" s="42">
        <f t="shared" si="32"/>
        <v>0</v>
      </c>
      <c r="BA287" s="42">
        <f>+'St of Act - GA Rev'!AI287-'St of Activities - GA Exp'!AY287</f>
        <v>0</v>
      </c>
      <c r="BC287" s="42">
        <v>0</v>
      </c>
      <c r="BE287" s="42">
        <f t="shared" si="34"/>
        <v>0</v>
      </c>
      <c r="BG287" s="42">
        <f>+'St of Net Pos - GA'!AE287-'St of Activities - GA Exp'!BE287</f>
        <v>0</v>
      </c>
    </row>
    <row r="288" spans="1:59">
      <c r="A288" s="9" t="s">
        <v>521</v>
      </c>
      <c r="B288" s="9"/>
      <c r="C288" s="9" t="s">
        <v>64</v>
      </c>
      <c r="D288" s="9"/>
      <c r="E288" s="23">
        <v>50187</v>
      </c>
      <c r="G288" s="42">
        <v>8074174</v>
      </c>
      <c r="I288" s="42">
        <v>2068109</v>
      </c>
      <c r="K288" s="42">
        <v>0</v>
      </c>
      <c r="M288" s="42">
        <v>0</v>
      </c>
      <c r="O288" s="42">
        <v>0</v>
      </c>
      <c r="Q288" s="42">
        <v>1025554</v>
      </c>
      <c r="S288" s="42">
        <v>879103</v>
      </c>
      <c r="U288" s="42">
        <v>26964</v>
      </c>
      <c r="W288" s="42">
        <v>1412890</v>
      </c>
      <c r="Y288" s="42">
        <v>466170</v>
      </c>
      <c r="AA288" s="42">
        <v>0</v>
      </c>
      <c r="AC288" s="42">
        <v>1531508</v>
      </c>
      <c r="AE288" s="42">
        <v>943410</v>
      </c>
      <c r="AG288" s="42">
        <v>20130</v>
      </c>
      <c r="AI288" s="9" t="s">
        <v>521</v>
      </c>
      <c r="AJ288" s="9"/>
      <c r="AK288" s="9" t="s">
        <v>64</v>
      </c>
      <c r="AL288" s="9"/>
      <c r="AM288" s="42">
        <v>539387</v>
      </c>
      <c r="AO288" s="42">
        <v>9925</v>
      </c>
      <c r="AQ288" s="42">
        <v>445549</v>
      </c>
      <c r="AS288" s="42">
        <v>7509</v>
      </c>
      <c r="AW288" s="42">
        <v>0</v>
      </c>
      <c r="AY288" s="42">
        <f t="shared" si="32"/>
        <v>17450382</v>
      </c>
      <c r="BA288" s="42">
        <f>+'St of Act - GA Rev'!AI288-'St of Activities - GA Exp'!AY288</f>
        <v>1714901</v>
      </c>
      <c r="BC288" s="42">
        <v>2274210</v>
      </c>
      <c r="BE288" s="42">
        <f t="shared" si="34"/>
        <v>3989111</v>
      </c>
      <c r="BG288" s="42">
        <f>+'St of Net Pos - GA'!AE288-'St of Activities - GA Exp'!BE288</f>
        <v>0</v>
      </c>
    </row>
    <row r="289" spans="1:59">
      <c r="A289" s="9" t="s">
        <v>268</v>
      </c>
      <c r="B289" s="9"/>
      <c r="C289" s="9" t="s">
        <v>20</v>
      </c>
      <c r="D289" s="9"/>
      <c r="E289" s="23">
        <v>44198</v>
      </c>
      <c r="G289" s="42">
        <v>30020102</v>
      </c>
      <c r="I289" s="42">
        <v>13246040</v>
      </c>
      <c r="K289" s="42">
        <v>2397061</v>
      </c>
      <c r="M289" s="42">
        <v>413125</v>
      </c>
      <c r="O289" s="42">
        <v>4000121</v>
      </c>
      <c r="Q289" s="42">
        <v>4431335</v>
      </c>
      <c r="S289" s="42">
        <v>4138875</v>
      </c>
      <c r="U289" s="42">
        <v>95577</v>
      </c>
      <c r="W289" s="42">
        <v>3512670</v>
      </c>
      <c r="Y289" s="42">
        <v>1653761</v>
      </c>
      <c r="AA289" s="42">
        <v>693838</v>
      </c>
      <c r="AC289" s="42">
        <v>7437531</v>
      </c>
      <c r="AE289" s="42">
        <v>86944</v>
      </c>
      <c r="AG289" s="42">
        <v>419770</v>
      </c>
      <c r="AI289" s="9" t="s">
        <v>268</v>
      </c>
      <c r="AJ289" s="9"/>
      <c r="AK289" s="9" t="s">
        <v>20</v>
      </c>
      <c r="AL289" s="9"/>
      <c r="AM289" s="42">
        <v>0</v>
      </c>
      <c r="AO289" s="42">
        <v>2694116</v>
      </c>
      <c r="AQ289" s="42">
        <v>1411344</v>
      </c>
      <c r="AS289" s="42">
        <v>6086995</v>
      </c>
      <c r="AW289" s="42">
        <v>0</v>
      </c>
      <c r="AY289" s="42">
        <f t="shared" si="32"/>
        <v>82739205</v>
      </c>
      <c r="BA289" s="42">
        <f>+'St of Act - GA Rev'!AI289-'St of Activities - GA Exp'!AY289</f>
        <v>1366194</v>
      </c>
      <c r="BC289" s="42">
        <v>25324186</v>
      </c>
      <c r="BE289" s="42">
        <f t="shared" si="34"/>
        <v>26690380</v>
      </c>
      <c r="BG289" s="42">
        <f>+'St of Net Pos - GA'!AE289-'St of Activities - GA Exp'!BE289</f>
        <v>0</v>
      </c>
    </row>
    <row r="290" spans="1:59">
      <c r="A290" s="9" t="s">
        <v>625</v>
      </c>
      <c r="B290" s="9"/>
      <c r="C290" s="9" t="s">
        <v>42</v>
      </c>
      <c r="D290" s="9"/>
      <c r="E290" s="23">
        <v>47993</v>
      </c>
      <c r="G290" s="42">
        <v>12351032</v>
      </c>
      <c r="I290" s="42">
        <v>0</v>
      </c>
      <c r="K290" s="42">
        <v>0</v>
      </c>
      <c r="M290" s="42">
        <v>0</v>
      </c>
      <c r="O290" s="42">
        <v>0</v>
      </c>
      <c r="Q290" s="42">
        <v>1406457</v>
      </c>
      <c r="S290" s="42">
        <v>357042</v>
      </c>
      <c r="U290" s="42">
        <v>89155</v>
      </c>
      <c r="W290" s="42">
        <v>1933761</v>
      </c>
      <c r="Y290" s="42">
        <v>680434</v>
      </c>
      <c r="AA290" s="42">
        <v>22403</v>
      </c>
      <c r="AC290" s="42">
        <v>1718852</v>
      </c>
      <c r="AE290" s="42">
        <v>1592255</v>
      </c>
      <c r="AG290" s="42">
        <v>90763</v>
      </c>
      <c r="AI290" s="9" t="s">
        <v>625</v>
      </c>
      <c r="AJ290" s="9"/>
      <c r="AK290" s="9" t="s">
        <v>42</v>
      </c>
      <c r="AL290" s="9"/>
      <c r="AM290" s="42">
        <v>0</v>
      </c>
      <c r="AO290" s="42">
        <v>73594</v>
      </c>
      <c r="AQ290" s="42">
        <v>483728</v>
      </c>
      <c r="AS290" s="42">
        <v>653040</v>
      </c>
      <c r="AW290" s="42">
        <v>0</v>
      </c>
      <c r="AY290" s="42">
        <f t="shared" si="32"/>
        <v>21452516</v>
      </c>
      <c r="BA290" s="42">
        <f>+'St of Act - GA Rev'!AI290-'St of Activities - GA Exp'!AY290</f>
        <v>1652433</v>
      </c>
      <c r="BC290" s="42">
        <v>10186534</v>
      </c>
      <c r="BE290" s="42">
        <f t="shared" si="34"/>
        <v>11838967</v>
      </c>
      <c r="BG290" s="42">
        <f>+'St of Net Pos - GA'!AE290-'St of Activities - GA Exp'!BE290</f>
        <v>0</v>
      </c>
    </row>
    <row r="291" spans="1:59">
      <c r="A291" s="9" t="s">
        <v>222</v>
      </c>
      <c r="B291" s="9"/>
      <c r="C291" s="9" t="s">
        <v>220</v>
      </c>
      <c r="D291" s="9"/>
      <c r="E291" s="23">
        <v>46110</v>
      </c>
      <c r="G291" s="42">
        <v>71299918</v>
      </c>
      <c r="I291" s="42">
        <v>15382251</v>
      </c>
      <c r="K291" s="42">
        <v>7710</v>
      </c>
      <c r="M291" s="42">
        <v>0</v>
      </c>
      <c r="O291" s="42">
        <v>4971958</v>
      </c>
      <c r="Q291" s="42">
        <v>10441289</v>
      </c>
      <c r="S291" s="42">
        <v>9115002</v>
      </c>
      <c r="U291" s="42">
        <v>0</v>
      </c>
      <c r="W291" s="42">
        <f>74266+11501076</f>
        <v>11575342</v>
      </c>
      <c r="Y291" s="42">
        <v>1821644</v>
      </c>
      <c r="AA291" s="42">
        <v>321174</v>
      </c>
      <c r="AC291" s="42">
        <v>12986162</v>
      </c>
      <c r="AE291" s="42">
        <v>15747256</v>
      </c>
      <c r="AG291" s="42">
        <v>2935943</v>
      </c>
      <c r="AI291" s="9" t="s">
        <v>222</v>
      </c>
      <c r="AJ291" s="9"/>
      <c r="AK291" s="9" t="s">
        <v>220</v>
      </c>
      <c r="AL291" s="9"/>
      <c r="AM291" s="42">
        <v>0</v>
      </c>
      <c r="AO291" s="42">
        <v>6110743</v>
      </c>
      <c r="AQ291" s="42">
        <v>2610503</v>
      </c>
      <c r="AS291" s="42">
        <v>6415090</v>
      </c>
      <c r="AW291" s="42">
        <v>0</v>
      </c>
      <c r="AY291" s="42">
        <f t="shared" si="32"/>
        <v>171741985</v>
      </c>
      <c r="BA291" s="42">
        <f>+'St of Act - GA Rev'!AI291-'St of Activities - GA Exp'!AY291</f>
        <v>4156682</v>
      </c>
      <c r="BC291" s="42">
        <v>53877518</v>
      </c>
      <c r="BE291" s="42">
        <f t="shared" si="34"/>
        <v>58034200</v>
      </c>
      <c r="BG291" s="42">
        <f>+'St of Net Pos - GA'!AE291-'St of Activities - GA Exp'!BE291</f>
        <v>0</v>
      </c>
    </row>
    <row r="292" spans="1:59" hidden="1">
      <c r="A292" s="9" t="s">
        <v>791</v>
      </c>
      <c r="B292" s="9"/>
      <c r="C292" s="9" t="s">
        <v>79</v>
      </c>
      <c r="D292" s="9"/>
      <c r="E292" s="23">
        <v>49569</v>
      </c>
      <c r="G292" s="42">
        <v>0</v>
      </c>
      <c r="I292" s="42">
        <v>0</v>
      </c>
      <c r="K292" s="42">
        <v>0</v>
      </c>
      <c r="M292" s="42">
        <v>0</v>
      </c>
      <c r="O292" s="42">
        <v>0</v>
      </c>
      <c r="Q292" s="42">
        <v>0</v>
      </c>
      <c r="S292" s="42">
        <v>0</v>
      </c>
      <c r="U292" s="42">
        <v>0</v>
      </c>
      <c r="W292" s="42">
        <v>0</v>
      </c>
      <c r="Y292" s="42">
        <v>0</v>
      </c>
      <c r="AA292" s="42">
        <v>0</v>
      </c>
      <c r="AC292" s="42">
        <v>0</v>
      </c>
      <c r="AE292" s="42">
        <v>0</v>
      </c>
      <c r="AG292" s="42">
        <v>0</v>
      </c>
      <c r="AI292" s="9" t="s">
        <v>791</v>
      </c>
      <c r="AJ292" s="9"/>
      <c r="AK292" s="9" t="s">
        <v>79</v>
      </c>
      <c r="AL292" s="9"/>
      <c r="AM292" s="42">
        <v>0</v>
      </c>
      <c r="AO292" s="42">
        <v>0</v>
      </c>
      <c r="AQ292" s="42">
        <v>0</v>
      </c>
      <c r="AS292" s="42">
        <v>0</v>
      </c>
      <c r="AW292" s="42">
        <v>0</v>
      </c>
      <c r="AY292" s="42">
        <f t="shared" si="32"/>
        <v>0</v>
      </c>
      <c r="BA292" s="42">
        <f>+'St of Act - GA Rev'!AI292-'St of Activities - GA Exp'!AY292</f>
        <v>0</v>
      </c>
      <c r="BC292" s="42">
        <v>0</v>
      </c>
      <c r="BE292" s="42">
        <f t="shared" si="34"/>
        <v>0</v>
      </c>
      <c r="BG292" s="42">
        <f>+'St of Net Pos - GA'!AE292-'St of Activities - GA Exp'!BE292</f>
        <v>0</v>
      </c>
    </row>
    <row r="293" spans="1:59" ht="12" customHeight="1">
      <c r="A293" s="9" t="s">
        <v>293</v>
      </c>
      <c r="B293" s="9"/>
      <c r="C293" s="9" t="s">
        <v>25</v>
      </c>
      <c r="D293" s="9"/>
      <c r="E293" s="23">
        <v>44206</v>
      </c>
      <c r="G293" s="42">
        <v>27890107</v>
      </c>
      <c r="I293" s="42">
        <v>7794149</v>
      </c>
      <c r="K293" s="42">
        <v>1758521</v>
      </c>
      <c r="M293" s="42">
        <v>0</v>
      </c>
      <c r="O293" s="42">
        <v>3174</v>
      </c>
      <c r="Q293" s="42">
        <v>3282144</v>
      </c>
      <c r="S293" s="42">
        <v>4068497</v>
      </c>
      <c r="U293" s="42">
        <v>192292</v>
      </c>
      <c r="W293" s="42">
        <v>4466574</v>
      </c>
      <c r="Y293" s="42">
        <v>1338643</v>
      </c>
      <c r="AA293" s="42">
        <v>297066</v>
      </c>
      <c r="AC293" s="42">
        <v>6118563</v>
      </c>
      <c r="AE293" s="42">
        <v>1888965</v>
      </c>
      <c r="AG293" s="42">
        <v>930175</v>
      </c>
      <c r="AI293" s="9" t="s">
        <v>293</v>
      </c>
      <c r="AJ293" s="9"/>
      <c r="AK293" s="9" t="s">
        <v>25</v>
      </c>
      <c r="AL293" s="9"/>
      <c r="AM293" s="42">
        <v>2595416</v>
      </c>
      <c r="AO293" s="42">
        <v>1205901</v>
      </c>
      <c r="AQ293" s="42">
        <v>1260333</v>
      </c>
      <c r="AS293" s="42">
        <v>2222824</v>
      </c>
      <c r="AW293" s="42">
        <v>0</v>
      </c>
      <c r="AY293" s="42">
        <f t="shared" si="32"/>
        <v>67313344</v>
      </c>
      <c r="BA293" s="42">
        <f>+'St of Act - GA Rev'!AI293-'St of Activities - GA Exp'!AY293</f>
        <v>29486224</v>
      </c>
      <c r="BC293" s="42">
        <v>55402652</v>
      </c>
      <c r="BE293" s="42">
        <f t="shared" si="34"/>
        <v>84888876</v>
      </c>
      <c r="BG293" s="42">
        <f>+'St of Net Pos - GA'!AE293-'St of Activities - GA Exp'!BE293</f>
        <v>0</v>
      </c>
    </row>
    <row r="294" spans="1:59" ht="12" hidden="1" customHeight="1">
      <c r="A294" s="9" t="s">
        <v>723</v>
      </c>
      <c r="B294" s="9"/>
      <c r="C294" s="9" t="s">
        <v>69</v>
      </c>
      <c r="D294" s="9"/>
      <c r="E294" s="23">
        <v>44214</v>
      </c>
      <c r="G294" s="42">
        <v>0</v>
      </c>
      <c r="I294" s="42">
        <v>0</v>
      </c>
      <c r="K294" s="42">
        <v>0</v>
      </c>
      <c r="M294" s="42">
        <v>0</v>
      </c>
      <c r="O294" s="42">
        <v>0</v>
      </c>
      <c r="Q294" s="42">
        <v>0</v>
      </c>
      <c r="S294" s="42">
        <v>0</v>
      </c>
      <c r="U294" s="42">
        <v>0</v>
      </c>
      <c r="W294" s="42">
        <v>0</v>
      </c>
      <c r="Y294" s="42">
        <v>0</v>
      </c>
      <c r="AA294" s="42">
        <v>0</v>
      </c>
      <c r="AC294" s="42">
        <v>0</v>
      </c>
      <c r="AE294" s="42">
        <v>0</v>
      </c>
      <c r="AG294" s="42">
        <v>0</v>
      </c>
      <c r="AI294" s="9" t="s">
        <v>723</v>
      </c>
      <c r="AJ294" s="9"/>
      <c r="AK294" s="9" t="s">
        <v>69</v>
      </c>
      <c r="AL294" s="9"/>
      <c r="AM294" s="42">
        <v>0</v>
      </c>
      <c r="AO294" s="42">
        <v>0</v>
      </c>
      <c r="AQ294" s="42">
        <v>0</v>
      </c>
      <c r="AS294" s="42">
        <v>0</v>
      </c>
      <c r="AW294" s="42">
        <v>0</v>
      </c>
      <c r="AY294" s="42">
        <f t="shared" si="32"/>
        <v>0</v>
      </c>
      <c r="BA294" s="42">
        <f>+'St of Act - GA Rev'!AI294-'St of Activities - GA Exp'!AY294</f>
        <v>0</v>
      </c>
      <c r="BC294" s="42">
        <v>0</v>
      </c>
      <c r="BE294" s="42">
        <f t="shared" si="34"/>
        <v>0</v>
      </c>
      <c r="BG294" s="42">
        <f>+'St of Net Pos - GA'!AE294-'St of Activities - GA Exp'!BE294</f>
        <v>0</v>
      </c>
    </row>
    <row r="295" spans="1:59">
      <c r="A295" s="9" t="s">
        <v>313</v>
      </c>
      <c r="B295" s="9"/>
      <c r="C295" s="9" t="s">
        <v>30</v>
      </c>
      <c r="D295" s="9"/>
      <c r="E295" s="23">
        <v>47209</v>
      </c>
      <c r="G295" s="42">
        <v>2015002</v>
      </c>
      <c r="I295" s="42">
        <v>987114</v>
      </c>
      <c r="K295" s="42">
        <v>9705</v>
      </c>
      <c r="M295" s="42">
        <v>0</v>
      </c>
      <c r="O295" s="42">
        <v>541314</v>
      </c>
      <c r="Q295" s="42">
        <v>230414</v>
      </c>
      <c r="S295" s="42">
        <v>66889</v>
      </c>
      <c r="U295" s="42">
        <v>96773</v>
      </c>
      <c r="W295" s="42">
        <v>592514</v>
      </c>
      <c r="Y295" s="42">
        <v>214684</v>
      </c>
      <c r="AA295" s="42">
        <v>0</v>
      </c>
      <c r="AC295" s="42">
        <v>574224</v>
      </c>
      <c r="AE295" s="42">
        <v>429720</v>
      </c>
      <c r="AG295" s="42">
        <v>73712</v>
      </c>
      <c r="AI295" s="9" t="s">
        <v>313</v>
      </c>
      <c r="AJ295" s="9"/>
      <c r="AK295" s="9" t="s">
        <v>30</v>
      </c>
      <c r="AL295" s="9"/>
      <c r="AM295" s="42">
        <v>168906</v>
      </c>
      <c r="AO295" s="42">
        <v>9151</v>
      </c>
      <c r="AQ295" s="42">
        <v>127260</v>
      </c>
      <c r="AS295" s="42">
        <v>5419</v>
      </c>
      <c r="AW295" s="42">
        <v>0</v>
      </c>
      <c r="AY295" s="42">
        <f t="shared" si="32"/>
        <v>6142801</v>
      </c>
      <c r="BA295" s="42">
        <f>+'St of Act - GA Rev'!AI295-'St of Activities - GA Exp'!AY295</f>
        <v>-31135</v>
      </c>
      <c r="BC295" s="42">
        <v>-1303030</v>
      </c>
      <c r="BE295" s="42">
        <f t="shared" si="34"/>
        <v>-1334165</v>
      </c>
      <c r="BG295" s="42">
        <f>+'St of Net Pos - GA'!AE295-'St of Activities - GA Exp'!BE295</f>
        <v>0</v>
      </c>
    </row>
    <row r="296" spans="1:59" hidden="1">
      <c r="A296" s="9" t="s">
        <v>757</v>
      </c>
      <c r="B296" s="9"/>
      <c r="C296" s="9" t="s">
        <v>111</v>
      </c>
      <c r="D296" s="9"/>
      <c r="E296" s="23">
        <v>45443</v>
      </c>
      <c r="G296" s="42">
        <v>0</v>
      </c>
      <c r="I296" s="42">
        <v>0</v>
      </c>
      <c r="K296" s="42">
        <v>0</v>
      </c>
      <c r="M296" s="42">
        <v>0</v>
      </c>
      <c r="O296" s="42">
        <v>0</v>
      </c>
      <c r="Q296" s="42">
        <v>0</v>
      </c>
      <c r="S296" s="42">
        <v>0</v>
      </c>
      <c r="U296" s="42">
        <v>0</v>
      </c>
      <c r="W296" s="42">
        <v>0</v>
      </c>
      <c r="Y296" s="42">
        <v>0</v>
      </c>
      <c r="AA296" s="42">
        <v>0</v>
      </c>
      <c r="AC296" s="42">
        <v>0</v>
      </c>
      <c r="AE296" s="42">
        <v>0</v>
      </c>
      <c r="AG296" s="42">
        <v>0</v>
      </c>
      <c r="AI296" s="9" t="s">
        <v>757</v>
      </c>
      <c r="AJ296" s="9"/>
      <c r="AK296" s="9" t="s">
        <v>111</v>
      </c>
      <c r="AL296" s="9"/>
      <c r="AM296" s="42">
        <v>0</v>
      </c>
      <c r="AO296" s="42">
        <v>0</v>
      </c>
      <c r="AQ296" s="42">
        <v>0</v>
      </c>
      <c r="AS296" s="42">
        <v>0</v>
      </c>
      <c r="AW296" s="42">
        <v>0</v>
      </c>
      <c r="BC296" s="42">
        <v>0</v>
      </c>
    </row>
    <row r="297" spans="1:59" ht="12" hidden="1" customHeight="1">
      <c r="A297" s="9" t="s">
        <v>676</v>
      </c>
      <c r="B297" s="9"/>
      <c r="C297" s="9" t="s">
        <v>464</v>
      </c>
      <c r="D297" s="9"/>
      <c r="E297" s="23">
        <v>49353</v>
      </c>
      <c r="G297" s="42">
        <v>0</v>
      </c>
      <c r="I297" s="42">
        <v>0</v>
      </c>
      <c r="K297" s="42">
        <v>0</v>
      </c>
      <c r="M297" s="42">
        <v>0</v>
      </c>
      <c r="O297" s="42">
        <v>0</v>
      </c>
      <c r="Q297" s="42">
        <v>0</v>
      </c>
      <c r="S297" s="42">
        <v>0</v>
      </c>
      <c r="U297" s="42">
        <v>0</v>
      </c>
      <c r="W297" s="42">
        <v>0</v>
      </c>
      <c r="Y297" s="42">
        <v>0</v>
      </c>
      <c r="AA297" s="42">
        <v>0</v>
      </c>
      <c r="AC297" s="42">
        <v>0</v>
      </c>
      <c r="AE297" s="42">
        <v>0</v>
      </c>
      <c r="AG297" s="42">
        <v>0</v>
      </c>
      <c r="AI297" s="9" t="s">
        <v>676</v>
      </c>
      <c r="AJ297" s="9"/>
      <c r="AK297" s="9" t="s">
        <v>464</v>
      </c>
      <c r="AL297" s="9"/>
      <c r="AM297" s="42">
        <v>0</v>
      </c>
      <c r="AO297" s="42">
        <v>0</v>
      </c>
      <c r="AQ297" s="42">
        <v>0</v>
      </c>
      <c r="AS297" s="42">
        <v>0</v>
      </c>
      <c r="AW297" s="42">
        <v>0</v>
      </c>
      <c r="AY297" s="42">
        <f t="shared" si="32"/>
        <v>0</v>
      </c>
      <c r="BA297" s="42">
        <f>+'St of Act - GA Rev'!AI297-'St of Activities - GA Exp'!AY297</f>
        <v>0</v>
      </c>
      <c r="BC297" s="42">
        <v>0</v>
      </c>
      <c r="BE297" s="42">
        <f t="shared" si="34"/>
        <v>0</v>
      </c>
      <c r="BG297" s="42">
        <f>+'St of Net Pos - GA'!AE297-'St of Activities - GA Exp'!BE297</f>
        <v>0</v>
      </c>
    </row>
    <row r="298" spans="1:59" hidden="1">
      <c r="A298" s="9" t="s">
        <v>792</v>
      </c>
      <c r="B298" s="9"/>
      <c r="C298" s="9" t="s">
        <v>109</v>
      </c>
      <c r="D298" s="9"/>
      <c r="E298" s="23">
        <v>49437</v>
      </c>
      <c r="G298" s="42">
        <v>0</v>
      </c>
      <c r="I298" s="42">
        <v>0</v>
      </c>
      <c r="K298" s="42">
        <v>0</v>
      </c>
      <c r="M298" s="42">
        <v>0</v>
      </c>
      <c r="O298" s="42">
        <v>0</v>
      </c>
      <c r="Q298" s="42">
        <v>0</v>
      </c>
      <c r="S298" s="42">
        <v>0</v>
      </c>
      <c r="U298" s="42">
        <v>0</v>
      </c>
      <c r="W298" s="42">
        <v>0</v>
      </c>
      <c r="Y298" s="42">
        <v>0</v>
      </c>
      <c r="AA298" s="42">
        <v>0</v>
      </c>
      <c r="AC298" s="42">
        <v>0</v>
      </c>
      <c r="AE298" s="42">
        <v>0</v>
      </c>
      <c r="AG298" s="42">
        <v>0</v>
      </c>
      <c r="AI298" s="9" t="s">
        <v>792</v>
      </c>
      <c r="AJ298" s="9"/>
      <c r="AK298" s="9" t="s">
        <v>109</v>
      </c>
      <c r="AL298" s="9"/>
      <c r="AM298" s="42">
        <v>0</v>
      </c>
      <c r="AO298" s="42">
        <v>0</v>
      </c>
      <c r="AQ298" s="42">
        <v>0</v>
      </c>
      <c r="AS298" s="42">
        <v>0</v>
      </c>
      <c r="AW298" s="42">
        <v>0</v>
      </c>
      <c r="AY298" s="42">
        <f t="shared" si="32"/>
        <v>0</v>
      </c>
      <c r="BA298" s="42">
        <f>+'St of Act - GA Rev'!AI298-'St of Activities - GA Exp'!AY298</f>
        <v>0</v>
      </c>
      <c r="BC298" s="42">
        <v>0</v>
      </c>
      <c r="BE298" s="42">
        <f t="shared" si="34"/>
        <v>0</v>
      </c>
      <c r="BG298" s="42">
        <f>+'St of Net Pos - GA'!AE298-'St of Activities - GA Exp'!BE298</f>
        <v>0</v>
      </c>
    </row>
    <row r="299" spans="1:59">
      <c r="A299" s="9" t="s">
        <v>793</v>
      </c>
      <c r="B299" s="9"/>
      <c r="C299" s="9" t="s">
        <v>33</v>
      </c>
      <c r="D299" s="9"/>
      <c r="E299" s="23">
        <v>47449</v>
      </c>
      <c r="G299" s="42">
        <v>6255060</v>
      </c>
      <c r="I299" s="42">
        <v>1252029</v>
      </c>
      <c r="K299" s="42">
        <v>354513</v>
      </c>
      <c r="M299" s="42">
        <v>0</v>
      </c>
      <c r="O299" s="42">
        <v>0</v>
      </c>
      <c r="Q299" s="42">
        <v>1059214</v>
      </c>
      <c r="S299" s="42">
        <v>608767</v>
      </c>
      <c r="U299" s="42">
        <v>17330</v>
      </c>
      <c r="W299" s="42">
        <v>1066428</v>
      </c>
      <c r="Y299" s="42">
        <v>324697</v>
      </c>
      <c r="AA299" s="42">
        <v>1665</v>
      </c>
      <c r="AC299" s="42">
        <v>1102301</v>
      </c>
      <c r="AE299" s="42">
        <v>573132</v>
      </c>
      <c r="AG299" s="42">
        <v>130669</v>
      </c>
      <c r="AI299" s="9" t="s">
        <v>793</v>
      </c>
      <c r="AJ299" s="9"/>
      <c r="AK299" s="9" t="s">
        <v>33</v>
      </c>
      <c r="AL299" s="9"/>
      <c r="AM299" s="42">
        <v>0</v>
      </c>
      <c r="AO299" s="42">
        <v>563820</v>
      </c>
      <c r="AQ299" s="42">
        <v>516042</v>
      </c>
      <c r="AS299" s="42">
        <v>380959</v>
      </c>
      <c r="AW299" s="42">
        <v>0</v>
      </c>
      <c r="AY299" s="42">
        <f>SUM(G299:AX299)</f>
        <v>14206626</v>
      </c>
      <c r="BA299" s="42">
        <f>+'St of Act - GA Rev'!AI299-'St of Activities - GA Exp'!AY299</f>
        <v>751113</v>
      </c>
      <c r="BC299" s="42">
        <v>12298529</v>
      </c>
      <c r="BE299" s="42">
        <f>+BA299+BC299</f>
        <v>13049642</v>
      </c>
      <c r="BG299" s="42">
        <f>+'St of Net Pos - GA'!AE299-'St of Activities - GA Exp'!BE299</f>
        <v>0</v>
      </c>
    </row>
    <row r="300" spans="1:59">
      <c r="A300" s="9" t="s">
        <v>343</v>
      </c>
      <c r="B300" s="9"/>
      <c r="C300" s="9" t="s">
        <v>34</v>
      </c>
      <c r="D300" s="9"/>
      <c r="E300" s="23">
        <v>47589</v>
      </c>
      <c r="G300" s="42">
        <v>5187264</v>
      </c>
      <c r="I300" s="42">
        <v>2240163</v>
      </c>
      <c r="K300" s="42">
        <v>205753</v>
      </c>
      <c r="M300" s="42">
        <v>0</v>
      </c>
      <c r="O300" s="42">
        <f>65690+360096</f>
        <v>425786</v>
      </c>
      <c r="Q300" s="42">
        <v>717085</v>
      </c>
      <c r="S300" s="42">
        <v>455543</v>
      </c>
      <c r="U300" s="42">
        <v>69992</v>
      </c>
      <c r="W300" s="42">
        <v>902381</v>
      </c>
      <c r="Y300" s="42">
        <v>407307</v>
      </c>
      <c r="AA300" s="42">
        <v>0</v>
      </c>
      <c r="AC300" s="42">
        <v>949855</v>
      </c>
      <c r="AE300" s="42">
        <v>578304</v>
      </c>
      <c r="AG300" s="42">
        <v>316258</v>
      </c>
      <c r="AI300" s="9" t="s">
        <v>343</v>
      </c>
      <c r="AJ300" s="9"/>
      <c r="AK300" s="9" t="s">
        <v>34</v>
      </c>
      <c r="AL300" s="9"/>
      <c r="AM300" s="42">
        <v>0</v>
      </c>
      <c r="AO300" s="42">
        <v>568719</v>
      </c>
      <c r="AQ300" s="42">
        <v>560862</v>
      </c>
      <c r="AS300" s="42">
        <v>67488</v>
      </c>
      <c r="AW300" s="42">
        <v>79688</v>
      </c>
      <c r="AY300" s="42">
        <f t="shared" si="32"/>
        <v>13732448</v>
      </c>
      <c r="BA300" s="42">
        <f>+'St of Act - GA Rev'!AI300-'St of Activities - GA Exp'!AY300</f>
        <v>-473354</v>
      </c>
      <c r="BC300" s="42">
        <v>11241925</v>
      </c>
      <c r="BE300" s="42">
        <f t="shared" si="34"/>
        <v>10768571</v>
      </c>
      <c r="BG300" s="42">
        <f>+'St of Net Pos - GA'!AE300-'St of Activities - GA Exp'!BE300</f>
        <v>0</v>
      </c>
    </row>
    <row r="301" spans="1:59" ht="12" customHeight="1">
      <c r="A301" s="9" t="s">
        <v>522</v>
      </c>
      <c r="B301" s="9"/>
      <c r="C301" s="9" t="s">
        <v>64</v>
      </c>
      <c r="D301" s="9"/>
      <c r="E301" s="23">
        <v>50195</v>
      </c>
      <c r="G301" s="42">
        <v>8093907</v>
      </c>
      <c r="I301" s="42">
        <v>1503288</v>
      </c>
      <c r="K301" s="42">
        <v>0</v>
      </c>
      <c r="M301" s="42">
        <v>0</v>
      </c>
      <c r="O301" s="42">
        <v>0</v>
      </c>
      <c r="Q301" s="42">
        <v>677082</v>
      </c>
      <c r="S301" s="42">
        <v>446581</v>
      </c>
      <c r="U301" s="42">
        <v>17418</v>
      </c>
      <c r="W301" s="42">
        <v>1350163</v>
      </c>
      <c r="Y301" s="42">
        <v>298858</v>
      </c>
      <c r="AA301" s="42">
        <v>1572</v>
      </c>
      <c r="AC301" s="42">
        <v>1095691</v>
      </c>
      <c r="AE301" s="42">
        <v>905928</v>
      </c>
      <c r="AG301" s="42">
        <v>37270</v>
      </c>
      <c r="AI301" s="9" t="s">
        <v>522</v>
      </c>
      <c r="AJ301" s="9"/>
      <c r="AK301" s="9" t="s">
        <v>64</v>
      </c>
      <c r="AL301" s="9"/>
      <c r="AM301" s="42">
        <v>731111</v>
      </c>
      <c r="AO301" s="42">
        <v>1000</v>
      </c>
      <c r="AQ301" s="42">
        <v>457513</v>
      </c>
      <c r="AS301" s="42">
        <v>531600</v>
      </c>
      <c r="AW301" s="42">
        <v>0</v>
      </c>
      <c r="AY301" s="42">
        <f t="shared" si="32"/>
        <v>16148982</v>
      </c>
      <c r="BA301" s="42">
        <f>+'St of Act - GA Rev'!AI301-'St of Activities - GA Exp'!AY301</f>
        <v>1882625</v>
      </c>
      <c r="BC301" s="42">
        <v>-652570</v>
      </c>
      <c r="BE301" s="42">
        <f t="shared" si="34"/>
        <v>1230055</v>
      </c>
      <c r="BG301" s="42">
        <f>+'St of Net Pos - GA'!AE301-'St of Activities - GA Exp'!BE301</f>
        <v>0</v>
      </c>
    </row>
    <row r="302" spans="1:59">
      <c r="A302" s="9" t="s">
        <v>738</v>
      </c>
      <c r="B302" s="9"/>
      <c r="C302" s="9" t="s">
        <v>25</v>
      </c>
      <c r="D302" s="9"/>
      <c r="E302" s="23">
        <v>46888</v>
      </c>
      <c r="G302" s="42">
        <v>6932123</v>
      </c>
      <c r="I302" s="42">
        <v>1768513</v>
      </c>
      <c r="K302" s="42">
        <v>242519</v>
      </c>
      <c r="M302" s="42">
        <v>0</v>
      </c>
      <c r="O302" s="42">
        <f>150+26130</f>
        <v>26280</v>
      </c>
      <c r="Q302" s="42">
        <v>757714</v>
      </c>
      <c r="S302" s="42">
        <v>473936</v>
      </c>
      <c r="U302" s="42">
        <v>65239</v>
      </c>
      <c r="W302" s="42">
        <v>936152</v>
      </c>
      <c r="Y302" s="42">
        <v>488426</v>
      </c>
      <c r="AA302" s="42">
        <v>0</v>
      </c>
      <c r="AC302" s="42">
        <v>1570809</v>
      </c>
      <c r="AE302" s="42">
        <v>674992</v>
      </c>
      <c r="AG302" s="42">
        <v>68217</v>
      </c>
      <c r="AI302" s="9" t="s">
        <v>738</v>
      </c>
      <c r="AJ302" s="9"/>
      <c r="AK302" s="9" t="s">
        <v>25</v>
      </c>
      <c r="AL302" s="9"/>
      <c r="AM302" s="42">
        <v>0</v>
      </c>
      <c r="AO302" s="42">
        <v>600117</v>
      </c>
      <c r="AQ302" s="42">
        <v>633815</v>
      </c>
      <c r="AS302" s="42">
        <v>383107</v>
      </c>
      <c r="AW302" s="42">
        <v>0</v>
      </c>
      <c r="AY302" s="42">
        <f t="shared" si="32"/>
        <v>15621959</v>
      </c>
      <c r="BA302" s="42">
        <f>+'St of Act - GA Rev'!AI302-'St of Activities - GA Exp'!AY302</f>
        <v>56093</v>
      </c>
      <c r="BC302" s="42">
        <v>30060623</v>
      </c>
      <c r="BE302" s="42">
        <f t="shared" si="34"/>
        <v>30116716</v>
      </c>
      <c r="BG302" s="42">
        <f>+'St of Net Pos - GA'!AE302-'St of Activities - GA Exp'!BE302</f>
        <v>0</v>
      </c>
    </row>
    <row r="303" spans="1:59">
      <c r="A303" s="9" t="s">
        <v>904</v>
      </c>
      <c r="B303" s="9"/>
      <c r="C303" s="9" t="s">
        <v>42</v>
      </c>
      <c r="D303" s="9"/>
      <c r="E303" s="23">
        <v>48009</v>
      </c>
      <c r="G303" s="42">
        <v>14093807</v>
      </c>
      <c r="I303" s="42">
        <v>3351224</v>
      </c>
      <c r="K303" s="42">
        <v>149808</v>
      </c>
      <c r="M303" s="42">
        <v>0</v>
      </c>
      <c r="O303" s="42">
        <v>1776937</v>
      </c>
      <c r="Q303" s="42">
        <v>1558857</v>
      </c>
      <c r="S303" s="42">
        <v>2097754</v>
      </c>
      <c r="U303" s="42">
        <v>40229</v>
      </c>
      <c r="W303" s="42">
        <v>2128444</v>
      </c>
      <c r="Y303" s="42">
        <v>765822</v>
      </c>
      <c r="AA303" s="42">
        <v>0</v>
      </c>
      <c r="AC303" s="42">
        <v>2800667</v>
      </c>
      <c r="AE303" s="42">
        <v>2472550</v>
      </c>
      <c r="AG303" s="42">
        <v>216885</v>
      </c>
      <c r="AI303" s="9" t="s">
        <v>904</v>
      </c>
      <c r="AJ303" s="9"/>
      <c r="AK303" s="9" t="s">
        <v>42</v>
      </c>
      <c r="AL303" s="9"/>
      <c r="AM303" s="42">
        <v>0</v>
      </c>
      <c r="AO303" s="42">
        <v>1481998</v>
      </c>
      <c r="AQ303" s="42">
        <v>567537</v>
      </c>
      <c r="AS303" s="42">
        <v>3611452</v>
      </c>
      <c r="AW303" s="42">
        <v>0</v>
      </c>
      <c r="AY303" s="42">
        <f t="shared" si="32"/>
        <v>37113971</v>
      </c>
      <c r="BA303" s="42">
        <f>+'St of Act - GA Rev'!AI303-'St of Activities - GA Exp'!AY303</f>
        <v>-1380171</v>
      </c>
      <c r="BC303" s="42">
        <v>2598317</v>
      </c>
      <c r="BE303" s="42">
        <f t="shared" si="34"/>
        <v>1218146</v>
      </c>
      <c r="BG303" s="42">
        <f>+'St of Net Pos - GA'!AE303-'St of Activities - GA Exp'!BE303</f>
        <v>0</v>
      </c>
    </row>
    <row r="304" spans="1:59">
      <c r="A304" s="9" t="s">
        <v>373</v>
      </c>
      <c r="B304" s="9"/>
      <c r="C304" s="9" t="s">
        <v>42</v>
      </c>
      <c r="D304" s="9"/>
      <c r="E304" s="23">
        <v>48017</v>
      </c>
      <c r="G304" s="42">
        <v>8972538</v>
      </c>
      <c r="I304" s="42">
        <v>2050254</v>
      </c>
      <c r="K304" s="42">
        <v>532798</v>
      </c>
      <c r="M304" s="42">
        <v>0</v>
      </c>
      <c r="O304" s="42">
        <v>17266</v>
      </c>
      <c r="Q304" s="42">
        <v>481515</v>
      </c>
      <c r="S304" s="42">
        <v>745685</v>
      </c>
      <c r="U304" s="42">
        <v>49604</v>
      </c>
      <c r="W304" s="42">
        <v>2022586</v>
      </c>
      <c r="Y304" s="42">
        <v>505087</v>
      </c>
      <c r="AA304" s="42">
        <v>66601</v>
      </c>
      <c r="AC304" s="42">
        <v>1838653</v>
      </c>
      <c r="AE304" s="42">
        <v>1421536</v>
      </c>
      <c r="AG304" s="42">
        <v>251664</v>
      </c>
      <c r="AI304" s="9" t="s">
        <v>373</v>
      </c>
      <c r="AJ304" s="9"/>
      <c r="AK304" s="9" t="s">
        <v>42</v>
      </c>
      <c r="AL304" s="9"/>
      <c r="AM304" s="42">
        <v>0</v>
      </c>
      <c r="AO304" s="42">
        <v>938125</v>
      </c>
      <c r="AQ304" s="42">
        <v>788973</v>
      </c>
      <c r="AS304" s="42">
        <v>676064</v>
      </c>
      <c r="AW304" s="42">
        <v>0</v>
      </c>
      <c r="AY304" s="42">
        <f t="shared" si="32"/>
        <v>21358949</v>
      </c>
      <c r="BA304" s="42">
        <f>+'St of Act - GA Rev'!AI304-'St of Activities - GA Exp'!AY304</f>
        <v>-168592</v>
      </c>
      <c r="BC304" s="42">
        <v>31826775</v>
      </c>
      <c r="BE304" s="42">
        <f t="shared" si="34"/>
        <v>31658183</v>
      </c>
      <c r="BG304" s="42">
        <f>+'St of Net Pos - GA'!AE304-'St of Activities - GA Exp'!BE304</f>
        <v>0</v>
      </c>
    </row>
    <row r="305" spans="1:59" hidden="1">
      <c r="A305" s="9" t="s">
        <v>677</v>
      </c>
      <c r="B305" s="9"/>
      <c r="C305" s="9" t="s">
        <v>10</v>
      </c>
      <c r="D305" s="9"/>
      <c r="E305" s="23">
        <v>44222</v>
      </c>
      <c r="G305" s="42">
        <v>0</v>
      </c>
      <c r="I305" s="42">
        <v>0</v>
      </c>
      <c r="K305" s="42">
        <v>0</v>
      </c>
      <c r="M305" s="42">
        <v>0</v>
      </c>
      <c r="O305" s="42">
        <v>0</v>
      </c>
      <c r="Q305" s="42">
        <v>0</v>
      </c>
      <c r="S305" s="42">
        <v>0</v>
      </c>
      <c r="U305" s="42">
        <v>0</v>
      </c>
      <c r="W305" s="42">
        <v>0</v>
      </c>
      <c r="Y305" s="42">
        <v>0</v>
      </c>
      <c r="AA305" s="42">
        <v>0</v>
      </c>
      <c r="AC305" s="42">
        <v>0</v>
      </c>
      <c r="AE305" s="42">
        <v>0</v>
      </c>
      <c r="AG305" s="42">
        <v>0</v>
      </c>
      <c r="AI305" s="9" t="s">
        <v>677</v>
      </c>
      <c r="AJ305" s="9"/>
      <c r="AK305" s="9" t="s">
        <v>10</v>
      </c>
      <c r="AL305" s="9"/>
      <c r="AM305" s="42">
        <v>0</v>
      </c>
      <c r="AO305" s="42">
        <v>0</v>
      </c>
      <c r="AQ305" s="42">
        <v>0</v>
      </c>
      <c r="AS305" s="42">
        <v>0</v>
      </c>
      <c r="AW305" s="42">
        <v>0</v>
      </c>
      <c r="AY305" s="42">
        <f t="shared" si="32"/>
        <v>0</v>
      </c>
      <c r="BA305" s="42">
        <f>+'St of Act - GA Rev'!AI305-'St of Activities - GA Exp'!AY305</f>
        <v>0</v>
      </c>
      <c r="BC305" s="42">
        <v>0</v>
      </c>
      <c r="BE305" s="42">
        <f t="shared" si="34"/>
        <v>0</v>
      </c>
      <c r="BG305" s="42">
        <f>+'St of Net Pos - GA'!AE305-'St of Activities - GA Exp'!BE305</f>
        <v>0</v>
      </c>
    </row>
    <row r="306" spans="1:59">
      <c r="A306" s="9" t="s">
        <v>537</v>
      </c>
      <c r="B306" s="9"/>
      <c r="C306" s="9" t="s">
        <v>67</v>
      </c>
      <c r="D306" s="9"/>
      <c r="E306" s="23">
        <v>50369</v>
      </c>
      <c r="G306" s="42">
        <v>3895932</v>
      </c>
      <c r="I306" s="42">
        <v>1256015</v>
      </c>
      <c r="K306" s="42">
        <v>183319</v>
      </c>
      <c r="M306" s="42">
        <v>659</v>
      </c>
      <c r="O306" s="42">
        <v>866146</v>
      </c>
      <c r="Q306" s="42">
        <v>179410</v>
      </c>
      <c r="S306" s="42">
        <v>251774</v>
      </c>
      <c r="U306" s="42">
        <v>31442</v>
      </c>
      <c r="W306" s="42">
        <v>739271</v>
      </c>
      <c r="Y306" s="42">
        <v>299631</v>
      </c>
      <c r="AA306" s="42">
        <v>0</v>
      </c>
      <c r="AC306" s="42">
        <v>834610</v>
      </c>
      <c r="AE306" s="42">
        <v>447266</v>
      </c>
      <c r="AG306" s="42">
        <v>22892</v>
      </c>
      <c r="AI306" s="9" t="s">
        <v>537</v>
      </c>
      <c r="AJ306" s="9"/>
      <c r="AK306" s="9" t="s">
        <v>67</v>
      </c>
      <c r="AL306" s="9"/>
      <c r="AM306" s="42">
        <v>355622</v>
      </c>
      <c r="AO306" s="42">
        <v>53922</v>
      </c>
      <c r="AQ306" s="42">
        <v>296836</v>
      </c>
      <c r="AS306" s="42">
        <v>589859</v>
      </c>
      <c r="AW306" s="42">
        <v>0</v>
      </c>
      <c r="AY306" s="42">
        <f t="shared" si="32"/>
        <v>10304606</v>
      </c>
      <c r="BA306" s="42">
        <f>+'St of Act - GA Rev'!AI306-'St of Activities - GA Exp'!AY306</f>
        <v>407518</v>
      </c>
      <c r="BC306" s="42">
        <v>23841996</v>
      </c>
      <c r="BE306" s="42">
        <f t="shared" si="34"/>
        <v>24249514</v>
      </c>
      <c r="BG306" s="42">
        <f>+'St of Net Pos - GA'!AE306-'St of Activities - GA Exp'!BE306</f>
        <v>0</v>
      </c>
    </row>
    <row r="307" spans="1:59">
      <c r="A307" s="9" t="s">
        <v>760</v>
      </c>
      <c r="B307" s="9"/>
      <c r="C307" s="9" t="s">
        <v>111</v>
      </c>
      <c r="D307" s="9"/>
      <c r="E307" s="23">
        <v>45450</v>
      </c>
      <c r="G307" s="42">
        <v>5081953</v>
      </c>
      <c r="I307" s="42">
        <v>1226746</v>
      </c>
      <c r="K307" s="42">
        <v>38921</v>
      </c>
      <c r="M307" s="42">
        <v>0</v>
      </c>
      <c r="O307" s="42">
        <v>4679</v>
      </c>
      <c r="Q307" s="42">
        <v>608602</v>
      </c>
      <c r="S307" s="42">
        <v>238800</v>
      </c>
      <c r="U307" s="42">
        <v>34122</v>
      </c>
      <c r="W307" s="42">
        <v>767283</v>
      </c>
      <c r="Y307" s="42">
        <v>320440</v>
      </c>
      <c r="AA307" s="42">
        <v>0</v>
      </c>
      <c r="AC307" s="42">
        <v>873375</v>
      </c>
      <c r="AE307" s="42">
        <v>354472</v>
      </c>
      <c r="AG307" s="42">
        <v>56994</v>
      </c>
      <c r="AI307" s="9" t="s">
        <v>760</v>
      </c>
      <c r="AJ307" s="9"/>
      <c r="AK307" s="9" t="s">
        <v>111</v>
      </c>
      <c r="AL307" s="9"/>
      <c r="AM307" s="42">
        <v>453514</v>
      </c>
      <c r="AO307" s="42">
        <v>0</v>
      </c>
      <c r="AQ307" s="42">
        <v>404255</v>
      </c>
      <c r="AS307" s="42">
        <v>270519</v>
      </c>
      <c r="AW307" s="42">
        <v>0</v>
      </c>
      <c r="AY307" s="42">
        <f t="shared" si="32"/>
        <v>10734675</v>
      </c>
      <c r="BA307" s="42">
        <f>+'St of Act - GA Rev'!AI307-'St of Activities - GA Exp'!AY307</f>
        <v>-619369</v>
      </c>
      <c r="BC307" s="42">
        <v>19367416</v>
      </c>
      <c r="BE307" s="42">
        <f t="shared" si="34"/>
        <v>18748047</v>
      </c>
      <c r="BG307" s="42">
        <f>+'St of Net Pos - GA'!AE307-'St of Activities - GA Exp'!BE307</f>
        <v>0</v>
      </c>
    </row>
    <row r="308" spans="1:59">
      <c r="A308" s="9" t="s">
        <v>541</v>
      </c>
      <c r="B308" s="9"/>
      <c r="C308" s="9" t="s">
        <v>69</v>
      </c>
      <c r="D308" s="9"/>
      <c r="E308" s="23">
        <v>50443</v>
      </c>
      <c r="G308" s="42">
        <v>15504439</v>
      </c>
      <c r="I308" s="42">
        <v>4978749</v>
      </c>
      <c r="K308" s="42">
        <v>0</v>
      </c>
      <c r="M308" s="42">
        <v>0</v>
      </c>
      <c r="O308" s="42">
        <v>2589288</v>
      </c>
      <c r="Q308" s="42">
        <v>1305453</v>
      </c>
      <c r="S308" s="42">
        <v>790919</v>
      </c>
      <c r="U308" s="42">
        <v>0</v>
      </c>
      <c r="W308" s="42">
        <f>34792+1932683</f>
        <v>1967475</v>
      </c>
      <c r="Y308" s="42">
        <v>690694</v>
      </c>
      <c r="AA308" s="42">
        <v>205417</v>
      </c>
      <c r="AC308" s="42">
        <v>3350676</v>
      </c>
      <c r="AE308" s="42">
        <v>3705066</v>
      </c>
      <c r="AG308" s="42">
        <v>732610</v>
      </c>
      <c r="AI308" s="9" t="s">
        <v>541</v>
      </c>
      <c r="AJ308" s="9"/>
      <c r="AK308" s="9" t="s">
        <v>69</v>
      </c>
      <c r="AL308" s="9"/>
      <c r="AM308" s="42">
        <v>0</v>
      </c>
      <c r="AO308" s="42">
        <v>1417378</v>
      </c>
      <c r="AQ308" s="42">
        <v>552224</v>
      </c>
      <c r="AS308" s="42">
        <v>3360312</v>
      </c>
      <c r="AW308" s="42">
        <v>0</v>
      </c>
      <c r="AY308" s="42">
        <f t="shared" si="32"/>
        <v>41150700</v>
      </c>
      <c r="BA308" s="42">
        <f>+'St of Act - GA Rev'!AI308-'St of Activities - GA Exp'!AY308</f>
        <v>10697278</v>
      </c>
      <c r="BC308" s="42">
        <v>1907592</v>
      </c>
      <c r="BE308" s="42">
        <f t="shared" si="34"/>
        <v>12604870</v>
      </c>
      <c r="BG308" s="42">
        <f>+'St of Net Pos - GA'!AE308-'St of Activities - GA Exp'!BE308</f>
        <v>0</v>
      </c>
    </row>
    <row r="309" spans="1:59" ht="12" hidden="1" customHeight="1">
      <c r="A309" s="9" t="s">
        <v>794</v>
      </c>
      <c r="B309" s="9"/>
      <c r="C309" s="9" t="s">
        <v>32</v>
      </c>
      <c r="D309" s="9"/>
      <c r="E309" s="23">
        <v>44230</v>
      </c>
      <c r="G309" s="42">
        <v>0</v>
      </c>
      <c r="I309" s="42">
        <v>0</v>
      </c>
      <c r="K309" s="42">
        <v>0</v>
      </c>
      <c r="M309" s="42">
        <v>0</v>
      </c>
      <c r="O309" s="42">
        <v>0</v>
      </c>
      <c r="Q309" s="42">
        <v>0</v>
      </c>
      <c r="S309" s="42">
        <v>0</v>
      </c>
      <c r="U309" s="42">
        <v>0</v>
      </c>
      <c r="W309" s="42">
        <v>0</v>
      </c>
      <c r="Y309" s="42">
        <v>0</v>
      </c>
      <c r="AA309" s="42">
        <v>0</v>
      </c>
      <c r="AC309" s="42">
        <v>0</v>
      </c>
      <c r="AE309" s="42">
        <v>0</v>
      </c>
      <c r="AG309" s="42">
        <v>0</v>
      </c>
      <c r="AI309" s="9" t="s">
        <v>794</v>
      </c>
      <c r="AJ309" s="9"/>
      <c r="AK309" s="9" t="s">
        <v>32</v>
      </c>
      <c r="AL309" s="9"/>
      <c r="AM309" s="42">
        <v>0</v>
      </c>
      <c r="AO309" s="42">
        <v>0</v>
      </c>
      <c r="AQ309" s="42">
        <v>0</v>
      </c>
      <c r="AS309" s="42">
        <v>0</v>
      </c>
      <c r="AW309" s="42">
        <v>0</v>
      </c>
      <c r="AY309" s="42">
        <f t="shared" si="32"/>
        <v>0</v>
      </c>
      <c r="BA309" s="42">
        <f>+'St of Act - GA Rev'!AI309-'St of Activities - GA Exp'!AY309</f>
        <v>0</v>
      </c>
      <c r="BC309" s="42">
        <v>0</v>
      </c>
      <c r="BE309" s="42">
        <f t="shared" si="34"/>
        <v>0</v>
      </c>
      <c r="BG309" s="42">
        <f>+'St of Net Pos - GA'!AE309-'St of Activities - GA Exp'!BE309</f>
        <v>0</v>
      </c>
    </row>
    <row r="310" spans="1:59">
      <c r="A310" s="9" t="s">
        <v>450</v>
      </c>
      <c r="B310" s="9"/>
      <c r="C310" s="9" t="s">
        <v>54</v>
      </c>
      <c r="D310" s="9"/>
      <c r="E310" s="23">
        <v>49080</v>
      </c>
      <c r="G310" s="42">
        <v>9248280</v>
      </c>
      <c r="I310" s="42">
        <v>2173174</v>
      </c>
      <c r="K310" s="42">
        <v>17477</v>
      </c>
      <c r="M310" s="42">
        <v>0</v>
      </c>
      <c r="O310" s="42">
        <v>68511</v>
      </c>
      <c r="Q310" s="42">
        <v>907310</v>
      </c>
      <c r="S310" s="42">
        <v>602225</v>
      </c>
      <c r="U310" s="42">
        <v>86307</v>
      </c>
      <c r="W310" s="42">
        <v>1435264</v>
      </c>
      <c r="Y310" s="42">
        <v>410927</v>
      </c>
      <c r="AA310" s="42">
        <v>0</v>
      </c>
      <c r="AC310" s="42">
        <v>2351197</v>
      </c>
      <c r="AE310" s="42">
        <v>1703921</v>
      </c>
      <c r="AG310" s="42">
        <v>383439</v>
      </c>
      <c r="AI310" s="9" t="s">
        <v>450</v>
      </c>
      <c r="AJ310" s="9"/>
      <c r="AK310" s="9" t="s">
        <v>54</v>
      </c>
      <c r="AL310" s="9"/>
      <c r="AM310" s="42">
        <v>891036</v>
      </c>
      <c r="AO310" s="42">
        <v>0</v>
      </c>
      <c r="AQ310" s="42">
        <v>587241</v>
      </c>
      <c r="AS310" s="42">
        <v>0</v>
      </c>
      <c r="AW310" s="42">
        <v>0</v>
      </c>
      <c r="AY310" s="42">
        <f t="shared" si="32"/>
        <v>20866309</v>
      </c>
      <c r="BA310" s="42">
        <f>+'St of Act - GA Rev'!AI310-'St of Activities - GA Exp'!AY310</f>
        <v>75382</v>
      </c>
      <c r="BC310" s="42">
        <v>11515083</v>
      </c>
      <c r="BE310" s="42">
        <f t="shared" si="34"/>
        <v>11590465</v>
      </c>
      <c r="BG310" s="42">
        <f>+'St of Net Pos - GA'!AE310-'St of Activities - GA Exp'!BE310</f>
        <v>0</v>
      </c>
    </row>
    <row r="311" spans="1:59">
      <c r="A311" s="9" t="s">
        <v>350</v>
      </c>
      <c r="B311" s="9"/>
      <c r="C311" s="9" t="s">
        <v>35</v>
      </c>
      <c r="D311" s="9"/>
      <c r="E311" s="23">
        <v>44248</v>
      </c>
      <c r="G311" s="42">
        <v>16217272</v>
      </c>
      <c r="I311" s="42">
        <v>5985287</v>
      </c>
      <c r="K311" s="42">
        <v>562839</v>
      </c>
      <c r="M311" s="42">
        <v>0</v>
      </c>
      <c r="O311" s="42">
        <v>20506</v>
      </c>
      <c r="Q311" s="42">
        <v>2338390</v>
      </c>
      <c r="S311" s="42">
        <v>3389091</v>
      </c>
      <c r="U311" s="42">
        <v>76496</v>
      </c>
      <c r="W311" s="42">
        <v>3176081</v>
      </c>
      <c r="Y311" s="42">
        <v>879943</v>
      </c>
      <c r="AA311" s="42">
        <v>0</v>
      </c>
      <c r="AC311" s="42">
        <v>3666042</v>
      </c>
      <c r="AE311" s="42">
        <v>3181397</v>
      </c>
      <c r="AG311" s="42">
        <v>58090</v>
      </c>
      <c r="AI311" s="9" t="s">
        <v>350</v>
      </c>
      <c r="AJ311" s="9"/>
      <c r="AK311" s="9" t="s">
        <v>35</v>
      </c>
      <c r="AL311" s="9"/>
      <c r="AM311" s="42">
        <v>0</v>
      </c>
      <c r="AO311" s="42">
        <v>471182</v>
      </c>
      <c r="AQ311" s="42">
        <v>1375436</v>
      </c>
      <c r="AS311" s="42">
        <v>1153325</v>
      </c>
      <c r="AW311" s="42">
        <v>0</v>
      </c>
      <c r="AY311" s="42">
        <f t="shared" si="32"/>
        <v>42551377</v>
      </c>
      <c r="BA311" s="42">
        <f>+'St of Act - GA Rev'!AI311-'St of Activities - GA Exp'!AY311</f>
        <v>-2883553</v>
      </c>
      <c r="BC311" s="42">
        <v>95489686</v>
      </c>
      <c r="BE311" s="42">
        <f t="shared" si="34"/>
        <v>92606133</v>
      </c>
      <c r="BG311" s="42">
        <f>+'St of Net Pos - GA'!AE311-'St of Activities - GA Exp'!BE311</f>
        <v>0</v>
      </c>
    </row>
    <row r="312" spans="1:59">
      <c r="A312" s="9" t="s">
        <v>397</v>
      </c>
      <c r="B312" s="9"/>
      <c r="C312" s="9" t="s">
        <v>395</v>
      </c>
      <c r="D312" s="9"/>
      <c r="E312" s="23">
        <v>44255</v>
      </c>
      <c r="G312" s="42">
        <v>11040256</v>
      </c>
      <c r="I312" s="42">
        <v>2665216</v>
      </c>
      <c r="K312" s="42">
        <v>68383</v>
      </c>
      <c r="M312" s="42">
        <v>46308</v>
      </c>
      <c r="O312" s="42">
        <v>183290</v>
      </c>
      <c r="Q312" s="42">
        <v>946570</v>
      </c>
      <c r="S312" s="42">
        <v>1084762</v>
      </c>
      <c r="U312" s="42">
        <v>80364</v>
      </c>
      <c r="W312" s="42">
        <v>1335107</v>
      </c>
      <c r="Y312" s="42">
        <v>607154</v>
      </c>
      <c r="AA312" s="42">
        <v>182556</v>
      </c>
      <c r="AC312" s="42">
        <v>1738942</v>
      </c>
      <c r="AE312" s="42">
        <v>863427</v>
      </c>
      <c r="AG312" s="42">
        <v>442253</v>
      </c>
      <c r="AI312" s="9" t="s">
        <v>397</v>
      </c>
      <c r="AJ312" s="9"/>
      <c r="AK312" s="9" t="s">
        <v>395</v>
      </c>
      <c r="AL312" s="9"/>
      <c r="AM312" s="42">
        <v>700993</v>
      </c>
      <c r="AO312" s="42">
        <v>175505</v>
      </c>
      <c r="AQ312" s="42">
        <v>594627</v>
      </c>
      <c r="AS312" s="42">
        <v>1034579</v>
      </c>
      <c r="AW312" s="42">
        <v>0</v>
      </c>
      <c r="AY312" s="42">
        <f t="shared" si="32"/>
        <v>23790292</v>
      </c>
      <c r="BA312" s="42">
        <f>+'St of Act - GA Rev'!AI312-'St of Activities - GA Exp'!AY312</f>
        <v>1191303</v>
      </c>
      <c r="BC312" s="42">
        <v>41602872</v>
      </c>
      <c r="BE312" s="42">
        <f t="shared" si="34"/>
        <v>42794175</v>
      </c>
      <c r="BG312" s="42">
        <f>+'St of Net Pos - GA'!AE312-'St of Activities - GA Exp'!BE312</f>
        <v>0</v>
      </c>
    </row>
    <row r="313" spans="1:59">
      <c r="A313" s="9" t="s">
        <v>383</v>
      </c>
      <c r="B313" s="9"/>
      <c r="C313" s="9" t="s">
        <v>44</v>
      </c>
      <c r="D313" s="9"/>
      <c r="E313" s="23">
        <v>44263</v>
      </c>
      <c r="G313" s="42">
        <v>33446233</v>
      </c>
      <c r="I313" s="42">
        <v>11010558</v>
      </c>
      <c r="K313" s="42">
        <v>2783152</v>
      </c>
      <c r="M313" s="42">
        <v>0</v>
      </c>
      <c r="O313" s="42">
        <v>22614079</v>
      </c>
      <c r="Q313" s="42">
        <v>4484213</v>
      </c>
      <c r="S313" s="42">
        <v>5990575</v>
      </c>
      <c r="U313" s="42">
        <v>496626</v>
      </c>
      <c r="W313" s="42">
        <v>6406467</v>
      </c>
      <c r="Y313" s="42">
        <v>1500399</v>
      </c>
      <c r="AA313" s="42">
        <v>381721</v>
      </c>
      <c r="AC313" s="42">
        <v>7023708</v>
      </c>
      <c r="AE313" s="42">
        <v>2568181</v>
      </c>
      <c r="AG313" s="42">
        <v>1001418</v>
      </c>
      <c r="AI313" s="9" t="s">
        <v>383</v>
      </c>
      <c r="AJ313" s="9"/>
      <c r="AK313" s="9" t="s">
        <v>44</v>
      </c>
      <c r="AL313" s="9"/>
      <c r="AM313" s="42">
        <v>3705025</v>
      </c>
      <c r="AO313" s="42">
        <v>648677</v>
      </c>
      <c r="AQ313" s="42">
        <v>1067417</v>
      </c>
      <c r="AS313" s="42">
        <v>1437065</v>
      </c>
      <c r="AW313" s="42">
        <v>5694971</v>
      </c>
      <c r="AY313" s="42">
        <f t="shared" si="32"/>
        <v>112260485</v>
      </c>
      <c r="BA313" s="42">
        <f>+'St of Act - GA Rev'!AI313-'St of Activities - GA Exp'!AY313</f>
        <v>-6016740</v>
      </c>
      <c r="BC313" s="42">
        <v>180630659</v>
      </c>
      <c r="BE313" s="42">
        <f t="shared" si="34"/>
        <v>174613919</v>
      </c>
      <c r="BG313" s="42">
        <f>+'St of Net Pos - GA'!AE313-'St of Activities - GA Exp'!BE313</f>
        <v>0</v>
      </c>
    </row>
    <row r="314" spans="1:59">
      <c r="A314" s="9" t="s">
        <v>523</v>
      </c>
      <c r="B314" s="9"/>
      <c r="C314" s="9" t="s">
        <v>64</v>
      </c>
      <c r="D314" s="9"/>
      <c r="E314" s="23">
        <v>50203</v>
      </c>
      <c r="G314" s="42">
        <v>3058990</v>
      </c>
      <c r="I314" s="42">
        <v>604085</v>
      </c>
      <c r="K314" s="42">
        <v>114830</v>
      </c>
      <c r="M314" s="42">
        <v>0</v>
      </c>
      <c r="O314" s="42">
        <v>301680</v>
      </c>
      <c r="Q314" s="42">
        <v>108010</v>
      </c>
      <c r="S314" s="42">
        <v>125578</v>
      </c>
      <c r="U314" s="42">
        <v>137064</v>
      </c>
      <c r="W314" s="42">
        <v>491874</v>
      </c>
      <c r="Y314" s="42">
        <v>322546</v>
      </c>
      <c r="AA314" s="42">
        <v>26515</v>
      </c>
      <c r="AC314" s="42">
        <v>1150844</v>
      </c>
      <c r="AE314" s="42">
        <v>325518</v>
      </c>
      <c r="AG314" s="42">
        <v>0</v>
      </c>
      <c r="AI314" s="9" t="s">
        <v>523</v>
      </c>
      <c r="AJ314" s="9"/>
      <c r="AK314" s="9" t="s">
        <v>64</v>
      </c>
      <c r="AL314" s="9"/>
      <c r="AM314" s="42">
        <v>172091</v>
      </c>
      <c r="AO314" s="42">
        <v>0</v>
      </c>
      <c r="AQ314" s="42">
        <v>240203</v>
      </c>
      <c r="AS314" s="42">
        <v>108669</v>
      </c>
      <c r="AW314" s="42">
        <v>0</v>
      </c>
      <c r="AY314" s="42">
        <f t="shared" si="32"/>
        <v>7288497</v>
      </c>
      <c r="BA314" s="42">
        <f>+'St of Act - GA Rev'!AI314-'St of Activities - GA Exp'!AY314</f>
        <v>-290940</v>
      </c>
      <c r="BC314" s="42">
        <v>3045150</v>
      </c>
      <c r="BE314" s="42">
        <f t="shared" si="34"/>
        <v>2754210</v>
      </c>
      <c r="BG314" s="42">
        <f>+'St of Net Pos - GA'!AE314-'St of Activities - GA Exp'!BE314</f>
        <v>0</v>
      </c>
    </row>
    <row r="315" spans="1:59">
      <c r="A315" s="9" t="s">
        <v>678</v>
      </c>
      <c r="B315" s="9"/>
      <c r="C315" s="9" t="s">
        <v>11</v>
      </c>
      <c r="D315" s="9"/>
      <c r="E315" s="23">
        <v>45468</v>
      </c>
      <c r="G315" s="42">
        <v>5221200</v>
      </c>
      <c r="I315" s="42">
        <v>1420760</v>
      </c>
      <c r="K315" s="42">
        <v>149976</v>
      </c>
      <c r="M315" s="42">
        <v>0</v>
      </c>
      <c r="O315" s="42">
        <v>1197894</v>
      </c>
      <c r="Q315" s="42">
        <v>592119</v>
      </c>
      <c r="S315" s="42">
        <v>961534</v>
      </c>
      <c r="U315" s="42">
        <v>23109</v>
      </c>
      <c r="W315" s="42">
        <v>943148</v>
      </c>
      <c r="Y315" s="42">
        <v>394752</v>
      </c>
      <c r="AA315" s="42">
        <v>5991</v>
      </c>
      <c r="AC315" s="42">
        <v>1113009</v>
      </c>
      <c r="AE315" s="42">
        <v>748598</v>
      </c>
      <c r="AG315" s="42">
        <v>131140</v>
      </c>
      <c r="AI315" s="9" t="s">
        <v>678</v>
      </c>
      <c r="AJ315" s="9"/>
      <c r="AK315" s="9" t="s">
        <v>11</v>
      </c>
      <c r="AL315" s="9"/>
      <c r="AM315" s="42">
        <v>456898</v>
      </c>
      <c r="AO315" s="42">
        <v>25145</v>
      </c>
      <c r="AQ315" s="42">
        <v>546787</v>
      </c>
      <c r="AS315" s="42">
        <v>48245</v>
      </c>
      <c r="AW315" s="42">
        <v>0</v>
      </c>
      <c r="AY315" s="42">
        <f t="shared" si="32"/>
        <v>13980305</v>
      </c>
      <c r="BA315" s="42">
        <f>+'St of Act - GA Rev'!AI315-'St of Activities - GA Exp'!AY315</f>
        <v>-250765</v>
      </c>
      <c r="BC315" s="42">
        <v>5927791</v>
      </c>
      <c r="BE315" s="42">
        <f t="shared" si="34"/>
        <v>5677026</v>
      </c>
      <c r="BG315" s="42">
        <f>+'St of Net Pos - GA'!AE315-'St of Activities - GA Exp'!BE315</f>
        <v>0</v>
      </c>
    </row>
    <row r="316" spans="1:59">
      <c r="A316" s="9" t="s">
        <v>495</v>
      </c>
      <c r="B316" s="9"/>
      <c r="C316" s="9" t="s">
        <v>62</v>
      </c>
      <c r="D316" s="9"/>
      <c r="E316" s="23">
        <v>49874</v>
      </c>
      <c r="G316" s="42">
        <v>11998147</v>
      </c>
      <c r="I316" s="42">
        <v>2941855</v>
      </c>
      <c r="K316" s="42">
        <v>403751</v>
      </c>
      <c r="M316" s="42">
        <v>0</v>
      </c>
      <c r="O316" s="42">
        <v>1096063</v>
      </c>
      <c r="Q316" s="42">
        <v>1738160</v>
      </c>
      <c r="S316" s="42">
        <v>880984</v>
      </c>
      <c r="U316" s="42">
        <v>64809</v>
      </c>
      <c r="W316" s="42">
        <v>1917629</v>
      </c>
      <c r="Y316" s="42">
        <v>464526</v>
      </c>
      <c r="AA316" s="42">
        <v>96657</v>
      </c>
      <c r="AC316" s="42">
        <v>2503461</v>
      </c>
      <c r="AE316" s="42">
        <v>1259788</v>
      </c>
      <c r="AG316" s="42">
        <v>30656</v>
      </c>
      <c r="AI316" s="9" t="s">
        <v>495</v>
      </c>
      <c r="AJ316" s="9"/>
      <c r="AK316" s="9" t="s">
        <v>62</v>
      </c>
      <c r="AL316" s="9"/>
      <c r="AM316" s="42">
        <v>0</v>
      </c>
      <c r="AO316" s="42">
        <v>1798354</v>
      </c>
      <c r="AQ316" s="42">
        <v>937978</v>
      </c>
      <c r="AS316" s="42">
        <v>1485274</v>
      </c>
      <c r="AW316" s="42">
        <v>0</v>
      </c>
      <c r="AY316" s="42">
        <f t="shared" si="32"/>
        <v>29618092</v>
      </c>
      <c r="BA316" s="42">
        <f>+'St of Act - GA Rev'!AI316-'St of Activities - GA Exp'!AY316</f>
        <v>-1364595</v>
      </c>
      <c r="BC316" s="42">
        <v>49957622</v>
      </c>
      <c r="BE316" s="42">
        <f t="shared" si="34"/>
        <v>48593027</v>
      </c>
      <c r="BG316" s="42">
        <f>+'St of Net Pos - GA'!AE316-'St of Activities - GA Exp'!BE316</f>
        <v>0</v>
      </c>
    </row>
    <row r="317" spans="1:59">
      <c r="A317" s="9" t="s">
        <v>322</v>
      </c>
      <c r="B317" s="9"/>
      <c r="C317" s="9" t="s">
        <v>32</v>
      </c>
      <c r="D317" s="9"/>
      <c r="E317" s="23">
        <v>44271</v>
      </c>
      <c r="G317" s="42">
        <v>20930443</v>
      </c>
      <c r="I317" s="42">
        <v>6523243</v>
      </c>
      <c r="K317" s="42">
        <v>157383</v>
      </c>
      <c r="M317" s="42">
        <v>0</v>
      </c>
      <c r="O317" s="42">
        <v>902188</v>
      </c>
      <c r="Q317" s="42">
        <v>2738718</v>
      </c>
      <c r="S317" s="42">
        <v>1352392</v>
      </c>
      <c r="U317" s="42">
        <v>0</v>
      </c>
      <c r="W317" s="42">
        <f>87971+2819345</f>
        <v>2907316</v>
      </c>
      <c r="Y317" s="42">
        <v>1110185</v>
      </c>
      <c r="AA317" s="42">
        <v>172916</v>
      </c>
      <c r="AC317" s="42">
        <v>3271220</v>
      </c>
      <c r="AE317" s="42">
        <v>3250717</v>
      </c>
      <c r="AG317" s="42">
        <v>734212</v>
      </c>
      <c r="AI317" s="9" t="s">
        <v>322</v>
      </c>
      <c r="AJ317" s="9"/>
      <c r="AK317" s="9" t="s">
        <v>32</v>
      </c>
      <c r="AL317" s="9"/>
      <c r="AM317" s="42">
        <v>0</v>
      </c>
      <c r="AO317" s="42">
        <v>2207939</v>
      </c>
      <c r="AQ317" s="42">
        <v>1394675</v>
      </c>
      <c r="AS317" s="42">
        <v>970091</v>
      </c>
      <c r="AW317" s="42">
        <v>0</v>
      </c>
      <c r="AY317" s="42">
        <f t="shared" si="32"/>
        <v>48623638</v>
      </c>
      <c r="BA317" s="42">
        <f>+'St of Act - GA Rev'!AI317-'St of Activities - GA Exp'!AY317</f>
        <v>725275</v>
      </c>
      <c r="BC317" s="42">
        <v>30677301</v>
      </c>
      <c r="BE317" s="42">
        <f t="shared" si="34"/>
        <v>31402576</v>
      </c>
      <c r="BG317" s="42">
        <f>+'St of Net Pos - GA'!AE317-'St of Activities - GA Exp'!BE317</f>
        <v>0</v>
      </c>
    </row>
    <row r="318" spans="1:59" ht="12" customHeight="1">
      <c r="A318" s="9" t="s">
        <v>679</v>
      </c>
      <c r="B318" s="9"/>
      <c r="C318" s="9" t="s">
        <v>45</v>
      </c>
      <c r="D318" s="9"/>
      <c r="E318" s="23">
        <v>48330</v>
      </c>
      <c r="G318" s="42">
        <v>2439381</v>
      </c>
      <c r="I318" s="42">
        <v>282045</v>
      </c>
      <c r="K318" s="42">
        <v>32143</v>
      </c>
      <c r="M318" s="42">
        <v>0</v>
      </c>
      <c r="O318" s="42">
        <v>15</v>
      </c>
      <c r="Q318" s="42">
        <v>117936</v>
      </c>
      <c r="S318" s="42">
        <v>283995</v>
      </c>
      <c r="U318" s="42">
        <v>23736</v>
      </c>
      <c r="W318" s="42">
        <v>275185</v>
      </c>
      <c r="Y318" s="42">
        <v>132956</v>
      </c>
      <c r="AA318" s="42">
        <v>0</v>
      </c>
      <c r="AC318" s="42">
        <v>552977</v>
      </c>
      <c r="AE318" s="42">
        <v>127269</v>
      </c>
      <c r="AG318" s="42">
        <v>978381</v>
      </c>
      <c r="AI318" s="9" t="s">
        <v>679</v>
      </c>
      <c r="AJ318" s="9"/>
      <c r="AK318" s="9" t="s">
        <v>45</v>
      </c>
      <c r="AL318" s="9"/>
      <c r="AM318" s="42">
        <v>356824</v>
      </c>
      <c r="AO318" s="42">
        <v>0</v>
      </c>
      <c r="AQ318" s="42">
        <v>392518</v>
      </c>
      <c r="AS318" s="42">
        <v>93320</v>
      </c>
      <c r="AW318" s="42">
        <v>0</v>
      </c>
      <c r="AY318" s="42">
        <f t="shared" si="32"/>
        <v>6088681</v>
      </c>
      <c r="BA318" s="42">
        <f>+'St of Act - GA Rev'!AI318-'St of Activities - GA Exp'!AY318</f>
        <v>-571457</v>
      </c>
      <c r="BC318" s="42">
        <v>14165581</v>
      </c>
      <c r="BE318" s="42">
        <f t="shared" si="34"/>
        <v>13594124</v>
      </c>
      <c r="BG318" s="42">
        <f>+'St of Net Pos - GA'!AE318-'St of Activities - GA Exp'!BE318</f>
        <v>0</v>
      </c>
    </row>
    <row r="319" spans="1:59">
      <c r="A319" s="9" t="s">
        <v>795</v>
      </c>
      <c r="B319" s="9"/>
      <c r="C319" s="9" t="s">
        <v>109</v>
      </c>
      <c r="D319" s="9"/>
      <c r="E319" s="23">
        <v>49445</v>
      </c>
      <c r="G319" s="42">
        <v>2279036</v>
      </c>
      <c r="I319" s="42">
        <v>518269</v>
      </c>
      <c r="K319" s="42">
        <v>5844</v>
      </c>
      <c r="M319" s="42">
        <v>0</v>
      </c>
      <c r="O319" s="42">
        <v>346756</v>
      </c>
      <c r="Q319" s="42">
        <v>134529</v>
      </c>
      <c r="S319" s="42">
        <v>299768</v>
      </c>
      <c r="U319" s="42">
        <v>33065</v>
      </c>
      <c r="W319" s="42">
        <v>558335</v>
      </c>
      <c r="Y319" s="42">
        <v>174827</v>
      </c>
      <c r="AA319" s="42">
        <v>0</v>
      </c>
      <c r="AC319" s="42">
        <v>560067</v>
      </c>
      <c r="AE319" s="42">
        <v>319309</v>
      </c>
      <c r="AG319" s="42">
        <v>82312</v>
      </c>
      <c r="AI319" s="9" t="s">
        <v>795</v>
      </c>
      <c r="AJ319" s="9"/>
      <c r="AK319" s="9" t="s">
        <v>109</v>
      </c>
      <c r="AL319" s="9"/>
      <c r="AM319" s="42">
        <v>230155</v>
      </c>
      <c r="AO319" s="42">
        <v>1451</v>
      </c>
      <c r="AQ319" s="42">
        <v>181831</v>
      </c>
      <c r="AS319" s="42">
        <v>892</v>
      </c>
      <c r="AW319" s="42">
        <v>0</v>
      </c>
      <c r="AY319" s="42">
        <f t="shared" si="32"/>
        <v>5726446</v>
      </c>
      <c r="BA319" s="42">
        <f>+'St of Act - GA Rev'!AI319-'St of Activities - GA Exp'!AY319</f>
        <v>376571</v>
      </c>
      <c r="BC319" s="42">
        <v>5464472</v>
      </c>
      <c r="BE319" s="42">
        <f t="shared" si="34"/>
        <v>5841043</v>
      </c>
      <c r="BG319" s="42">
        <f>+'St of Net Pos - GA'!AE319-'St of Activities - GA Exp'!BE319</f>
        <v>0</v>
      </c>
    </row>
    <row r="320" spans="1:59">
      <c r="A320" s="9" t="s">
        <v>349</v>
      </c>
      <c r="B320" s="9"/>
      <c r="C320" s="9" t="s">
        <v>346</v>
      </c>
      <c r="D320" s="9"/>
      <c r="E320" s="23">
        <v>47639</v>
      </c>
      <c r="G320" s="42">
        <v>6167027</v>
      </c>
      <c r="I320" s="42">
        <v>1536995</v>
      </c>
      <c r="K320" s="42">
        <v>226435</v>
      </c>
      <c r="M320" s="42">
        <v>0</v>
      </c>
      <c r="O320" s="42">
        <v>2145</v>
      </c>
      <c r="Q320" s="42">
        <v>462294</v>
      </c>
      <c r="S320" s="42">
        <v>778476</v>
      </c>
      <c r="U320" s="42">
        <v>44810</v>
      </c>
      <c r="W320" s="42">
        <v>1105288</v>
      </c>
      <c r="Y320" s="42">
        <v>344527</v>
      </c>
      <c r="AA320" s="42">
        <v>50189</v>
      </c>
      <c r="AC320" s="42">
        <v>1179747</v>
      </c>
      <c r="AE320" s="42">
        <v>885660</v>
      </c>
      <c r="AG320" s="42">
        <v>12500</v>
      </c>
      <c r="AI320" s="9" t="s">
        <v>349</v>
      </c>
      <c r="AJ320" s="9"/>
      <c r="AK320" s="9" t="s">
        <v>346</v>
      </c>
      <c r="AL320" s="9"/>
      <c r="AM320" s="42">
        <v>662705</v>
      </c>
      <c r="AO320" s="42">
        <v>892</v>
      </c>
      <c r="AQ320" s="42">
        <v>252604</v>
      </c>
      <c r="AS320" s="42">
        <v>69415</v>
      </c>
      <c r="AW320" s="42">
        <v>0</v>
      </c>
      <c r="AY320" s="42">
        <f t="shared" si="32"/>
        <v>13781709</v>
      </c>
      <c r="BA320" s="42">
        <f>+'St of Act - GA Rev'!AI320-'St of Activities - GA Exp'!AY320</f>
        <v>-1420527</v>
      </c>
      <c r="BC320" s="42">
        <v>24043933</v>
      </c>
      <c r="BE320" s="42">
        <f t="shared" si="34"/>
        <v>22623406</v>
      </c>
      <c r="BG320" s="42">
        <f>+'St of Net Pos - GA'!AE320-'St of Activities - GA Exp'!BE320</f>
        <v>0</v>
      </c>
    </row>
    <row r="321" spans="1:59">
      <c r="A321" s="9" t="s">
        <v>705</v>
      </c>
      <c r="B321" s="9"/>
      <c r="C321" s="9" t="s">
        <v>50</v>
      </c>
      <c r="D321" s="9"/>
      <c r="E321" s="23">
        <v>48702</v>
      </c>
      <c r="G321" s="42">
        <v>14453811</v>
      </c>
      <c r="I321" s="42">
        <v>4939068</v>
      </c>
      <c r="K321" s="42">
        <v>1998980</v>
      </c>
      <c r="M321" s="42">
        <v>18771</v>
      </c>
      <c r="O321" s="42">
        <v>1463385</v>
      </c>
      <c r="Q321" s="42">
        <v>2644155</v>
      </c>
      <c r="S321" s="42">
        <v>2472194</v>
      </c>
      <c r="U321" s="42">
        <v>0</v>
      </c>
      <c r="W321" s="42">
        <f>91374+2484608</f>
        <v>2575982</v>
      </c>
      <c r="Y321" s="42">
        <v>603691</v>
      </c>
      <c r="AA321" s="42">
        <v>30</v>
      </c>
      <c r="AC321" s="42">
        <v>4065302</v>
      </c>
      <c r="AE321" s="42">
        <v>1588683</v>
      </c>
      <c r="AG321" s="42">
        <v>284822</v>
      </c>
      <c r="AI321" s="9" t="s">
        <v>705</v>
      </c>
      <c r="AJ321" s="9"/>
      <c r="AK321" s="9" t="s">
        <v>50</v>
      </c>
      <c r="AL321" s="9"/>
      <c r="AM321" s="42">
        <v>0</v>
      </c>
      <c r="AO321" s="42">
        <v>2823169</v>
      </c>
      <c r="AQ321" s="42">
        <v>645317</v>
      </c>
      <c r="AS321" s="42">
        <v>622291</v>
      </c>
      <c r="AW321" s="42">
        <v>0</v>
      </c>
      <c r="AY321" s="42">
        <f t="shared" ref="AY321:AY346" si="35">SUM(G321:AX321)</f>
        <v>41199651</v>
      </c>
      <c r="BA321" s="42">
        <f>+'St of Act - GA Rev'!AI321-'St of Activities - GA Exp'!AY321</f>
        <v>1153053</v>
      </c>
      <c r="BC321" s="42">
        <v>73170710</v>
      </c>
      <c r="BE321" s="42">
        <f t="shared" ref="BE321:BE346" si="36">+BA321+BC321</f>
        <v>74323763</v>
      </c>
      <c r="BG321" s="42">
        <f>+'St of Net Pos - GA'!AE321-'St of Activities - GA Exp'!BE321</f>
        <v>0</v>
      </c>
    </row>
    <row r="322" spans="1:59">
      <c r="A322" s="9" t="s">
        <v>323</v>
      </c>
      <c r="B322" s="9"/>
      <c r="C322" s="9" t="s">
        <v>32</v>
      </c>
      <c r="D322" s="9"/>
      <c r="E322" s="23">
        <v>44289</v>
      </c>
      <c r="G322" s="42">
        <v>8596780</v>
      </c>
      <c r="I322" s="42">
        <v>2233438</v>
      </c>
      <c r="K322" s="42">
        <v>0</v>
      </c>
      <c r="M322" s="42">
        <v>0</v>
      </c>
      <c r="O322" s="42">
        <v>369077</v>
      </c>
      <c r="Q322" s="42">
        <v>1232081</v>
      </c>
      <c r="S322" s="42">
        <v>254529</v>
      </c>
      <c r="U322" s="42">
        <v>0</v>
      </c>
      <c r="W322" s="42">
        <f>46001+1171497</f>
        <v>1217498</v>
      </c>
      <c r="Y322" s="42">
        <v>575332</v>
      </c>
      <c r="AA322" s="42">
        <v>112597</v>
      </c>
      <c r="AC322" s="42">
        <v>1508052</v>
      </c>
      <c r="AE322" s="42">
        <v>827457</v>
      </c>
      <c r="AG322" s="42">
        <v>524176</v>
      </c>
      <c r="AI322" s="9" t="s">
        <v>323</v>
      </c>
      <c r="AJ322" s="9"/>
      <c r="AK322" s="9" t="s">
        <v>32</v>
      </c>
      <c r="AL322" s="9"/>
      <c r="AM322" s="42">
        <v>0</v>
      </c>
      <c r="AO322" s="42">
        <v>731243</v>
      </c>
      <c r="AQ322" s="42">
        <v>547339</v>
      </c>
      <c r="AS322" s="42">
        <v>1334083</v>
      </c>
      <c r="AW322" s="42">
        <v>0</v>
      </c>
      <c r="AY322" s="42">
        <f t="shared" si="35"/>
        <v>20063682</v>
      </c>
      <c r="BA322" s="42">
        <f>+'St of Act - GA Rev'!AI322-'St of Activities - GA Exp'!AY322</f>
        <v>1943524</v>
      </c>
      <c r="BC322" s="42">
        <v>13144251</v>
      </c>
      <c r="BE322" s="42">
        <f t="shared" si="36"/>
        <v>15087775</v>
      </c>
      <c r="BG322" s="42">
        <f>+'St of Net Pos - GA'!AE322-'St of Activities - GA Exp'!BE322</f>
        <v>0</v>
      </c>
    </row>
    <row r="323" spans="1:59">
      <c r="A323" s="9" t="s">
        <v>223</v>
      </c>
      <c r="B323" s="9"/>
      <c r="C323" s="9" t="s">
        <v>220</v>
      </c>
      <c r="D323" s="9"/>
      <c r="E323" s="23">
        <v>46128</v>
      </c>
      <c r="G323" s="42">
        <v>7052597</v>
      </c>
      <c r="I323" s="42">
        <v>993573</v>
      </c>
      <c r="K323" s="42">
        <v>2838</v>
      </c>
      <c r="M323" s="42">
        <v>0</v>
      </c>
      <c r="O323" s="42">
        <v>492247</v>
      </c>
      <c r="Q323" s="42">
        <v>604136</v>
      </c>
      <c r="S323" s="42">
        <v>1036361</v>
      </c>
      <c r="U323" s="42">
        <v>0</v>
      </c>
      <c r="W323" s="42">
        <f>69392+1078371</f>
        <v>1147763</v>
      </c>
      <c r="Y323" s="42">
        <v>235130</v>
      </c>
      <c r="AA323" s="42">
        <v>1770</v>
      </c>
      <c r="AC323" s="42">
        <v>1600994</v>
      </c>
      <c r="AE323" s="42">
        <v>1071764</v>
      </c>
      <c r="AG323" s="42">
        <v>337649</v>
      </c>
      <c r="AI323" s="9" t="s">
        <v>223</v>
      </c>
      <c r="AJ323" s="9"/>
      <c r="AK323" s="9" t="s">
        <v>220</v>
      </c>
      <c r="AL323" s="9"/>
      <c r="AM323" s="42">
        <v>0</v>
      </c>
      <c r="AO323" s="42">
        <v>694355</v>
      </c>
      <c r="AQ323" s="42">
        <v>452070</v>
      </c>
      <c r="AS323" s="42">
        <v>1125075</v>
      </c>
      <c r="AW323" s="42">
        <v>0</v>
      </c>
      <c r="AY323" s="42">
        <f t="shared" si="35"/>
        <v>16848322</v>
      </c>
      <c r="BA323" s="42">
        <f>+'St of Act - GA Rev'!AI323-'St of Activities - GA Exp'!AY323</f>
        <v>-866809</v>
      </c>
      <c r="BC323" s="42">
        <v>19454860</v>
      </c>
      <c r="BE323" s="42">
        <f t="shared" si="36"/>
        <v>18588051</v>
      </c>
      <c r="BG323" s="42">
        <f>+'St of Net Pos - GA'!AE323-'St of Activities - GA Exp'!BE323</f>
        <v>0</v>
      </c>
    </row>
    <row r="324" spans="1:59" hidden="1">
      <c r="A324" s="9" t="s">
        <v>724</v>
      </c>
      <c r="B324" s="9"/>
      <c r="C324" s="9" t="s">
        <v>41</v>
      </c>
      <c r="D324" s="9"/>
      <c r="E324" s="23">
        <v>47886</v>
      </c>
      <c r="G324" s="42">
        <v>0</v>
      </c>
      <c r="I324" s="42">
        <v>0</v>
      </c>
      <c r="K324" s="42">
        <v>0</v>
      </c>
      <c r="M324" s="42">
        <v>0</v>
      </c>
      <c r="O324" s="42">
        <v>0</v>
      </c>
      <c r="Q324" s="42">
        <v>0</v>
      </c>
      <c r="S324" s="42">
        <v>0</v>
      </c>
      <c r="U324" s="42">
        <v>0</v>
      </c>
      <c r="W324" s="42">
        <v>0</v>
      </c>
      <c r="Y324" s="42">
        <v>0</v>
      </c>
      <c r="AA324" s="42">
        <v>0</v>
      </c>
      <c r="AC324" s="42">
        <v>0</v>
      </c>
      <c r="AE324" s="42">
        <v>0</v>
      </c>
      <c r="AG324" s="42">
        <v>0</v>
      </c>
      <c r="AI324" s="9" t="s">
        <v>724</v>
      </c>
      <c r="AJ324" s="9"/>
      <c r="AK324" s="9" t="s">
        <v>41</v>
      </c>
      <c r="AL324" s="9"/>
      <c r="AM324" s="42">
        <v>0</v>
      </c>
      <c r="AO324" s="42">
        <v>0</v>
      </c>
      <c r="AQ324" s="42">
        <v>0</v>
      </c>
      <c r="AS324" s="42">
        <v>0</v>
      </c>
      <c r="AW324" s="42">
        <v>0</v>
      </c>
      <c r="AY324" s="42">
        <f t="shared" si="35"/>
        <v>0</v>
      </c>
      <c r="BA324" s="42">
        <f>+'St of Act - GA Rev'!AI324-'St of Activities - GA Exp'!AY324</f>
        <v>0</v>
      </c>
      <c r="BC324" s="42">
        <v>0</v>
      </c>
      <c r="BE324" s="42">
        <f t="shared" si="36"/>
        <v>0</v>
      </c>
      <c r="BG324" s="42">
        <f>+'St of Net Pos - GA'!AE324-'St of Activities - GA Exp'!BE324</f>
        <v>0</v>
      </c>
    </row>
    <row r="325" spans="1:59">
      <c r="A325" s="9" t="s">
        <v>223</v>
      </c>
      <c r="B325" s="9"/>
      <c r="C325" s="9" t="s">
        <v>109</v>
      </c>
      <c r="D325" s="9"/>
      <c r="E325" s="23">
        <v>49452</v>
      </c>
      <c r="G325" s="42">
        <v>12078690</v>
      </c>
      <c r="I325" s="42">
        <v>3714736</v>
      </c>
      <c r="K325" s="42">
        <v>2550482</v>
      </c>
      <c r="M325" s="42">
        <v>95500</v>
      </c>
      <c r="O325" s="42">
        <v>2799621</v>
      </c>
      <c r="Q325" s="42">
        <v>1098334</v>
      </c>
      <c r="S325" s="42">
        <v>1884065</v>
      </c>
      <c r="U325" s="42">
        <v>35762</v>
      </c>
      <c r="W325" s="42">
        <v>2237885</v>
      </c>
      <c r="Y325" s="42">
        <v>683485</v>
      </c>
      <c r="AA325" s="42">
        <v>71506</v>
      </c>
      <c r="AC325" s="42">
        <v>2905901</v>
      </c>
      <c r="AE325" s="42">
        <v>1610083</v>
      </c>
      <c r="AG325" s="42">
        <v>291885</v>
      </c>
      <c r="AI325" s="9" t="s">
        <v>223</v>
      </c>
      <c r="AJ325" s="9"/>
      <c r="AK325" s="9" t="s">
        <v>109</v>
      </c>
      <c r="AL325" s="9"/>
      <c r="AM325" s="42">
        <v>1349434</v>
      </c>
      <c r="AO325" s="42">
        <v>475423</v>
      </c>
      <c r="AQ325" s="42">
        <v>415791</v>
      </c>
      <c r="AS325" s="42">
        <v>1950740</v>
      </c>
      <c r="AW325" s="42">
        <v>0</v>
      </c>
      <c r="AY325" s="42">
        <f t="shared" si="35"/>
        <v>36249323</v>
      </c>
      <c r="BA325" s="42">
        <f>+'St of Act - GA Rev'!AI325-'St of Activities - GA Exp'!AY325</f>
        <v>-1126166</v>
      </c>
      <c r="BC325" s="42">
        <v>21335518</v>
      </c>
      <c r="BE325" s="42">
        <f t="shared" si="36"/>
        <v>20209352</v>
      </c>
      <c r="BG325" s="42">
        <f>+'St of Net Pos - GA'!AE325-'St of Activities - GA Exp'!BE325</f>
        <v>0</v>
      </c>
    </row>
    <row r="326" spans="1:59">
      <c r="A326" s="9" t="s">
        <v>688</v>
      </c>
      <c r="B326" s="9"/>
      <c r="C326" s="9" t="s">
        <v>395</v>
      </c>
      <c r="D326" s="9"/>
      <c r="E326" s="23">
        <v>48272</v>
      </c>
      <c r="G326" s="42">
        <v>6654221</v>
      </c>
      <c r="I326" s="42">
        <v>656965</v>
      </c>
      <c r="K326" s="42">
        <v>469703</v>
      </c>
      <c r="M326" s="42">
        <v>0</v>
      </c>
      <c r="O326" s="42">
        <v>0</v>
      </c>
      <c r="Q326" s="42">
        <v>588193</v>
      </c>
      <c r="S326" s="42">
        <v>887838</v>
      </c>
      <c r="U326" s="42">
        <v>41125</v>
      </c>
      <c r="W326" s="42">
        <v>1342994</v>
      </c>
      <c r="Y326" s="42">
        <v>583389</v>
      </c>
      <c r="AA326" s="42">
        <v>0</v>
      </c>
      <c r="AC326" s="42">
        <v>849171</v>
      </c>
      <c r="AE326" s="42">
        <v>1159245</v>
      </c>
      <c r="AG326" s="42">
        <v>177700</v>
      </c>
      <c r="AI326" s="9" t="s">
        <v>688</v>
      </c>
      <c r="AJ326" s="9"/>
      <c r="AK326" s="9" t="s">
        <v>395</v>
      </c>
      <c r="AL326" s="9"/>
      <c r="AM326" s="42">
        <v>528226</v>
      </c>
      <c r="AO326" s="42">
        <v>6894</v>
      </c>
      <c r="AQ326" s="42">
        <v>473274</v>
      </c>
      <c r="AS326" s="42">
        <v>5462</v>
      </c>
      <c r="AW326" s="42">
        <v>0</v>
      </c>
      <c r="AY326" s="42">
        <f t="shared" si="35"/>
        <v>14424400</v>
      </c>
      <c r="BA326" s="42">
        <f>+'St of Act - GA Rev'!AI326-'St of Activities - GA Exp'!AY326</f>
        <v>194451</v>
      </c>
      <c r="BC326" s="42">
        <v>13646281</v>
      </c>
      <c r="BE326" s="42">
        <f t="shared" si="36"/>
        <v>13840732</v>
      </c>
      <c r="BG326" s="42">
        <f>+'St of Net Pos - GA'!AE326-'St of Activities - GA Exp'!BE326</f>
        <v>0</v>
      </c>
    </row>
    <row r="327" spans="1:59">
      <c r="A327" s="9" t="s">
        <v>600</v>
      </c>
      <c r="B327" s="9"/>
      <c r="C327" s="9" t="s">
        <v>199</v>
      </c>
      <c r="D327" s="9"/>
      <c r="E327" s="54" t="s">
        <v>870</v>
      </c>
      <c r="G327" s="42">
        <v>4351546</v>
      </c>
      <c r="I327" s="42">
        <v>1904063</v>
      </c>
      <c r="K327" s="42">
        <v>603754</v>
      </c>
      <c r="M327" s="42">
        <v>0</v>
      </c>
      <c r="O327" s="42">
        <v>138241</v>
      </c>
      <c r="Q327" s="42">
        <v>441553</v>
      </c>
      <c r="S327" s="42">
        <v>588617</v>
      </c>
      <c r="U327" s="42">
        <v>41640</v>
      </c>
      <c r="W327" s="42">
        <v>696960</v>
      </c>
      <c r="Y327" s="42">
        <v>508553</v>
      </c>
      <c r="AA327" s="42">
        <v>0</v>
      </c>
      <c r="AC327" s="42">
        <v>865502</v>
      </c>
      <c r="AE327" s="42">
        <v>677428</v>
      </c>
      <c r="AG327" s="42">
        <v>121116</v>
      </c>
      <c r="AI327" s="9" t="s">
        <v>600</v>
      </c>
      <c r="AJ327" s="9"/>
      <c r="AK327" s="9" t="s">
        <v>199</v>
      </c>
      <c r="AL327" s="9"/>
      <c r="AM327" s="42">
        <v>492114</v>
      </c>
      <c r="AO327" s="42">
        <v>125859</v>
      </c>
      <c r="AQ327" s="42">
        <v>308534</v>
      </c>
      <c r="AS327" s="42">
        <v>693460</v>
      </c>
      <c r="AW327" s="42">
        <v>0</v>
      </c>
      <c r="AY327" s="42">
        <f t="shared" si="35"/>
        <v>12558940</v>
      </c>
      <c r="BA327" s="42">
        <f>+'St of Act - GA Rev'!AI327-'St of Activities - GA Exp'!AY327</f>
        <v>4066645</v>
      </c>
      <c r="BC327" s="42">
        <v>21499226</v>
      </c>
      <c r="BE327" s="42">
        <f t="shared" si="36"/>
        <v>25565871</v>
      </c>
      <c r="BG327" s="42">
        <f>+'St of Net Pos - GA'!AE327-'St of Activities - GA Exp'!BE327</f>
        <v>0</v>
      </c>
    </row>
    <row r="328" spans="1:59" ht="12" hidden="1" customHeight="1">
      <c r="A328" s="9" t="s">
        <v>799</v>
      </c>
      <c r="B328" s="9"/>
      <c r="C328" s="9" t="s">
        <v>63</v>
      </c>
      <c r="D328" s="9"/>
      <c r="E328" s="54">
        <v>50005</v>
      </c>
      <c r="G328" s="42">
        <v>0</v>
      </c>
      <c r="I328" s="42">
        <v>0</v>
      </c>
      <c r="K328" s="42">
        <v>0</v>
      </c>
      <c r="M328" s="42">
        <v>0</v>
      </c>
      <c r="O328" s="42">
        <v>0</v>
      </c>
      <c r="Q328" s="42">
        <v>0</v>
      </c>
      <c r="S328" s="42">
        <v>0</v>
      </c>
      <c r="U328" s="42">
        <v>0</v>
      </c>
      <c r="W328" s="42">
        <v>0</v>
      </c>
      <c r="Y328" s="42">
        <v>0</v>
      </c>
      <c r="AA328" s="42">
        <v>0</v>
      </c>
      <c r="AC328" s="42">
        <v>0</v>
      </c>
      <c r="AE328" s="42">
        <v>0</v>
      </c>
      <c r="AG328" s="42">
        <v>0</v>
      </c>
      <c r="AI328" s="9" t="s">
        <v>799</v>
      </c>
      <c r="AJ328" s="9"/>
      <c r="AK328" s="9" t="s">
        <v>63</v>
      </c>
      <c r="AL328" s="9"/>
      <c r="AM328" s="42">
        <v>0</v>
      </c>
      <c r="AO328" s="42">
        <v>0</v>
      </c>
      <c r="AQ328" s="42">
        <v>0</v>
      </c>
      <c r="AS328" s="42">
        <v>0</v>
      </c>
      <c r="AW328" s="42">
        <v>0</v>
      </c>
      <c r="AY328" s="42">
        <f t="shared" ref="AY328" si="37">SUM(G328:AX328)</f>
        <v>0</v>
      </c>
      <c r="BA328" s="42">
        <f>+'St of Act - GA Rev'!AI328-'St of Activities - GA Exp'!AY328</f>
        <v>0</v>
      </c>
      <c r="BC328" s="42">
        <v>0</v>
      </c>
      <c r="BE328" s="42">
        <f t="shared" ref="BE328" si="38">+BA328+BC328</f>
        <v>0</v>
      </c>
      <c r="BG328" s="42">
        <f>+'St of Net Pos - GA'!AE328-'St of Activities - GA Exp'!BE328</f>
        <v>0</v>
      </c>
    </row>
    <row r="329" spans="1:59" ht="12" customHeight="1">
      <c r="A329" s="9" t="s">
        <v>466</v>
      </c>
      <c r="B329" s="9"/>
      <c r="C329" s="9" t="s">
        <v>109</v>
      </c>
      <c r="D329" s="9"/>
      <c r="E329" s="23">
        <v>44297</v>
      </c>
      <c r="G329" s="42">
        <v>17989402</v>
      </c>
      <c r="I329" s="42">
        <v>8808421</v>
      </c>
      <c r="K329" s="42">
        <v>1053827</v>
      </c>
      <c r="M329" s="42">
        <v>398364</v>
      </c>
      <c r="O329" s="42">
        <v>12844720</v>
      </c>
      <c r="Q329" s="42">
        <v>3138452</v>
      </c>
      <c r="S329" s="42">
        <v>2831811</v>
      </c>
      <c r="U329" s="42">
        <v>23839</v>
      </c>
      <c r="W329" s="42">
        <v>3600625</v>
      </c>
      <c r="Y329" s="42">
        <v>1027979</v>
      </c>
      <c r="AA329" s="42">
        <v>517173</v>
      </c>
      <c r="AC329" s="42">
        <v>6134727</v>
      </c>
      <c r="AE329" s="42">
        <v>2263533</v>
      </c>
      <c r="AG329" s="42">
        <v>2390171</v>
      </c>
      <c r="AI329" s="9" t="s">
        <v>466</v>
      </c>
      <c r="AJ329" s="9"/>
      <c r="AK329" s="9" t="s">
        <v>109</v>
      </c>
      <c r="AL329" s="9"/>
      <c r="AM329" s="42">
        <v>2106627</v>
      </c>
      <c r="AO329" s="42">
        <v>2310622</v>
      </c>
      <c r="AQ329" s="42">
        <v>777171</v>
      </c>
      <c r="AS329" s="42">
        <v>890721</v>
      </c>
      <c r="AW329" s="42">
        <v>0</v>
      </c>
      <c r="AY329" s="42">
        <f t="shared" si="35"/>
        <v>69108185</v>
      </c>
      <c r="BA329" s="42">
        <f>+'St of Act - GA Rev'!AI329-'St of Activities - GA Exp'!AY329</f>
        <v>-8026891</v>
      </c>
      <c r="BC329" s="42">
        <v>52309776</v>
      </c>
      <c r="BE329" s="42">
        <f t="shared" si="36"/>
        <v>44282885</v>
      </c>
      <c r="BG329" s="42">
        <f>+'St of Net Pos - GA'!AE329-'St of Activities - GA Exp'!BE329</f>
        <v>0</v>
      </c>
    </row>
    <row r="330" spans="1:59">
      <c r="A330" s="9" t="s">
        <v>716</v>
      </c>
      <c r="B330" s="9"/>
      <c r="C330" s="9" t="s">
        <v>20</v>
      </c>
      <c r="D330" s="9"/>
      <c r="E330" s="23">
        <v>44305</v>
      </c>
      <c r="G330" s="42">
        <v>26188405</v>
      </c>
      <c r="I330" s="42">
        <v>4916287</v>
      </c>
      <c r="K330" s="42">
        <v>1615506</v>
      </c>
      <c r="M330" s="42">
        <v>0</v>
      </c>
      <c r="O330" s="42">
        <v>129234</v>
      </c>
      <c r="Q330" s="42">
        <v>1841308</v>
      </c>
      <c r="S330" s="42">
        <v>1466211</v>
      </c>
      <c r="U330" s="42">
        <v>99162</v>
      </c>
      <c r="W330" s="42">
        <v>3732053</v>
      </c>
      <c r="Y330" s="42">
        <v>1681392</v>
      </c>
      <c r="AA330" s="42">
        <v>814850</v>
      </c>
      <c r="AC330" s="42">
        <v>5074697</v>
      </c>
      <c r="AE330" s="42">
        <v>2040536</v>
      </c>
      <c r="AG330" s="42">
        <v>320433</v>
      </c>
      <c r="AI330" s="9" t="s">
        <v>716</v>
      </c>
      <c r="AJ330" s="9"/>
      <c r="AK330" s="9" t="s">
        <v>20</v>
      </c>
      <c r="AL330" s="9"/>
      <c r="AM330" s="42">
        <v>3512042</v>
      </c>
      <c r="AO330" s="42">
        <v>49637</v>
      </c>
      <c r="AQ330" s="42">
        <v>2529008</v>
      </c>
      <c r="AS330" s="42">
        <v>2575550</v>
      </c>
      <c r="AW330" s="42">
        <v>0</v>
      </c>
      <c r="AY330" s="42">
        <f t="shared" si="35"/>
        <v>58586311</v>
      </c>
      <c r="BA330" s="42">
        <f>+'St of Act - GA Rev'!AI330-'St of Activities - GA Exp'!AY330</f>
        <v>-13168856</v>
      </c>
      <c r="BC330" s="42">
        <v>66761672</v>
      </c>
      <c r="BE330" s="42">
        <f t="shared" si="36"/>
        <v>53592816</v>
      </c>
      <c r="BG330" s="42">
        <f>+'St of Net Pos - GA'!AE330-'St of Activities - GA Exp'!BE330</f>
        <v>0</v>
      </c>
    </row>
    <row r="331" spans="1:59">
      <c r="A331" s="9" t="s">
        <v>204</v>
      </c>
      <c r="B331" s="9"/>
      <c r="C331" s="9" t="s">
        <v>11</v>
      </c>
      <c r="D331" s="9"/>
      <c r="E331" s="23">
        <v>45831</v>
      </c>
      <c r="G331" s="42">
        <v>4407936</v>
      </c>
      <c r="I331" s="42">
        <v>828572</v>
      </c>
      <c r="K331" s="42">
        <v>100231</v>
      </c>
      <c r="M331" s="42">
        <v>0</v>
      </c>
      <c r="O331" s="42">
        <v>888482</v>
      </c>
      <c r="Q331" s="42">
        <v>296569</v>
      </c>
      <c r="S331" s="42">
        <v>283139</v>
      </c>
      <c r="U331" s="42">
        <v>65469</v>
      </c>
      <c r="W331" s="42">
        <v>644358</v>
      </c>
      <c r="Y331" s="42">
        <v>300483</v>
      </c>
      <c r="AA331" s="42">
        <v>13023</v>
      </c>
      <c r="AC331" s="42">
        <v>734694</v>
      </c>
      <c r="AE331" s="42">
        <v>485196</v>
      </c>
      <c r="AG331" s="42">
        <v>204001</v>
      </c>
      <c r="AI331" s="9" t="s">
        <v>204</v>
      </c>
      <c r="AJ331" s="9"/>
      <c r="AK331" s="9" t="s">
        <v>11</v>
      </c>
      <c r="AL331" s="9"/>
      <c r="AM331" s="42">
        <v>364300</v>
      </c>
      <c r="AO331" s="42">
        <v>67503</v>
      </c>
      <c r="AQ331" s="42">
        <v>288433</v>
      </c>
      <c r="AS331" s="42">
        <v>157510</v>
      </c>
      <c r="AW331" s="42">
        <v>0</v>
      </c>
      <c r="AY331" s="42">
        <f t="shared" si="35"/>
        <v>10129899</v>
      </c>
      <c r="BA331" s="42">
        <f>+'St of Act - GA Rev'!AI331-'St of Activities - GA Exp'!AY331</f>
        <v>-790197</v>
      </c>
      <c r="BC331" s="42">
        <v>15444414</v>
      </c>
      <c r="BE331" s="42">
        <f t="shared" si="36"/>
        <v>14654217</v>
      </c>
      <c r="BG331" s="42">
        <f>+'St of Net Pos - GA'!AE331-'St of Activities - GA Exp'!BE331</f>
        <v>0</v>
      </c>
    </row>
    <row r="332" spans="1:59">
      <c r="A332" s="9" t="s">
        <v>524</v>
      </c>
      <c r="B332" s="9"/>
      <c r="C332" s="9" t="s">
        <v>64</v>
      </c>
      <c r="D332" s="9"/>
      <c r="E332" s="23">
        <v>50211</v>
      </c>
      <c r="G332" s="42">
        <v>4815181</v>
      </c>
      <c r="I332" s="42">
        <v>905636</v>
      </c>
      <c r="K332" s="42">
        <v>80705</v>
      </c>
      <c r="M332" s="42">
        <v>0</v>
      </c>
      <c r="O332" s="42">
        <v>0</v>
      </c>
      <c r="Q332" s="42">
        <v>423897</v>
      </c>
      <c r="S332" s="42">
        <v>135815</v>
      </c>
      <c r="U332" s="42">
        <v>39376</v>
      </c>
      <c r="W332" s="42">
        <v>794352</v>
      </c>
      <c r="Y332" s="42">
        <v>343705</v>
      </c>
      <c r="AA332" s="42">
        <v>38719</v>
      </c>
      <c r="AC332" s="42">
        <v>1140471</v>
      </c>
      <c r="AE332" s="42">
        <v>574012</v>
      </c>
      <c r="AG332" s="42">
        <v>70497</v>
      </c>
      <c r="AI332" s="9" t="s">
        <v>524</v>
      </c>
      <c r="AJ332" s="9"/>
      <c r="AK332" s="9" t="s">
        <v>64</v>
      </c>
      <c r="AL332" s="9"/>
      <c r="AM332" s="42">
        <v>384550</v>
      </c>
      <c r="AO332" s="42">
        <v>71225</v>
      </c>
      <c r="AQ332" s="42">
        <v>233313</v>
      </c>
      <c r="AS332" s="42">
        <v>103598</v>
      </c>
      <c r="AW332" s="42">
        <v>0</v>
      </c>
      <c r="AY332" s="42">
        <f t="shared" si="35"/>
        <v>10155052</v>
      </c>
      <c r="BA332" s="42">
        <f>+'St of Act - GA Rev'!AI332-'St of Activities - GA Exp'!AY332</f>
        <v>-121210</v>
      </c>
      <c r="BC332" s="42">
        <v>19994755</v>
      </c>
      <c r="BE332" s="42">
        <f t="shared" si="36"/>
        <v>19873545</v>
      </c>
      <c r="BG332" s="42">
        <f>+'St of Net Pos - GA'!AE332-'St of Activities - GA Exp'!BE332</f>
        <v>0</v>
      </c>
    </row>
    <row r="333" spans="1:59" ht="12" customHeight="1">
      <c r="A333" s="9" t="s">
        <v>286</v>
      </c>
      <c r="B333" s="9"/>
      <c r="C333" s="9" t="s">
        <v>24</v>
      </c>
      <c r="D333" s="9"/>
      <c r="E333" s="23">
        <v>46805</v>
      </c>
      <c r="G333" s="42">
        <v>5048752</v>
      </c>
      <c r="I333" s="42">
        <v>1386827</v>
      </c>
      <c r="K333" s="42">
        <v>217962</v>
      </c>
      <c r="M333" s="42">
        <v>0</v>
      </c>
      <c r="O333" s="42">
        <v>838435</v>
      </c>
      <c r="Q333" s="42">
        <v>707883</v>
      </c>
      <c r="S333" s="42">
        <v>897740</v>
      </c>
      <c r="U333" s="42">
        <v>166255</v>
      </c>
      <c r="W333" s="42">
        <v>993564</v>
      </c>
      <c r="Y333" s="42">
        <v>395709</v>
      </c>
      <c r="AA333" s="42">
        <v>0</v>
      </c>
      <c r="AC333" s="42">
        <v>1114569</v>
      </c>
      <c r="AE333" s="42">
        <v>1124970</v>
      </c>
      <c r="AG333" s="42">
        <v>63300</v>
      </c>
      <c r="AI333" s="9" t="s">
        <v>286</v>
      </c>
      <c r="AJ333" s="9"/>
      <c r="AK333" s="9" t="s">
        <v>24</v>
      </c>
      <c r="AL333" s="9"/>
      <c r="AM333" s="42">
        <v>586376</v>
      </c>
      <c r="AO333" s="42">
        <v>141630</v>
      </c>
      <c r="AQ333" s="42">
        <v>506536</v>
      </c>
      <c r="AS333" s="42">
        <v>103159</v>
      </c>
      <c r="AW333" s="42">
        <v>0</v>
      </c>
      <c r="AY333" s="42">
        <f t="shared" si="35"/>
        <v>14293667</v>
      </c>
      <c r="BA333" s="42">
        <f>+'St of Act - GA Rev'!AI333-'St of Activities - GA Exp'!AY333</f>
        <v>591890</v>
      </c>
      <c r="BC333" s="42">
        <v>3781605</v>
      </c>
      <c r="BE333" s="42">
        <f t="shared" si="36"/>
        <v>4373495</v>
      </c>
      <c r="BG333" s="42">
        <f>+'St of Net Pos - GA'!AE333-'St of Activities - GA Exp'!BE333</f>
        <v>0</v>
      </c>
    </row>
    <row r="334" spans="1:59">
      <c r="A334" s="9" t="s">
        <v>324</v>
      </c>
      <c r="B334" s="9"/>
      <c r="C334" s="9" t="s">
        <v>32</v>
      </c>
      <c r="D334" s="9"/>
      <c r="E334" s="23">
        <v>44313</v>
      </c>
      <c r="G334" s="42">
        <v>9884631</v>
      </c>
      <c r="I334" s="42">
        <v>1507480</v>
      </c>
      <c r="K334" s="42">
        <v>0</v>
      </c>
      <c r="M334" s="42">
        <v>366</v>
      </c>
      <c r="O334" s="42">
        <v>92964</v>
      </c>
      <c r="Q334" s="42">
        <v>1360135</v>
      </c>
      <c r="S334" s="42">
        <v>1518936</v>
      </c>
      <c r="U334" s="42">
        <v>0</v>
      </c>
      <c r="W334" s="42">
        <f>18328+1528683</f>
        <v>1547011</v>
      </c>
      <c r="Y334" s="42">
        <v>523718</v>
      </c>
      <c r="AA334" s="42">
        <v>3061</v>
      </c>
      <c r="AC334" s="42">
        <v>9546373</v>
      </c>
      <c r="AE334" s="42">
        <v>890637</v>
      </c>
      <c r="AG334" s="42">
        <v>374131</v>
      </c>
      <c r="AI334" s="9" t="s">
        <v>324</v>
      </c>
      <c r="AJ334" s="9"/>
      <c r="AK334" s="9" t="s">
        <v>32</v>
      </c>
      <c r="AL334" s="9"/>
      <c r="AM334" s="42">
        <v>0</v>
      </c>
      <c r="AO334" s="42">
        <v>275279</v>
      </c>
      <c r="AQ334" s="42">
        <v>866012</v>
      </c>
      <c r="AS334" s="42">
        <v>1425234</v>
      </c>
      <c r="AW334" s="42">
        <v>0</v>
      </c>
      <c r="AY334" s="42">
        <f t="shared" si="35"/>
        <v>29815968</v>
      </c>
      <c r="BA334" s="42">
        <f>+'St of Act - GA Rev'!AI334-'St of Activities - GA Exp'!AY334</f>
        <v>-5338126</v>
      </c>
      <c r="BC334" s="42">
        <v>9103147</v>
      </c>
      <c r="BE334" s="42">
        <f t="shared" si="36"/>
        <v>3765021</v>
      </c>
      <c r="BG334" s="42">
        <f>+'St of Net Pos - GA'!AE334-'St of Activities - GA Exp'!BE334</f>
        <v>0</v>
      </c>
    </row>
    <row r="335" spans="1:59" ht="12" hidden="1" customHeight="1">
      <c r="A335" s="9" t="s">
        <v>607</v>
      </c>
      <c r="B335" s="9"/>
      <c r="C335" s="9" t="s">
        <v>70</v>
      </c>
      <c r="D335" s="9"/>
      <c r="E335" s="23">
        <v>44321</v>
      </c>
      <c r="G335" s="42">
        <v>0</v>
      </c>
      <c r="I335" s="42">
        <v>0</v>
      </c>
      <c r="K335" s="42">
        <v>0</v>
      </c>
      <c r="M335" s="42">
        <v>0</v>
      </c>
      <c r="O335" s="42">
        <v>0</v>
      </c>
      <c r="Q335" s="42">
        <v>0</v>
      </c>
      <c r="S335" s="42">
        <v>0</v>
      </c>
      <c r="U335" s="42">
        <v>0</v>
      </c>
      <c r="W335" s="42">
        <v>0</v>
      </c>
      <c r="Y335" s="42">
        <v>0</v>
      </c>
      <c r="AA335" s="42">
        <v>0</v>
      </c>
      <c r="AC335" s="42">
        <v>0</v>
      </c>
      <c r="AE335" s="42">
        <v>0</v>
      </c>
      <c r="AG335" s="42">
        <v>0</v>
      </c>
      <c r="AI335" s="9" t="s">
        <v>607</v>
      </c>
      <c r="AJ335" s="9"/>
      <c r="AK335" s="9" t="s">
        <v>70</v>
      </c>
      <c r="AL335" s="9"/>
      <c r="AM335" s="42">
        <v>0</v>
      </c>
      <c r="AO335" s="42">
        <v>0</v>
      </c>
      <c r="AQ335" s="42">
        <v>0</v>
      </c>
      <c r="AS335" s="42">
        <v>0</v>
      </c>
      <c r="AW335" s="42">
        <v>0</v>
      </c>
      <c r="AY335" s="42">
        <f t="shared" si="35"/>
        <v>0</v>
      </c>
      <c r="BA335" s="42">
        <f>+'St of Act - GA Rev'!AI335-'St of Activities - GA Exp'!AY335</f>
        <v>0</v>
      </c>
      <c r="BC335" s="42">
        <v>0</v>
      </c>
      <c r="BE335" s="42">
        <f t="shared" si="36"/>
        <v>0</v>
      </c>
      <c r="BG335" s="42">
        <f>+'St of Net Pos - GA'!AE335-'St of Activities - GA Exp'!BE335</f>
        <v>0</v>
      </c>
    </row>
    <row r="336" spans="1:59" ht="12" customHeight="1">
      <c r="A336" s="9" t="s">
        <v>407</v>
      </c>
      <c r="B336" s="9"/>
      <c r="C336" s="9" t="s">
        <v>46</v>
      </c>
      <c r="D336" s="9"/>
      <c r="E336" s="23">
        <v>44339</v>
      </c>
      <c r="G336" s="42">
        <v>31705790</v>
      </c>
      <c r="I336" s="42">
        <v>0</v>
      </c>
      <c r="K336" s="42">
        <v>0</v>
      </c>
      <c r="M336" s="42">
        <v>0</v>
      </c>
      <c r="O336" s="42">
        <v>0</v>
      </c>
      <c r="Q336" s="42">
        <v>2897956</v>
      </c>
      <c r="S336" s="42">
        <v>2985407</v>
      </c>
      <c r="U336" s="42">
        <v>62276</v>
      </c>
      <c r="W336" s="42">
        <v>3983425</v>
      </c>
      <c r="Y336" s="42">
        <v>741372</v>
      </c>
      <c r="AA336" s="42">
        <v>362125</v>
      </c>
      <c r="AC336" s="42">
        <v>4334340</v>
      </c>
      <c r="AE336" s="42">
        <v>1196859</v>
      </c>
      <c r="AG336" s="42">
        <v>183256</v>
      </c>
      <c r="AI336" s="9" t="s">
        <v>407</v>
      </c>
      <c r="AJ336" s="9"/>
      <c r="AK336" s="9" t="s">
        <v>46</v>
      </c>
      <c r="AL336" s="9"/>
      <c r="AM336" s="42">
        <v>0</v>
      </c>
      <c r="AO336" s="42">
        <v>3097767</v>
      </c>
      <c r="AQ336" s="42">
        <v>944108</v>
      </c>
      <c r="AS336" s="42">
        <v>771881</v>
      </c>
      <c r="AW336" s="42">
        <v>0</v>
      </c>
      <c r="AY336" s="42">
        <f t="shared" si="35"/>
        <v>53266562</v>
      </c>
      <c r="BA336" s="42">
        <f>+'St of Act - GA Rev'!AI336-'St of Activities - GA Exp'!AY336</f>
        <v>-1728619</v>
      </c>
      <c r="BC336" s="42">
        <v>82709529</v>
      </c>
      <c r="BE336" s="42">
        <f t="shared" si="36"/>
        <v>80980910</v>
      </c>
      <c r="BG336" s="42">
        <f>+'St of Net Pos - GA'!AE336-'St of Activities - GA Exp'!BE336</f>
        <v>0</v>
      </c>
    </row>
    <row r="337" spans="1:59" ht="12" hidden="1" customHeight="1">
      <c r="A337" s="9" t="s">
        <v>680</v>
      </c>
      <c r="B337" s="9"/>
      <c r="C337" s="9" t="s">
        <v>419</v>
      </c>
      <c r="D337" s="9"/>
      <c r="E337" s="23">
        <v>48553</v>
      </c>
      <c r="G337" s="42">
        <v>0</v>
      </c>
      <c r="I337" s="42">
        <v>0</v>
      </c>
      <c r="K337" s="42">
        <v>0</v>
      </c>
      <c r="M337" s="42">
        <v>0</v>
      </c>
      <c r="O337" s="42">
        <v>0</v>
      </c>
      <c r="Q337" s="42">
        <v>0</v>
      </c>
      <c r="S337" s="42">
        <v>0</v>
      </c>
      <c r="U337" s="42">
        <v>0</v>
      </c>
      <c r="W337" s="42">
        <v>0</v>
      </c>
      <c r="Y337" s="42">
        <v>0</v>
      </c>
      <c r="AA337" s="42">
        <v>0</v>
      </c>
      <c r="AC337" s="42">
        <v>0</v>
      </c>
      <c r="AE337" s="42">
        <v>0</v>
      </c>
      <c r="AG337" s="42">
        <v>0</v>
      </c>
      <c r="AI337" s="9" t="s">
        <v>680</v>
      </c>
      <c r="AJ337" s="9"/>
      <c r="AK337" s="9" t="s">
        <v>419</v>
      </c>
      <c r="AL337" s="9"/>
      <c r="AM337" s="42">
        <v>0</v>
      </c>
      <c r="AO337" s="42">
        <v>0</v>
      </c>
      <c r="AQ337" s="42">
        <v>0</v>
      </c>
      <c r="AS337" s="42">
        <v>0</v>
      </c>
      <c r="AW337" s="42">
        <v>0</v>
      </c>
      <c r="AY337" s="42">
        <f t="shared" si="35"/>
        <v>0</v>
      </c>
      <c r="BA337" s="42">
        <f>+'St of Act - GA Rev'!AI337-'St of Activities - GA Exp'!AY337</f>
        <v>0</v>
      </c>
      <c r="BC337" s="42">
        <v>0</v>
      </c>
      <c r="BE337" s="42">
        <f t="shared" si="36"/>
        <v>0</v>
      </c>
      <c r="BG337" s="42">
        <f>+'St of Net Pos - GA'!AE337-'St of Activities - GA Exp'!BE337</f>
        <v>0</v>
      </c>
    </row>
    <row r="338" spans="1:59">
      <c r="A338" s="9" t="s">
        <v>496</v>
      </c>
      <c r="B338" s="9"/>
      <c r="C338" s="9" t="s">
        <v>62</v>
      </c>
      <c r="D338" s="9"/>
      <c r="E338" s="23">
        <v>49882</v>
      </c>
      <c r="G338" s="42">
        <v>8793999</v>
      </c>
      <c r="I338" s="42">
        <v>3126128</v>
      </c>
      <c r="K338" s="42">
        <v>758178</v>
      </c>
      <c r="M338" s="42">
        <v>0</v>
      </c>
      <c r="O338" s="42">
        <v>1364364</v>
      </c>
      <c r="Q338" s="42">
        <v>810489</v>
      </c>
      <c r="S338" s="42">
        <v>1324521</v>
      </c>
      <c r="U338" s="42">
        <v>22412</v>
      </c>
      <c r="W338" s="42">
        <v>1885460</v>
      </c>
      <c r="Y338" s="42">
        <v>638796</v>
      </c>
      <c r="AA338" s="42">
        <v>297775</v>
      </c>
      <c r="AC338" s="42">
        <v>1999971</v>
      </c>
      <c r="AE338" s="42">
        <v>1349019</v>
      </c>
      <c r="AG338" s="42">
        <v>103416</v>
      </c>
      <c r="AI338" s="9" t="s">
        <v>496</v>
      </c>
      <c r="AJ338" s="9"/>
      <c r="AK338" s="9" t="s">
        <v>62</v>
      </c>
      <c r="AL338" s="9"/>
      <c r="AM338" s="42">
        <v>0</v>
      </c>
      <c r="AO338" s="42">
        <v>1024763</v>
      </c>
      <c r="AQ338" s="42">
        <v>1014435</v>
      </c>
      <c r="AS338" s="42">
        <v>0</v>
      </c>
      <c r="AW338" s="42">
        <v>0</v>
      </c>
      <c r="AY338" s="42">
        <f t="shared" si="35"/>
        <v>24513726</v>
      </c>
      <c r="BA338" s="42">
        <f>+'St of Act - GA Rev'!AI338-'St of Activities - GA Exp'!AY338</f>
        <v>-649536</v>
      </c>
      <c r="BC338" s="42">
        <v>15690216</v>
      </c>
      <c r="BE338" s="42">
        <f t="shared" si="36"/>
        <v>15040680</v>
      </c>
      <c r="BG338" s="42">
        <f>+'St of Net Pos - GA'!AE338-'St of Activities - GA Exp'!BE338</f>
        <v>0</v>
      </c>
    </row>
    <row r="339" spans="1:59">
      <c r="A339" s="9" t="s">
        <v>215</v>
      </c>
      <c r="B339" s="9"/>
      <c r="C339" s="9" t="s">
        <v>15</v>
      </c>
      <c r="D339" s="9"/>
      <c r="E339" s="23">
        <v>44347</v>
      </c>
      <c r="G339" s="42">
        <v>7730372</v>
      </c>
      <c r="I339" s="42">
        <v>1414909</v>
      </c>
      <c r="K339" s="42">
        <v>354377</v>
      </c>
      <c r="M339" s="42">
        <v>0</v>
      </c>
      <c r="O339" s="42">
        <v>74265</v>
      </c>
      <c r="Q339" s="42">
        <v>616280</v>
      </c>
      <c r="S339" s="42">
        <v>659600</v>
      </c>
      <c r="U339" s="42">
        <v>39520</v>
      </c>
      <c r="W339" s="42">
        <v>1154467</v>
      </c>
      <c r="Y339" s="42">
        <v>350153</v>
      </c>
      <c r="AA339" s="42">
        <v>0</v>
      </c>
      <c r="AC339" s="42">
        <v>1234778</v>
      </c>
      <c r="AE339" s="42">
        <v>865909</v>
      </c>
      <c r="AG339" s="42">
        <v>57896</v>
      </c>
      <c r="AI339" s="9" t="s">
        <v>215</v>
      </c>
      <c r="AJ339" s="9"/>
      <c r="AK339" s="9" t="s">
        <v>15</v>
      </c>
      <c r="AL339" s="9"/>
      <c r="AM339" s="42">
        <v>839134</v>
      </c>
      <c r="AO339" s="42">
        <v>140238</v>
      </c>
      <c r="AQ339" s="42">
        <v>478188</v>
      </c>
      <c r="AS339" s="42">
        <v>735682</v>
      </c>
      <c r="AW339" s="42">
        <v>0</v>
      </c>
      <c r="AY339" s="42">
        <f t="shared" si="35"/>
        <v>16745768</v>
      </c>
      <c r="BA339" s="42">
        <f>+'St of Act - GA Rev'!AI339-'St of Activities - GA Exp'!AY339</f>
        <v>-606525</v>
      </c>
      <c r="BC339" s="42">
        <v>27734514</v>
      </c>
      <c r="BE339" s="42">
        <f t="shared" si="36"/>
        <v>27127989</v>
      </c>
      <c r="BG339" s="42">
        <f>+'St of Net Pos - GA'!AE339-'St of Activities - GA Exp'!BE339</f>
        <v>0</v>
      </c>
    </row>
    <row r="340" spans="1:59">
      <c r="A340" s="9" t="s">
        <v>761</v>
      </c>
      <c r="B340" s="9"/>
      <c r="C340" s="9" t="s">
        <v>66</v>
      </c>
      <c r="D340" s="9"/>
      <c r="E340" s="23">
        <v>45476</v>
      </c>
      <c r="G340" s="42">
        <v>23040221</v>
      </c>
      <c r="I340" s="42">
        <v>6029538</v>
      </c>
      <c r="K340" s="42">
        <v>662396</v>
      </c>
      <c r="M340" s="42">
        <v>0</v>
      </c>
      <c r="O340" s="42">
        <v>525901</v>
      </c>
      <c r="Q340" s="42">
        <v>3595897</v>
      </c>
      <c r="S340" s="42">
        <v>4280666</v>
      </c>
      <c r="U340" s="42">
        <v>187705</v>
      </c>
      <c r="W340" s="42">
        <v>3616942</v>
      </c>
      <c r="Y340" s="42">
        <v>1190190</v>
      </c>
      <c r="AA340" s="42">
        <v>604923</v>
      </c>
      <c r="AC340" s="42">
        <v>4267731</v>
      </c>
      <c r="AE340" s="42">
        <v>2359898</v>
      </c>
      <c r="AG340" s="42">
        <v>510626</v>
      </c>
      <c r="AI340" s="9" t="s">
        <v>761</v>
      </c>
      <c r="AJ340" s="9"/>
      <c r="AK340" s="9" t="s">
        <v>66</v>
      </c>
      <c r="AL340" s="9"/>
      <c r="AM340" s="42">
        <v>2181190</v>
      </c>
      <c r="AO340" s="42">
        <v>195093</v>
      </c>
      <c r="AQ340" s="42">
        <v>1081565</v>
      </c>
      <c r="AS340" s="42">
        <v>4534036</v>
      </c>
      <c r="AW340" s="42">
        <v>159464</v>
      </c>
      <c r="AY340" s="42">
        <f t="shared" si="35"/>
        <v>59023982</v>
      </c>
      <c r="BA340" s="42">
        <f>+'St of Act - GA Rev'!AI340-'St of Activities - GA Exp'!AY340</f>
        <v>3958008</v>
      </c>
      <c r="BC340" s="42">
        <v>10166796</v>
      </c>
      <c r="BE340" s="42">
        <f t="shared" si="36"/>
        <v>14124804</v>
      </c>
      <c r="BG340" s="42">
        <f>+'St of Net Pos - GA'!AE340-'St of Activities - GA Exp'!BE340</f>
        <v>0</v>
      </c>
    </row>
    <row r="341" spans="1:59">
      <c r="A341" s="9" t="s">
        <v>542</v>
      </c>
      <c r="B341" s="9"/>
      <c r="C341" s="9" t="s">
        <v>69</v>
      </c>
      <c r="D341" s="9"/>
      <c r="E341" s="23">
        <v>50450</v>
      </c>
      <c r="G341" s="42">
        <v>42682827</v>
      </c>
      <c r="I341" s="42">
        <v>18929260</v>
      </c>
      <c r="K341" s="42">
        <v>13480</v>
      </c>
      <c r="M341" s="42">
        <v>0</v>
      </c>
      <c r="O341" s="42">
        <v>3678507</v>
      </c>
      <c r="Q341" s="42">
        <v>6620329</v>
      </c>
      <c r="S341" s="42">
        <v>1422550</v>
      </c>
      <c r="U341" s="42">
        <v>0</v>
      </c>
      <c r="W341" s="42">
        <f>250134+5245939</f>
        <v>5496073</v>
      </c>
      <c r="Y341" s="42">
        <v>1797291</v>
      </c>
      <c r="AA341" s="42">
        <v>472876</v>
      </c>
      <c r="AC341" s="42">
        <v>13096862</v>
      </c>
      <c r="AE341" s="42">
        <v>6497196</v>
      </c>
      <c r="AG341" s="42">
        <v>3542809</v>
      </c>
      <c r="AI341" s="9" t="s">
        <v>542</v>
      </c>
      <c r="AJ341" s="9"/>
      <c r="AK341" s="9" t="s">
        <v>69</v>
      </c>
      <c r="AL341" s="9"/>
      <c r="AM341" s="42">
        <v>0</v>
      </c>
      <c r="AO341" s="42">
        <v>6119224</v>
      </c>
      <c r="AQ341" s="42">
        <v>3241891</v>
      </c>
      <c r="AS341" s="42">
        <v>5148229</v>
      </c>
      <c r="AW341" s="42">
        <v>0</v>
      </c>
      <c r="AY341" s="42">
        <f t="shared" si="35"/>
        <v>118759404</v>
      </c>
      <c r="BA341" s="42">
        <f>+'St of Act - GA Rev'!AI341-'St of Activities - GA Exp'!AY341</f>
        <v>6828473</v>
      </c>
      <c r="BC341" s="42">
        <v>95776364</v>
      </c>
      <c r="BE341" s="42">
        <f t="shared" si="36"/>
        <v>102604837</v>
      </c>
      <c r="BG341" s="42">
        <f>+'St of Net Pos - GA'!AE341-'St of Activities - GA Exp'!BE341</f>
        <v>0</v>
      </c>
    </row>
    <row r="342" spans="1:59">
      <c r="A342" s="9" t="s">
        <v>497</v>
      </c>
      <c r="B342" s="9"/>
      <c r="C342" s="9" t="s">
        <v>62</v>
      </c>
      <c r="D342" s="9"/>
      <c r="E342" s="23">
        <v>44354</v>
      </c>
      <c r="G342" s="42">
        <v>19550690</v>
      </c>
      <c r="I342" s="42">
        <v>4600588</v>
      </c>
      <c r="K342" s="42">
        <v>1860105</v>
      </c>
      <c r="M342" s="42">
        <v>53938</v>
      </c>
      <c r="O342" s="42">
        <f>92552+715374</f>
        <v>807926</v>
      </c>
      <c r="Q342" s="42">
        <v>2995043</v>
      </c>
      <c r="S342" s="42">
        <v>1366487</v>
      </c>
      <c r="U342" s="42">
        <v>138673</v>
      </c>
      <c r="W342" s="42">
        <v>2708782</v>
      </c>
      <c r="Y342" s="42">
        <v>1005027</v>
      </c>
      <c r="AA342" s="42">
        <v>8019</v>
      </c>
      <c r="AC342" s="42">
        <v>5461315</v>
      </c>
      <c r="AE342" s="42">
        <v>1708738</v>
      </c>
      <c r="AG342" s="42">
        <v>495765</v>
      </c>
      <c r="AI342" s="9" t="s">
        <v>497</v>
      </c>
      <c r="AJ342" s="9"/>
      <c r="AK342" s="9" t="s">
        <v>62</v>
      </c>
      <c r="AL342" s="9"/>
      <c r="AM342" s="42">
        <v>1541425</v>
      </c>
      <c r="AO342" s="42">
        <f>175254+78405</f>
        <v>253659</v>
      </c>
      <c r="AQ342" s="42">
        <v>1986806</v>
      </c>
      <c r="AS342" s="42">
        <v>508168</v>
      </c>
      <c r="AW342" s="42">
        <v>0</v>
      </c>
      <c r="AY342" s="42">
        <f t="shared" si="35"/>
        <v>47051154</v>
      </c>
      <c r="BA342" s="42">
        <f>+'St of Act - GA Rev'!AI342-'St of Activities - GA Exp'!AY342</f>
        <v>-156363</v>
      </c>
      <c r="BC342" s="42">
        <v>36537977</v>
      </c>
      <c r="BE342" s="42">
        <f t="shared" si="36"/>
        <v>36381614</v>
      </c>
      <c r="BG342" s="42">
        <f>+'St of Net Pos - GA'!AE342-'St of Activities - GA Exp'!BE342</f>
        <v>0</v>
      </c>
    </row>
    <row r="343" spans="1:59">
      <c r="A343" s="9" t="s">
        <v>525</v>
      </c>
      <c r="B343" s="9"/>
      <c r="C343" s="9" t="s">
        <v>64</v>
      </c>
      <c r="D343" s="9"/>
      <c r="E343" s="23">
        <v>50153</v>
      </c>
      <c r="G343" s="42">
        <v>4068999</v>
      </c>
      <c r="I343" s="42">
        <v>873930</v>
      </c>
      <c r="K343" s="42">
        <v>83631</v>
      </c>
      <c r="M343" s="42">
        <v>0</v>
      </c>
      <c r="O343" s="42">
        <v>123929</v>
      </c>
      <c r="Q343" s="42">
        <v>410071</v>
      </c>
      <c r="S343" s="42">
        <v>185545</v>
      </c>
      <c r="U343" s="42">
        <v>68931</v>
      </c>
      <c r="W343" s="42">
        <v>819814</v>
      </c>
      <c r="Y343" s="42">
        <v>351265</v>
      </c>
      <c r="AA343" s="42">
        <v>332</v>
      </c>
      <c r="AC343" s="42">
        <v>745759</v>
      </c>
      <c r="AE343" s="42">
        <v>529225</v>
      </c>
      <c r="AG343" s="42">
        <v>88735</v>
      </c>
      <c r="AI343" s="9" t="s">
        <v>525</v>
      </c>
      <c r="AJ343" s="9"/>
      <c r="AK343" s="9" t="s">
        <v>64</v>
      </c>
      <c r="AL343" s="9"/>
      <c r="AM343" s="42">
        <v>307753</v>
      </c>
      <c r="AO343" s="42">
        <v>15354</v>
      </c>
      <c r="AQ343" s="42">
        <v>239806</v>
      </c>
      <c r="AS343" s="42">
        <v>0</v>
      </c>
      <c r="AW343" s="42">
        <v>0</v>
      </c>
      <c r="AY343" s="42">
        <f t="shared" si="35"/>
        <v>8913079</v>
      </c>
      <c r="BA343" s="42">
        <f>+'St of Act - GA Rev'!AI343-'St of Activities - GA Exp'!AY343</f>
        <v>690868</v>
      </c>
      <c r="BC343" s="42">
        <v>2115107</v>
      </c>
      <c r="BE343" s="42">
        <f t="shared" si="36"/>
        <v>2805975</v>
      </c>
      <c r="BG343" s="42">
        <f>+'St of Net Pos - GA'!AE343-'St of Activities - GA Exp'!BE343</f>
        <v>0</v>
      </c>
    </row>
    <row r="344" spans="1:59" hidden="1">
      <c r="A344" s="8" t="s">
        <v>865</v>
      </c>
      <c r="B344" s="9"/>
      <c r="C344" s="9" t="s">
        <v>114</v>
      </c>
      <c r="D344" s="9"/>
      <c r="E344" s="23">
        <v>44362</v>
      </c>
      <c r="G344" s="42">
        <v>0</v>
      </c>
      <c r="I344" s="42">
        <v>0</v>
      </c>
      <c r="K344" s="42">
        <v>0</v>
      </c>
      <c r="M344" s="42">
        <v>0</v>
      </c>
      <c r="O344" s="42">
        <v>0</v>
      </c>
      <c r="Q344" s="42">
        <v>0</v>
      </c>
      <c r="S344" s="42">
        <v>0</v>
      </c>
      <c r="U344" s="42">
        <v>0</v>
      </c>
      <c r="W344" s="42">
        <v>0</v>
      </c>
      <c r="Y344" s="42">
        <v>0</v>
      </c>
      <c r="AA344" s="42">
        <v>0</v>
      </c>
      <c r="AC344" s="42">
        <v>0</v>
      </c>
      <c r="AE344" s="42">
        <v>0</v>
      </c>
      <c r="AG344" s="42">
        <v>0</v>
      </c>
      <c r="AI344" s="8" t="s">
        <v>865</v>
      </c>
      <c r="AJ344" s="9"/>
      <c r="AK344" s="9" t="s">
        <v>114</v>
      </c>
      <c r="AL344" s="9"/>
      <c r="AM344" s="42">
        <v>0</v>
      </c>
      <c r="AO344" s="42">
        <v>0</v>
      </c>
      <c r="AQ344" s="42">
        <v>0</v>
      </c>
      <c r="AS344" s="42">
        <v>0</v>
      </c>
      <c r="AW344" s="42">
        <v>0</v>
      </c>
      <c r="AY344" s="42">
        <f t="shared" si="35"/>
        <v>0</v>
      </c>
      <c r="BA344" s="42">
        <f>+'St of Act - GA Rev'!AI344-'St of Activities - GA Exp'!AY344</f>
        <v>0</v>
      </c>
      <c r="BC344" s="42">
        <v>0</v>
      </c>
      <c r="BE344" s="42">
        <f t="shared" si="36"/>
        <v>0</v>
      </c>
      <c r="BG344" s="42">
        <f>+'St of Net Pos - GA'!AE344-'St of Activities - GA Exp'!BE344</f>
        <v>0</v>
      </c>
    </row>
    <row r="345" spans="1:59">
      <c r="A345" s="9" t="s">
        <v>717</v>
      </c>
      <c r="B345" s="9"/>
      <c r="C345" s="9" t="s">
        <v>20</v>
      </c>
      <c r="D345" s="9"/>
      <c r="E345" s="23">
        <v>44370</v>
      </c>
      <c r="G345" s="42">
        <v>22461508</v>
      </c>
      <c r="I345" s="42">
        <v>12339411</v>
      </c>
      <c r="K345" s="42">
        <f>2754240+4705422</f>
        <v>7459662</v>
      </c>
      <c r="M345" s="42">
        <v>41</v>
      </c>
      <c r="O345" s="42">
        <v>0</v>
      </c>
      <c r="Q345" s="42">
        <v>5430980</v>
      </c>
      <c r="S345" s="42">
        <v>5374347</v>
      </c>
      <c r="U345" s="42">
        <v>131947</v>
      </c>
      <c r="W345" s="42">
        <v>3823381</v>
      </c>
      <c r="Y345" s="42">
        <v>1820932</v>
      </c>
      <c r="AA345" s="42">
        <v>311183</v>
      </c>
      <c r="AC345" s="42">
        <v>5840100</v>
      </c>
      <c r="AE345" s="42">
        <v>4413926</v>
      </c>
      <c r="AG345" s="42">
        <v>517008</v>
      </c>
      <c r="AI345" s="9" t="s">
        <v>717</v>
      </c>
      <c r="AJ345" s="9"/>
      <c r="AK345" s="9" t="s">
        <v>20</v>
      </c>
      <c r="AL345" s="9"/>
      <c r="AM345" s="42">
        <v>1156005</v>
      </c>
      <c r="AO345" s="42">
        <v>1437846</v>
      </c>
      <c r="AQ345" s="42">
        <v>1406192</v>
      </c>
      <c r="AS345" s="42">
        <v>2661491</v>
      </c>
      <c r="AW345" s="42">
        <v>0</v>
      </c>
      <c r="AY345" s="42">
        <f t="shared" si="35"/>
        <v>76585960</v>
      </c>
      <c r="BA345" s="42">
        <f>+'St of Act - GA Rev'!AI345-'St of Activities - GA Exp'!AY345</f>
        <v>10690169</v>
      </c>
      <c r="BC345" s="42">
        <v>53788923</v>
      </c>
      <c r="BE345" s="42">
        <f t="shared" si="36"/>
        <v>64479092</v>
      </c>
      <c r="BG345" s="42">
        <f>+'St of Net Pos - GA'!AE345-'St of Activities - GA Exp'!BE345</f>
        <v>0</v>
      </c>
    </row>
    <row r="346" spans="1:59">
      <c r="A346" s="9" t="s">
        <v>442</v>
      </c>
      <c r="B346" s="9"/>
      <c r="C346" s="9" t="s">
        <v>51</v>
      </c>
      <c r="D346" s="9"/>
      <c r="E346" s="23">
        <v>48850</v>
      </c>
      <c r="G346" s="42">
        <v>10901386</v>
      </c>
      <c r="I346" s="42">
        <v>2888192</v>
      </c>
      <c r="K346" s="42">
        <v>111922</v>
      </c>
      <c r="M346" s="42">
        <v>0</v>
      </c>
      <c r="O346" s="42">
        <v>436244</v>
      </c>
      <c r="Q346" s="42">
        <v>726166</v>
      </c>
      <c r="S346" s="42">
        <v>1626471</v>
      </c>
      <c r="U346" s="42">
        <v>52446</v>
      </c>
      <c r="W346" s="42">
        <v>1845110</v>
      </c>
      <c r="Y346" s="42">
        <v>430158</v>
      </c>
      <c r="AA346" s="42">
        <v>0</v>
      </c>
      <c r="AC346" s="42">
        <v>2113783</v>
      </c>
      <c r="AE346" s="42">
        <v>1081795</v>
      </c>
      <c r="AG346" s="42">
        <v>74402</v>
      </c>
      <c r="AI346" s="9" t="s">
        <v>442</v>
      </c>
      <c r="AJ346" s="9"/>
      <c r="AK346" s="9" t="s">
        <v>51</v>
      </c>
      <c r="AL346" s="9"/>
      <c r="AM346" s="42">
        <v>1102929</v>
      </c>
      <c r="AO346" s="42">
        <v>30601</v>
      </c>
      <c r="AQ346" s="42">
        <v>795269</v>
      </c>
      <c r="AS346" s="42">
        <v>215820</v>
      </c>
      <c r="AW346" s="42">
        <v>0</v>
      </c>
      <c r="AY346" s="42">
        <f t="shared" si="35"/>
        <v>24432694</v>
      </c>
      <c r="BA346" s="42">
        <f>+'St of Act - GA Rev'!AI346-'St of Activities - GA Exp'!AY346</f>
        <v>-2339329</v>
      </c>
      <c r="BC346" s="42">
        <v>31654793</v>
      </c>
      <c r="BE346" s="42">
        <f t="shared" si="36"/>
        <v>29315464</v>
      </c>
      <c r="BG346" s="42">
        <f>+'St of Net Pos - GA'!AE346-'St of Activities - GA Exp'!BE346</f>
        <v>0</v>
      </c>
    </row>
    <row r="347" spans="1:59" ht="12" hidden="1" customHeight="1">
      <c r="A347" s="9" t="s">
        <v>800</v>
      </c>
      <c r="B347" s="9"/>
      <c r="C347" s="9" t="s">
        <v>33</v>
      </c>
      <c r="D347" s="9"/>
      <c r="E347" s="23">
        <v>47456</v>
      </c>
      <c r="G347" s="42">
        <v>0</v>
      </c>
      <c r="I347" s="42">
        <v>0</v>
      </c>
      <c r="K347" s="42">
        <v>0</v>
      </c>
      <c r="M347" s="42">
        <v>0</v>
      </c>
      <c r="O347" s="42">
        <v>0</v>
      </c>
      <c r="Q347" s="42">
        <v>0</v>
      </c>
      <c r="S347" s="42">
        <v>0</v>
      </c>
      <c r="U347" s="42">
        <v>0</v>
      </c>
      <c r="W347" s="42">
        <v>0</v>
      </c>
      <c r="Y347" s="42">
        <v>0</v>
      </c>
      <c r="AA347" s="42">
        <v>0</v>
      </c>
      <c r="AC347" s="42">
        <v>0</v>
      </c>
      <c r="AE347" s="42">
        <v>0</v>
      </c>
      <c r="AG347" s="42">
        <v>0</v>
      </c>
      <c r="AI347" s="9" t="s">
        <v>800</v>
      </c>
      <c r="AJ347" s="9"/>
      <c r="AK347" s="9" t="s">
        <v>33</v>
      </c>
      <c r="AL347" s="9"/>
      <c r="AM347" s="42">
        <v>0</v>
      </c>
      <c r="AO347" s="42">
        <v>0</v>
      </c>
      <c r="AQ347" s="42">
        <v>0</v>
      </c>
      <c r="AS347" s="42">
        <v>0</v>
      </c>
      <c r="AW347" s="42">
        <v>0</v>
      </c>
      <c r="AY347" s="42">
        <f>SUM(G347:AX347)</f>
        <v>0</v>
      </c>
      <c r="BA347" s="42">
        <f>+'St of Act - GA Rev'!AI347-'St of Activities - GA Exp'!AY347</f>
        <v>0</v>
      </c>
      <c r="BC347" s="42">
        <v>0</v>
      </c>
      <c r="BE347" s="42">
        <f>+BA347+BC347</f>
        <v>0</v>
      </c>
      <c r="BG347" s="42">
        <f>+'St of Net Pos - GA'!AE347-'St of Activities - GA Exp'!BE347</f>
        <v>0</v>
      </c>
    </row>
    <row r="348" spans="1:59" ht="12" customHeight="1">
      <c r="A348" s="9" t="s">
        <v>633</v>
      </c>
      <c r="B348" s="9"/>
      <c r="C348" s="9" t="s">
        <v>64</v>
      </c>
      <c r="D348" s="9"/>
      <c r="E348" s="23">
        <v>50229</v>
      </c>
      <c r="G348" s="42">
        <v>4089316</v>
      </c>
      <c r="I348" s="42">
        <v>651592</v>
      </c>
      <c r="K348" s="42">
        <v>31775</v>
      </c>
      <c r="M348" s="42">
        <v>0</v>
      </c>
      <c r="O348" s="42">
        <v>0</v>
      </c>
      <c r="Q348" s="42">
        <v>284527</v>
      </c>
      <c r="S348" s="42">
        <v>8635</v>
      </c>
      <c r="U348" s="42">
        <v>27870</v>
      </c>
      <c r="W348" s="42">
        <v>458482</v>
      </c>
      <c r="Y348" s="42">
        <v>176518</v>
      </c>
      <c r="AA348" s="42">
        <v>0</v>
      </c>
      <c r="AC348" s="42">
        <v>542259</v>
      </c>
      <c r="AE348" s="42">
        <v>115232</v>
      </c>
      <c r="AG348" s="42">
        <v>45937</v>
      </c>
      <c r="AI348" s="9" t="s">
        <v>633</v>
      </c>
      <c r="AJ348" s="9"/>
      <c r="AK348" s="9" t="s">
        <v>64</v>
      </c>
      <c r="AL348" s="9"/>
      <c r="AM348" s="42">
        <v>106329</v>
      </c>
      <c r="AO348" s="42">
        <v>21781</v>
      </c>
      <c r="AQ348" s="42">
        <v>196983</v>
      </c>
      <c r="AS348" s="42">
        <v>101077</v>
      </c>
      <c r="AW348" s="42">
        <v>0</v>
      </c>
      <c r="AY348" s="42">
        <f t="shared" ref="AY348:AY414" si="39">SUM(G348:AX348)</f>
        <v>6858313</v>
      </c>
      <c r="BA348" s="42">
        <f>+'St of Act - GA Rev'!AI348-'St of Activities - GA Exp'!AY348</f>
        <v>707209</v>
      </c>
      <c r="BC348" s="42">
        <v>12492344</v>
      </c>
      <c r="BE348" s="42">
        <f t="shared" ref="BE348:BE414" si="40">+BA348+BC348</f>
        <v>13199553</v>
      </c>
      <c r="BG348" s="42">
        <f>+'St of Net Pos - GA'!AE348-'St of Activities - GA Exp'!BE348</f>
        <v>0</v>
      </c>
    </row>
    <row r="349" spans="1:59">
      <c r="A349" s="9" t="s">
        <v>762</v>
      </c>
      <c r="B349" s="9"/>
      <c r="C349" s="9" t="s">
        <v>227</v>
      </c>
      <c r="D349" s="9"/>
      <c r="E349" s="23">
        <v>45484</v>
      </c>
      <c r="G349" s="42">
        <v>4620367</v>
      </c>
      <c r="I349" s="42">
        <v>1521277</v>
      </c>
      <c r="K349" s="42">
        <v>106110</v>
      </c>
      <c r="M349" s="42">
        <v>0</v>
      </c>
      <c r="O349" s="42">
        <v>0</v>
      </c>
      <c r="Q349" s="42">
        <v>268302</v>
      </c>
      <c r="S349" s="42">
        <v>249608</v>
      </c>
      <c r="U349" s="42">
        <v>46039</v>
      </c>
      <c r="W349" s="42">
        <v>823945</v>
      </c>
      <c r="Y349" s="42">
        <v>316355</v>
      </c>
      <c r="AA349" s="42">
        <v>0</v>
      </c>
      <c r="AC349" s="42">
        <v>876179</v>
      </c>
      <c r="AE349" s="42">
        <v>584395</v>
      </c>
      <c r="AG349" s="42">
        <v>129521</v>
      </c>
      <c r="AI349" s="9" t="s">
        <v>762</v>
      </c>
      <c r="AJ349" s="9"/>
      <c r="AK349" s="9" t="s">
        <v>227</v>
      </c>
      <c r="AL349" s="9"/>
      <c r="AM349" s="42">
        <v>276025</v>
      </c>
      <c r="AO349" s="42">
        <v>3485</v>
      </c>
      <c r="AQ349" s="42">
        <v>421524</v>
      </c>
      <c r="AS349" s="42">
        <v>420373</v>
      </c>
      <c r="AW349" s="42">
        <v>0</v>
      </c>
      <c r="AY349" s="42">
        <f t="shared" si="39"/>
        <v>10663505</v>
      </c>
      <c r="BA349" s="42">
        <f>+'St of Act - GA Rev'!AI349-'St of Activities - GA Exp'!AY349</f>
        <v>-357277</v>
      </c>
      <c r="BC349" s="42">
        <v>16468144</v>
      </c>
      <c r="BE349" s="42">
        <f t="shared" si="40"/>
        <v>16110867</v>
      </c>
      <c r="BG349" s="42">
        <f>+'St of Net Pos - GA'!AE349-'St of Activities - GA Exp'!BE349</f>
        <v>0</v>
      </c>
    </row>
    <row r="350" spans="1:59">
      <c r="A350" s="9" t="s">
        <v>415</v>
      </c>
      <c r="B350" s="9"/>
      <c r="C350" s="9" t="s">
        <v>47</v>
      </c>
      <c r="D350" s="9"/>
      <c r="E350" s="23">
        <v>44388</v>
      </c>
      <c r="G350" s="42">
        <v>37720960</v>
      </c>
      <c r="I350" s="42">
        <v>9197250</v>
      </c>
      <c r="K350" s="42">
        <v>298711</v>
      </c>
      <c r="M350" s="42">
        <v>0</v>
      </c>
      <c r="O350" s="42">
        <v>44288</v>
      </c>
      <c r="Q350" s="42">
        <v>3883227</v>
      </c>
      <c r="S350" s="42">
        <v>3106618</v>
      </c>
      <c r="U350" s="42">
        <v>101747</v>
      </c>
      <c r="W350" s="42">
        <v>5339033</v>
      </c>
      <c r="Y350" s="42">
        <v>1465805</v>
      </c>
      <c r="AA350" s="42">
        <v>321562</v>
      </c>
      <c r="AC350" s="42">
        <v>7652668</v>
      </c>
      <c r="AE350" s="42">
        <v>2434265</v>
      </c>
      <c r="AG350" s="42">
        <v>460776</v>
      </c>
      <c r="AI350" s="9" t="s">
        <v>415</v>
      </c>
      <c r="AJ350" s="9"/>
      <c r="AK350" s="9" t="s">
        <v>47</v>
      </c>
      <c r="AL350" s="9"/>
      <c r="AM350" s="42">
        <v>2402280</v>
      </c>
      <c r="AO350" s="42">
        <v>701715</v>
      </c>
      <c r="AQ350" s="42">
        <v>1659961</v>
      </c>
      <c r="AS350" s="42">
        <v>4264681</v>
      </c>
      <c r="AW350" s="42">
        <v>0</v>
      </c>
      <c r="AY350" s="42">
        <f t="shared" si="39"/>
        <v>81055547</v>
      </c>
      <c r="BA350" s="42">
        <f>+'St of Act - GA Rev'!AI350-'St of Activities - GA Exp'!AY350</f>
        <v>2725838</v>
      </c>
      <c r="BC350" s="42">
        <v>41957665</v>
      </c>
      <c r="BE350" s="42">
        <f t="shared" si="40"/>
        <v>44683503</v>
      </c>
      <c r="BG350" s="42">
        <f>+'St of Net Pos - GA'!AE350-'St of Activities - GA Exp'!BE350</f>
        <v>0</v>
      </c>
    </row>
    <row r="351" spans="1:59">
      <c r="A351" s="9" t="s">
        <v>418</v>
      </c>
      <c r="B351" s="9"/>
      <c r="C351" s="9" t="s">
        <v>417</v>
      </c>
      <c r="D351" s="9"/>
      <c r="E351" s="23">
        <v>48520</v>
      </c>
      <c r="G351" s="42">
        <v>7077814</v>
      </c>
      <c r="I351" s="42">
        <v>3078114</v>
      </c>
      <c r="K351" s="42">
        <v>1185595</v>
      </c>
      <c r="M351" s="42">
        <v>6350</v>
      </c>
      <c r="O351" s="42">
        <f>75766+1815641</f>
        <v>1891407</v>
      </c>
      <c r="Q351" s="42">
        <v>1081754</v>
      </c>
      <c r="S351" s="42">
        <v>608437</v>
      </c>
      <c r="U351" s="42">
        <v>48947</v>
      </c>
      <c r="W351" s="42">
        <v>1709604</v>
      </c>
      <c r="Y351" s="42">
        <v>482386</v>
      </c>
      <c r="AA351" s="42">
        <v>0</v>
      </c>
      <c r="AC351" s="42">
        <v>2064419</v>
      </c>
      <c r="AE351" s="42">
        <v>1435130</v>
      </c>
      <c r="AG351" s="42">
        <v>150137</v>
      </c>
      <c r="AI351" s="9" t="s">
        <v>418</v>
      </c>
      <c r="AJ351" s="9"/>
      <c r="AK351" s="9" t="s">
        <v>417</v>
      </c>
      <c r="AL351" s="9"/>
      <c r="AM351" s="42">
        <v>0</v>
      </c>
      <c r="AO351" s="42">
        <v>979518</v>
      </c>
      <c r="AQ351" s="42">
        <v>320618</v>
      </c>
      <c r="AS351" s="42">
        <v>260933</v>
      </c>
      <c r="AW351" s="42">
        <v>0</v>
      </c>
      <c r="AY351" s="42">
        <f t="shared" si="39"/>
        <v>22381163</v>
      </c>
      <c r="BA351" s="42">
        <f>+'St of Act - GA Rev'!AI351-'St of Activities - GA Exp'!AY351</f>
        <v>637291</v>
      </c>
      <c r="BC351" s="42">
        <v>25281107</v>
      </c>
      <c r="BE351" s="42">
        <f t="shared" si="40"/>
        <v>25918398</v>
      </c>
      <c r="BG351" s="42">
        <f>+'St of Net Pos - GA'!AE351-'St of Activities - GA Exp'!BE351</f>
        <v>0</v>
      </c>
    </row>
    <row r="352" spans="1:59">
      <c r="A352" s="9" t="s">
        <v>763</v>
      </c>
      <c r="B352" s="9"/>
      <c r="C352" s="9" t="s">
        <v>41</v>
      </c>
      <c r="D352" s="9"/>
      <c r="E352" s="23">
        <v>45492</v>
      </c>
      <c r="G352" s="42">
        <v>42766318</v>
      </c>
      <c r="I352" s="42">
        <v>12437218</v>
      </c>
      <c r="K352" s="42">
        <v>1831655</v>
      </c>
      <c r="M352" s="42">
        <v>0</v>
      </c>
      <c r="O352" s="42">
        <v>100553</v>
      </c>
      <c r="Q352" s="42">
        <v>6381842</v>
      </c>
      <c r="S352" s="42">
        <v>6665047</v>
      </c>
      <c r="U352" s="42">
        <v>527619</v>
      </c>
      <c r="W352" s="42">
        <v>5524560</v>
      </c>
      <c r="Y352" s="42">
        <v>2385986</v>
      </c>
      <c r="AA352" s="42">
        <v>559614</v>
      </c>
      <c r="AC352" s="42">
        <v>8779394</v>
      </c>
      <c r="AE352" s="42">
        <v>6626148</v>
      </c>
      <c r="AG352" s="42">
        <v>2025556</v>
      </c>
      <c r="AI352" s="9" t="s">
        <v>763</v>
      </c>
      <c r="AJ352" s="9"/>
      <c r="AK352" s="9" t="s">
        <v>41</v>
      </c>
      <c r="AL352" s="9"/>
      <c r="AM352" s="42">
        <v>2461146</v>
      </c>
      <c r="AO352" s="42">
        <v>1631958</v>
      </c>
      <c r="AQ352" s="42">
        <v>1953991</v>
      </c>
      <c r="AS352" s="42">
        <v>51645</v>
      </c>
      <c r="AW352" s="42">
        <v>0</v>
      </c>
      <c r="AY352" s="42">
        <f t="shared" si="39"/>
        <v>102710250</v>
      </c>
      <c r="BA352" s="42">
        <f>+'St of Act - GA Rev'!AI352-'St of Activities - GA Exp'!AY352</f>
        <v>2424272</v>
      </c>
      <c r="BC352" s="42">
        <v>76907484</v>
      </c>
      <c r="BE352" s="42">
        <f t="shared" si="40"/>
        <v>79331756</v>
      </c>
      <c r="BG352" s="42">
        <f>+'St of Net Pos - GA'!AE352-'St of Activities - GA Exp'!BE352</f>
        <v>0</v>
      </c>
    </row>
    <row r="353" spans="1:59">
      <c r="A353" s="9" t="s">
        <v>421</v>
      </c>
      <c r="B353" s="9"/>
      <c r="C353" s="9" t="s">
        <v>48</v>
      </c>
      <c r="D353" s="9"/>
      <c r="E353" s="23">
        <v>48629</v>
      </c>
      <c r="G353" s="42">
        <v>5409319</v>
      </c>
      <c r="I353" s="42">
        <v>1163937</v>
      </c>
      <c r="K353" s="42">
        <v>81135</v>
      </c>
      <c r="M353" s="42">
        <v>0</v>
      </c>
      <c r="O353" s="42">
        <v>665691</v>
      </c>
      <c r="Q353" s="42">
        <v>679636</v>
      </c>
      <c r="S353" s="42">
        <v>427382</v>
      </c>
      <c r="U353" s="42">
        <v>19138</v>
      </c>
      <c r="W353" s="42">
        <v>834769</v>
      </c>
      <c r="Y353" s="42">
        <v>375226</v>
      </c>
      <c r="AA353" s="42">
        <v>51278</v>
      </c>
      <c r="AC353" s="42">
        <v>1197366</v>
      </c>
      <c r="AE353" s="42">
        <v>858396</v>
      </c>
      <c r="AG353" s="42">
        <v>186560</v>
      </c>
      <c r="AI353" s="9" t="s">
        <v>421</v>
      </c>
      <c r="AJ353" s="9"/>
      <c r="AK353" s="9" t="s">
        <v>48</v>
      </c>
      <c r="AL353" s="9"/>
      <c r="AM353" s="42">
        <v>436924</v>
      </c>
      <c r="AO353" s="42">
        <v>26084</v>
      </c>
      <c r="AQ353" s="42">
        <v>510181</v>
      </c>
      <c r="AS353" s="42">
        <v>931197</v>
      </c>
      <c r="AW353" s="42">
        <v>0</v>
      </c>
      <c r="AY353" s="42">
        <f t="shared" si="39"/>
        <v>13854219</v>
      </c>
      <c r="BA353" s="42">
        <f>+'St of Act - GA Rev'!AI353-'St of Activities - GA Exp'!AY353</f>
        <v>800200</v>
      </c>
      <c r="BC353" s="42">
        <v>15574495</v>
      </c>
      <c r="BE353" s="42">
        <f t="shared" si="40"/>
        <v>16374695</v>
      </c>
      <c r="BG353" s="42">
        <f>+'St of Net Pos - GA'!AE353-'St of Activities - GA Exp'!BE353</f>
        <v>0</v>
      </c>
    </row>
    <row r="354" spans="1:59">
      <c r="A354" s="9" t="s">
        <v>295</v>
      </c>
      <c r="B354" s="9"/>
      <c r="C354" s="9" t="s">
        <v>26</v>
      </c>
      <c r="D354" s="9"/>
      <c r="E354" s="23">
        <v>46920</v>
      </c>
      <c r="G354" s="42">
        <v>10471421</v>
      </c>
      <c r="I354" s="42">
        <v>2490503</v>
      </c>
      <c r="K354" s="42">
        <v>186606</v>
      </c>
      <c r="M354" s="42">
        <v>0</v>
      </c>
      <c r="O354" s="42">
        <v>1951012</v>
      </c>
      <c r="Q354" s="42">
        <v>1242088</v>
      </c>
      <c r="S354" s="42">
        <v>1759556</v>
      </c>
      <c r="U354" s="42">
        <v>0</v>
      </c>
      <c r="W354" s="42">
        <f>28777+2549530</f>
        <v>2578307</v>
      </c>
      <c r="Y354" s="42">
        <v>755798</v>
      </c>
      <c r="AA354" s="42">
        <v>113697</v>
      </c>
      <c r="AC354" s="42">
        <v>2437712</v>
      </c>
      <c r="AE354" s="42">
        <v>2521206</v>
      </c>
      <c r="AG354" s="42">
        <v>141564</v>
      </c>
      <c r="AI354" s="9" t="s">
        <v>295</v>
      </c>
      <c r="AJ354" s="9"/>
      <c r="AK354" s="9" t="s">
        <v>26</v>
      </c>
      <c r="AL354" s="9"/>
      <c r="AM354" s="42">
        <v>0</v>
      </c>
      <c r="AO354" s="42">
        <v>1130160</v>
      </c>
      <c r="AQ354" s="42">
        <v>533770</v>
      </c>
      <c r="AS354" s="42">
        <v>1273854</v>
      </c>
      <c r="AW354" s="42">
        <v>0</v>
      </c>
      <c r="AY354" s="42">
        <f t="shared" si="39"/>
        <v>29587254</v>
      </c>
      <c r="BA354" s="42">
        <f>+'St of Act - GA Rev'!AI354-'St of Activities - GA Exp'!AY354</f>
        <v>989910</v>
      </c>
      <c r="BC354" s="42">
        <v>41714722</v>
      </c>
      <c r="BE354" s="42">
        <f t="shared" si="40"/>
        <v>42704632</v>
      </c>
      <c r="BG354" s="42">
        <f>+'St of Net Pos - GA'!AE354-'St of Activities - GA Exp'!BE354</f>
        <v>0</v>
      </c>
    </row>
    <row r="355" spans="1:59">
      <c r="A355" s="9" t="s">
        <v>429</v>
      </c>
      <c r="B355" s="9"/>
      <c r="C355" s="9" t="s">
        <v>50</v>
      </c>
      <c r="D355" s="9"/>
      <c r="E355" s="23">
        <v>44396</v>
      </c>
      <c r="G355" s="42">
        <v>24022526</v>
      </c>
      <c r="I355" s="42">
        <v>8197173</v>
      </c>
      <c r="K355" s="42">
        <v>497381</v>
      </c>
      <c r="M355" s="42">
        <v>0</v>
      </c>
      <c r="O355" s="42">
        <f>16799+376212</f>
        <v>393011</v>
      </c>
      <c r="Q355" s="42">
        <v>3682658</v>
      </c>
      <c r="S355" s="42">
        <v>1518266</v>
      </c>
      <c r="U355" s="42">
        <v>20916</v>
      </c>
      <c r="W355" s="42">
        <v>2926704</v>
      </c>
      <c r="Y355" s="42">
        <v>1062229</v>
      </c>
      <c r="AA355" s="42">
        <v>267272</v>
      </c>
      <c r="AC355" s="42">
        <v>4125424</v>
      </c>
      <c r="AE355" s="42">
        <v>2793357</v>
      </c>
      <c r="AG355" s="42">
        <v>527931</v>
      </c>
      <c r="AI355" s="9" t="s">
        <v>429</v>
      </c>
      <c r="AJ355" s="9"/>
      <c r="AK355" s="9" t="s">
        <v>50</v>
      </c>
      <c r="AL355" s="9"/>
      <c r="AM355" s="42">
        <v>1535200</v>
      </c>
      <c r="AO355" s="42">
        <f>764274+13115</f>
        <v>777389</v>
      </c>
      <c r="AQ355" s="42">
        <v>792341</v>
      </c>
      <c r="AS355" s="42">
        <v>3606612</v>
      </c>
      <c r="AW355" s="42">
        <v>0</v>
      </c>
      <c r="AY355" s="42">
        <f t="shared" si="39"/>
        <v>56746390</v>
      </c>
      <c r="BA355" s="42">
        <f>+'St of Act - GA Rev'!AI355-'St of Activities - GA Exp'!AY355</f>
        <v>3780632</v>
      </c>
      <c r="BC355" s="42">
        <v>21754414</v>
      </c>
      <c r="BE355" s="42">
        <f t="shared" si="40"/>
        <v>25535046</v>
      </c>
      <c r="BG355" s="42">
        <f>+'St of Net Pos - GA'!AE355-'St of Activities - GA Exp'!BE355</f>
        <v>0</v>
      </c>
    </row>
    <row r="356" spans="1:59" hidden="1">
      <c r="A356" s="9" t="s">
        <v>806</v>
      </c>
      <c r="B356" s="9"/>
      <c r="C356" s="9" t="s">
        <v>53</v>
      </c>
      <c r="D356" s="9"/>
      <c r="E356" s="23">
        <v>48959</v>
      </c>
      <c r="G356" s="42">
        <v>0</v>
      </c>
      <c r="I356" s="42">
        <v>0</v>
      </c>
      <c r="K356" s="42">
        <v>0</v>
      </c>
      <c r="M356" s="42">
        <v>0</v>
      </c>
      <c r="O356" s="42">
        <v>0</v>
      </c>
      <c r="Q356" s="42">
        <v>0</v>
      </c>
      <c r="S356" s="42">
        <v>0</v>
      </c>
      <c r="U356" s="42">
        <v>0</v>
      </c>
      <c r="W356" s="42">
        <v>0</v>
      </c>
      <c r="Y356" s="42">
        <v>0</v>
      </c>
      <c r="AA356" s="42">
        <v>0</v>
      </c>
      <c r="AC356" s="42">
        <v>0</v>
      </c>
      <c r="AE356" s="42">
        <v>0</v>
      </c>
      <c r="AG356" s="42">
        <v>0</v>
      </c>
      <c r="AI356" s="9" t="s">
        <v>806</v>
      </c>
      <c r="AJ356" s="9"/>
      <c r="AK356" s="9" t="s">
        <v>53</v>
      </c>
      <c r="AL356" s="9"/>
      <c r="AM356" s="42">
        <v>0</v>
      </c>
      <c r="AO356" s="42">
        <v>0</v>
      </c>
      <c r="AQ356" s="42">
        <v>0</v>
      </c>
      <c r="AS356" s="42">
        <v>0</v>
      </c>
      <c r="AW356" s="42">
        <v>0</v>
      </c>
      <c r="AY356" s="42">
        <f t="shared" ref="AY356" si="41">SUM(G356:AX356)</f>
        <v>0</v>
      </c>
      <c r="BA356" s="42">
        <f>+'St of Act - GA Rev'!AI356-'St of Activities - GA Exp'!AY356</f>
        <v>0</v>
      </c>
      <c r="BC356" s="42">
        <v>0</v>
      </c>
      <c r="BE356" s="42">
        <f t="shared" si="40"/>
        <v>0</v>
      </c>
      <c r="BG356" s="42">
        <f>+'St of Net Pos - GA'!AE356-'St of Activities - GA Exp'!BE356</f>
        <v>0</v>
      </c>
    </row>
    <row r="357" spans="1:59">
      <c r="A357" s="9" t="s">
        <v>224</v>
      </c>
      <c r="B357" s="9"/>
      <c r="C357" s="9" t="s">
        <v>220</v>
      </c>
      <c r="D357" s="9"/>
      <c r="E357" s="23">
        <v>44404</v>
      </c>
      <c r="G357" s="42">
        <v>27304790</v>
      </c>
      <c r="I357" s="42">
        <v>9588139</v>
      </c>
      <c r="K357" s="42">
        <v>0</v>
      </c>
      <c r="M357" s="42">
        <v>408882</v>
      </c>
      <c r="O357" s="42">
        <f>5957573+5124634</f>
        <v>11082207</v>
      </c>
      <c r="Q357" s="42">
        <v>4265190</v>
      </c>
      <c r="S357" s="42">
        <v>3868239</v>
      </c>
      <c r="U357" s="42">
        <v>43835</v>
      </c>
      <c r="W357" s="42">
        <v>4445825</v>
      </c>
      <c r="Y357" s="42">
        <v>688210</v>
      </c>
      <c r="AA357" s="42">
        <v>254239</v>
      </c>
      <c r="AC357" s="42">
        <v>7914945</v>
      </c>
      <c r="AE357" s="42">
        <v>3812314</v>
      </c>
      <c r="AG357" s="42">
        <v>1486066</v>
      </c>
      <c r="AI357" s="9" t="s">
        <v>224</v>
      </c>
      <c r="AJ357" s="9"/>
      <c r="AK357" s="9" t="s">
        <v>220</v>
      </c>
      <c r="AL357" s="9"/>
      <c r="AM357" s="42">
        <v>3809155</v>
      </c>
      <c r="AO357" s="42">
        <v>734153</v>
      </c>
      <c r="AQ357" s="42">
        <v>890157</v>
      </c>
      <c r="AS357" s="42">
        <v>2713127</v>
      </c>
      <c r="AW357" s="42">
        <v>0</v>
      </c>
      <c r="AY357" s="42">
        <f t="shared" si="39"/>
        <v>83309473</v>
      </c>
      <c r="BA357" s="42">
        <f>+'St of Act - GA Rev'!AI357-'St of Activities - GA Exp'!AY357</f>
        <v>-3431232</v>
      </c>
      <c r="BC357" s="42">
        <v>8608769</v>
      </c>
      <c r="BE357" s="42">
        <f t="shared" si="40"/>
        <v>5177537</v>
      </c>
      <c r="BG357" s="42">
        <f>+'St of Net Pos - GA'!AE357-'St of Activities - GA Exp'!BE357</f>
        <v>0</v>
      </c>
    </row>
    <row r="358" spans="1:59">
      <c r="A358" s="9" t="s">
        <v>384</v>
      </c>
      <c r="B358" s="9"/>
      <c r="C358" s="9" t="s">
        <v>44</v>
      </c>
      <c r="D358" s="9"/>
      <c r="E358" s="23">
        <v>48173</v>
      </c>
      <c r="G358" s="42">
        <v>16774824</v>
      </c>
      <c r="I358" s="42">
        <v>3069649</v>
      </c>
      <c r="K358" s="42">
        <v>139246</v>
      </c>
      <c r="M358" s="42">
        <v>0</v>
      </c>
      <c r="O358" s="42">
        <v>56575</v>
      </c>
      <c r="Q358" s="42">
        <v>1029448</v>
      </c>
      <c r="S358" s="42">
        <v>747342</v>
      </c>
      <c r="U358" s="42">
        <v>187883</v>
      </c>
      <c r="W358" s="42">
        <v>2719511</v>
      </c>
      <c r="Y358" s="42">
        <v>688797</v>
      </c>
      <c r="AA358" s="42">
        <v>128170</v>
      </c>
      <c r="AC358" s="42">
        <v>2406321</v>
      </c>
      <c r="AE358" s="42">
        <v>1526328</v>
      </c>
      <c r="AG358" s="42">
        <v>0</v>
      </c>
      <c r="AI358" s="9" t="s">
        <v>384</v>
      </c>
      <c r="AJ358" s="9"/>
      <c r="AK358" s="9" t="s">
        <v>44</v>
      </c>
      <c r="AL358" s="9"/>
      <c r="AM358" s="42">
        <v>0</v>
      </c>
      <c r="AO358" s="42">
        <v>11640</v>
      </c>
      <c r="AQ358" s="42">
        <v>657463</v>
      </c>
      <c r="AS358" s="42">
        <v>1087396</v>
      </c>
      <c r="AW358" s="42">
        <v>0</v>
      </c>
      <c r="AY358" s="42">
        <f t="shared" si="39"/>
        <v>31230593</v>
      </c>
      <c r="BA358" s="42">
        <f>+'St of Act - GA Rev'!AI358-'St of Activities - GA Exp'!AY358</f>
        <v>-439391</v>
      </c>
      <c r="BC358" s="42">
        <v>29092462</v>
      </c>
      <c r="BE358" s="42">
        <f t="shared" si="40"/>
        <v>28653071</v>
      </c>
      <c r="BG358" s="42">
        <f>+'St of Net Pos - GA'!AE358-'St of Activities - GA Exp'!BE358</f>
        <v>0</v>
      </c>
    </row>
    <row r="359" spans="1:59">
      <c r="A359" s="9" t="s">
        <v>764</v>
      </c>
      <c r="B359" s="9"/>
      <c r="C359" s="9" t="s">
        <v>112</v>
      </c>
      <c r="D359" s="9"/>
      <c r="E359" s="23">
        <v>45500</v>
      </c>
      <c r="G359" s="42">
        <v>28531809</v>
      </c>
      <c r="I359" s="42">
        <v>7985136</v>
      </c>
      <c r="K359" s="42">
        <v>1140641</v>
      </c>
      <c r="M359" s="42">
        <v>0</v>
      </c>
      <c r="O359" s="42">
        <v>239821</v>
      </c>
      <c r="Q359" s="42">
        <v>2988044</v>
      </c>
      <c r="S359" s="42">
        <v>3515805</v>
      </c>
      <c r="U359" s="42">
        <v>0</v>
      </c>
      <c r="W359" s="42">
        <f>55769+3246437</f>
        <v>3302206</v>
      </c>
      <c r="Y359" s="42">
        <v>1485730</v>
      </c>
      <c r="AA359" s="42">
        <v>354433</v>
      </c>
      <c r="AC359" s="42">
        <v>4526271</v>
      </c>
      <c r="AE359" s="42">
        <v>5682062</v>
      </c>
      <c r="AG359" s="42">
        <v>916097</v>
      </c>
      <c r="AI359" s="9" t="s">
        <v>764</v>
      </c>
      <c r="AJ359" s="9"/>
      <c r="AK359" s="9" t="s">
        <v>112</v>
      </c>
      <c r="AL359" s="9"/>
      <c r="AM359" s="42">
        <v>0</v>
      </c>
      <c r="AO359" s="42">
        <v>4080473</v>
      </c>
      <c r="AQ359" s="42">
        <v>1151177</v>
      </c>
      <c r="AS359" s="42">
        <v>3321221</v>
      </c>
      <c r="AW359" s="42">
        <v>0</v>
      </c>
      <c r="AY359" s="42">
        <f t="shared" si="39"/>
        <v>69220926</v>
      </c>
      <c r="BA359" s="42">
        <f>+'St of Act - GA Rev'!AI359-'St of Activities - GA Exp'!AY359</f>
        <v>-625190</v>
      </c>
      <c r="BC359" s="42">
        <v>26329867</v>
      </c>
      <c r="BE359" s="42">
        <f t="shared" si="40"/>
        <v>25704677</v>
      </c>
      <c r="BG359" s="42">
        <f>+'St of Net Pos - GA'!AE359-'St of Activities - GA Exp'!BE359</f>
        <v>0</v>
      </c>
    </row>
    <row r="360" spans="1:59" ht="12" hidden="1" customHeight="1">
      <c r="A360" s="9" t="s">
        <v>608</v>
      </c>
      <c r="B360" s="9"/>
      <c r="C360" s="9" t="s">
        <v>548</v>
      </c>
      <c r="D360" s="9"/>
      <c r="E360" s="23">
        <v>50633</v>
      </c>
      <c r="G360" s="42">
        <v>0</v>
      </c>
      <c r="I360" s="42">
        <v>0</v>
      </c>
      <c r="K360" s="42">
        <v>0</v>
      </c>
      <c r="M360" s="42">
        <v>0</v>
      </c>
      <c r="O360" s="42">
        <v>0</v>
      </c>
      <c r="Q360" s="42">
        <v>0</v>
      </c>
      <c r="S360" s="42">
        <v>0</v>
      </c>
      <c r="U360" s="42">
        <v>0</v>
      </c>
      <c r="W360" s="42">
        <v>0</v>
      </c>
      <c r="Y360" s="42">
        <v>0</v>
      </c>
      <c r="AA360" s="42">
        <v>0</v>
      </c>
      <c r="AC360" s="42">
        <v>0</v>
      </c>
      <c r="AE360" s="42">
        <v>0</v>
      </c>
      <c r="AG360" s="42">
        <v>0</v>
      </c>
      <c r="AI360" s="9" t="s">
        <v>608</v>
      </c>
      <c r="AJ360" s="9"/>
      <c r="AK360" s="9" t="s">
        <v>548</v>
      </c>
      <c r="AL360" s="9"/>
      <c r="AM360" s="42">
        <v>0</v>
      </c>
      <c r="AO360" s="42">
        <v>0</v>
      </c>
      <c r="AQ360" s="42">
        <v>0</v>
      </c>
      <c r="AS360" s="42">
        <v>0</v>
      </c>
      <c r="AW360" s="42">
        <v>0</v>
      </c>
      <c r="AY360" s="42">
        <f t="shared" si="39"/>
        <v>0</v>
      </c>
      <c r="BA360" s="42">
        <f>+'St of Act - GA Rev'!AI360-'St of Activities - GA Exp'!AY360</f>
        <v>0</v>
      </c>
      <c r="BC360" s="42">
        <v>0</v>
      </c>
      <c r="BE360" s="42">
        <f t="shared" si="40"/>
        <v>0</v>
      </c>
      <c r="BG360" s="42">
        <f>+'St of Net Pos - GA'!AE360-'St of Activities - GA Exp'!BE360</f>
        <v>0</v>
      </c>
    </row>
    <row r="361" spans="1:59" ht="12" hidden="1" customHeight="1">
      <c r="A361" s="9" t="s">
        <v>880</v>
      </c>
      <c r="B361" s="9"/>
      <c r="C361" s="9" t="s">
        <v>464</v>
      </c>
      <c r="D361" s="9"/>
      <c r="E361" s="23">
        <v>49361</v>
      </c>
      <c r="G361" s="42">
        <v>0</v>
      </c>
      <c r="I361" s="42">
        <v>0</v>
      </c>
      <c r="K361" s="42">
        <v>0</v>
      </c>
      <c r="M361" s="42">
        <v>0</v>
      </c>
      <c r="O361" s="42">
        <v>0</v>
      </c>
      <c r="Q361" s="42">
        <v>0</v>
      </c>
      <c r="S361" s="42">
        <v>0</v>
      </c>
      <c r="U361" s="42">
        <v>0</v>
      </c>
      <c r="W361" s="42">
        <v>0</v>
      </c>
      <c r="Y361" s="42">
        <v>0</v>
      </c>
      <c r="AA361" s="42">
        <v>0</v>
      </c>
      <c r="AC361" s="42">
        <v>0</v>
      </c>
      <c r="AE361" s="42">
        <v>0</v>
      </c>
      <c r="AG361" s="42">
        <v>0</v>
      </c>
      <c r="AI361" s="9" t="s">
        <v>880</v>
      </c>
      <c r="AJ361" s="9"/>
      <c r="AK361" s="9" t="s">
        <v>464</v>
      </c>
      <c r="AL361" s="9"/>
      <c r="AM361" s="42">
        <v>0</v>
      </c>
      <c r="AO361" s="42">
        <v>0</v>
      </c>
      <c r="AQ361" s="42">
        <v>0</v>
      </c>
      <c r="AS361" s="42">
        <v>0</v>
      </c>
      <c r="AW361" s="42">
        <v>0</v>
      </c>
      <c r="AY361" s="42">
        <f t="shared" si="39"/>
        <v>0</v>
      </c>
      <c r="BA361" s="42">
        <f>+'St of Act - GA Rev'!AI361-'St of Activities - GA Exp'!AY361</f>
        <v>0</v>
      </c>
      <c r="BC361" s="42">
        <v>0</v>
      </c>
      <c r="BE361" s="42">
        <f t="shared" si="40"/>
        <v>0</v>
      </c>
      <c r="BG361" s="42">
        <f>+'St of Net Pos - GA'!AE361-'St of Activities - GA Exp'!BE361</f>
        <v>0</v>
      </c>
    </row>
    <row r="362" spans="1:59" hidden="1">
      <c r="A362" s="9" t="s">
        <v>801</v>
      </c>
      <c r="B362" s="9"/>
      <c r="C362" s="9" t="s">
        <v>48</v>
      </c>
      <c r="D362" s="9"/>
      <c r="E362" s="23">
        <v>45518</v>
      </c>
      <c r="G362" s="42">
        <v>0</v>
      </c>
      <c r="I362" s="42">
        <v>0</v>
      </c>
      <c r="K362" s="42">
        <v>0</v>
      </c>
      <c r="M362" s="42">
        <v>0</v>
      </c>
      <c r="O362" s="42">
        <v>0</v>
      </c>
      <c r="Q362" s="42">
        <v>0</v>
      </c>
      <c r="S362" s="42">
        <v>0</v>
      </c>
      <c r="U362" s="42">
        <v>0</v>
      </c>
      <c r="W362" s="42">
        <v>0</v>
      </c>
      <c r="Y362" s="42">
        <v>0</v>
      </c>
      <c r="AA362" s="42">
        <v>0</v>
      </c>
      <c r="AC362" s="42">
        <v>0</v>
      </c>
      <c r="AE362" s="42">
        <v>0</v>
      </c>
      <c r="AG362" s="42">
        <v>0</v>
      </c>
      <c r="AI362" s="9" t="s">
        <v>801</v>
      </c>
      <c r="AJ362" s="9"/>
      <c r="AK362" s="9" t="s">
        <v>48</v>
      </c>
      <c r="AL362" s="9"/>
      <c r="AM362" s="42">
        <v>0</v>
      </c>
      <c r="AO362" s="42">
        <v>0</v>
      </c>
      <c r="AQ362" s="42">
        <v>0</v>
      </c>
      <c r="AS362" s="42">
        <v>0</v>
      </c>
      <c r="AW362" s="42">
        <v>0</v>
      </c>
      <c r="AY362" s="42">
        <f t="shared" si="39"/>
        <v>0</v>
      </c>
      <c r="BA362" s="42">
        <f>+'St of Act - GA Rev'!AI362-'St of Activities - GA Exp'!AY362</f>
        <v>0</v>
      </c>
      <c r="BC362" s="42">
        <v>0</v>
      </c>
      <c r="BE362" s="42">
        <f t="shared" si="40"/>
        <v>0</v>
      </c>
      <c r="BG362" s="42">
        <f>+'St of Net Pos - GA'!AE362-'St of Activities - GA Exp'!BE362</f>
        <v>0</v>
      </c>
    </row>
    <row r="363" spans="1:59">
      <c r="A363" s="9" t="s">
        <v>498</v>
      </c>
      <c r="B363" s="9"/>
      <c r="C363" s="9" t="s">
        <v>62</v>
      </c>
      <c r="D363" s="9"/>
      <c r="E363" s="23">
        <v>49890</v>
      </c>
      <c r="G363" s="42">
        <v>8291418</v>
      </c>
      <c r="I363" s="42">
        <v>2963853</v>
      </c>
      <c r="K363" s="42">
        <v>675</v>
      </c>
      <c r="M363" s="42">
        <v>5135</v>
      </c>
      <c r="O363" s="42">
        <v>73</v>
      </c>
      <c r="Q363" s="42">
        <v>762668</v>
      </c>
      <c r="S363" s="42">
        <v>458074</v>
      </c>
      <c r="U363" s="42">
        <v>85186</v>
      </c>
      <c r="W363" s="42">
        <v>1425971</v>
      </c>
      <c r="Y363" s="42">
        <v>556400</v>
      </c>
      <c r="AA363" s="42">
        <v>71857</v>
      </c>
      <c r="AC363" s="42">
        <v>1321024</v>
      </c>
      <c r="AE363" s="42">
        <v>910396</v>
      </c>
      <c r="AG363" s="42">
        <v>83947</v>
      </c>
      <c r="AI363" s="9" t="s">
        <v>498</v>
      </c>
      <c r="AJ363" s="9"/>
      <c r="AK363" s="9" t="s">
        <v>62</v>
      </c>
      <c r="AL363" s="9"/>
      <c r="AM363" s="42">
        <v>805661</v>
      </c>
      <c r="AO363" s="42">
        <v>45244</v>
      </c>
      <c r="AQ363" s="42">
        <v>589498</v>
      </c>
      <c r="AS363" s="42">
        <v>596833</v>
      </c>
      <c r="AW363" s="42">
        <v>0</v>
      </c>
      <c r="AY363" s="42">
        <f t="shared" si="39"/>
        <v>18973913</v>
      </c>
      <c r="BA363" s="42">
        <f>+'St of Act - GA Rev'!AI363-'St of Activities - GA Exp'!AY363</f>
        <v>515344</v>
      </c>
      <c r="BC363" s="42">
        <v>26837549</v>
      </c>
      <c r="BE363" s="42">
        <f t="shared" si="40"/>
        <v>27352893</v>
      </c>
      <c r="BG363" s="42">
        <f>+'St of Net Pos - GA'!AE363-'St of Activities - GA Exp'!BE363</f>
        <v>0</v>
      </c>
    </row>
    <row r="364" spans="1:59">
      <c r="A364" s="9" t="s">
        <v>479</v>
      </c>
      <c r="B364" s="9"/>
      <c r="C364" s="9" t="s">
        <v>59</v>
      </c>
      <c r="D364" s="9"/>
      <c r="E364" s="23">
        <v>49627</v>
      </c>
      <c r="G364" s="42">
        <v>8236449</v>
      </c>
      <c r="I364" s="42">
        <v>1470979</v>
      </c>
      <c r="K364" s="42">
        <v>113492</v>
      </c>
      <c r="M364" s="42">
        <v>0</v>
      </c>
      <c r="O364" s="42">
        <v>0</v>
      </c>
      <c r="Q364" s="42">
        <v>542300</v>
      </c>
      <c r="S364" s="42">
        <v>698655</v>
      </c>
      <c r="U364" s="42">
        <v>50642</v>
      </c>
      <c r="W364" s="42">
        <v>1197660</v>
      </c>
      <c r="Y364" s="42">
        <v>272625</v>
      </c>
      <c r="AA364" s="42">
        <v>2095</v>
      </c>
      <c r="AC364" s="42">
        <v>1381803</v>
      </c>
      <c r="AE364" s="42">
        <v>1110259</v>
      </c>
      <c r="AG364" s="42">
        <v>35765</v>
      </c>
      <c r="AI364" s="9" t="s">
        <v>479</v>
      </c>
      <c r="AJ364" s="9"/>
      <c r="AK364" s="9" t="s">
        <v>59</v>
      </c>
      <c r="AL364" s="9"/>
      <c r="AM364" s="42">
        <v>0</v>
      </c>
      <c r="AO364" s="42">
        <v>657779</v>
      </c>
      <c r="AQ364" s="42">
        <v>432025</v>
      </c>
      <c r="AS364" s="42">
        <v>106751</v>
      </c>
      <c r="AW364" s="42">
        <v>0</v>
      </c>
      <c r="AY364" s="42">
        <f t="shared" ref="AY364:AY408" si="42">SUM(G364:AX364)</f>
        <v>16309279</v>
      </c>
      <c r="BA364" s="42">
        <f>+'St of Act - GA Rev'!AI364-'St of Activities - GA Exp'!AY364</f>
        <v>-785560</v>
      </c>
      <c r="BC364" s="42">
        <v>24447940</v>
      </c>
      <c r="BE364" s="42">
        <f t="shared" si="40"/>
        <v>23662380</v>
      </c>
      <c r="BG364" s="42">
        <f>+'St of Net Pos - GA'!AE364-'St of Activities - GA Exp'!BE364</f>
        <v>0</v>
      </c>
    </row>
    <row r="365" spans="1:59">
      <c r="A365" s="9" t="s">
        <v>212</v>
      </c>
      <c r="B365" s="9"/>
      <c r="C365" s="9" t="s">
        <v>14</v>
      </c>
      <c r="D365" s="9"/>
      <c r="E365" s="23">
        <v>45948</v>
      </c>
      <c r="G365" s="42">
        <v>4219021</v>
      </c>
      <c r="I365" s="42">
        <v>610690</v>
      </c>
      <c r="K365" s="42">
        <v>205274</v>
      </c>
      <c r="M365" s="42">
        <v>0</v>
      </c>
      <c r="O365" s="42">
        <v>0</v>
      </c>
      <c r="Q365" s="42">
        <v>769174</v>
      </c>
      <c r="S365" s="42">
        <v>367031</v>
      </c>
      <c r="U365" s="42">
        <v>30013</v>
      </c>
      <c r="W365" s="42">
        <v>509873</v>
      </c>
      <c r="Y365" s="42">
        <v>238176</v>
      </c>
      <c r="AA365" s="42">
        <v>0</v>
      </c>
      <c r="AC365" s="42">
        <v>857334</v>
      </c>
      <c r="AE365" s="42">
        <v>258295</v>
      </c>
      <c r="AG365" s="42">
        <v>65257</v>
      </c>
      <c r="AI365" s="9" t="s">
        <v>212</v>
      </c>
      <c r="AJ365" s="9"/>
      <c r="AK365" s="9" t="s">
        <v>14</v>
      </c>
      <c r="AL365" s="9"/>
      <c r="AM365" s="42">
        <v>0</v>
      </c>
      <c r="AO365" s="42">
        <v>419736</v>
      </c>
      <c r="AQ365" s="42">
        <v>505325</v>
      </c>
      <c r="AS365" s="42">
        <v>760020</v>
      </c>
      <c r="AW365" s="42">
        <v>0</v>
      </c>
      <c r="AY365" s="42">
        <f t="shared" si="42"/>
        <v>9815219</v>
      </c>
      <c r="BA365" s="42">
        <f>+'St of Act - GA Rev'!AI365-'St of Activities - GA Exp'!AY365</f>
        <v>1988763</v>
      </c>
      <c r="BC365" s="42">
        <v>4362583</v>
      </c>
      <c r="BE365" s="42">
        <f t="shared" si="40"/>
        <v>6351346</v>
      </c>
      <c r="BG365" s="42">
        <f>+'St of Net Pos - GA'!AE365-'St of Activities - GA Exp'!BE365</f>
        <v>0</v>
      </c>
    </row>
    <row r="366" spans="1:59" ht="12" hidden="1" customHeight="1">
      <c r="A366" s="9" t="s">
        <v>635</v>
      </c>
      <c r="B366" s="9"/>
      <c r="C366" s="9" t="s">
        <v>21</v>
      </c>
      <c r="D366" s="9"/>
      <c r="E366" s="23">
        <v>46672</v>
      </c>
      <c r="G366" s="42">
        <v>0</v>
      </c>
      <c r="I366" s="42">
        <v>0</v>
      </c>
      <c r="K366" s="42">
        <v>0</v>
      </c>
      <c r="M366" s="42">
        <v>0</v>
      </c>
      <c r="O366" s="42">
        <v>0</v>
      </c>
      <c r="Q366" s="42">
        <v>0</v>
      </c>
      <c r="S366" s="42">
        <v>0</v>
      </c>
      <c r="U366" s="42">
        <v>0</v>
      </c>
      <c r="W366" s="42">
        <v>0</v>
      </c>
      <c r="Y366" s="42">
        <v>0</v>
      </c>
      <c r="AA366" s="42">
        <v>0</v>
      </c>
      <c r="AC366" s="42">
        <v>0</v>
      </c>
      <c r="AE366" s="42">
        <v>0</v>
      </c>
      <c r="AG366" s="42">
        <v>0</v>
      </c>
      <c r="AI366" s="9" t="s">
        <v>635</v>
      </c>
      <c r="AJ366" s="9"/>
      <c r="AK366" s="9" t="s">
        <v>21</v>
      </c>
      <c r="AL366" s="9"/>
      <c r="AM366" s="42">
        <v>0</v>
      </c>
      <c r="AO366" s="42">
        <v>0</v>
      </c>
      <c r="AQ366" s="42">
        <v>0</v>
      </c>
      <c r="AS366" s="42">
        <v>0</v>
      </c>
      <c r="AW366" s="42">
        <v>0</v>
      </c>
      <c r="AY366" s="42">
        <f t="shared" si="42"/>
        <v>0</v>
      </c>
      <c r="BA366" s="42">
        <f>+'St of Act - GA Rev'!AI366-'St of Activities - GA Exp'!AY366</f>
        <v>0</v>
      </c>
      <c r="BC366" s="42">
        <v>0</v>
      </c>
      <c r="BE366" s="42">
        <f t="shared" si="40"/>
        <v>0</v>
      </c>
      <c r="BG366" s="42">
        <f>+'St of Net Pos - GA'!AE366-'St of Activities - GA Exp'!BE366</f>
        <v>0</v>
      </c>
    </row>
    <row r="367" spans="1:59">
      <c r="A367" s="9" t="s">
        <v>506</v>
      </c>
      <c r="B367" s="9"/>
      <c r="C367" s="9" t="s">
        <v>63</v>
      </c>
      <c r="D367" s="9"/>
      <c r="E367" s="23">
        <v>50039</v>
      </c>
      <c r="G367" s="42">
        <v>4515705</v>
      </c>
      <c r="I367" s="42">
        <v>1147612</v>
      </c>
      <c r="K367" s="42">
        <v>99444</v>
      </c>
      <c r="M367" s="42">
        <v>0</v>
      </c>
      <c r="O367" s="42">
        <f>552934+142709</f>
        <v>695643</v>
      </c>
      <c r="Q367" s="42">
        <v>435579</v>
      </c>
      <c r="S367" s="42">
        <v>341256</v>
      </c>
      <c r="U367" s="42">
        <v>52291</v>
      </c>
      <c r="W367" s="42">
        <v>752611</v>
      </c>
      <c r="Y367" s="42">
        <v>343489</v>
      </c>
      <c r="AA367" s="42">
        <v>350</v>
      </c>
      <c r="AC367" s="42">
        <v>891474</v>
      </c>
      <c r="AE367" s="42">
        <v>374570</v>
      </c>
      <c r="AG367" s="42">
        <v>11335</v>
      </c>
      <c r="AI367" s="9" t="s">
        <v>506</v>
      </c>
      <c r="AJ367" s="9"/>
      <c r="AK367" s="9" t="s">
        <v>63</v>
      </c>
      <c r="AL367" s="9"/>
      <c r="AM367" s="42">
        <v>302199</v>
      </c>
      <c r="AO367" s="42">
        <v>0</v>
      </c>
      <c r="AQ367" s="42">
        <v>458945</v>
      </c>
      <c r="AS367" s="42">
        <v>591298</v>
      </c>
      <c r="AW367" s="42">
        <v>0</v>
      </c>
      <c r="AY367" s="42">
        <f t="shared" si="42"/>
        <v>11013801</v>
      </c>
      <c r="BA367" s="42">
        <f>+'St of Act - GA Rev'!AI367-'St of Activities - GA Exp'!AY367</f>
        <v>-909211</v>
      </c>
      <c r="BC367" s="42">
        <v>5142815</v>
      </c>
      <c r="BE367" s="42">
        <f t="shared" si="40"/>
        <v>4233604</v>
      </c>
      <c r="BG367" s="42">
        <f>+'St of Net Pos - GA'!AE367-'St of Activities - GA Exp'!BE367</f>
        <v>0</v>
      </c>
    </row>
    <row r="368" spans="1:59" ht="12" hidden="1" customHeight="1">
      <c r="A368" s="9" t="s">
        <v>616</v>
      </c>
      <c r="B368" s="9"/>
      <c r="C368" s="9" t="s">
        <v>553</v>
      </c>
      <c r="D368" s="9"/>
      <c r="E368" s="23">
        <v>50740</v>
      </c>
      <c r="G368" s="42">
        <v>0</v>
      </c>
      <c r="I368" s="42">
        <v>0</v>
      </c>
      <c r="K368" s="42">
        <v>0</v>
      </c>
      <c r="M368" s="42">
        <v>0</v>
      </c>
      <c r="O368" s="42">
        <v>0</v>
      </c>
      <c r="Q368" s="42">
        <v>0</v>
      </c>
      <c r="S368" s="42">
        <v>0</v>
      </c>
      <c r="U368" s="42">
        <v>0</v>
      </c>
      <c r="W368" s="42">
        <v>0</v>
      </c>
      <c r="Y368" s="42">
        <v>0</v>
      </c>
      <c r="AA368" s="42">
        <v>0</v>
      </c>
      <c r="AC368" s="42">
        <v>0</v>
      </c>
      <c r="AE368" s="42">
        <v>0</v>
      </c>
      <c r="AG368" s="42">
        <v>0</v>
      </c>
      <c r="AI368" s="9" t="s">
        <v>616</v>
      </c>
      <c r="AJ368" s="9"/>
      <c r="AK368" s="9" t="s">
        <v>553</v>
      </c>
      <c r="AL368" s="9"/>
      <c r="AM368" s="42">
        <v>0</v>
      </c>
      <c r="AO368" s="42">
        <v>0</v>
      </c>
      <c r="AQ368" s="42">
        <v>0</v>
      </c>
      <c r="AS368" s="42">
        <v>0</v>
      </c>
      <c r="AW368" s="42">
        <v>0</v>
      </c>
      <c r="AY368" s="42">
        <f t="shared" si="42"/>
        <v>0</v>
      </c>
      <c r="BA368" s="42">
        <f>+'St of Act - GA Rev'!AI368-'St of Activities - GA Exp'!AY368</f>
        <v>0</v>
      </c>
      <c r="BC368" s="42">
        <v>0</v>
      </c>
      <c r="BE368" s="42">
        <f t="shared" si="40"/>
        <v>0</v>
      </c>
      <c r="BG368" s="42">
        <f>+'St of Net Pos - GA'!AE368-'St of Activities - GA Exp'!BE368</f>
        <v>0</v>
      </c>
    </row>
    <row r="369" spans="1:59">
      <c r="A369" s="8" t="s">
        <v>905</v>
      </c>
      <c r="B369" s="9"/>
      <c r="C369" s="9" t="s">
        <v>220</v>
      </c>
      <c r="D369" s="9"/>
      <c r="E369" s="23">
        <v>139303</v>
      </c>
      <c r="G369" s="42">
        <v>9304873</v>
      </c>
      <c r="I369" s="42">
        <v>1595512</v>
      </c>
      <c r="K369" s="42">
        <v>6231</v>
      </c>
      <c r="M369" s="42">
        <v>0</v>
      </c>
      <c r="O369" s="42">
        <v>19170</v>
      </c>
      <c r="Q369" s="42">
        <v>896550</v>
      </c>
      <c r="S369" s="42">
        <v>959724</v>
      </c>
      <c r="U369" s="42">
        <v>175532</v>
      </c>
      <c r="W369" s="42">
        <v>1166711</v>
      </c>
      <c r="Y369" s="42">
        <v>596133</v>
      </c>
      <c r="AA369" s="42">
        <v>34943</v>
      </c>
      <c r="AC369" s="42">
        <v>1392323</v>
      </c>
      <c r="AE369" s="42">
        <v>1642435</v>
      </c>
      <c r="AG369" s="42">
        <v>294694</v>
      </c>
      <c r="AI369" s="8" t="s">
        <v>905</v>
      </c>
      <c r="AJ369" s="9"/>
      <c r="AK369" s="9" t="s">
        <v>220</v>
      </c>
      <c r="AL369" s="9"/>
      <c r="AM369" s="42">
        <v>0</v>
      </c>
      <c r="AO369" s="42">
        <v>876971</v>
      </c>
      <c r="AQ369" s="42">
        <v>556948</v>
      </c>
      <c r="AS369" s="42">
        <v>1567112</v>
      </c>
      <c r="AW369" s="42">
        <v>0</v>
      </c>
      <c r="AY369" s="42">
        <f t="shared" si="42"/>
        <v>21085862</v>
      </c>
      <c r="BA369" s="42">
        <f>+'St of Act - GA Rev'!AI369-'St of Activities - GA Exp'!AY369</f>
        <v>2550353</v>
      </c>
      <c r="BC369" s="42">
        <v>8173935</v>
      </c>
      <c r="BE369" s="42">
        <f t="shared" si="40"/>
        <v>10724288</v>
      </c>
      <c r="BG369" s="42">
        <f>+'St of Net Pos - GA'!AE369-'St of Activities - GA Exp'!BE369</f>
        <v>0</v>
      </c>
    </row>
    <row r="370" spans="1:59" s="24" customFormat="1">
      <c r="A370" s="51" t="s">
        <v>354</v>
      </c>
      <c r="B370" s="51"/>
      <c r="C370" s="51" t="s">
        <v>37</v>
      </c>
      <c r="D370" s="51"/>
      <c r="E370" s="23">
        <v>47712</v>
      </c>
      <c r="G370" s="42">
        <v>3341473</v>
      </c>
      <c r="H370" s="42"/>
      <c r="I370" s="42">
        <v>752986</v>
      </c>
      <c r="J370" s="42"/>
      <c r="K370" s="42">
        <v>178810</v>
      </c>
      <c r="L370" s="42"/>
      <c r="M370" s="42">
        <v>0</v>
      </c>
      <c r="N370" s="42"/>
      <c r="O370" s="42">
        <v>0</v>
      </c>
      <c r="P370" s="42"/>
      <c r="Q370" s="42">
        <v>242904</v>
      </c>
      <c r="R370" s="42"/>
      <c r="S370" s="42">
        <v>288156</v>
      </c>
      <c r="T370" s="42"/>
      <c r="U370" s="42">
        <v>19670</v>
      </c>
      <c r="V370" s="42"/>
      <c r="W370" s="42">
        <v>591974</v>
      </c>
      <c r="X370" s="42"/>
      <c r="Y370" s="42">
        <v>273785</v>
      </c>
      <c r="Z370" s="42"/>
      <c r="AA370" s="42">
        <v>5486</v>
      </c>
      <c r="AB370" s="42"/>
      <c r="AC370" s="42">
        <v>568785</v>
      </c>
      <c r="AD370" s="42"/>
      <c r="AE370" s="42">
        <v>416591</v>
      </c>
      <c r="AF370" s="42"/>
      <c r="AG370" s="42">
        <v>2779</v>
      </c>
      <c r="AI370" s="51" t="s">
        <v>354</v>
      </c>
      <c r="AJ370" s="51"/>
      <c r="AK370" s="51" t="s">
        <v>37</v>
      </c>
      <c r="AL370" s="51"/>
      <c r="AM370" s="42">
        <v>269452</v>
      </c>
      <c r="AN370" s="42"/>
      <c r="AO370" s="42">
        <v>71356</v>
      </c>
      <c r="AP370" s="42"/>
      <c r="AQ370" s="42">
        <v>215962</v>
      </c>
      <c r="AR370" s="42"/>
      <c r="AS370" s="42">
        <v>209537</v>
      </c>
      <c r="AT370" s="42"/>
      <c r="AU370" s="42"/>
      <c r="AV370" s="42"/>
      <c r="AW370" s="42">
        <v>0</v>
      </c>
      <c r="AX370" s="42"/>
      <c r="AY370" s="42">
        <f t="shared" si="42"/>
        <v>7449706</v>
      </c>
      <c r="AZ370" s="42"/>
      <c r="BA370" s="42">
        <f>+'St of Act - GA Rev'!AI370-'St of Activities - GA Exp'!AY370</f>
        <v>-151555</v>
      </c>
      <c r="BB370" s="42"/>
      <c r="BC370" s="42">
        <v>1569978</v>
      </c>
      <c r="BD370" s="42"/>
      <c r="BE370" s="42">
        <f t="shared" si="40"/>
        <v>1418423</v>
      </c>
      <c r="BF370" s="42"/>
      <c r="BG370" s="42">
        <f>+'St of Net Pos - GA'!AE370-'St of Activities - GA Exp'!BE370</f>
        <v>0</v>
      </c>
    </row>
    <row r="371" spans="1:59" hidden="1">
      <c r="A371" s="9" t="s">
        <v>802</v>
      </c>
      <c r="B371" s="9"/>
      <c r="C371" s="9" t="s">
        <v>548</v>
      </c>
      <c r="D371" s="9"/>
      <c r="E371" s="23">
        <v>45526</v>
      </c>
      <c r="G371" s="42">
        <v>0</v>
      </c>
      <c r="I371" s="42">
        <v>0</v>
      </c>
      <c r="K371" s="42">
        <v>0</v>
      </c>
      <c r="M371" s="42">
        <v>0</v>
      </c>
      <c r="O371" s="42">
        <v>0</v>
      </c>
      <c r="Q371" s="42">
        <v>0</v>
      </c>
      <c r="S371" s="42">
        <v>0</v>
      </c>
      <c r="U371" s="42">
        <v>0</v>
      </c>
      <c r="W371" s="42">
        <v>0</v>
      </c>
      <c r="Y371" s="42">
        <v>0</v>
      </c>
      <c r="AA371" s="42">
        <v>0</v>
      </c>
      <c r="AC371" s="42">
        <v>0</v>
      </c>
      <c r="AE371" s="42">
        <v>0</v>
      </c>
      <c r="AG371" s="42">
        <v>0</v>
      </c>
      <c r="AI371" s="9" t="s">
        <v>802</v>
      </c>
      <c r="AJ371" s="9"/>
      <c r="AK371" s="9" t="s">
        <v>548</v>
      </c>
      <c r="AL371" s="9"/>
      <c r="AM371" s="42">
        <v>0</v>
      </c>
      <c r="AO371" s="42">
        <v>0</v>
      </c>
      <c r="AQ371" s="42">
        <v>0</v>
      </c>
      <c r="AS371" s="42">
        <v>0</v>
      </c>
      <c r="AW371" s="42">
        <v>0</v>
      </c>
      <c r="AY371" s="42">
        <f t="shared" si="42"/>
        <v>0</v>
      </c>
      <c r="BA371" s="42">
        <f>+'St of Act - GA Rev'!AI371-'St of Activities - GA Exp'!AY371</f>
        <v>0</v>
      </c>
      <c r="BC371" s="42">
        <v>0</v>
      </c>
      <c r="BE371" s="42">
        <f t="shared" si="40"/>
        <v>0</v>
      </c>
      <c r="BG371" s="42">
        <f>+'St of Net Pos - GA'!AE371-'St of Activities - GA Exp'!BE371</f>
        <v>0</v>
      </c>
    </row>
    <row r="372" spans="1:59" s="24" customFormat="1">
      <c r="A372" s="51" t="s">
        <v>436</v>
      </c>
      <c r="B372" s="51"/>
      <c r="C372" s="51" t="s">
        <v>437</v>
      </c>
      <c r="D372" s="51"/>
      <c r="E372" s="51">
        <v>48777</v>
      </c>
      <c r="G372" s="24">
        <v>10296476</v>
      </c>
      <c r="I372" s="24">
        <v>3225893</v>
      </c>
      <c r="K372" s="24">
        <v>1113655</v>
      </c>
      <c r="M372" s="24">
        <v>0</v>
      </c>
      <c r="O372" s="24">
        <v>76341</v>
      </c>
      <c r="Q372" s="24">
        <v>552119</v>
      </c>
      <c r="S372" s="24">
        <v>522393</v>
      </c>
      <c r="U372" s="24">
        <v>54397</v>
      </c>
      <c r="W372" s="24">
        <v>1808024</v>
      </c>
      <c r="Y372" s="24">
        <v>764009</v>
      </c>
      <c r="AA372" s="24">
        <v>163487</v>
      </c>
      <c r="AC372" s="24">
        <v>2138075</v>
      </c>
      <c r="AE372" s="24">
        <v>1969931</v>
      </c>
      <c r="AG372" s="24">
        <v>35798</v>
      </c>
      <c r="AI372" s="51" t="s">
        <v>436</v>
      </c>
      <c r="AJ372" s="51"/>
      <c r="AK372" s="51" t="s">
        <v>437</v>
      </c>
      <c r="AL372" s="51"/>
      <c r="AM372" s="24">
        <v>1296794</v>
      </c>
      <c r="AO372" s="24">
        <v>0</v>
      </c>
      <c r="AQ372" s="24">
        <v>225183</v>
      </c>
      <c r="AS372" s="24">
        <v>439677</v>
      </c>
      <c r="AW372" s="24">
        <v>0</v>
      </c>
      <c r="AY372" s="24">
        <f t="shared" si="42"/>
        <v>24682252</v>
      </c>
      <c r="BA372" s="24">
        <f>+'St of Act - GA Rev'!AI372-'St of Activities - GA Exp'!AY372</f>
        <v>-1049233</v>
      </c>
      <c r="BC372" s="24">
        <v>45239117</v>
      </c>
      <c r="BE372" s="24">
        <f t="shared" si="40"/>
        <v>44189884</v>
      </c>
      <c r="BG372" s="24">
        <f>+'St of Net Pos - GA'!AE372-'St of Activities - GA Exp'!BE372</f>
        <v>0</v>
      </c>
    </row>
    <row r="373" spans="1:59">
      <c r="A373" s="9" t="s">
        <v>765</v>
      </c>
      <c r="B373" s="9"/>
      <c r="C373" s="9" t="s">
        <v>78</v>
      </c>
      <c r="D373" s="9"/>
      <c r="E373" s="23">
        <v>45534</v>
      </c>
      <c r="G373" s="42">
        <v>5093956</v>
      </c>
      <c r="I373" s="42">
        <v>1225773</v>
      </c>
      <c r="K373" s="42">
        <v>267132</v>
      </c>
      <c r="M373" s="42">
        <v>0</v>
      </c>
      <c r="O373" s="42">
        <v>1202922</v>
      </c>
      <c r="Q373" s="42">
        <v>966367</v>
      </c>
      <c r="S373" s="42">
        <v>797340</v>
      </c>
      <c r="U373" s="42">
        <v>0</v>
      </c>
      <c r="W373" s="42">
        <f>25534+985316</f>
        <v>1010850</v>
      </c>
      <c r="Y373" s="42">
        <v>416892</v>
      </c>
      <c r="AA373" s="42">
        <v>0</v>
      </c>
      <c r="AC373" s="42">
        <v>1390248</v>
      </c>
      <c r="AE373" s="42">
        <v>664507</v>
      </c>
      <c r="AG373" s="42">
        <v>16022</v>
      </c>
      <c r="AI373" s="9" t="s">
        <v>765</v>
      </c>
      <c r="AJ373" s="9"/>
      <c r="AK373" s="9" t="s">
        <v>78</v>
      </c>
      <c r="AL373" s="9"/>
      <c r="AM373" s="42">
        <v>0</v>
      </c>
      <c r="AO373" s="42">
        <v>572850</v>
      </c>
      <c r="AQ373" s="42">
        <v>334362</v>
      </c>
      <c r="AS373" s="42">
        <v>419744</v>
      </c>
      <c r="AW373" s="42">
        <v>0</v>
      </c>
      <c r="AY373" s="42">
        <f t="shared" si="42"/>
        <v>14378965</v>
      </c>
      <c r="BA373" s="42">
        <f>+'St of Act - GA Rev'!AI373-'St of Activities - GA Exp'!AY373</f>
        <v>-368521</v>
      </c>
      <c r="BC373" s="42">
        <v>29927283</v>
      </c>
      <c r="BE373" s="42">
        <f t="shared" si="40"/>
        <v>29558762</v>
      </c>
      <c r="BG373" s="42">
        <f>+'St of Net Pos - GA'!AE373-'St of Activities - GA Exp'!BE373</f>
        <v>0</v>
      </c>
    </row>
    <row r="374" spans="1:59" hidden="1">
      <c r="A374" s="8" t="s">
        <v>866</v>
      </c>
      <c r="B374" s="9"/>
      <c r="C374" s="9" t="s">
        <v>40</v>
      </c>
      <c r="D374" s="9"/>
      <c r="E374" s="23">
        <v>44420</v>
      </c>
      <c r="G374" s="42">
        <v>0</v>
      </c>
      <c r="I374" s="42">
        <v>0</v>
      </c>
      <c r="K374" s="42">
        <v>0</v>
      </c>
      <c r="M374" s="42">
        <v>0</v>
      </c>
      <c r="O374" s="42">
        <v>0</v>
      </c>
      <c r="Q374" s="42">
        <v>0</v>
      </c>
      <c r="S374" s="42">
        <v>0</v>
      </c>
      <c r="U374" s="42">
        <v>0</v>
      </c>
      <c r="W374" s="42">
        <v>0</v>
      </c>
      <c r="Y374" s="42">
        <v>0</v>
      </c>
      <c r="AA374" s="42">
        <v>0</v>
      </c>
      <c r="AC374" s="42">
        <v>0</v>
      </c>
      <c r="AE374" s="42">
        <v>0</v>
      </c>
      <c r="AG374" s="42">
        <v>0</v>
      </c>
      <c r="AI374" s="8" t="s">
        <v>866</v>
      </c>
      <c r="AJ374" s="9"/>
      <c r="AK374" s="9" t="s">
        <v>40</v>
      </c>
      <c r="AL374" s="9"/>
      <c r="AM374" s="42">
        <v>0</v>
      </c>
      <c r="AO374" s="42">
        <v>0</v>
      </c>
      <c r="AQ374" s="42">
        <v>0</v>
      </c>
      <c r="AS374" s="42">
        <v>0</v>
      </c>
      <c r="AW374" s="42">
        <v>0</v>
      </c>
      <c r="AY374" s="42">
        <f t="shared" si="42"/>
        <v>0</v>
      </c>
      <c r="BA374" s="42">
        <f>+'St of Act - GA Rev'!AI374-'St of Activities - GA Exp'!AY374</f>
        <v>0</v>
      </c>
      <c r="BC374" s="42">
        <v>0</v>
      </c>
      <c r="BE374" s="42">
        <f t="shared" si="40"/>
        <v>0</v>
      </c>
      <c r="BG374" s="42">
        <f>+'St of Net Pos - GA'!AE374-'St of Activities - GA Exp'!BE374</f>
        <v>0</v>
      </c>
    </row>
    <row r="375" spans="1:59">
      <c r="A375" s="9" t="s">
        <v>706</v>
      </c>
      <c r="B375" s="9"/>
      <c r="C375" s="9" t="s">
        <v>32</v>
      </c>
      <c r="D375" s="9"/>
      <c r="E375" s="23">
        <v>44412</v>
      </c>
      <c r="G375" s="42">
        <v>11489380</v>
      </c>
      <c r="I375" s="42">
        <v>7398964</v>
      </c>
      <c r="K375" s="42">
        <v>90901</v>
      </c>
      <c r="M375" s="42">
        <v>0</v>
      </c>
      <c r="O375" s="42">
        <v>4008934</v>
      </c>
      <c r="Q375" s="42">
        <v>2216957</v>
      </c>
      <c r="S375" s="42">
        <v>2392375</v>
      </c>
      <c r="U375" s="42">
        <v>0</v>
      </c>
      <c r="W375" s="42">
        <f>198600+2654937</f>
        <v>2853537</v>
      </c>
      <c r="Y375" s="42">
        <v>861539</v>
      </c>
      <c r="AA375" s="42">
        <v>62846</v>
      </c>
      <c r="AC375" s="42">
        <v>4216711</v>
      </c>
      <c r="AE375" s="42">
        <v>3163775</v>
      </c>
      <c r="AG375" s="42">
        <v>222129</v>
      </c>
      <c r="AI375" s="9" t="s">
        <v>706</v>
      </c>
      <c r="AJ375" s="9"/>
      <c r="AK375" s="9" t="s">
        <v>32</v>
      </c>
      <c r="AL375" s="9"/>
      <c r="AM375" s="42">
        <v>0</v>
      </c>
      <c r="AO375" s="42">
        <v>2138838</v>
      </c>
      <c r="AQ375" s="42">
        <v>717039</v>
      </c>
      <c r="AS375" s="42">
        <v>1394354</v>
      </c>
      <c r="AW375" s="42">
        <v>0</v>
      </c>
      <c r="AY375" s="42">
        <f t="shared" si="42"/>
        <v>43228279</v>
      </c>
      <c r="BA375" s="42">
        <f>+'St of Act - GA Rev'!AI375-'St of Activities - GA Exp'!AY375</f>
        <v>-469989</v>
      </c>
      <c r="BC375" s="42">
        <v>66739457</v>
      </c>
      <c r="BE375" s="42">
        <f t="shared" si="40"/>
        <v>66269468</v>
      </c>
      <c r="BG375" s="42">
        <f>+'St of Net Pos - GA'!AE375-'St of Activities - GA Exp'!BE375</f>
        <v>0</v>
      </c>
    </row>
    <row r="376" spans="1:59">
      <c r="A376" s="9" t="s">
        <v>344</v>
      </c>
      <c r="B376" s="9"/>
      <c r="C376" s="9" t="s">
        <v>34</v>
      </c>
      <c r="D376" s="9"/>
      <c r="E376" s="23">
        <v>44438</v>
      </c>
      <c r="G376" s="42">
        <v>8730902</v>
      </c>
      <c r="I376" s="42">
        <v>2983771</v>
      </c>
      <c r="K376" s="42">
        <v>239539</v>
      </c>
      <c r="M376" s="42">
        <v>0</v>
      </c>
      <c r="O376" s="42">
        <v>1504468</v>
      </c>
      <c r="Q376" s="42">
        <v>1112953</v>
      </c>
      <c r="S376" s="42">
        <v>1358703</v>
      </c>
      <c r="U376" s="42">
        <v>48357</v>
      </c>
      <c r="W376" s="42">
        <v>1405515</v>
      </c>
      <c r="Y376" s="42">
        <v>633665</v>
      </c>
      <c r="AA376" s="42">
        <v>0</v>
      </c>
      <c r="AC376" s="42">
        <v>2803306</v>
      </c>
      <c r="AE376" s="42">
        <v>1175429</v>
      </c>
      <c r="AG376" s="42">
        <v>212257</v>
      </c>
      <c r="AI376" s="9" t="s">
        <v>344</v>
      </c>
      <c r="AJ376" s="9"/>
      <c r="AK376" s="9" t="s">
        <v>34</v>
      </c>
      <c r="AL376" s="9"/>
      <c r="AM376" s="42">
        <v>0</v>
      </c>
      <c r="AO376" s="42">
        <v>839575</v>
      </c>
      <c r="AQ376" s="42">
        <v>809500</v>
      </c>
      <c r="AS376" s="42">
        <v>1262682</v>
      </c>
      <c r="AW376" s="42">
        <v>0</v>
      </c>
      <c r="AY376" s="42">
        <f t="shared" si="42"/>
        <v>25120622</v>
      </c>
      <c r="BA376" s="42">
        <f>+'St of Act - GA Rev'!AI376-'St of Activities - GA Exp'!AY376</f>
        <v>2522748</v>
      </c>
      <c r="BC376" s="42">
        <v>14325010</v>
      </c>
      <c r="BE376" s="42">
        <f t="shared" si="40"/>
        <v>16847758</v>
      </c>
      <c r="BG376" s="42">
        <f>+'St of Net Pos - GA'!AE376-'St of Activities - GA Exp'!BE376</f>
        <v>0</v>
      </c>
    </row>
    <row r="377" spans="1:59" hidden="1">
      <c r="A377" s="9" t="s">
        <v>759</v>
      </c>
      <c r="B377" s="9"/>
      <c r="C377" s="9" t="s">
        <v>57</v>
      </c>
      <c r="D377" s="9"/>
      <c r="E377" s="23">
        <v>49270</v>
      </c>
      <c r="G377" s="42">
        <v>0</v>
      </c>
      <c r="I377" s="42">
        <v>0</v>
      </c>
      <c r="K377" s="42">
        <v>0</v>
      </c>
      <c r="M377" s="42">
        <v>0</v>
      </c>
      <c r="O377" s="42">
        <v>0</v>
      </c>
      <c r="Q377" s="42">
        <v>0</v>
      </c>
      <c r="S377" s="42">
        <v>0</v>
      </c>
      <c r="U377" s="42">
        <v>0</v>
      </c>
      <c r="W377" s="42">
        <v>0</v>
      </c>
      <c r="Y377" s="42">
        <v>0</v>
      </c>
      <c r="AA377" s="42">
        <v>0</v>
      </c>
      <c r="AC377" s="42">
        <v>0</v>
      </c>
      <c r="AE377" s="42">
        <v>0</v>
      </c>
      <c r="AG377" s="42">
        <v>0</v>
      </c>
      <c r="AI377" s="9" t="s">
        <v>759</v>
      </c>
      <c r="AJ377" s="9"/>
      <c r="AK377" s="9" t="s">
        <v>57</v>
      </c>
      <c r="AL377" s="9"/>
      <c r="AM377" s="42">
        <v>0</v>
      </c>
      <c r="AO377" s="42">
        <v>0</v>
      </c>
      <c r="AQ377" s="42">
        <v>0</v>
      </c>
      <c r="AS377" s="42">
        <v>0</v>
      </c>
      <c r="AW377" s="42">
        <v>0</v>
      </c>
      <c r="BC377" s="42">
        <v>0</v>
      </c>
    </row>
    <row r="378" spans="1:59">
      <c r="A378" s="9" t="s">
        <v>210</v>
      </c>
      <c r="B378" s="9"/>
      <c r="C378" s="9" t="s">
        <v>13</v>
      </c>
      <c r="D378" s="9"/>
      <c r="E378" s="23">
        <v>44446</v>
      </c>
      <c r="G378" s="42">
        <v>5776905</v>
      </c>
      <c r="I378" s="42">
        <v>1815810</v>
      </c>
      <c r="K378" s="42">
        <v>169102</v>
      </c>
      <c r="M378" s="42">
        <v>0</v>
      </c>
      <c r="O378" s="42">
        <v>75027</v>
      </c>
      <c r="Q378" s="42">
        <v>369544</v>
      </c>
      <c r="S378" s="42">
        <v>763610</v>
      </c>
      <c r="U378" s="42">
        <v>65145</v>
      </c>
      <c r="W378" s="42">
        <v>1178494</v>
      </c>
      <c r="Y378" s="42">
        <v>326152</v>
      </c>
      <c r="AA378" s="42">
        <v>0</v>
      </c>
      <c r="AC378" s="42">
        <v>1387638</v>
      </c>
      <c r="AE378" s="42">
        <v>843404</v>
      </c>
      <c r="AG378" s="42">
        <v>40</v>
      </c>
      <c r="AI378" s="9" t="s">
        <v>210</v>
      </c>
      <c r="AJ378" s="9"/>
      <c r="AK378" s="9" t="s">
        <v>13</v>
      </c>
      <c r="AL378" s="9"/>
      <c r="AM378" s="42">
        <v>642691</v>
      </c>
      <c r="AO378" s="42">
        <v>1447</v>
      </c>
      <c r="AQ378" s="42">
        <v>295672</v>
      </c>
      <c r="AS378" s="42">
        <v>303122</v>
      </c>
      <c r="AW378" s="42">
        <v>266788</v>
      </c>
      <c r="AY378" s="42">
        <f t="shared" si="42"/>
        <v>14280591</v>
      </c>
      <c r="BA378" s="42">
        <f>+'St of Act - GA Rev'!AI378-'St of Activities - GA Exp'!AY378</f>
        <v>-76003</v>
      </c>
      <c r="BC378" s="42">
        <v>16389782</v>
      </c>
      <c r="BE378" s="42">
        <f t="shared" si="40"/>
        <v>16313779</v>
      </c>
      <c r="BG378" s="42">
        <f>+'St of Net Pos - GA'!AE378-'St of Activities - GA Exp'!BE378</f>
        <v>0</v>
      </c>
    </row>
    <row r="379" spans="1:59" ht="12" customHeight="1">
      <c r="A379" s="9" t="s">
        <v>603</v>
      </c>
      <c r="B379" s="9"/>
      <c r="C379" s="9" t="s">
        <v>27</v>
      </c>
      <c r="D379" s="9"/>
      <c r="E379" s="23">
        <v>46995</v>
      </c>
      <c r="G379" s="42">
        <v>26906192</v>
      </c>
      <c r="I379" s="42">
        <v>7199762</v>
      </c>
      <c r="K379" s="42">
        <v>0</v>
      </c>
      <c r="M379" s="42">
        <v>0</v>
      </c>
      <c r="O379" s="42">
        <v>302447</v>
      </c>
      <c r="Q379" s="42">
        <v>4670630</v>
      </c>
      <c r="S379" s="42">
        <v>3234302</v>
      </c>
      <c r="U379" s="42">
        <v>0</v>
      </c>
      <c r="W379" s="42">
        <f>67217+3593327</f>
        <v>3660544</v>
      </c>
      <c r="Y379" s="42">
        <v>0</v>
      </c>
      <c r="AA379" s="42">
        <v>1553796</v>
      </c>
      <c r="AC379" s="42">
        <v>4785814</v>
      </c>
      <c r="AE379" s="42">
        <v>3116311</v>
      </c>
      <c r="AG379" s="42">
        <v>325428</v>
      </c>
      <c r="AI379" s="9" t="s">
        <v>603</v>
      </c>
      <c r="AJ379" s="9"/>
      <c r="AK379" s="9" t="s">
        <v>27</v>
      </c>
      <c r="AL379" s="9"/>
      <c r="AM379" s="42">
        <v>1665921</v>
      </c>
      <c r="AO379" s="42">
        <v>1261188</v>
      </c>
      <c r="AQ379" s="42">
        <v>2377092</v>
      </c>
      <c r="AS379" s="42">
        <v>3362605</v>
      </c>
      <c r="AW379" s="42">
        <v>288373</v>
      </c>
      <c r="AY379" s="42">
        <f t="shared" si="42"/>
        <v>64710405</v>
      </c>
      <c r="BA379" s="42">
        <f>+'St of Act - GA Rev'!AI379-'St of Activities - GA Exp'!AY379</f>
        <v>-2155257</v>
      </c>
      <c r="BC379" s="42">
        <v>30597872</v>
      </c>
      <c r="BE379" s="42">
        <f t="shared" si="40"/>
        <v>28442615</v>
      </c>
      <c r="BG379" s="42">
        <f>+'St of Net Pos - GA'!AE379-'St of Activities - GA Exp'!BE379</f>
        <v>0</v>
      </c>
    </row>
    <row r="380" spans="1:59">
      <c r="A380" s="9" t="s">
        <v>480</v>
      </c>
      <c r="B380" s="9"/>
      <c r="C380" s="9" t="s">
        <v>59</v>
      </c>
      <c r="D380" s="9"/>
      <c r="E380" s="23">
        <v>44461</v>
      </c>
      <c r="G380" s="42">
        <v>2778099</v>
      </c>
      <c r="I380" s="42">
        <v>1130036</v>
      </c>
      <c r="K380" s="42">
        <v>131</v>
      </c>
      <c r="M380" s="42">
        <v>0</v>
      </c>
      <c r="O380" s="42">
        <v>576</v>
      </c>
      <c r="Q380" s="42">
        <v>219392</v>
      </c>
      <c r="S380" s="42">
        <v>410308</v>
      </c>
      <c r="U380" s="42">
        <v>14817</v>
      </c>
      <c r="W380" s="42">
        <v>543284</v>
      </c>
      <c r="Y380" s="42">
        <v>192248</v>
      </c>
      <c r="AA380" s="42">
        <v>0</v>
      </c>
      <c r="AC380" s="42">
        <v>1714863</v>
      </c>
      <c r="AE380" s="42">
        <v>141904</v>
      </c>
      <c r="AG380" s="42">
        <v>62601</v>
      </c>
      <c r="AI380" s="9" t="s">
        <v>480</v>
      </c>
      <c r="AJ380" s="9"/>
      <c r="AK380" s="9" t="s">
        <v>59</v>
      </c>
      <c r="AL380" s="9"/>
      <c r="AM380" s="42">
        <v>244561</v>
      </c>
      <c r="AO380" s="42">
        <v>0</v>
      </c>
      <c r="AQ380" s="42">
        <v>143452</v>
      </c>
      <c r="AS380" s="42">
        <v>232869</v>
      </c>
      <c r="AW380" s="42">
        <v>0</v>
      </c>
      <c r="AY380" s="42">
        <f t="shared" si="42"/>
        <v>7829141</v>
      </c>
      <c r="BA380" s="42">
        <f>+'St of Act - GA Rev'!AI380-'St of Activities - GA Exp'!AY380</f>
        <v>-1996333</v>
      </c>
      <c r="BC380" s="42">
        <v>21352771</v>
      </c>
      <c r="BE380" s="42">
        <f t="shared" si="40"/>
        <v>19356438</v>
      </c>
      <c r="BG380" s="42">
        <f>+'St of Net Pos - GA'!AE380-'St of Activities - GA Exp'!BE380</f>
        <v>0</v>
      </c>
    </row>
    <row r="381" spans="1:59">
      <c r="A381" s="9" t="s">
        <v>213</v>
      </c>
      <c r="B381" s="9"/>
      <c r="C381" s="9" t="s">
        <v>14</v>
      </c>
      <c r="D381" s="9"/>
      <c r="E381" s="23">
        <v>45955</v>
      </c>
      <c r="G381" s="42">
        <v>4774723</v>
      </c>
      <c r="I381" s="42">
        <v>491725</v>
      </c>
      <c r="K381" s="42">
        <v>158608</v>
      </c>
      <c r="M381" s="42">
        <v>0</v>
      </c>
      <c r="O381" s="42">
        <v>0</v>
      </c>
      <c r="Q381" s="42">
        <v>598615</v>
      </c>
      <c r="S381" s="42">
        <v>650592</v>
      </c>
      <c r="U381" s="42">
        <v>53327</v>
      </c>
      <c r="W381" s="42">
        <v>745387</v>
      </c>
      <c r="Y381" s="42">
        <v>209651</v>
      </c>
      <c r="AA381" s="42">
        <v>0</v>
      </c>
      <c r="AC381" s="42">
        <v>1060800</v>
      </c>
      <c r="AE381" s="42">
        <v>201883</v>
      </c>
      <c r="AG381" s="42">
        <v>70846</v>
      </c>
      <c r="AI381" s="9" t="s">
        <v>213</v>
      </c>
      <c r="AJ381" s="9"/>
      <c r="AK381" s="9" t="s">
        <v>14</v>
      </c>
      <c r="AL381" s="9"/>
      <c r="AM381" s="42">
        <v>0</v>
      </c>
      <c r="AO381" s="42">
        <v>349341</v>
      </c>
      <c r="AQ381" s="42">
        <v>516121</v>
      </c>
      <c r="AS381" s="42">
        <v>387334</v>
      </c>
      <c r="AW381" s="42">
        <v>0</v>
      </c>
      <c r="AY381" s="42">
        <f t="shared" si="42"/>
        <v>10268953</v>
      </c>
      <c r="BA381" s="42">
        <f>+'St of Act - GA Rev'!AI381-'St of Activities - GA Exp'!AY381</f>
        <v>-85908</v>
      </c>
      <c r="BC381" s="42">
        <v>16024774</v>
      </c>
      <c r="BE381" s="42">
        <f t="shared" si="40"/>
        <v>15938866</v>
      </c>
      <c r="BG381" s="42">
        <f>+'St of Net Pos - GA'!AE381-'St of Activities - GA Exp'!BE381</f>
        <v>0</v>
      </c>
    </row>
    <row r="382" spans="1:59" ht="12" hidden="1" customHeight="1">
      <c r="A382" s="9" t="s">
        <v>700</v>
      </c>
      <c r="B382" s="9"/>
      <c r="C382" s="9" t="s">
        <v>14</v>
      </c>
      <c r="D382" s="9"/>
      <c r="E382" s="23">
        <v>45963</v>
      </c>
      <c r="G382" s="42">
        <v>0</v>
      </c>
      <c r="I382" s="42">
        <v>0</v>
      </c>
      <c r="K382" s="42">
        <v>0</v>
      </c>
      <c r="M382" s="42">
        <v>0</v>
      </c>
      <c r="O382" s="42">
        <v>0</v>
      </c>
      <c r="Q382" s="42">
        <v>0</v>
      </c>
      <c r="S382" s="42">
        <v>0</v>
      </c>
      <c r="U382" s="42">
        <v>0</v>
      </c>
      <c r="W382" s="42">
        <v>0</v>
      </c>
      <c r="Y382" s="42">
        <v>0</v>
      </c>
      <c r="AA382" s="42">
        <v>0</v>
      </c>
      <c r="AC382" s="42">
        <v>0</v>
      </c>
      <c r="AE382" s="42">
        <v>0</v>
      </c>
      <c r="AG382" s="42">
        <v>0</v>
      </c>
      <c r="AI382" s="9" t="s">
        <v>700</v>
      </c>
      <c r="AJ382" s="9"/>
      <c r="AK382" s="9" t="s">
        <v>14</v>
      </c>
      <c r="AL382" s="9"/>
      <c r="AM382" s="42">
        <v>0</v>
      </c>
      <c r="AO382" s="42">
        <v>0</v>
      </c>
      <c r="AQ382" s="42">
        <v>0</v>
      </c>
      <c r="AS382" s="42">
        <v>0</v>
      </c>
      <c r="AW382" s="42">
        <v>0</v>
      </c>
      <c r="AY382" s="42">
        <f t="shared" si="42"/>
        <v>0</v>
      </c>
      <c r="BA382" s="42">
        <f>+'St of Act - GA Rev'!AI382-'St of Activities - GA Exp'!AY382</f>
        <v>0</v>
      </c>
      <c r="BC382" s="42">
        <v>0</v>
      </c>
      <c r="BE382" s="42">
        <f t="shared" si="40"/>
        <v>0</v>
      </c>
      <c r="BG382" s="42">
        <f>+'St of Net Pos - GA'!AE382-'St of Activities - GA Exp'!BE382</f>
        <v>0</v>
      </c>
    </row>
    <row r="383" spans="1:59" ht="12" customHeight="1">
      <c r="A383" s="9" t="s">
        <v>430</v>
      </c>
      <c r="B383" s="9"/>
      <c r="C383" s="9" t="s">
        <v>50</v>
      </c>
      <c r="D383" s="9"/>
      <c r="E383" s="23">
        <v>48710</v>
      </c>
      <c r="G383" s="42">
        <v>4932563</v>
      </c>
      <c r="I383" s="42">
        <v>1419515</v>
      </c>
      <c r="K383" s="42">
        <v>0</v>
      </c>
      <c r="M383" s="42">
        <v>0</v>
      </c>
      <c r="O383" s="42">
        <v>368430</v>
      </c>
      <c r="Q383" s="42">
        <v>487779</v>
      </c>
      <c r="S383" s="42">
        <v>912110</v>
      </c>
      <c r="U383" s="42">
        <v>0</v>
      </c>
      <c r="W383" s="42">
        <f>82898+883463</f>
        <v>966361</v>
      </c>
      <c r="Y383" s="42">
        <v>208254</v>
      </c>
      <c r="AA383" s="42">
        <v>79279</v>
      </c>
      <c r="AC383" s="42">
        <v>1251267</v>
      </c>
      <c r="AE383" s="42">
        <v>546667</v>
      </c>
      <c r="AG383" s="42">
        <v>168761</v>
      </c>
      <c r="AI383" s="9" t="s">
        <v>430</v>
      </c>
      <c r="AJ383" s="9"/>
      <c r="AK383" s="9" t="s">
        <v>50</v>
      </c>
      <c r="AL383" s="9"/>
      <c r="AM383" s="42">
        <v>0</v>
      </c>
      <c r="AO383" s="42">
        <v>549882</v>
      </c>
      <c r="AQ383" s="42">
        <v>475498</v>
      </c>
      <c r="AS383" s="42">
        <v>117021</v>
      </c>
      <c r="AW383" s="42">
        <v>0</v>
      </c>
      <c r="AY383" s="42">
        <f t="shared" si="42"/>
        <v>12483387</v>
      </c>
      <c r="BA383" s="42">
        <f>+'St of Act - GA Rev'!AI383-'St of Activities - GA Exp'!AY383</f>
        <v>456281</v>
      </c>
      <c r="BC383" s="42">
        <v>28628713</v>
      </c>
      <c r="BE383" s="42">
        <f t="shared" si="40"/>
        <v>29084994</v>
      </c>
      <c r="BG383" s="42">
        <f>+'St of Net Pos - GA'!AE383-'St of Activities - GA Exp'!BE383</f>
        <v>0</v>
      </c>
    </row>
    <row r="384" spans="1:59" hidden="1">
      <c r="A384" s="9" t="s">
        <v>803</v>
      </c>
      <c r="B384" s="9"/>
      <c r="C384" s="9" t="s">
        <v>448</v>
      </c>
      <c r="D384" s="9"/>
      <c r="E384" s="23">
        <v>44479</v>
      </c>
      <c r="G384" s="42">
        <v>0</v>
      </c>
      <c r="I384" s="42">
        <v>0</v>
      </c>
      <c r="K384" s="42">
        <v>0</v>
      </c>
      <c r="M384" s="42">
        <v>0</v>
      </c>
      <c r="O384" s="42">
        <v>0</v>
      </c>
      <c r="Q384" s="42">
        <v>0</v>
      </c>
      <c r="S384" s="42">
        <v>0</v>
      </c>
      <c r="U384" s="42">
        <v>0</v>
      </c>
      <c r="W384" s="42">
        <v>0</v>
      </c>
      <c r="Y384" s="42">
        <v>0</v>
      </c>
      <c r="AA384" s="42">
        <v>0</v>
      </c>
      <c r="AC384" s="42">
        <v>0</v>
      </c>
      <c r="AE384" s="42">
        <v>0</v>
      </c>
      <c r="AG384" s="42">
        <v>0</v>
      </c>
      <c r="AI384" s="9" t="s">
        <v>803</v>
      </c>
      <c r="AJ384" s="9"/>
      <c r="AK384" s="9" t="s">
        <v>448</v>
      </c>
      <c r="AL384" s="9"/>
      <c r="AM384" s="42">
        <v>0</v>
      </c>
      <c r="AO384" s="42">
        <v>0</v>
      </c>
      <c r="AQ384" s="42">
        <v>0</v>
      </c>
      <c r="AS384" s="42">
        <v>0</v>
      </c>
      <c r="AW384" s="42">
        <v>0</v>
      </c>
      <c r="AY384" s="42">
        <f t="shared" si="42"/>
        <v>0</v>
      </c>
      <c r="BA384" s="42">
        <f>+'St of Act - GA Rev'!AI384-'St of Activities - GA Exp'!AY384</f>
        <v>0</v>
      </c>
      <c r="BC384" s="42">
        <v>0</v>
      </c>
      <c r="BE384" s="42">
        <f t="shared" si="40"/>
        <v>0</v>
      </c>
      <c r="BG384" s="42">
        <f>+'St of Net Pos - GA'!AE384-'St of Activities - GA Exp'!BE384</f>
        <v>0</v>
      </c>
    </row>
    <row r="385" spans="1:59">
      <c r="A385" s="9" t="s">
        <v>355</v>
      </c>
      <c r="B385" s="9"/>
      <c r="C385" s="9" t="s">
        <v>37</v>
      </c>
      <c r="D385" s="9"/>
      <c r="E385" s="23">
        <v>47720</v>
      </c>
      <c r="G385" s="42">
        <v>5658047</v>
      </c>
      <c r="I385" s="42">
        <v>1290215</v>
      </c>
      <c r="K385" s="42">
        <v>239942</v>
      </c>
      <c r="M385" s="42">
        <v>0</v>
      </c>
      <c r="O385" s="42">
        <v>12787</v>
      </c>
      <c r="Q385" s="42">
        <v>481781</v>
      </c>
      <c r="S385" s="42">
        <v>216776</v>
      </c>
      <c r="U385" s="42">
        <v>23141</v>
      </c>
      <c r="W385" s="42">
        <v>743943</v>
      </c>
      <c r="Y385" s="42">
        <v>336472</v>
      </c>
      <c r="AA385" s="42">
        <v>2408</v>
      </c>
      <c r="AC385" s="42">
        <v>905788</v>
      </c>
      <c r="AE385" s="42">
        <v>597483</v>
      </c>
      <c r="AG385" s="42">
        <v>187956</v>
      </c>
      <c r="AI385" s="9" t="s">
        <v>355</v>
      </c>
      <c r="AJ385" s="9"/>
      <c r="AK385" s="9" t="s">
        <v>37</v>
      </c>
      <c r="AL385" s="9"/>
      <c r="AM385" s="42">
        <v>402268</v>
      </c>
      <c r="AO385" s="42">
        <v>2781</v>
      </c>
      <c r="AQ385" s="42">
        <v>415266</v>
      </c>
      <c r="AS385" s="42">
        <v>90947</v>
      </c>
      <c r="AW385" s="42">
        <v>0</v>
      </c>
      <c r="AY385" s="42">
        <f t="shared" si="42"/>
        <v>11608001</v>
      </c>
      <c r="BA385" s="42">
        <f>+'St of Act - GA Rev'!AI385-'St of Activities - GA Exp'!AY385</f>
        <v>-1003334</v>
      </c>
      <c r="BC385" s="42">
        <v>12036104</v>
      </c>
      <c r="BE385" s="42">
        <f t="shared" si="40"/>
        <v>11032770</v>
      </c>
      <c r="BG385" s="42">
        <f>+'St of Net Pos - GA'!AE385-'St of Activities - GA Exp'!BE385</f>
        <v>0</v>
      </c>
    </row>
    <row r="386" spans="1:59">
      <c r="A386" s="9" t="s">
        <v>225</v>
      </c>
      <c r="B386" s="9"/>
      <c r="C386" s="9" t="s">
        <v>220</v>
      </c>
      <c r="D386" s="9"/>
      <c r="E386" s="23">
        <v>46136</v>
      </c>
      <c r="G386" s="42">
        <v>3447447</v>
      </c>
      <c r="I386" s="42">
        <v>657755</v>
      </c>
      <c r="K386" s="42">
        <v>0</v>
      </c>
      <c r="M386" s="42">
        <v>0</v>
      </c>
      <c r="O386" s="42">
        <v>43747</v>
      </c>
      <c r="Q386" s="42">
        <v>378351</v>
      </c>
      <c r="S386" s="42">
        <v>183081</v>
      </c>
      <c r="U386" s="42">
        <v>35864</v>
      </c>
      <c r="W386" s="42">
        <v>795560</v>
      </c>
      <c r="Y386" s="42">
        <v>193888</v>
      </c>
      <c r="AA386" s="42">
        <v>13008</v>
      </c>
      <c r="AC386" s="42">
        <v>852340</v>
      </c>
      <c r="AE386" s="42">
        <v>483350</v>
      </c>
      <c r="AG386" s="42">
        <v>0</v>
      </c>
      <c r="AI386" s="9" t="s">
        <v>225</v>
      </c>
      <c r="AJ386" s="9"/>
      <c r="AK386" s="9" t="s">
        <v>220</v>
      </c>
      <c r="AL386" s="9"/>
      <c r="AM386" s="42">
        <v>478779</v>
      </c>
      <c r="AO386" s="42">
        <v>0</v>
      </c>
      <c r="AQ386" s="42">
        <v>149495</v>
      </c>
      <c r="AS386" s="42">
        <v>99449</v>
      </c>
      <c r="AW386" s="42">
        <v>0</v>
      </c>
      <c r="AY386" s="42">
        <f t="shared" si="42"/>
        <v>7812114</v>
      </c>
      <c r="BA386" s="42">
        <f>+'St of Act - GA Rev'!AI386-'St of Activities - GA Exp'!AY386</f>
        <v>-219187</v>
      </c>
      <c r="BC386" s="42">
        <v>13619404</v>
      </c>
      <c r="BE386" s="42">
        <f t="shared" si="40"/>
        <v>13400217</v>
      </c>
      <c r="BG386" s="42">
        <f>+'St of Net Pos - GA'!AE386-'St of Activities - GA Exp'!BE386</f>
        <v>0</v>
      </c>
    </row>
    <row r="387" spans="1:59">
      <c r="A387" s="9" t="s">
        <v>533</v>
      </c>
      <c r="B387" s="9"/>
      <c r="C387" s="9" t="s">
        <v>65</v>
      </c>
      <c r="D387" s="9"/>
      <c r="E387" s="23">
        <v>44487</v>
      </c>
      <c r="G387" s="42">
        <v>12633964</v>
      </c>
      <c r="I387" s="42">
        <v>3194461</v>
      </c>
      <c r="K387" s="42">
        <v>135205</v>
      </c>
      <c r="M387" s="42">
        <v>0</v>
      </c>
      <c r="O387" s="42">
        <v>2630820</v>
      </c>
      <c r="Q387" s="42">
        <v>1619372</v>
      </c>
      <c r="S387" s="42">
        <v>1080886</v>
      </c>
      <c r="U387" s="42">
        <v>31432</v>
      </c>
      <c r="W387" s="42">
        <v>2430676</v>
      </c>
      <c r="Y387" s="42">
        <v>836100</v>
      </c>
      <c r="AA387" s="42">
        <v>0</v>
      </c>
      <c r="AC387" s="42">
        <v>2513922</v>
      </c>
      <c r="AE387" s="42">
        <v>841225</v>
      </c>
      <c r="AG387" s="42">
        <v>0</v>
      </c>
      <c r="AI387" s="9" t="s">
        <v>533</v>
      </c>
      <c r="AJ387" s="9"/>
      <c r="AK387" s="9" t="s">
        <v>65</v>
      </c>
      <c r="AL387" s="9"/>
      <c r="AM387" s="42">
        <v>846097</v>
      </c>
      <c r="AO387" s="42">
        <v>579936</v>
      </c>
      <c r="AQ387" s="42">
        <v>1179865</v>
      </c>
      <c r="AS387" s="42">
        <v>130416</v>
      </c>
      <c r="AW387" s="42">
        <v>0</v>
      </c>
      <c r="AY387" s="42">
        <f t="shared" si="42"/>
        <v>30684377</v>
      </c>
      <c r="BA387" s="42">
        <f>+'St of Act - GA Rev'!AI387-'St of Activities - GA Exp'!AY387</f>
        <v>-1647449</v>
      </c>
      <c r="BC387" s="42">
        <v>15299867</v>
      </c>
      <c r="BE387" s="42">
        <f t="shared" si="40"/>
        <v>13652418</v>
      </c>
      <c r="BG387" s="42">
        <f>+'St of Net Pos - GA'!AE387-'St of Activities - GA Exp'!BE387</f>
        <v>0</v>
      </c>
    </row>
    <row r="388" spans="1:59">
      <c r="A388" s="9" t="s">
        <v>766</v>
      </c>
      <c r="B388" s="9"/>
      <c r="C388" s="9" t="s">
        <v>112</v>
      </c>
      <c r="D388" s="9"/>
      <c r="E388" s="23">
        <v>45559</v>
      </c>
      <c r="G388" s="42">
        <v>13503599</v>
      </c>
      <c r="I388" s="42">
        <v>3141834</v>
      </c>
      <c r="K388" s="42">
        <v>0</v>
      </c>
      <c r="M388" s="42">
        <v>30326</v>
      </c>
      <c r="O388" s="42">
        <v>0</v>
      </c>
      <c r="Q388" s="42">
        <v>1059376</v>
      </c>
      <c r="S388" s="42">
        <v>1208374</v>
      </c>
      <c r="U388" s="42">
        <v>101725</v>
      </c>
      <c r="W388" s="42">
        <v>1743358</v>
      </c>
      <c r="Y388" s="42">
        <v>887678</v>
      </c>
      <c r="AA388" s="42">
        <v>0</v>
      </c>
      <c r="AC388" s="42">
        <v>3271023</v>
      </c>
      <c r="AE388" s="42">
        <v>1663652</v>
      </c>
      <c r="AG388" s="42">
        <v>371081</v>
      </c>
      <c r="AI388" s="9" t="s">
        <v>766</v>
      </c>
      <c r="AJ388" s="9"/>
      <c r="AK388" s="9" t="s">
        <v>112</v>
      </c>
      <c r="AL388" s="9"/>
      <c r="AM388" s="42">
        <v>0</v>
      </c>
      <c r="AO388" s="42">
        <v>777</v>
      </c>
      <c r="AQ388" s="42">
        <v>572421</v>
      </c>
      <c r="AS388" s="42">
        <v>0</v>
      </c>
      <c r="AW388" s="42">
        <v>0</v>
      </c>
      <c r="AY388" s="42">
        <f t="shared" si="42"/>
        <v>27555224</v>
      </c>
      <c r="BA388" s="42">
        <f>+'St of Act - GA Rev'!AI388-'St of Activities - GA Exp'!AY388</f>
        <v>2528113</v>
      </c>
      <c r="BC388" s="42">
        <v>38355223</v>
      </c>
      <c r="BE388" s="42">
        <f t="shared" si="40"/>
        <v>40883336</v>
      </c>
      <c r="BG388" s="42">
        <f>+'St of Net Pos - GA'!AE388-'St of Activities - GA Exp'!BE388</f>
        <v>0</v>
      </c>
    </row>
    <row r="389" spans="1:59" ht="12" hidden="1" customHeight="1">
      <c r="A389" s="9" t="s">
        <v>804</v>
      </c>
      <c r="B389" s="9"/>
      <c r="C389" s="9" t="s">
        <v>60</v>
      </c>
      <c r="D389" s="9"/>
      <c r="E389" s="23">
        <v>49718</v>
      </c>
      <c r="G389" s="42">
        <v>0</v>
      </c>
      <c r="I389" s="42">
        <v>0</v>
      </c>
      <c r="K389" s="42">
        <v>0</v>
      </c>
      <c r="M389" s="42">
        <v>0</v>
      </c>
      <c r="O389" s="42">
        <v>0</v>
      </c>
      <c r="Q389" s="42">
        <v>0</v>
      </c>
      <c r="S389" s="42">
        <v>0</v>
      </c>
      <c r="U389" s="42">
        <v>0</v>
      </c>
      <c r="W389" s="42">
        <v>0</v>
      </c>
      <c r="Y389" s="42">
        <v>0</v>
      </c>
      <c r="AA389" s="42">
        <v>0</v>
      </c>
      <c r="AC389" s="42">
        <v>0</v>
      </c>
      <c r="AE389" s="42">
        <v>0</v>
      </c>
      <c r="AG389" s="42">
        <v>0</v>
      </c>
      <c r="AI389" s="9" t="s">
        <v>804</v>
      </c>
      <c r="AJ389" s="9"/>
      <c r="AK389" s="9" t="s">
        <v>60</v>
      </c>
      <c r="AL389" s="9"/>
      <c r="AM389" s="42">
        <v>0</v>
      </c>
      <c r="AO389" s="42">
        <v>0</v>
      </c>
      <c r="AQ389" s="42">
        <v>0</v>
      </c>
      <c r="AS389" s="42">
        <v>0</v>
      </c>
      <c r="AW389" s="42">
        <v>0</v>
      </c>
      <c r="AY389" s="42">
        <f t="shared" si="42"/>
        <v>0</v>
      </c>
      <c r="BA389" s="42">
        <f>+'St of Act - GA Rev'!AI389-'St of Activities - GA Exp'!AY389</f>
        <v>0</v>
      </c>
      <c r="BC389" s="42">
        <v>0</v>
      </c>
      <c r="BE389" s="42">
        <f t="shared" si="40"/>
        <v>0</v>
      </c>
      <c r="BG389" s="42">
        <f>+'St of Net Pos - GA'!AE389-'St of Activities - GA Exp'!BE389</f>
        <v>0</v>
      </c>
    </row>
    <row r="390" spans="1:59">
      <c r="A390" s="9" t="s">
        <v>374</v>
      </c>
      <c r="B390" s="9"/>
      <c r="C390" s="9" t="s">
        <v>42</v>
      </c>
      <c r="D390" s="9"/>
      <c r="E390" s="23">
        <v>44453</v>
      </c>
      <c r="G390" s="42">
        <v>33001079</v>
      </c>
      <c r="I390" s="42">
        <v>9533160</v>
      </c>
      <c r="K390" s="42">
        <v>370850</v>
      </c>
      <c r="M390" s="42">
        <v>0</v>
      </c>
      <c r="O390" s="42">
        <v>263687</v>
      </c>
      <c r="Q390" s="42">
        <v>3694655</v>
      </c>
      <c r="S390" s="42">
        <v>3974951</v>
      </c>
      <c r="U390" s="42">
        <v>130169</v>
      </c>
      <c r="W390" s="42">
        <v>3627531</v>
      </c>
      <c r="Y390" s="42">
        <v>1283969</v>
      </c>
      <c r="AA390" s="42">
        <v>450361</v>
      </c>
      <c r="AC390" s="42">
        <v>6094397</v>
      </c>
      <c r="AE390" s="42">
        <v>2439472</v>
      </c>
      <c r="AG390" s="42">
        <v>1055945</v>
      </c>
      <c r="AI390" s="9" t="s">
        <v>374</v>
      </c>
      <c r="AJ390" s="9"/>
      <c r="AK390" s="9" t="s">
        <v>42</v>
      </c>
      <c r="AL390" s="9"/>
      <c r="AM390" s="42">
        <v>2385819</v>
      </c>
      <c r="AO390" s="42">
        <v>775455</v>
      </c>
      <c r="AQ390" s="42">
        <v>639287</v>
      </c>
      <c r="AS390" s="42">
        <v>2718848</v>
      </c>
      <c r="AW390" s="42">
        <v>0</v>
      </c>
      <c r="AY390" s="42">
        <f t="shared" si="42"/>
        <v>72439635</v>
      </c>
      <c r="BA390" s="42">
        <f>+'St of Act - GA Rev'!AI390-'St of Activities - GA Exp'!AY390</f>
        <v>2162761</v>
      </c>
      <c r="BC390" s="42">
        <v>108849656</v>
      </c>
      <c r="BE390" s="42">
        <f t="shared" si="40"/>
        <v>111012417</v>
      </c>
      <c r="BG390" s="42">
        <f>+'St of Net Pos - GA'!AE390-'St of Activities - GA Exp'!BE390</f>
        <v>0</v>
      </c>
    </row>
    <row r="391" spans="1:59" hidden="1">
      <c r="A391" s="8" t="s">
        <v>867</v>
      </c>
      <c r="B391" s="9"/>
      <c r="C391" s="9" t="s">
        <v>30</v>
      </c>
      <c r="D391" s="9"/>
      <c r="E391" s="23">
        <v>47217</v>
      </c>
      <c r="G391" s="42">
        <v>0</v>
      </c>
      <c r="I391" s="42">
        <v>0</v>
      </c>
      <c r="K391" s="42">
        <v>0</v>
      </c>
      <c r="M391" s="42">
        <v>0</v>
      </c>
      <c r="O391" s="42">
        <v>0</v>
      </c>
      <c r="Q391" s="42">
        <v>0</v>
      </c>
      <c r="S391" s="42">
        <v>0</v>
      </c>
      <c r="U391" s="42">
        <v>0</v>
      </c>
      <c r="W391" s="42">
        <v>0</v>
      </c>
      <c r="Y391" s="42">
        <v>0</v>
      </c>
      <c r="AA391" s="42">
        <v>0</v>
      </c>
      <c r="AC391" s="42">
        <v>0</v>
      </c>
      <c r="AE391" s="42">
        <v>0</v>
      </c>
      <c r="AG391" s="42">
        <v>0</v>
      </c>
      <c r="AI391" s="8" t="s">
        <v>867</v>
      </c>
      <c r="AJ391" s="9"/>
      <c r="AK391" s="9" t="s">
        <v>30</v>
      </c>
      <c r="AL391" s="9"/>
      <c r="AM391" s="42">
        <v>0</v>
      </c>
      <c r="AO391" s="42">
        <v>0</v>
      </c>
      <c r="AQ391" s="42">
        <v>0</v>
      </c>
      <c r="AS391" s="42">
        <v>0</v>
      </c>
      <c r="AW391" s="42">
        <v>0</v>
      </c>
      <c r="AY391" s="42">
        <f t="shared" si="42"/>
        <v>0</v>
      </c>
      <c r="BA391" s="42">
        <f>+'St of Act - GA Rev'!AI391-'St of Activities - GA Exp'!AY391</f>
        <v>0</v>
      </c>
      <c r="BC391" s="42">
        <v>0</v>
      </c>
      <c r="BE391" s="42">
        <f t="shared" si="40"/>
        <v>0</v>
      </c>
      <c r="BG391" s="42">
        <f>+'St of Net Pos - GA'!AE391-'St of Activities - GA Exp'!BE391</f>
        <v>0</v>
      </c>
    </row>
    <row r="392" spans="1:59">
      <c r="A392" s="9" t="s">
        <v>767</v>
      </c>
      <c r="B392" s="9"/>
      <c r="C392" s="9" t="s">
        <v>65</v>
      </c>
      <c r="D392" s="9"/>
      <c r="E392" s="23">
        <v>45542</v>
      </c>
      <c r="G392" s="42">
        <v>4560775</v>
      </c>
      <c r="I392" s="42">
        <v>1521479</v>
      </c>
      <c r="K392" s="42">
        <v>65491</v>
      </c>
      <c r="M392" s="42">
        <v>7424</v>
      </c>
      <c r="O392" s="42">
        <v>682373</v>
      </c>
      <c r="Q392" s="42">
        <v>380887</v>
      </c>
      <c r="S392" s="42">
        <v>760253</v>
      </c>
      <c r="U392" s="42">
        <v>26316</v>
      </c>
      <c r="W392" s="42">
        <v>1043334</v>
      </c>
      <c r="Y392" s="42">
        <v>284595</v>
      </c>
      <c r="AA392" s="42">
        <v>0</v>
      </c>
      <c r="AC392" s="42">
        <v>1491492</v>
      </c>
      <c r="AE392" s="42">
        <v>563600</v>
      </c>
      <c r="AG392" s="42">
        <v>0</v>
      </c>
      <c r="AI392" s="9" t="s">
        <v>767</v>
      </c>
      <c r="AJ392" s="9"/>
      <c r="AK392" s="9" t="s">
        <v>65</v>
      </c>
      <c r="AL392" s="9"/>
      <c r="AM392" s="42">
        <v>622243</v>
      </c>
      <c r="AO392" s="42">
        <v>22032</v>
      </c>
      <c r="AQ392" s="42">
        <v>389384</v>
      </c>
      <c r="AS392" s="42">
        <v>82844</v>
      </c>
      <c r="AW392" s="42">
        <v>0</v>
      </c>
      <c r="AY392" s="42">
        <f t="shared" si="42"/>
        <v>12504522</v>
      </c>
      <c r="BA392" s="42">
        <f>+'St of Act - GA Rev'!AI392-'St of Activities - GA Exp'!AY392</f>
        <v>-792128</v>
      </c>
      <c r="BC392" s="42">
        <v>13162300</v>
      </c>
      <c r="BE392" s="42">
        <f t="shared" si="40"/>
        <v>12370172</v>
      </c>
      <c r="BG392" s="42">
        <f>+'St of Net Pos - GA'!AE392-'St of Activities - GA Exp'!BE392</f>
        <v>0</v>
      </c>
    </row>
    <row r="393" spans="1:59" ht="12" customHeight="1">
      <c r="A393" s="9" t="s">
        <v>768</v>
      </c>
      <c r="B393" s="9"/>
      <c r="C393" s="9" t="s">
        <v>64</v>
      </c>
      <c r="D393" s="9"/>
      <c r="E393" s="23">
        <v>45567</v>
      </c>
      <c r="G393" s="42">
        <v>6652615</v>
      </c>
      <c r="I393" s="42">
        <v>1545314</v>
      </c>
      <c r="K393" s="42">
        <v>121304</v>
      </c>
      <c r="M393" s="42">
        <v>1000</v>
      </c>
      <c r="O393" s="42">
        <v>0</v>
      </c>
      <c r="Q393" s="42">
        <v>691530</v>
      </c>
      <c r="S393" s="42">
        <v>446936</v>
      </c>
      <c r="U393" s="42">
        <v>89734</v>
      </c>
      <c r="W393" s="42">
        <v>1188584</v>
      </c>
      <c r="Y393" s="42">
        <v>294279</v>
      </c>
      <c r="AA393" s="42">
        <v>0</v>
      </c>
      <c r="AC393" s="42">
        <v>1112565</v>
      </c>
      <c r="AE393" s="42">
        <v>657739</v>
      </c>
      <c r="AG393" s="42">
        <v>169732</v>
      </c>
      <c r="AI393" s="9" t="s">
        <v>768</v>
      </c>
      <c r="AJ393" s="9"/>
      <c r="AK393" s="9" t="s">
        <v>64</v>
      </c>
      <c r="AL393" s="9"/>
      <c r="AM393" s="42">
        <v>535053</v>
      </c>
      <c r="AO393" s="42">
        <v>0</v>
      </c>
      <c r="AQ393" s="42">
        <v>400283</v>
      </c>
      <c r="AS393" s="42">
        <v>66910</v>
      </c>
      <c r="AW393" s="42">
        <v>0</v>
      </c>
      <c r="AY393" s="42">
        <f t="shared" si="42"/>
        <v>13973578</v>
      </c>
      <c r="BA393" s="42">
        <f>+'St of Act - GA Rev'!AI393-'St of Activities - GA Exp'!AY393</f>
        <v>-1452139</v>
      </c>
      <c r="BC393" s="42">
        <v>15959682</v>
      </c>
      <c r="BE393" s="42">
        <f t="shared" si="40"/>
        <v>14507543</v>
      </c>
      <c r="BG393" s="42">
        <f>+'St of Net Pos - GA'!AE393-'St of Activities - GA Exp'!BE393</f>
        <v>0</v>
      </c>
    </row>
    <row r="394" spans="1:59" hidden="1">
      <c r="A394" s="9" t="s">
        <v>805</v>
      </c>
      <c r="B394" s="9"/>
      <c r="C394" s="9" t="s">
        <v>48</v>
      </c>
      <c r="D394" s="9"/>
      <c r="E394" s="23">
        <v>48637</v>
      </c>
      <c r="G394" s="42">
        <v>0</v>
      </c>
      <c r="I394" s="42">
        <v>0</v>
      </c>
      <c r="K394" s="42">
        <v>0</v>
      </c>
      <c r="M394" s="42">
        <v>0</v>
      </c>
      <c r="O394" s="42">
        <v>0</v>
      </c>
      <c r="Q394" s="42">
        <v>0</v>
      </c>
      <c r="S394" s="42">
        <v>0</v>
      </c>
      <c r="U394" s="42">
        <v>0</v>
      </c>
      <c r="W394" s="42">
        <v>0</v>
      </c>
      <c r="Y394" s="42">
        <v>0</v>
      </c>
      <c r="AA394" s="42">
        <v>0</v>
      </c>
      <c r="AC394" s="42">
        <v>0</v>
      </c>
      <c r="AE394" s="42">
        <v>0</v>
      </c>
      <c r="AG394" s="42">
        <v>0</v>
      </c>
      <c r="AI394" s="9" t="s">
        <v>805</v>
      </c>
      <c r="AJ394" s="9"/>
      <c r="AK394" s="9" t="s">
        <v>48</v>
      </c>
      <c r="AL394" s="9"/>
      <c r="AM394" s="42">
        <v>0</v>
      </c>
      <c r="AO394" s="42">
        <v>0</v>
      </c>
      <c r="AQ394" s="42">
        <v>0</v>
      </c>
      <c r="AS394" s="42">
        <v>0</v>
      </c>
      <c r="AW394" s="42">
        <v>0</v>
      </c>
      <c r="AY394" s="42">
        <f t="shared" si="42"/>
        <v>0</v>
      </c>
      <c r="BA394" s="42">
        <f>+'St of Act - GA Rev'!AI394-'St of Activities - GA Exp'!AY394</f>
        <v>0</v>
      </c>
      <c r="BC394" s="42">
        <v>0</v>
      </c>
      <c r="BE394" s="42">
        <f t="shared" si="40"/>
        <v>0</v>
      </c>
      <c r="BG394" s="42">
        <f>+'St of Net Pos - GA'!AE394-'St of Activities - GA Exp'!BE394</f>
        <v>0</v>
      </c>
    </row>
    <row r="395" spans="1:59" ht="12" customHeight="1">
      <c r="A395" s="9" t="s">
        <v>601</v>
      </c>
      <c r="B395" s="9"/>
      <c r="C395" s="9" t="s">
        <v>64</v>
      </c>
      <c r="D395" s="9"/>
      <c r="E395" s="23">
        <v>44495</v>
      </c>
      <c r="G395" s="42">
        <v>12560112</v>
      </c>
      <c r="I395" s="42">
        <v>3705193</v>
      </c>
      <c r="K395" s="42">
        <v>98711</v>
      </c>
      <c r="M395" s="42">
        <v>0</v>
      </c>
      <c r="O395" s="42">
        <v>1118935</v>
      </c>
      <c r="Q395" s="42">
        <v>1215060</v>
      </c>
      <c r="S395" s="42">
        <v>1156587</v>
      </c>
      <c r="U395" s="42">
        <v>56686</v>
      </c>
      <c r="W395" s="42">
        <v>2357568</v>
      </c>
      <c r="Y395" s="42">
        <v>554838</v>
      </c>
      <c r="AA395" s="42">
        <v>150574</v>
      </c>
      <c r="AC395" s="42">
        <v>1757996</v>
      </c>
      <c r="AE395" s="42">
        <v>1135953</v>
      </c>
      <c r="AG395" s="42">
        <v>291876</v>
      </c>
      <c r="AI395" s="9" t="s">
        <v>601</v>
      </c>
      <c r="AJ395" s="9"/>
      <c r="AK395" s="9" t="s">
        <v>64</v>
      </c>
      <c r="AL395" s="9"/>
      <c r="AM395" s="42">
        <v>1187476</v>
      </c>
      <c r="AO395" s="42">
        <v>110288</v>
      </c>
      <c r="AQ395" s="42">
        <v>490959</v>
      </c>
      <c r="AS395" s="42">
        <v>1035564</v>
      </c>
      <c r="AW395" s="42">
        <v>0</v>
      </c>
      <c r="AY395" s="42">
        <f t="shared" si="42"/>
        <v>28984376</v>
      </c>
      <c r="BA395" s="42">
        <f>+'St of Act - GA Rev'!AI395-'St of Activities - GA Exp'!AY395</f>
        <v>-624876</v>
      </c>
      <c r="BC395" s="42">
        <v>48322699</v>
      </c>
      <c r="BE395" s="42">
        <f t="shared" si="40"/>
        <v>47697823</v>
      </c>
      <c r="BG395" s="42">
        <f>+'St of Net Pos - GA'!AE395-'St of Activities - GA Exp'!BE395</f>
        <v>0</v>
      </c>
    </row>
    <row r="396" spans="1:59">
      <c r="A396" s="9" t="s">
        <v>446</v>
      </c>
      <c r="B396" s="9"/>
      <c r="C396" s="9" t="s">
        <v>52</v>
      </c>
      <c r="D396" s="9"/>
      <c r="E396" s="23">
        <v>48900</v>
      </c>
      <c r="G396" s="42">
        <v>4669445</v>
      </c>
      <c r="I396" s="42">
        <v>1120201</v>
      </c>
      <c r="K396" s="42">
        <v>331880</v>
      </c>
      <c r="M396" s="42">
        <v>0</v>
      </c>
      <c r="O396" s="42">
        <v>0</v>
      </c>
      <c r="Q396" s="42">
        <v>465325</v>
      </c>
      <c r="S396" s="42">
        <v>459525</v>
      </c>
      <c r="U396" s="42">
        <v>61946</v>
      </c>
      <c r="W396" s="42">
        <v>1347513</v>
      </c>
      <c r="Y396" s="42">
        <v>436953</v>
      </c>
      <c r="AA396" s="42">
        <v>19904</v>
      </c>
      <c r="AC396" s="42">
        <v>926584</v>
      </c>
      <c r="AE396" s="42">
        <v>1097536</v>
      </c>
      <c r="AG396" s="42">
        <v>8033</v>
      </c>
      <c r="AI396" s="9" t="s">
        <v>446</v>
      </c>
      <c r="AJ396" s="9"/>
      <c r="AK396" s="9" t="s">
        <v>52</v>
      </c>
      <c r="AL396" s="9"/>
      <c r="AM396" s="42">
        <v>596185</v>
      </c>
      <c r="AO396" s="42">
        <v>1733</v>
      </c>
      <c r="AQ396" s="42">
        <v>217733</v>
      </c>
      <c r="AS396" s="42">
        <v>18120</v>
      </c>
      <c r="AW396" s="42">
        <v>0</v>
      </c>
      <c r="AY396" s="42">
        <f t="shared" si="42"/>
        <v>11778616</v>
      </c>
      <c r="BA396" s="42">
        <f>+'St of Act - GA Rev'!AI396-'St of Activities - GA Exp'!AY396</f>
        <v>770012</v>
      </c>
      <c r="BC396" s="42">
        <v>9635348</v>
      </c>
      <c r="BE396" s="42">
        <f t="shared" si="40"/>
        <v>10405360</v>
      </c>
      <c r="BG396" s="42">
        <f>+'St of Net Pos - GA'!AE396-'St of Activities - GA Exp'!BE396</f>
        <v>0</v>
      </c>
    </row>
    <row r="397" spans="1:59">
      <c r="A397" s="9" t="s">
        <v>507</v>
      </c>
      <c r="B397" s="9"/>
      <c r="C397" s="9" t="s">
        <v>63</v>
      </c>
      <c r="D397" s="9"/>
      <c r="E397" s="23">
        <v>50047</v>
      </c>
      <c r="G397" s="42">
        <v>18249173</v>
      </c>
      <c r="I397" s="42">
        <v>5390882</v>
      </c>
      <c r="K397" s="42">
        <v>127008</v>
      </c>
      <c r="M397" s="42">
        <v>0</v>
      </c>
      <c r="O397" s="42">
        <v>133867</v>
      </c>
      <c r="Q397" s="42">
        <v>2836378</v>
      </c>
      <c r="S397" s="42">
        <v>693943</v>
      </c>
      <c r="U397" s="42">
        <v>16058</v>
      </c>
      <c r="W397" s="42">
        <v>2581795</v>
      </c>
      <c r="Y397" s="42">
        <v>1482023</v>
      </c>
      <c r="AA397" s="42">
        <v>289958</v>
      </c>
      <c r="AC397" s="42">
        <v>3725872</v>
      </c>
      <c r="AE397" s="42">
        <v>2370306</v>
      </c>
      <c r="AG397" s="42">
        <v>1001531</v>
      </c>
      <c r="AI397" s="9" t="s">
        <v>507</v>
      </c>
      <c r="AJ397" s="9"/>
      <c r="AK397" s="9" t="s">
        <v>63</v>
      </c>
      <c r="AL397" s="9"/>
      <c r="AM397" s="42">
        <v>1239531</v>
      </c>
      <c r="AO397" s="42">
        <v>724346</v>
      </c>
      <c r="AQ397" s="42">
        <v>1740542</v>
      </c>
      <c r="AS397" s="42">
        <v>1906793</v>
      </c>
      <c r="AW397" s="42">
        <v>0</v>
      </c>
      <c r="AY397" s="42">
        <f t="shared" si="42"/>
        <v>44510006</v>
      </c>
      <c r="BA397" s="42">
        <f>+'St of Act - GA Rev'!AI397-'St of Activities - GA Exp'!AY397</f>
        <v>1988081</v>
      </c>
      <c r="BC397" s="42">
        <v>13508461</v>
      </c>
      <c r="BE397" s="42">
        <f t="shared" si="40"/>
        <v>15496542</v>
      </c>
      <c r="BG397" s="42">
        <f>+'St of Net Pos - GA'!AE397-'St of Activities - GA Exp'!BE397</f>
        <v>0</v>
      </c>
    </row>
    <row r="398" spans="1:59">
      <c r="A398" s="9" t="s">
        <v>551</v>
      </c>
      <c r="B398" s="9"/>
      <c r="C398" s="9" t="s">
        <v>72</v>
      </c>
      <c r="D398" s="9"/>
      <c r="E398" s="23">
        <v>50708</v>
      </c>
      <c r="G398" s="42">
        <v>3831517</v>
      </c>
      <c r="I398" s="42">
        <v>1357684</v>
      </c>
      <c r="K398" s="42">
        <v>0</v>
      </c>
      <c r="M398" s="42">
        <v>0</v>
      </c>
      <c r="O398" s="42">
        <v>519818</v>
      </c>
      <c r="Q398" s="42">
        <v>258614</v>
      </c>
      <c r="S398" s="42">
        <v>578671</v>
      </c>
      <c r="U398" s="42">
        <v>162568</v>
      </c>
      <c r="W398" s="42">
        <v>494910</v>
      </c>
      <c r="Y398" s="42">
        <v>336921</v>
      </c>
      <c r="AA398" s="42">
        <v>0</v>
      </c>
      <c r="AC398" s="42">
        <v>939294</v>
      </c>
      <c r="AE398" s="42">
        <v>286189</v>
      </c>
      <c r="AG398" s="42">
        <v>0</v>
      </c>
      <c r="AI398" s="9" t="s">
        <v>551</v>
      </c>
      <c r="AJ398" s="9"/>
      <c r="AK398" s="9" t="s">
        <v>72</v>
      </c>
      <c r="AL398" s="9"/>
      <c r="AM398" s="42">
        <v>277579</v>
      </c>
      <c r="AO398" s="42">
        <v>296553</v>
      </c>
      <c r="AQ398" s="42">
        <v>0</v>
      </c>
      <c r="AS398" s="42">
        <v>445910</v>
      </c>
      <c r="AW398" s="42">
        <v>0</v>
      </c>
      <c r="AY398" s="42">
        <f t="shared" si="42"/>
        <v>9786228</v>
      </c>
      <c r="BA398" s="42">
        <f>+'St of Act - GA Rev'!AI398-'St of Activities - GA Exp'!AY398</f>
        <v>-123969</v>
      </c>
      <c r="BC398" s="42">
        <v>20083922</v>
      </c>
      <c r="BE398" s="42">
        <f t="shared" si="40"/>
        <v>19959953</v>
      </c>
      <c r="BG398" s="42">
        <f>+'St of Net Pos - GA'!AE398-'St of Activities - GA Exp'!BE398</f>
        <v>0</v>
      </c>
    </row>
    <row r="399" spans="1:59" ht="12" hidden="1" customHeight="1">
      <c r="A399" s="9" t="s">
        <v>807</v>
      </c>
      <c r="B399" s="9"/>
      <c r="C399" s="9" t="s">
        <v>53</v>
      </c>
      <c r="D399" s="9"/>
      <c r="E399" s="23">
        <v>48967</v>
      </c>
      <c r="G399" s="42">
        <v>0</v>
      </c>
      <c r="I399" s="42">
        <v>0</v>
      </c>
      <c r="K399" s="42">
        <v>0</v>
      </c>
      <c r="M399" s="42">
        <v>0</v>
      </c>
      <c r="O399" s="42">
        <v>0</v>
      </c>
      <c r="Q399" s="42">
        <v>0</v>
      </c>
      <c r="S399" s="42">
        <v>0</v>
      </c>
      <c r="U399" s="42">
        <v>0</v>
      </c>
      <c r="W399" s="42">
        <v>0</v>
      </c>
      <c r="Y399" s="42">
        <v>0</v>
      </c>
      <c r="AA399" s="42">
        <v>0</v>
      </c>
      <c r="AC399" s="42">
        <v>0</v>
      </c>
      <c r="AE399" s="42">
        <v>0</v>
      </c>
      <c r="AG399" s="42">
        <v>0</v>
      </c>
      <c r="AI399" s="9" t="s">
        <v>807</v>
      </c>
      <c r="AJ399" s="9"/>
      <c r="AK399" s="9" t="s">
        <v>53</v>
      </c>
      <c r="AL399" s="9"/>
      <c r="AM399" s="42">
        <v>0</v>
      </c>
      <c r="AO399" s="42">
        <v>0</v>
      </c>
      <c r="AQ399" s="42">
        <v>0</v>
      </c>
      <c r="AS399" s="42">
        <v>0</v>
      </c>
      <c r="AW399" s="42">
        <v>0</v>
      </c>
      <c r="AY399" s="42">
        <f t="shared" si="42"/>
        <v>0</v>
      </c>
      <c r="BA399" s="42">
        <f>+'St of Act - GA Rev'!AI399-'St of Activities - GA Exp'!AY399</f>
        <v>0</v>
      </c>
      <c r="BC399" s="42">
        <v>0</v>
      </c>
      <c r="BE399" s="42">
        <f t="shared" si="40"/>
        <v>0</v>
      </c>
      <c r="BG399" s="42">
        <f>+'St of Net Pos - GA'!AE399-'St of Activities - GA Exp'!BE399</f>
        <v>0</v>
      </c>
    </row>
    <row r="400" spans="1:59">
      <c r="A400" s="9" t="s">
        <v>499</v>
      </c>
      <c r="B400" s="9"/>
      <c r="C400" s="9" t="s">
        <v>62</v>
      </c>
      <c r="D400" s="9"/>
      <c r="E400" s="23">
        <v>44503</v>
      </c>
      <c r="G400" s="42">
        <v>18727810</v>
      </c>
      <c r="I400" s="42">
        <v>3783640</v>
      </c>
      <c r="K400" s="42">
        <v>1559596</v>
      </c>
      <c r="M400" s="42">
        <v>210</v>
      </c>
      <c r="O400" s="42">
        <v>156763</v>
      </c>
      <c r="Q400" s="42">
        <v>1934469</v>
      </c>
      <c r="S400" s="42">
        <v>2614237</v>
      </c>
      <c r="U400" s="42">
        <v>17668</v>
      </c>
      <c r="W400" s="42">
        <v>3339400</v>
      </c>
      <c r="Y400" s="42">
        <v>1057068</v>
      </c>
      <c r="AA400" s="42">
        <v>141319</v>
      </c>
      <c r="AC400" s="42">
        <v>4075479</v>
      </c>
      <c r="AE400" s="42">
        <v>3050932</v>
      </c>
      <c r="AG400" s="42">
        <v>357500</v>
      </c>
      <c r="AI400" s="9" t="s">
        <v>499</v>
      </c>
      <c r="AJ400" s="9"/>
      <c r="AK400" s="9" t="s">
        <v>62</v>
      </c>
      <c r="AL400" s="9"/>
      <c r="AM400" s="42">
        <v>1827696</v>
      </c>
      <c r="AO400" s="42">
        <v>271000</v>
      </c>
      <c r="AQ400" s="42">
        <v>1363548</v>
      </c>
      <c r="AS400" s="42">
        <v>465580</v>
      </c>
      <c r="AW400" s="42">
        <v>0</v>
      </c>
      <c r="AY400" s="42">
        <f t="shared" si="42"/>
        <v>44743915</v>
      </c>
      <c r="BA400" s="42">
        <f>+'St of Act - GA Rev'!AI400-'St of Activities - GA Exp'!AY400</f>
        <v>45203</v>
      </c>
      <c r="BC400" s="42">
        <v>10401653</v>
      </c>
      <c r="BE400" s="42">
        <f t="shared" si="40"/>
        <v>10446856</v>
      </c>
      <c r="BG400" s="42">
        <f>+'St of Net Pos - GA'!AE400-'St of Activities - GA Exp'!BE400</f>
        <v>0</v>
      </c>
    </row>
    <row r="401" spans="1:59" hidden="1">
      <c r="A401" s="9" t="s">
        <v>808</v>
      </c>
      <c r="B401" s="9"/>
      <c r="C401" s="9" t="s">
        <v>548</v>
      </c>
      <c r="D401" s="9"/>
      <c r="E401" s="23">
        <v>50641</v>
      </c>
      <c r="G401" s="42">
        <v>0</v>
      </c>
      <c r="I401" s="42">
        <v>0</v>
      </c>
      <c r="K401" s="42">
        <v>0</v>
      </c>
      <c r="M401" s="42">
        <v>0</v>
      </c>
      <c r="O401" s="42">
        <v>0</v>
      </c>
      <c r="Q401" s="42">
        <v>0</v>
      </c>
      <c r="S401" s="42">
        <v>0</v>
      </c>
      <c r="U401" s="42">
        <v>0</v>
      </c>
      <c r="W401" s="42">
        <v>0</v>
      </c>
      <c r="Y401" s="42">
        <v>0</v>
      </c>
      <c r="AA401" s="42">
        <v>0</v>
      </c>
      <c r="AC401" s="42">
        <v>0</v>
      </c>
      <c r="AE401" s="42">
        <v>0</v>
      </c>
      <c r="AG401" s="42">
        <v>0</v>
      </c>
      <c r="AI401" s="9" t="s">
        <v>808</v>
      </c>
      <c r="AJ401" s="9"/>
      <c r="AK401" s="9" t="s">
        <v>548</v>
      </c>
      <c r="AL401" s="9"/>
      <c r="AM401" s="42">
        <v>0</v>
      </c>
      <c r="AO401" s="42">
        <v>0</v>
      </c>
      <c r="AQ401" s="42">
        <v>0</v>
      </c>
      <c r="AS401" s="42">
        <v>0</v>
      </c>
      <c r="AW401" s="42">
        <v>0</v>
      </c>
      <c r="AY401" s="42">
        <f t="shared" si="42"/>
        <v>0</v>
      </c>
      <c r="BA401" s="42">
        <f>+'St of Act - GA Rev'!AI401-'St of Activities - GA Exp'!AY401</f>
        <v>0</v>
      </c>
      <c r="BC401" s="42">
        <v>0</v>
      </c>
      <c r="BE401" s="42">
        <f t="shared" si="40"/>
        <v>0</v>
      </c>
      <c r="BG401" s="42">
        <f>+'St of Net Pos - GA'!AE401-'St of Activities - GA Exp'!BE401</f>
        <v>0</v>
      </c>
    </row>
    <row r="402" spans="1:59" ht="12" customHeight="1">
      <c r="A402" s="9" t="s">
        <v>703</v>
      </c>
      <c r="B402" s="9"/>
      <c r="C402" s="9" t="s">
        <v>32</v>
      </c>
      <c r="D402" s="9"/>
      <c r="E402" s="23">
        <v>44511</v>
      </c>
      <c r="G402" s="42">
        <v>7068856</v>
      </c>
      <c r="I402" s="42">
        <v>2807777</v>
      </c>
      <c r="K402" s="42">
        <v>36418</v>
      </c>
      <c r="M402" s="42">
        <v>0</v>
      </c>
      <c r="O402" s="42">
        <v>514</v>
      </c>
      <c r="Q402" s="42">
        <v>1123255</v>
      </c>
      <c r="S402" s="42">
        <v>689153</v>
      </c>
      <c r="U402" s="42">
        <v>43752</v>
      </c>
      <c r="W402" s="42">
        <v>1006405</v>
      </c>
      <c r="Y402" s="42">
        <v>364362</v>
      </c>
      <c r="AA402" s="42">
        <v>11962</v>
      </c>
      <c r="AC402" s="42">
        <v>1481087</v>
      </c>
      <c r="AE402" s="42">
        <v>250395</v>
      </c>
      <c r="AG402" s="42">
        <v>7014</v>
      </c>
      <c r="AI402" s="9" t="s">
        <v>703</v>
      </c>
      <c r="AJ402" s="9"/>
      <c r="AK402" s="9" t="s">
        <v>32</v>
      </c>
      <c r="AL402" s="9"/>
      <c r="AM402" s="42">
        <v>942664</v>
      </c>
      <c r="AO402" s="42">
        <v>26308</v>
      </c>
      <c r="AQ402" s="42">
        <v>320528</v>
      </c>
      <c r="AS402" s="42">
        <v>801145</v>
      </c>
      <c r="AW402" s="42">
        <v>0</v>
      </c>
      <c r="AY402" s="42">
        <f t="shared" si="42"/>
        <v>16981595</v>
      </c>
      <c r="BA402" s="42">
        <f>+'St of Act - GA Rev'!AI402-'St of Activities - GA Exp'!AY402</f>
        <v>-1294926</v>
      </c>
      <c r="BC402" s="42">
        <v>27394856</v>
      </c>
      <c r="BE402" s="42">
        <f t="shared" si="40"/>
        <v>26099930</v>
      </c>
      <c r="BG402" s="42">
        <f>+'St of Net Pos - GA'!AE402-'St of Activities - GA Exp'!BE402</f>
        <v>0</v>
      </c>
    </row>
    <row r="403" spans="1:59">
      <c r="A403" s="9" t="s">
        <v>375</v>
      </c>
      <c r="B403" s="9"/>
      <c r="C403" s="9" t="s">
        <v>42</v>
      </c>
      <c r="D403" s="9"/>
      <c r="E403" s="23">
        <v>48025</v>
      </c>
      <c r="G403" s="42">
        <v>6454617</v>
      </c>
      <c r="I403" s="42">
        <v>2865304</v>
      </c>
      <c r="K403" s="42">
        <v>172067</v>
      </c>
      <c r="M403" s="42">
        <v>0</v>
      </c>
      <c r="O403" s="42">
        <v>245458</v>
      </c>
      <c r="Q403" s="42">
        <v>1670632</v>
      </c>
      <c r="S403" s="42">
        <v>108774</v>
      </c>
      <c r="U403" s="42">
        <v>33828</v>
      </c>
      <c r="W403" s="42">
        <v>1186083</v>
      </c>
      <c r="Y403" s="42">
        <v>519995</v>
      </c>
      <c r="AA403" s="42">
        <v>0</v>
      </c>
      <c r="AC403" s="42">
        <v>1541882</v>
      </c>
      <c r="AE403" s="42">
        <v>1377110</v>
      </c>
      <c r="AG403" s="42">
        <v>121547</v>
      </c>
      <c r="AI403" s="9" t="s">
        <v>375</v>
      </c>
      <c r="AJ403" s="9"/>
      <c r="AK403" s="9" t="s">
        <v>42</v>
      </c>
      <c r="AL403" s="9"/>
      <c r="AM403" s="42">
        <v>806689</v>
      </c>
      <c r="AO403" s="42">
        <v>0</v>
      </c>
      <c r="AQ403" s="42">
        <v>754565</v>
      </c>
      <c r="AS403" s="42">
        <v>452424</v>
      </c>
      <c r="AW403" s="42">
        <v>0</v>
      </c>
      <c r="AY403" s="42">
        <f t="shared" si="42"/>
        <v>18310975</v>
      </c>
      <c r="BA403" s="42">
        <f>+'St of Act - GA Rev'!AI403-'St of Activities - GA Exp'!AY403</f>
        <v>678460</v>
      </c>
      <c r="BC403" s="42">
        <v>25562667</v>
      </c>
      <c r="BE403" s="42">
        <f t="shared" si="40"/>
        <v>26241127</v>
      </c>
      <c r="BG403" s="42">
        <f>+'St of Net Pos - GA'!AE403-'St of Activities - GA Exp'!BE403</f>
        <v>0</v>
      </c>
    </row>
    <row r="404" spans="1:59" ht="12" customHeight="1">
      <c r="A404" s="9" t="s">
        <v>269</v>
      </c>
      <c r="B404" s="9"/>
      <c r="C404" s="9" t="s">
        <v>20</v>
      </c>
      <c r="D404" s="9"/>
      <c r="E404" s="23">
        <v>44529</v>
      </c>
      <c r="G404" s="42">
        <v>24393010</v>
      </c>
      <c r="I404" s="42">
        <v>7774419</v>
      </c>
      <c r="K404" s="42">
        <v>480906</v>
      </c>
      <c r="M404" s="42">
        <v>0</v>
      </c>
      <c r="O404" s="42">
        <v>285472</v>
      </c>
      <c r="Q404" s="42">
        <v>4640930</v>
      </c>
      <c r="S404" s="42">
        <v>1020238</v>
      </c>
      <c r="U404" s="42">
        <v>377032</v>
      </c>
      <c r="W404" s="42">
        <v>3879955</v>
      </c>
      <c r="Y404" s="42">
        <v>1224013</v>
      </c>
      <c r="AA404" s="42">
        <v>212455</v>
      </c>
      <c r="AC404" s="42">
        <v>4288849</v>
      </c>
      <c r="AE404" s="42">
        <v>2487445</v>
      </c>
      <c r="AG404" s="42">
        <v>1152590</v>
      </c>
      <c r="AI404" s="9" t="s">
        <v>269</v>
      </c>
      <c r="AJ404" s="9"/>
      <c r="AK404" s="9" t="s">
        <v>20</v>
      </c>
      <c r="AL404" s="9"/>
      <c r="AM404" s="42">
        <v>1637811</v>
      </c>
      <c r="AO404" s="42">
        <v>282029</v>
      </c>
      <c r="AQ404" s="42">
        <v>1532448</v>
      </c>
      <c r="AS404" s="42">
        <v>28218</v>
      </c>
      <c r="AW404" s="42">
        <v>0</v>
      </c>
      <c r="AY404" s="42">
        <f t="shared" si="42"/>
        <v>55697820</v>
      </c>
      <c r="BA404" s="42">
        <f>+'St of Act - GA Rev'!AI404-'St of Activities - GA Exp'!AY404</f>
        <v>3230078</v>
      </c>
      <c r="BC404" s="42">
        <v>31007910</v>
      </c>
      <c r="BE404" s="42">
        <f t="shared" si="40"/>
        <v>34237988</v>
      </c>
      <c r="BG404" s="42">
        <f>+'St of Net Pos - GA'!AE404-'St of Activities - GA Exp'!BE404</f>
        <v>0</v>
      </c>
    </row>
    <row r="405" spans="1:59">
      <c r="A405" s="9" t="s">
        <v>385</v>
      </c>
      <c r="B405" s="9"/>
      <c r="C405" s="9" t="s">
        <v>44</v>
      </c>
      <c r="D405" s="9"/>
      <c r="E405" s="23">
        <v>44537</v>
      </c>
      <c r="G405" s="42">
        <v>13726250</v>
      </c>
      <c r="I405" s="42">
        <v>4901355</v>
      </c>
      <c r="K405" s="42">
        <v>116219</v>
      </c>
      <c r="M405" s="42">
        <v>0</v>
      </c>
      <c r="O405" s="42">
        <v>1808468</v>
      </c>
      <c r="Q405" s="42">
        <v>1794791</v>
      </c>
      <c r="S405" s="42">
        <v>2055316</v>
      </c>
      <c r="U405" s="42">
        <v>154245</v>
      </c>
      <c r="W405" s="42">
        <v>2065148</v>
      </c>
      <c r="Y405" s="42">
        <v>873272</v>
      </c>
      <c r="AA405" s="42">
        <v>186165</v>
      </c>
      <c r="AC405" s="42">
        <v>3071152</v>
      </c>
      <c r="AE405" s="42">
        <v>2134495</v>
      </c>
      <c r="AG405" s="42">
        <v>72684</v>
      </c>
      <c r="AI405" s="9" t="s">
        <v>385</v>
      </c>
      <c r="AJ405" s="9"/>
      <c r="AK405" s="9" t="s">
        <v>44</v>
      </c>
      <c r="AL405" s="9"/>
      <c r="AM405" s="42">
        <v>1115629</v>
      </c>
      <c r="AO405" s="42">
        <v>584043</v>
      </c>
      <c r="AQ405" s="42">
        <v>807780</v>
      </c>
      <c r="AS405" s="42">
        <v>61927</v>
      </c>
      <c r="AW405" s="42">
        <v>0</v>
      </c>
      <c r="AY405" s="42">
        <f t="shared" si="42"/>
        <v>35528939</v>
      </c>
      <c r="BA405" s="42">
        <f>+'St of Act - GA Rev'!AI405-'St of Activities - GA Exp'!AY405</f>
        <v>3642507</v>
      </c>
      <c r="BC405" s="42">
        <v>14126077</v>
      </c>
      <c r="BE405" s="42">
        <f t="shared" si="40"/>
        <v>17768584</v>
      </c>
      <c r="BG405" s="42">
        <f>+'St of Net Pos - GA'!AE405-'St of Activities - GA Exp'!BE405</f>
        <v>0</v>
      </c>
    </row>
    <row r="406" spans="1:59">
      <c r="A406" s="9" t="s">
        <v>270</v>
      </c>
      <c r="B406" s="9"/>
      <c r="C406" s="9" t="s">
        <v>20</v>
      </c>
      <c r="D406" s="9"/>
      <c r="E406" s="23">
        <v>44545</v>
      </c>
      <c r="G406" s="42">
        <v>25854788</v>
      </c>
      <c r="I406" s="42">
        <v>3515628</v>
      </c>
      <c r="K406" s="42">
        <v>117329</v>
      </c>
      <c r="M406" s="42">
        <v>0</v>
      </c>
      <c r="O406" s="42">
        <v>1137695</v>
      </c>
      <c r="Q406" s="42">
        <v>3022582</v>
      </c>
      <c r="S406" s="42">
        <v>2591553</v>
      </c>
      <c r="U406" s="42">
        <v>42802</v>
      </c>
      <c r="W406" s="42">
        <v>3451156</v>
      </c>
      <c r="Y406" s="42">
        <v>1268445</v>
      </c>
      <c r="AA406" s="42">
        <v>350442</v>
      </c>
      <c r="AC406" s="42">
        <v>4027974</v>
      </c>
      <c r="AE406" s="42">
        <v>3631902</v>
      </c>
      <c r="AG406" s="42">
        <v>601508</v>
      </c>
      <c r="AI406" s="9" t="s">
        <v>270</v>
      </c>
      <c r="AJ406" s="9"/>
      <c r="AK406" s="9" t="s">
        <v>20</v>
      </c>
      <c r="AL406" s="9"/>
      <c r="AM406" s="42">
        <v>1141926</v>
      </c>
      <c r="AO406" s="42">
        <v>1070930</v>
      </c>
      <c r="AQ406" s="42">
        <v>1191528</v>
      </c>
      <c r="AS406" s="42">
        <v>834421</v>
      </c>
      <c r="AW406" s="42">
        <v>0</v>
      </c>
      <c r="AY406" s="42">
        <f t="shared" si="42"/>
        <v>53852609</v>
      </c>
      <c r="BA406" s="42">
        <f>+'St of Act - GA Rev'!AI406-'St of Activities - GA Exp'!AY406</f>
        <v>-112297</v>
      </c>
      <c r="BC406" s="42">
        <v>24009770</v>
      </c>
      <c r="BE406" s="42">
        <f t="shared" si="40"/>
        <v>23897473</v>
      </c>
      <c r="BG406" s="42">
        <f>+'St of Net Pos - GA'!AE406-'St of Activities - GA Exp'!BE406</f>
        <v>0</v>
      </c>
    </row>
    <row r="407" spans="1:59">
      <c r="A407" s="9" t="s">
        <v>536</v>
      </c>
      <c r="B407" s="9"/>
      <c r="C407" s="9" t="s">
        <v>66</v>
      </c>
      <c r="D407" s="9"/>
      <c r="E407" s="23">
        <v>50336</v>
      </c>
      <c r="G407" s="42">
        <v>7381688</v>
      </c>
      <c r="I407" s="42">
        <v>1896516</v>
      </c>
      <c r="K407" s="42">
        <v>870071</v>
      </c>
      <c r="M407" s="42">
        <v>0</v>
      </c>
      <c r="O407" s="42">
        <v>0</v>
      </c>
      <c r="Q407" s="42">
        <v>811995</v>
      </c>
      <c r="S407" s="42">
        <v>957940</v>
      </c>
      <c r="U407" s="42">
        <v>31223</v>
      </c>
      <c r="W407" s="42">
        <v>1051305</v>
      </c>
      <c r="Y407" s="42">
        <v>527453</v>
      </c>
      <c r="AA407" s="42">
        <v>0</v>
      </c>
      <c r="AC407" s="42">
        <v>1722502</v>
      </c>
      <c r="AE407" s="42">
        <v>997708</v>
      </c>
      <c r="AG407" s="42">
        <v>8050</v>
      </c>
      <c r="AI407" s="9" t="s">
        <v>536</v>
      </c>
      <c r="AJ407" s="9"/>
      <c r="AK407" s="9" t="s">
        <v>66</v>
      </c>
      <c r="AL407" s="9"/>
      <c r="AM407" s="42">
        <v>0</v>
      </c>
      <c r="AO407" s="42">
        <v>697536</v>
      </c>
      <c r="AQ407" s="42">
        <v>494162</v>
      </c>
      <c r="AS407" s="42">
        <v>196377</v>
      </c>
      <c r="AW407" s="42">
        <v>0</v>
      </c>
      <c r="AY407" s="42">
        <f t="shared" si="42"/>
        <v>17644526</v>
      </c>
      <c r="BA407" s="42">
        <f>+'St of Act - GA Rev'!AI407-'St of Activities - GA Exp'!AY407</f>
        <v>-151431</v>
      </c>
      <c r="BC407" s="42">
        <v>37239165</v>
      </c>
      <c r="BE407" s="42">
        <f t="shared" si="40"/>
        <v>37087734</v>
      </c>
      <c r="BG407" s="42">
        <f>+'St of Net Pos - GA'!AE407-'St of Activities - GA Exp'!BE407</f>
        <v>0</v>
      </c>
    </row>
    <row r="408" spans="1:59">
      <c r="A408" s="9" t="s">
        <v>231</v>
      </c>
      <c r="B408" s="9"/>
      <c r="C408" s="9" t="s">
        <v>17</v>
      </c>
      <c r="D408" s="9"/>
      <c r="E408" s="23">
        <v>46250</v>
      </c>
      <c r="G408" s="42">
        <v>14242926</v>
      </c>
      <c r="I408" s="42">
        <v>3042310</v>
      </c>
      <c r="K408" s="42">
        <v>680364</v>
      </c>
      <c r="M408" s="42">
        <v>0</v>
      </c>
      <c r="O408" s="42">
        <f>17851+16328</f>
        <v>34179</v>
      </c>
      <c r="Q408" s="42">
        <v>1800927</v>
      </c>
      <c r="S408" s="42">
        <v>1496572</v>
      </c>
      <c r="U408" s="42">
        <v>49315</v>
      </c>
      <c r="W408" s="42">
        <v>2645629</v>
      </c>
      <c r="Y408" s="42">
        <v>708076</v>
      </c>
      <c r="AA408" s="42">
        <v>0</v>
      </c>
      <c r="AC408" s="42">
        <v>2508741</v>
      </c>
      <c r="AE408" s="42">
        <v>2173981</v>
      </c>
      <c r="AG408" s="42">
        <v>14392</v>
      </c>
      <c r="AI408" s="9" t="s">
        <v>231</v>
      </c>
      <c r="AJ408" s="9"/>
      <c r="AK408" s="9" t="s">
        <v>17</v>
      </c>
      <c r="AL408" s="9"/>
      <c r="AM408" s="42">
        <v>0</v>
      </c>
      <c r="AO408" s="42">
        <v>1600105</v>
      </c>
      <c r="AQ408" s="42">
        <v>961713</v>
      </c>
      <c r="AS408" s="42">
        <v>113521</v>
      </c>
      <c r="AW408" s="42">
        <v>0</v>
      </c>
      <c r="AY408" s="42">
        <f t="shared" si="42"/>
        <v>32072751</v>
      </c>
      <c r="BA408" s="42">
        <f>+'St of Act - GA Rev'!AI408-'St of Activities - GA Exp'!AY408</f>
        <v>-1190380</v>
      </c>
      <c r="BC408" s="42">
        <v>19676592</v>
      </c>
      <c r="BE408" s="42">
        <f t="shared" si="40"/>
        <v>18486212</v>
      </c>
      <c r="BG408" s="42">
        <f>+'St of Net Pos - GA'!AE408-'St of Activities - GA Exp'!BE408</f>
        <v>0</v>
      </c>
    </row>
    <row r="409" spans="1:59" hidden="1">
      <c r="A409" s="9" t="s">
        <v>809</v>
      </c>
      <c r="B409" s="9"/>
      <c r="C409" s="9" t="s">
        <v>22</v>
      </c>
      <c r="D409" s="9"/>
      <c r="E409" s="23">
        <v>46722</v>
      </c>
      <c r="G409" s="42">
        <v>0</v>
      </c>
      <c r="I409" s="42">
        <v>0</v>
      </c>
      <c r="K409" s="42">
        <v>0</v>
      </c>
      <c r="M409" s="42">
        <v>0</v>
      </c>
      <c r="O409" s="42">
        <v>0</v>
      </c>
      <c r="Q409" s="42">
        <v>0</v>
      </c>
      <c r="S409" s="42">
        <v>0</v>
      </c>
      <c r="U409" s="42">
        <v>0</v>
      </c>
      <c r="W409" s="42">
        <v>0</v>
      </c>
      <c r="Y409" s="42">
        <v>0</v>
      </c>
      <c r="AA409" s="42">
        <v>0</v>
      </c>
      <c r="AC409" s="42">
        <v>0</v>
      </c>
      <c r="AE409" s="42">
        <v>0</v>
      </c>
      <c r="AG409" s="42">
        <v>0</v>
      </c>
      <c r="AI409" s="9" t="s">
        <v>809</v>
      </c>
      <c r="AJ409" s="9"/>
      <c r="AK409" s="9" t="s">
        <v>22</v>
      </c>
      <c r="AL409" s="9"/>
      <c r="AM409" s="42">
        <v>0</v>
      </c>
      <c r="AO409" s="42">
        <v>0</v>
      </c>
      <c r="AQ409" s="42">
        <v>0</v>
      </c>
      <c r="AS409" s="42">
        <v>0</v>
      </c>
      <c r="AW409" s="42">
        <v>0</v>
      </c>
      <c r="AY409" s="42">
        <f t="shared" si="39"/>
        <v>0</v>
      </c>
      <c r="BA409" s="42">
        <f>+'St of Act - GA Rev'!AI409-'St of Activities - GA Exp'!AY409</f>
        <v>0</v>
      </c>
      <c r="BC409" s="42">
        <v>0</v>
      </c>
      <c r="BE409" s="42">
        <f t="shared" si="40"/>
        <v>0</v>
      </c>
      <c r="BG409" s="42">
        <f>+'St of Net Pos - GA'!AE409-'St of Activities - GA Exp'!BE409</f>
        <v>0</v>
      </c>
    </row>
    <row r="410" spans="1:59" hidden="1">
      <c r="A410" s="9" t="s">
        <v>810</v>
      </c>
      <c r="B410" s="9"/>
      <c r="C410" s="9" t="s">
        <v>448</v>
      </c>
      <c r="D410" s="9"/>
      <c r="E410" s="23">
        <v>49056</v>
      </c>
      <c r="G410" s="42">
        <v>0</v>
      </c>
      <c r="I410" s="42">
        <v>0</v>
      </c>
      <c r="K410" s="42">
        <v>0</v>
      </c>
      <c r="M410" s="42">
        <v>0</v>
      </c>
      <c r="O410" s="42">
        <v>0</v>
      </c>
      <c r="Q410" s="42">
        <v>0</v>
      </c>
      <c r="S410" s="42">
        <v>0</v>
      </c>
      <c r="U410" s="42">
        <v>0</v>
      </c>
      <c r="W410" s="42">
        <v>0</v>
      </c>
      <c r="Y410" s="42">
        <v>0</v>
      </c>
      <c r="AA410" s="42">
        <v>0</v>
      </c>
      <c r="AC410" s="42">
        <v>0</v>
      </c>
      <c r="AE410" s="42">
        <v>0</v>
      </c>
      <c r="AG410" s="42">
        <v>0</v>
      </c>
      <c r="AI410" s="9" t="s">
        <v>810</v>
      </c>
      <c r="AJ410" s="9"/>
      <c r="AK410" s="9" t="s">
        <v>448</v>
      </c>
      <c r="AL410" s="9"/>
      <c r="AM410" s="42">
        <v>0</v>
      </c>
      <c r="AO410" s="42">
        <v>0</v>
      </c>
      <c r="AQ410" s="42">
        <v>0</v>
      </c>
      <c r="AS410" s="42">
        <v>0</v>
      </c>
      <c r="AW410" s="42">
        <v>0</v>
      </c>
      <c r="AY410" s="42">
        <f t="shared" ref="AY410" si="43">SUM(G410:AX410)</f>
        <v>0</v>
      </c>
      <c r="BA410" s="42">
        <f>+'St of Act - GA Rev'!AI410-'St of Activities - GA Exp'!AY410</f>
        <v>0</v>
      </c>
      <c r="BC410" s="42">
        <v>0</v>
      </c>
      <c r="BE410" s="42">
        <f t="shared" si="40"/>
        <v>0</v>
      </c>
    </row>
    <row r="411" spans="1:59" ht="12" customHeight="1">
      <c r="A411" s="9" t="s">
        <v>431</v>
      </c>
      <c r="B411" s="9"/>
      <c r="C411" s="9" t="s">
        <v>50</v>
      </c>
      <c r="D411" s="9"/>
      <c r="E411" s="23">
        <v>48728</v>
      </c>
      <c r="G411" s="42">
        <v>24879856</v>
      </c>
      <c r="I411" s="42">
        <v>10114957</v>
      </c>
      <c r="K411" s="42">
        <v>209204</v>
      </c>
      <c r="M411" s="42">
        <v>0</v>
      </c>
      <c r="O411" s="42">
        <v>8537</v>
      </c>
      <c r="Q411" s="42">
        <v>4002159</v>
      </c>
      <c r="S411" s="42">
        <v>490272</v>
      </c>
      <c r="U411" s="42">
        <v>0</v>
      </c>
      <c r="W411" s="42">
        <f>123043+3369266</f>
        <v>3492309</v>
      </c>
      <c r="Y411" s="42">
        <v>1150801</v>
      </c>
      <c r="AA411" s="42">
        <v>498427</v>
      </c>
      <c r="AC411" s="42">
        <v>3341375</v>
      </c>
      <c r="AE411" s="42">
        <v>2767544</v>
      </c>
      <c r="AG411" s="42">
        <v>280311</v>
      </c>
      <c r="AI411" s="9" t="s">
        <v>431</v>
      </c>
      <c r="AJ411" s="9"/>
      <c r="AK411" s="9" t="s">
        <v>50</v>
      </c>
      <c r="AL411" s="9"/>
      <c r="AM411" s="42">
        <v>0</v>
      </c>
      <c r="AO411" s="42">
        <v>3789784</v>
      </c>
      <c r="AQ411" s="42">
        <v>1147078</v>
      </c>
      <c r="AS411" s="42">
        <v>2141578</v>
      </c>
      <c r="AW411" s="42">
        <v>0</v>
      </c>
      <c r="AY411" s="42">
        <f t="shared" si="39"/>
        <v>58314192</v>
      </c>
      <c r="BA411" s="42">
        <f>+'St of Act - GA Rev'!AI411-'St of Activities - GA Exp'!AY411</f>
        <v>122003</v>
      </c>
      <c r="BC411" s="42">
        <v>49835043</v>
      </c>
      <c r="BE411" s="42">
        <f>+BA411+BC411</f>
        <v>49957046</v>
      </c>
      <c r="BG411" s="42">
        <f>+'St of Net Pos - GA'!AE411-'St of Activities - GA Exp'!BE411</f>
        <v>0</v>
      </c>
    </row>
    <row r="412" spans="1:59">
      <c r="A412" s="9" t="s">
        <v>439</v>
      </c>
      <c r="B412" s="9"/>
      <c r="C412" s="9" t="s">
        <v>78</v>
      </c>
      <c r="D412" s="9"/>
      <c r="E412" s="23">
        <v>48819</v>
      </c>
      <c r="G412" s="42">
        <v>5525568</v>
      </c>
      <c r="I412" s="42">
        <v>1249480</v>
      </c>
      <c r="K412" s="42">
        <v>182387</v>
      </c>
      <c r="M412" s="42">
        <v>0</v>
      </c>
      <c r="O412" s="42">
        <v>1093446</v>
      </c>
      <c r="Q412" s="42">
        <v>295525</v>
      </c>
      <c r="S412" s="42">
        <v>727008</v>
      </c>
      <c r="U412" s="42">
        <v>18274</v>
      </c>
      <c r="W412" s="42">
        <v>1084452</v>
      </c>
      <c r="Y412" s="42">
        <v>458301</v>
      </c>
      <c r="AA412" s="42">
        <v>0</v>
      </c>
      <c r="AC412" s="42">
        <v>1144448</v>
      </c>
      <c r="AE412" s="42">
        <v>830149</v>
      </c>
      <c r="AG412" s="42">
        <v>444</v>
      </c>
      <c r="AI412" s="9" t="s">
        <v>439</v>
      </c>
      <c r="AJ412" s="9"/>
      <c r="AK412" s="9" t="s">
        <v>78</v>
      </c>
      <c r="AL412" s="9"/>
      <c r="AM412" s="42">
        <v>454238</v>
      </c>
      <c r="AO412" s="42">
        <v>3903</v>
      </c>
      <c r="AQ412" s="42">
        <v>346365</v>
      </c>
      <c r="AS412" s="42">
        <v>797620</v>
      </c>
      <c r="AW412" s="42">
        <v>0</v>
      </c>
      <c r="AY412" s="42">
        <f t="shared" si="39"/>
        <v>14211608</v>
      </c>
      <c r="BA412" s="42">
        <f>+'St of Act - GA Rev'!AI412-'St of Activities - GA Exp'!AY412</f>
        <v>-2208595</v>
      </c>
      <c r="BC412" s="42">
        <v>21473076</v>
      </c>
      <c r="BE412" s="42">
        <f t="shared" si="40"/>
        <v>19264481</v>
      </c>
      <c r="BG412" s="42">
        <f>+'St of Net Pos - GA'!AE412-'St of Activities - GA Exp'!BE412</f>
        <v>0</v>
      </c>
    </row>
    <row r="413" spans="1:59">
      <c r="A413" s="9" t="s">
        <v>376</v>
      </c>
      <c r="B413" s="9"/>
      <c r="C413" s="9" t="s">
        <v>42</v>
      </c>
      <c r="D413" s="9"/>
      <c r="E413" s="23">
        <v>48033</v>
      </c>
      <c r="G413" s="42">
        <v>5094220</v>
      </c>
      <c r="I413" s="42">
        <v>1117424</v>
      </c>
      <c r="K413" s="42">
        <v>11212</v>
      </c>
      <c r="M413" s="42">
        <v>0</v>
      </c>
      <c r="O413" s="42">
        <v>19095</v>
      </c>
      <c r="Q413" s="42">
        <v>406019</v>
      </c>
      <c r="S413" s="42">
        <v>524726</v>
      </c>
      <c r="U413" s="42">
        <v>90011</v>
      </c>
      <c r="W413" s="42">
        <v>998678</v>
      </c>
      <c r="Y413" s="42">
        <v>416384</v>
      </c>
      <c r="AA413" s="42">
        <v>0</v>
      </c>
      <c r="AC413" s="42">
        <v>1019719</v>
      </c>
      <c r="AE413" s="42">
        <v>1346267</v>
      </c>
      <c r="AG413" s="42">
        <v>135329</v>
      </c>
      <c r="AI413" s="9" t="s">
        <v>376</v>
      </c>
      <c r="AJ413" s="9"/>
      <c r="AK413" s="9" t="s">
        <v>42</v>
      </c>
      <c r="AL413" s="9"/>
      <c r="AM413" s="42">
        <v>419956</v>
      </c>
      <c r="AO413" s="42">
        <v>385</v>
      </c>
      <c r="AQ413" s="42">
        <v>237841</v>
      </c>
      <c r="AS413" s="42">
        <v>277367</v>
      </c>
      <c r="AW413" s="42">
        <v>0</v>
      </c>
      <c r="AY413" s="42">
        <f t="shared" si="39"/>
        <v>12114633</v>
      </c>
      <c r="BA413" s="42">
        <f>+'St of Act - GA Rev'!AI413-'St of Activities - GA Exp'!AY413</f>
        <v>2266552</v>
      </c>
      <c r="BC413" s="42">
        <v>13749446</v>
      </c>
      <c r="BE413" s="42">
        <f>+BA413+BC413</f>
        <v>16015998</v>
      </c>
      <c r="BG413" s="42">
        <f>+'St of Net Pos - GA'!AE413-'St of Activities - GA Exp'!BE413</f>
        <v>0</v>
      </c>
    </row>
    <row r="414" spans="1:59">
      <c r="A414" s="9" t="s">
        <v>376</v>
      </c>
      <c r="B414" s="9"/>
      <c r="C414" s="9" t="s">
        <v>50</v>
      </c>
      <c r="D414" s="9"/>
      <c r="E414" s="23">
        <v>48736</v>
      </c>
      <c r="G414" s="42">
        <v>9178893</v>
      </c>
      <c r="I414" s="42">
        <v>3546046</v>
      </c>
      <c r="K414" s="42">
        <v>2820</v>
      </c>
      <c r="M414" s="42">
        <v>0</v>
      </c>
      <c r="O414" s="42">
        <v>18719</v>
      </c>
      <c r="Q414" s="42">
        <v>1398832</v>
      </c>
      <c r="S414" s="42">
        <v>558179</v>
      </c>
      <c r="U414" s="42">
        <v>34700</v>
      </c>
      <c r="W414" s="42">
        <v>2275933</v>
      </c>
      <c r="Y414" s="42">
        <v>436248</v>
      </c>
      <c r="AA414" s="42">
        <v>206756</v>
      </c>
      <c r="AC414" s="42">
        <v>1762748</v>
      </c>
      <c r="AE414" s="42">
        <v>1143917</v>
      </c>
      <c r="AG414" s="42">
        <v>56068</v>
      </c>
      <c r="AI414" s="9" t="s">
        <v>376</v>
      </c>
      <c r="AJ414" s="9"/>
      <c r="AK414" s="9" t="s">
        <v>50</v>
      </c>
      <c r="AL414" s="9"/>
      <c r="AM414" s="42">
        <v>0</v>
      </c>
      <c r="AO414" s="42">
        <v>1063968</v>
      </c>
      <c r="AQ414" s="42">
        <v>840414</v>
      </c>
      <c r="AS414" s="42">
        <v>301330</v>
      </c>
      <c r="AW414" s="42">
        <v>0</v>
      </c>
      <c r="AY414" s="42">
        <f t="shared" si="39"/>
        <v>22825571</v>
      </c>
      <c r="BA414" s="42">
        <f>+'St of Act - GA Rev'!AI414-'St of Activities - GA Exp'!AY414</f>
        <v>852221</v>
      </c>
      <c r="BC414" s="42">
        <v>11110106</v>
      </c>
      <c r="BE414" s="42">
        <f t="shared" si="40"/>
        <v>11962327</v>
      </c>
      <c r="BG414" s="42">
        <f>+'St of Net Pos - GA'!AE414-'St of Activities - GA Exp'!BE414</f>
        <v>0</v>
      </c>
    </row>
    <row r="415" spans="1:59">
      <c r="A415" s="9" t="s">
        <v>325</v>
      </c>
      <c r="B415" s="9"/>
      <c r="C415" s="9" t="s">
        <v>32</v>
      </c>
      <c r="D415" s="9"/>
      <c r="E415" s="23">
        <v>47365</v>
      </c>
      <c r="G415" s="42">
        <v>37962309</v>
      </c>
      <c r="I415" s="42">
        <v>11476171</v>
      </c>
      <c r="K415" s="42">
        <v>42406</v>
      </c>
      <c r="M415" s="42">
        <v>0</v>
      </c>
      <c r="O415" s="42">
        <v>562619</v>
      </c>
      <c r="Q415" s="42">
        <v>5409943</v>
      </c>
      <c r="S415" s="42">
        <v>6127139</v>
      </c>
      <c r="U415" s="42">
        <v>106612</v>
      </c>
      <c r="W415" s="42">
        <v>5879145</v>
      </c>
      <c r="Y415" s="42">
        <v>2059500</v>
      </c>
      <c r="AA415" s="42">
        <v>413910</v>
      </c>
      <c r="AC415" s="42">
        <v>7467985</v>
      </c>
      <c r="AE415" s="42">
        <v>5020887</v>
      </c>
      <c r="AG415" s="42">
        <v>1651136</v>
      </c>
      <c r="AI415" s="9" t="s">
        <v>325</v>
      </c>
      <c r="AJ415" s="9"/>
      <c r="AK415" s="9" t="s">
        <v>32</v>
      </c>
      <c r="AL415" s="9"/>
      <c r="AM415" s="42">
        <v>0</v>
      </c>
      <c r="AO415" s="42">
        <v>7467942</v>
      </c>
      <c r="AQ415" s="42">
        <v>1900451</v>
      </c>
      <c r="AS415" s="42">
        <v>1237982</v>
      </c>
      <c r="AW415" s="42">
        <v>0</v>
      </c>
      <c r="AY415" s="42">
        <f t="shared" ref="AY415:AY421" si="44">SUM(G415:AX415)</f>
        <v>94786137</v>
      </c>
      <c r="BA415" s="42">
        <f>+'St of Act - GA Rev'!AI415-'St of Activities - GA Exp'!AY415</f>
        <v>6503641</v>
      </c>
      <c r="BC415" s="42">
        <v>39868632</v>
      </c>
      <c r="BE415" s="42">
        <f t="shared" ref="BE415:BE430" si="45">+BA415+BC415</f>
        <v>46372273</v>
      </c>
      <c r="BG415" s="42">
        <f>+'St of Net Pos - GA'!AE415-'St of Activities - GA Exp'!BE415</f>
        <v>0</v>
      </c>
    </row>
    <row r="416" spans="1:59">
      <c r="A416" s="9" t="s">
        <v>592</v>
      </c>
      <c r="B416" s="9"/>
      <c r="C416" s="9" t="s">
        <v>59</v>
      </c>
      <c r="D416" s="9"/>
      <c r="E416" s="23">
        <v>49635</v>
      </c>
      <c r="G416" s="42">
        <v>7884145</v>
      </c>
      <c r="I416" s="42">
        <v>1663016</v>
      </c>
      <c r="K416" s="42">
        <v>100793</v>
      </c>
      <c r="M416" s="42">
        <v>0</v>
      </c>
      <c r="O416" s="42">
        <v>1568551</v>
      </c>
      <c r="Q416" s="42">
        <v>789215</v>
      </c>
      <c r="S416" s="42">
        <v>1068792</v>
      </c>
      <c r="U416" s="42">
        <v>39546</v>
      </c>
      <c r="W416" s="42">
        <v>1248155</v>
      </c>
      <c r="Y416" s="42">
        <v>284945</v>
      </c>
      <c r="AA416" s="42">
        <v>0</v>
      </c>
      <c r="AC416" s="42">
        <v>2026180</v>
      </c>
      <c r="AE416" s="42">
        <v>1669419</v>
      </c>
      <c r="AG416" s="42">
        <v>4700</v>
      </c>
      <c r="AI416" s="9" t="s">
        <v>592</v>
      </c>
      <c r="AJ416" s="9"/>
      <c r="AK416" s="9" t="s">
        <v>59</v>
      </c>
      <c r="AL416" s="9"/>
      <c r="AM416" s="42">
        <v>0</v>
      </c>
      <c r="AO416" s="42">
        <v>846515</v>
      </c>
      <c r="AQ416" s="42">
        <v>311232</v>
      </c>
      <c r="AS416" s="42">
        <v>130007</v>
      </c>
      <c r="AW416" s="42">
        <v>0</v>
      </c>
      <c r="AY416" s="42">
        <f t="shared" si="44"/>
        <v>19635211</v>
      </c>
      <c r="BA416" s="42">
        <f>+'St of Act - GA Rev'!AI416-'St of Activities - GA Exp'!AY416</f>
        <v>-1352144</v>
      </c>
      <c r="BC416" s="42">
        <v>21342728</v>
      </c>
      <c r="BE416" s="42">
        <f t="shared" si="45"/>
        <v>19990584</v>
      </c>
      <c r="BG416" s="42">
        <f>+'St of Net Pos - GA'!AE416-'St of Activities - GA Exp'!BE416</f>
        <v>0</v>
      </c>
    </row>
    <row r="417" spans="1:59">
      <c r="A417" s="9" t="s">
        <v>325</v>
      </c>
      <c r="B417" s="9"/>
      <c r="C417" s="9" t="s">
        <v>62</v>
      </c>
      <c r="D417" s="9"/>
      <c r="E417" s="23">
        <v>49908</v>
      </c>
      <c r="G417" s="42">
        <v>9591219</v>
      </c>
      <c r="I417" s="42">
        <v>2523483</v>
      </c>
      <c r="K417" s="42">
        <v>136391</v>
      </c>
      <c r="M417" s="42">
        <v>0</v>
      </c>
      <c r="O417" s="42">
        <v>98136</v>
      </c>
      <c r="Q417" s="42">
        <v>771027</v>
      </c>
      <c r="S417" s="42">
        <v>129381</v>
      </c>
      <c r="U417" s="42">
        <v>39722</v>
      </c>
      <c r="W417" s="42">
        <v>1906971</v>
      </c>
      <c r="Y417" s="42">
        <v>463982</v>
      </c>
      <c r="AA417" s="42">
        <v>0</v>
      </c>
      <c r="AC417" s="42">
        <v>2017876</v>
      </c>
      <c r="AE417" s="42">
        <v>1148435</v>
      </c>
      <c r="AG417" s="42">
        <v>241053</v>
      </c>
      <c r="AI417" s="9" t="s">
        <v>325</v>
      </c>
      <c r="AJ417" s="9"/>
      <c r="AK417" s="9" t="s">
        <v>62</v>
      </c>
      <c r="AL417" s="9"/>
      <c r="AM417" s="42">
        <v>842234</v>
      </c>
      <c r="AO417" s="42">
        <v>102672</v>
      </c>
      <c r="AQ417" s="42">
        <v>448744</v>
      </c>
      <c r="AS417" s="42">
        <v>756360</v>
      </c>
      <c r="AW417" s="42">
        <v>0</v>
      </c>
      <c r="AY417" s="42">
        <f t="shared" si="44"/>
        <v>21217686</v>
      </c>
      <c r="BA417" s="42">
        <f>+'St of Act - GA Rev'!AI417-'St of Activities - GA Exp'!AY417</f>
        <v>374494</v>
      </c>
      <c r="BC417" s="42">
        <v>32998886</v>
      </c>
      <c r="BE417" s="42">
        <f t="shared" si="45"/>
        <v>33373380</v>
      </c>
      <c r="BG417" s="42">
        <f>+'St of Net Pos - GA'!AE417-'St of Activities - GA Exp'!BE417</f>
        <v>0</v>
      </c>
    </row>
    <row r="418" spans="1:59">
      <c r="A418" s="9" t="s">
        <v>232</v>
      </c>
      <c r="B418" s="9"/>
      <c r="C418" s="9" t="s">
        <v>17</v>
      </c>
      <c r="D418" s="9"/>
      <c r="E418" s="23">
        <v>46268</v>
      </c>
      <c r="G418" s="42">
        <v>7929451</v>
      </c>
      <c r="I418" s="42">
        <v>1854408</v>
      </c>
      <c r="K418" s="42">
        <v>0</v>
      </c>
      <c r="M418" s="42">
        <v>0</v>
      </c>
      <c r="O418" s="42">
        <v>3768</v>
      </c>
      <c r="Q418" s="42">
        <v>1088894</v>
      </c>
      <c r="S418" s="42">
        <v>356470</v>
      </c>
      <c r="U418" s="42">
        <v>93260</v>
      </c>
      <c r="W418" s="42">
        <v>1059541</v>
      </c>
      <c r="Y418" s="42">
        <v>496045</v>
      </c>
      <c r="AA418" s="42">
        <v>0</v>
      </c>
      <c r="AC418" s="42">
        <v>1367203</v>
      </c>
      <c r="AE418" s="42">
        <v>1170318</v>
      </c>
      <c r="AG418" s="42">
        <v>31977</v>
      </c>
      <c r="AI418" s="9" t="s">
        <v>232</v>
      </c>
      <c r="AJ418" s="9"/>
      <c r="AK418" s="9" t="s">
        <v>17</v>
      </c>
      <c r="AL418" s="9"/>
      <c r="AM418" s="42">
        <v>618575</v>
      </c>
      <c r="AO418" s="42">
        <v>49460</v>
      </c>
      <c r="AQ418" s="42">
        <v>452697</v>
      </c>
      <c r="AS418" s="42">
        <v>1708104</v>
      </c>
      <c r="AW418" s="42">
        <v>0</v>
      </c>
      <c r="AY418" s="42">
        <f t="shared" si="44"/>
        <v>18280171</v>
      </c>
      <c r="BA418" s="42">
        <f>+'St of Act - GA Rev'!AI418-'St of Activities - GA Exp'!AY418</f>
        <v>2508708</v>
      </c>
      <c r="BC418" s="42">
        <v>34114858</v>
      </c>
      <c r="BE418" s="42">
        <f t="shared" si="45"/>
        <v>36623566</v>
      </c>
      <c r="BG418" s="42">
        <f>+'St of Net Pos - GA'!AE418-'St of Activities - GA Exp'!BE418</f>
        <v>0</v>
      </c>
    </row>
    <row r="419" spans="1:59" hidden="1">
      <c r="A419" s="9" t="s">
        <v>733</v>
      </c>
      <c r="B419" s="9"/>
      <c r="C419" s="9" t="s">
        <v>71</v>
      </c>
      <c r="D419" s="9"/>
      <c r="E419" s="23">
        <v>50575</v>
      </c>
      <c r="G419" s="42">
        <v>0</v>
      </c>
      <c r="I419" s="42">
        <v>0</v>
      </c>
      <c r="K419" s="42">
        <v>0</v>
      </c>
      <c r="M419" s="42">
        <v>0</v>
      </c>
      <c r="O419" s="42">
        <v>0</v>
      </c>
      <c r="Q419" s="42">
        <v>0</v>
      </c>
      <c r="S419" s="42">
        <v>0</v>
      </c>
      <c r="U419" s="42">
        <v>0</v>
      </c>
      <c r="W419" s="42">
        <v>0</v>
      </c>
      <c r="Y419" s="42">
        <v>0</v>
      </c>
      <c r="AA419" s="42">
        <v>0</v>
      </c>
      <c r="AC419" s="42">
        <v>0</v>
      </c>
      <c r="AE419" s="42">
        <v>0</v>
      </c>
      <c r="AG419" s="42">
        <v>0</v>
      </c>
      <c r="AI419" s="9" t="s">
        <v>733</v>
      </c>
      <c r="AJ419" s="9"/>
      <c r="AK419" s="9" t="s">
        <v>71</v>
      </c>
      <c r="AL419" s="9"/>
      <c r="AM419" s="42">
        <v>0</v>
      </c>
      <c r="AO419" s="42">
        <v>0</v>
      </c>
      <c r="AQ419" s="42">
        <v>0</v>
      </c>
      <c r="AS419" s="42">
        <v>0</v>
      </c>
      <c r="AW419" s="42">
        <v>0</v>
      </c>
      <c r="BC419" s="42">
        <v>0</v>
      </c>
    </row>
    <row r="420" spans="1:59" hidden="1">
      <c r="A420" s="8" t="s">
        <v>868</v>
      </c>
      <c r="B420" s="9"/>
      <c r="C420" s="9" t="s">
        <v>72</v>
      </c>
      <c r="D420" s="9"/>
      <c r="E420" s="23">
        <v>50716</v>
      </c>
      <c r="G420" s="42">
        <v>0</v>
      </c>
      <c r="I420" s="42">
        <v>0</v>
      </c>
      <c r="K420" s="42">
        <v>0</v>
      </c>
      <c r="M420" s="42">
        <v>0</v>
      </c>
      <c r="O420" s="42">
        <v>0</v>
      </c>
      <c r="Q420" s="42">
        <v>0</v>
      </c>
      <c r="S420" s="42">
        <v>0</v>
      </c>
      <c r="U420" s="42">
        <v>0</v>
      </c>
      <c r="W420" s="42">
        <v>0</v>
      </c>
      <c r="Y420" s="42">
        <v>0</v>
      </c>
      <c r="AA420" s="42">
        <v>0</v>
      </c>
      <c r="AC420" s="42">
        <v>0</v>
      </c>
      <c r="AE420" s="42">
        <v>0</v>
      </c>
      <c r="AG420" s="42">
        <v>0</v>
      </c>
      <c r="AI420" s="8" t="s">
        <v>868</v>
      </c>
      <c r="AJ420" s="9"/>
      <c r="AK420" s="9" t="s">
        <v>72</v>
      </c>
      <c r="AL420" s="9"/>
      <c r="AM420" s="42">
        <v>0</v>
      </c>
      <c r="AO420" s="42">
        <v>0</v>
      </c>
      <c r="AQ420" s="42">
        <v>0</v>
      </c>
      <c r="AS420" s="42">
        <v>0</v>
      </c>
      <c r="AW420" s="42">
        <v>0</v>
      </c>
      <c r="AY420" s="42">
        <f t="shared" si="44"/>
        <v>0</v>
      </c>
      <c r="BA420" s="42">
        <f>+'St of Act - GA Rev'!AI420-'St of Activities - GA Exp'!AY420</f>
        <v>0</v>
      </c>
      <c r="BC420" s="42">
        <v>0</v>
      </c>
      <c r="BE420" s="42">
        <f t="shared" si="45"/>
        <v>0</v>
      </c>
      <c r="BG420" s="42">
        <f>+'St of Net Pos - GA'!AE420-'St of Activities - GA Exp'!BE420</f>
        <v>0</v>
      </c>
    </row>
    <row r="421" spans="1:59">
      <c r="A421" s="9" t="s">
        <v>508</v>
      </c>
      <c r="B421" s="9"/>
      <c r="C421" s="9" t="s">
        <v>63</v>
      </c>
      <c r="D421" s="9"/>
      <c r="E421" s="23">
        <v>44552</v>
      </c>
      <c r="G421" s="42">
        <v>10596042</v>
      </c>
      <c r="I421" s="42">
        <v>2509414</v>
      </c>
      <c r="K421" s="42">
        <v>618626</v>
      </c>
      <c r="M421" s="42">
        <v>4259</v>
      </c>
      <c r="O421" s="42">
        <v>415283</v>
      </c>
      <c r="Q421" s="42">
        <v>738679</v>
      </c>
      <c r="S421" s="42">
        <v>1223918</v>
      </c>
      <c r="U421" s="42">
        <v>27581</v>
      </c>
      <c r="W421" s="42">
        <v>1560287</v>
      </c>
      <c r="Y421" s="42">
        <v>642870</v>
      </c>
      <c r="AA421" s="42">
        <v>250688</v>
      </c>
      <c r="AC421" s="42">
        <v>1899090</v>
      </c>
      <c r="AE421" s="42">
        <v>1688542</v>
      </c>
      <c r="AG421" s="42">
        <v>72117</v>
      </c>
      <c r="AI421" s="9" t="s">
        <v>508</v>
      </c>
      <c r="AJ421" s="9"/>
      <c r="AK421" s="9" t="s">
        <v>63</v>
      </c>
      <c r="AL421" s="9"/>
      <c r="AM421" s="42">
        <v>917041</v>
      </c>
      <c r="AO421" s="42">
        <v>3725</v>
      </c>
      <c r="AQ421" s="42">
        <v>542717</v>
      </c>
      <c r="AS421" s="42">
        <v>4401</v>
      </c>
      <c r="AW421" s="42">
        <v>0</v>
      </c>
      <c r="AY421" s="42">
        <f t="shared" si="44"/>
        <v>23715280</v>
      </c>
      <c r="BA421" s="42">
        <f>+'St of Act - GA Rev'!AI421-'St of Activities - GA Exp'!AY421</f>
        <v>-1114724</v>
      </c>
      <c r="BC421" s="42">
        <v>10325220</v>
      </c>
      <c r="BE421" s="42">
        <f t="shared" si="45"/>
        <v>9210496</v>
      </c>
      <c r="BG421" s="42">
        <f>+'St of Net Pos - GA'!AE421-'St of Activities - GA Exp'!BE421</f>
        <v>0</v>
      </c>
    </row>
    <row r="422" spans="1:59">
      <c r="A422" s="9" t="s">
        <v>356</v>
      </c>
      <c r="B422" s="9"/>
      <c r="C422" s="9" t="s">
        <v>37</v>
      </c>
      <c r="D422" s="9"/>
      <c r="E422" s="23">
        <v>44560</v>
      </c>
      <c r="G422" s="42">
        <v>11486555</v>
      </c>
      <c r="I422" s="42">
        <v>3449829</v>
      </c>
      <c r="K422" s="42">
        <v>236397</v>
      </c>
      <c r="M422" s="42">
        <v>49842</v>
      </c>
      <c r="O422" s="42">
        <f>3665+1926155</f>
        <v>1929820</v>
      </c>
      <c r="Q422" s="42">
        <v>1116575</v>
      </c>
      <c r="S422" s="42">
        <v>1986333</v>
      </c>
      <c r="U422" s="42">
        <v>285933</v>
      </c>
      <c r="W422" s="42">
        <v>1891011</v>
      </c>
      <c r="Y422" s="42">
        <v>577055</v>
      </c>
      <c r="AA422" s="42">
        <v>164847</v>
      </c>
      <c r="AC422" s="42">
        <v>2602903</v>
      </c>
      <c r="AE422" s="42">
        <v>732759</v>
      </c>
      <c r="AG422" s="42">
        <v>64104</v>
      </c>
      <c r="AI422" s="9" t="s">
        <v>356</v>
      </c>
      <c r="AJ422" s="9"/>
      <c r="AK422" s="9" t="s">
        <v>37</v>
      </c>
      <c r="AL422" s="9"/>
      <c r="AM422" s="42">
        <v>1148483</v>
      </c>
      <c r="AO422" s="42">
        <v>546204</v>
      </c>
      <c r="AQ422" s="42">
        <v>731017</v>
      </c>
      <c r="AS422" s="42">
        <v>515163</v>
      </c>
      <c r="AW422" s="42">
        <v>0</v>
      </c>
      <c r="AY422" s="42">
        <f t="shared" ref="AY422:AY434" si="46">SUM(G422:AX422)</f>
        <v>29514830</v>
      </c>
      <c r="BA422" s="42">
        <f>+'St of Act - GA Rev'!AI422-'St of Activities - GA Exp'!AY422</f>
        <v>-2506568</v>
      </c>
      <c r="BC422" s="42">
        <v>21726240</v>
      </c>
      <c r="BE422" s="42">
        <f t="shared" si="45"/>
        <v>19219672</v>
      </c>
      <c r="BG422" s="42">
        <f>+'St of Net Pos - GA'!AE422-'St of Activities - GA Exp'!BE422</f>
        <v>0</v>
      </c>
    </row>
    <row r="423" spans="1:59" hidden="1">
      <c r="A423" s="9" t="s">
        <v>811</v>
      </c>
      <c r="B423" s="9"/>
      <c r="C423" s="9" t="s">
        <v>71</v>
      </c>
      <c r="D423" s="9"/>
      <c r="E423" s="23">
        <v>50567</v>
      </c>
      <c r="G423" s="42">
        <v>0</v>
      </c>
      <c r="I423" s="42">
        <v>0</v>
      </c>
      <c r="K423" s="42">
        <v>0</v>
      </c>
      <c r="M423" s="42">
        <v>0</v>
      </c>
      <c r="O423" s="42">
        <v>0</v>
      </c>
      <c r="Q423" s="42">
        <v>0</v>
      </c>
      <c r="S423" s="42">
        <v>0</v>
      </c>
      <c r="U423" s="42">
        <v>0</v>
      </c>
      <c r="W423" s="42">
        <v>0</v>
      </c>
      <c r="Y423" s="42">
        <v>0</v>
      </c>
      <c r="AA423" s="42">
        <v>0</v>
      </c>
      <c r="AC423" s="42">
        <v>0</v>
      </c>
      <c r="AE423" s="42">
        <v>0</v>
      </c>
      <c r="AG423" s="42">
        <v>0</v>
      </c>
      <c r="AI423" s="9" t="s">
        <v>811</v>
      </c>
      <c r="AJ423" s="9"/>
      <c r="AK423" s="9" t="s">
        <v>71</v>
      </c>
      <c r="AL423" s="9"/>
      <c r="AM423" s="42">
        <v>0</v>
      </c>
      <c r="AO423" s="42">
        <v>0</v>
      </c>
      <c r="AQ423" s="42">
        <v>0</v>
      </c>
      <c r="AS423" s="42">
        <v>0</v>
      </c>
      <c r="AW423" s="42">
        <v>0</v>
      </c>
      <c r="AY423" s="42">
        <f t="shared" ref="AY423" si="47">SUM(G423:AX423)</f>
        <v>0</v>
      </c>
      <c r="BA423" s="42">
        <f>+'St of Act - GA Rev'!AI423-'St of Activities - GA Exp'!AY423</f>
        <v>0</v>
      </c>
      <c r="BC423" s="42">
        <v>0</v>
      </c>
      <c r="BE423" s="42">
        <f t="shared" ref="BE423" si="48">+BA423+BC423</f>
        <v>0</v>
      </c>
      <c r="BG423" s="42">
        <f>+'St of Net Pos - GA'!AE423-'St of Activities - GA Exp'!BE423</f>
        <v>0</v>
      </c>
    </row>
    <row r="424" spans="1:59">
      <c r="A424" s="9" t="s">
        <v>626</v>
      </c>
      <c r="B424" s="9"/>
      <c r="C424" s="9" t="s">
        <v>32</v>
      </c>
      <c r="D424" s="9"/>
      <c r="E424" s="23">
        <v>44578</v>
      </c>
      <c r="G424" s="42">
        <v>12046656</v>
      </c>
      <c r="I424" s="42">
        <v>4678334</v>
      </c>
      <c r="K424" s="42">
        <v>0</v>
      </c>
      <c r="M424" s="42">
        <v>0</v>
      </c>
      <c r="O424" s="42">
        <v>1061914</v>
      </c>
      <c r="Q424" s="42">
        <v>1802306</v>
      </c>
      <c r="S424" s="42">
        <v>588477</v>
      </c>
      <c r="U424" s="42">
        <v>0</v>
      </c>
      <c r="W424" s="42">
        <f>19687+1590323</f>
        <v>1610010</v>
      </c>
      <c r="Y424" s="42">
        <v>690873</v>
      </c>
      <c r="AA424" s="42">
        <v>4959</v>
      </c>
      <c r="AC424" s="42">
        <v>2109948</v>
      </c>
      <c r="AE424" s="42">
        <v>573946</v>
      </c>
      <c r="AG424" s="42">
        <v>161289</v>
      </c>
      <c r="AI424" s="9" t="s">
        <v>626</v>
      </c>
      <c r="AJ424" s="9"/>
      <c r="AK424" s="9" t="s">
        <v>32</v>
      </c>
      <c r="AL424" s="9"/>
      <c r="AM424" s="42">
        <v>0</v>
      </c>
      <c r="AO424" s="42">
        <v>1094630</v>
      </c>
      <c r="AQ424" s="42">
        <v>553231</v>
      </c>
      <c r="AS424" s="42">
        <v>1157811</v>
      </c>
      <c r="AW424" s="42">
        <v>0</v>
      </c>
      <c r="AY424" s="42">
        <f t="shared" si="46"/>
        <v>28134384</v>
      </c>
      <c r="BA424" s="42">
        <f>+'St of Act - GA Rev'!AI424-'St of Activities - GA Exp'!AY424</f>
        <v>752161</v>
      </c>
      <c r="BC424" s="42">
        <v>11294437</v>
      </c>
      <c r="BE424" s="42">
        <f t="shared" si="45"/>
        <v>12046598</v>
      </c>
      <c r="BG424" s="42">
        <f>+'St of Net Pos - GA'!AE424-'St of Activities - GA Exp'!BE424</f>
        <v>0</v>
      </c>
    </row>
    <row r="425" spans="1:59" hidden="1">
      <c r="A425" s="9" t="s">
        <v>732</v>
      </c>
      <c r="B425" s="9"/>
      <c r="C425" s="9" t="s">
        <v>38</v>
      </c>
      <c r="D425" s="9"/>
      <c r="E425" s="23">
        <v>47761</v>
      </c>
      <c r="G425" s="42">
        <v>0</v>
      </c>
      <c r="I425" s="42">
        <v>0</v>
      </c>
      <c r="K425" s="42">
        <v>0</v>
      </c>
      <c r="M425" s="42">
        <v>0</v>
      </c>
      <c r="O425" s="42">
        <v>0</v>
      </c>
      <c r="Q425" s="42">
        <v>0</v>
      </c>
      <c r="S425" s="42">
        <v>0</v>
      </c>
      <c r="U425" s="42">
        <v>0</v>
      </c>
      <c r="W425" s="42">
        <v>0</v>
      </c>
      <c r="Y425" s="42">
        <v>0</v>
      </c>
      <c r="AA425" s="42">
        <v>0</v>
      </c>
      <c r="AC425" s="42">
        <v>0</v>
      </c>
      <c r="AE425" s="42">
        <v>0</v>
      </c>
      <c r="AG425" s="42">
        <v>0</v>
      </c>
      <c r="AI425" s="9" t="s">
        <v>732</v>
      </c>
      <c r="AJ425" s="9"/>
      <c r="AK425" s="9" t="s">
        <v>38</v>
      </c>
      <c r="AL425" s="9"/>
      <c r="AM425" s="42">
        <v>0</v>
      </c>
      <c r="AO425" s="42">
        <v>0</v>
      </c>
      <c r="AQ425" s="42">
        <v>0</v>
      </c>
      <c r="AS425" s="42">
        <v>0</v>
      </c>
      <c r="AW425" s="42">
        <v>0</v>
      </c>
      <c r="BC425" s="42">
        <v>0</v>
      </c>
    </row>
    <row r="426" spans="1:59">
      <c r="A426" s="9" t="s">
        <v>326</v>
      </c>
      <c r="B426" s="9"/>
      <c r="C426" s="9" t="s">
        <v>32</v>
      </c>
      <c r="D426" s="9"/>
      <c r="E426" s="23">
        <v>47373</v>
      </c>
      <c r="G426" s="42">
        <v>32290873</v>
      </c>
      <c r="I426" s="42">
        <v>8569051</v>
      </c>
      <c r="K426" s="42">
        <v>447</v>
      </c>
      <c r="M426" s="42">
        <v>0</v>
      </c>
      <c r="O426" s="42">
        <v>239570</v>
      </c>
      <c r="Q426" s="42">
        <v>5035797</v>
      </c>
      <c r="S426" s="42">
        <v>5685892</v>
      </c>
      <c r="U426" s="42">
        <v>0</v>
      </c>
      <c r="W426" s="42">
        <f>126079+5455185</f>
        <v>5581264</v>
      </c>
      <c r="Y426" s="42">
        <v>1259348</v>
      </c>
      <c r="AA426" s="42">
        <v>113062</v>
      </c>
      <c r="AC426" s="42">
        <v>6233071</v>
      </c>
      <c r="AE426" s="42">
        <v>3016409</v>
      </c>
      <c r="AG426" s="42">
        <v>554851</v>
      </c>
      <c r="AI426" s="9" t="s">
        <v>326</v>
      </c>
      <c r="AJ426" s="9"/>
      <c r="AK426" s="9" t="s">
        <v>32</v>
      </c>
      <c r="AL426" s="9"/>
      <c r="AM426" s="42">
        <v>0</v>
      </c>
      <c r="AO426" s="42">
        <v>4498202</v>
      </c>
      <c r="AQ426" s="42">
        <v>2185473</v>
      </c>
      <c r="AS426" s="42">
        <v>1711279</v>
      </c>
      <c r="AW426" s="42">
        <v>0</v>
      </c>
      <c r="AY426" s="42">
        <f t="shared" si="46"/>
        <v>76974589</v>
      </c>
      <c r="BA426" s="42">
        <f>+'St of Act - GA Rev'!AI426-'St of Activities - GA Exp'!AY426</f>
        <v>413022</v>
      </c>
      <c r="BC426" s="42">
        <v>34523386</v>
      </c>
      <c r="BE426" s="42">
        <f t="shared" si="45"/>
        <v>34936408</v>
      </c>
      <c r="BG426" s="42">
        <f>+'St of Net Pos - GA'!AE426-'St of Activities - GA Exp'!BE426</f>
        <v>0</v>
      </c>
    </row>
    <row r="427" spans="1:59">
      <c r="A427" s="9" t="s">
        <v>432</v>
      </c>
      <c r="B427" s="9"/>
      <c r="C427" s="9" t="s">
        <v>50</v>
      </c>
      <c r="D427" s="9"/>
      <c r="E427" s="23">
        <v>44586</v>
      </c>
      <c r="G427" s="42">
        <v>13547190</v>
      </c>
      <c r="I427" s="42">
        <v>2893236</v>
      </c>
      <c r="K427" s="42">
        <v>0</v>
      </c>
      <c r="M427" s="42">
        <v>0</v>
      </c>
      <c r="O427" s="42">
        <v>176524</v>
      </c>
      <c r="Q427" s="42">
        <v>1686090</v>
      </c>
      <c r="S427" s="42">
        <v>300182</v>
      </c>
      <c r="U427" s="42">
        <v>31136</v>
      </c>
      <c r="W427" s="42">
        <v>1991499</v>
      </c>
      <c r="Y427" s="42">
        <v>749270</v>
      </c>
      <c r="AA427" s="42">
        <v>10228</v>
      </c>
      <c r="AC427" s="42">
        <v>2114515</v>
      </c>
      <c r="AE427" s="42">
        <v>270158</v>
      </c>
      <c r="AG427" s="42">
        <v>549829</v>
      </c>
      <c r="AI427" s="9" t="s">
        <v>432</v>
      </c>
      <c r="AJ427" s="9"/>
      <c r="AK427" s="9" t="s">
        <v>50</v>
      </c>
      <c r="AL427" s="9"/>
      <c r="AM427" s="42">
        <v>415697</v>
      </c>
      <c r="AO427" s="42">
        <f>218863+33051</f>
        <v>251914</v>
      </c>
      <c r="AQ427" s="42">
        <v>1044693</v>
      </c>
      <c r="AS427" s="42">
        <v>513537</v>
      </c>
      <c r="AW427" s="42">
        <v>0</v>
      </c>
      <c r="AY427" s="42">
        <f t="shared" si="46"/>
        <v>26545698</v>
      </c>
      <c r="BA427" s="42">
        <f>+'St of Act - GA Rev'!AI427-'St of Activities - GA Exp'!AY427</f>
        <v>-706884</v>
      </c>
      <c r="BC427" s="42">
        <v>5656656</v>
      </c>
      <c r="BE427" s="42">
        <f t="shared" si="45"/>
        <v>4949772</v>
      </c>
      <c r="BG427" s="42">
        <f>+'St of Net Pos - GA'!AE427-'St of Activities - GA Exp'!BE427</f>
        <v>0</v>
      </c>
    </row>
    <row r="428" spans="1:59">
      <c r="A428" s="9" t="s">
        <v>386</v>
      </c>
      <c r="B428" s="9"/>
      <c r="C428" s="9" t="s">
        <v>44</v>
      </c>
      <c r="D428" s="9"/>
      <c r="E428" s="23">
        <v>44594</v>
      </c>
      <c r="G428" s="42">
        <v>7435198</v>
      </c>
      <c r="I428" s="42">
        <v>1145688</v>
      </c>
      <c r="K428" s="42">
        <v>105652</v>
      </c>
      <c r="M428" s="42">
        <v>0</v>
      </c>
      <c r="O428" s="42">
        <v>23053</v>
      </c>
      <c r="Q428" s="42">
        <v>1123962</v>
      </c>
      <c r="S428" s="42">
        <v>584592</v>
      </c>
      <c r="U428" s="42">
        <v>41549</v>
      </c>
      <c r="W428" s="42">
        <v>1395763</v>
      </c>
      <c r="Y428" s="42">
        <v>491153</v>
      </c>
      <c r="AA428" s="42">
        <v>77435</v>
      </c>
      <c r="AC428" s="42">
        <v>1444031</v>
      </c>
      <c r="AE428" s="42">
        <v>549574</v>
      </c>
      <c r="AG428" s="42">
        <v>33130</v>
      </c>
      <c r="AI428" s="9" t="s">
        <v>386</v>
      </c>
      <c r="AJ428" s="9"/>
      <c r="AK428" s="9" t="s">
        <v>44</v>
      </c>
      <c r="AL428" s="9"/>
      <c r="AM428" s="42">
        <v>0</v>
      </c>
      <c r="AO428" s="42">
        <v>429090</v>
      </c>
      <c r="AQ428" s="42">
        <v>386754</v>
      </c>
      <c r="AS428" s="42">
        <v>22271</v>
      </c>
      <c r="AW428" s="42">
        <v>0</v>
      </c>
      <c r="AY428" s="42">
        <f t="shared" si="46"/>
        <v>15288895</v>
      </c>
      <c r="BA428" s="42">
        <f>+'St of Act - GA Rev'!AI428-'St of Activities - GA Exp'!AY428</f>
        <v>219983</v>
      </c>
      <c r="BC428" s="42">
        <v>6029550</v>
      </c>
      <c r="BE428" s="42">
        <f t="shared" si="45"/>
        <v>6249533</v>
      </c>
      <c r="BG428" s="42">
        <f>+'St of Net Pos - GA'!AE428-'St of Activities - GA Exp'!BE428</f>
        <v>0</v>
      </c>
    </row>
    <row r="429" spans="1:59" ht="12" hidden="1" customHeight="1">
      <c r="A429" s="9" t="s">
        <v>609</v>
      </c>
      <c r="B429" s="9"/>
      <c r="C429" s="9" t="s">
        <v>60</v>
      </c>
      <c r="D429" s="9"/>
      <c r="E429" s="23">
        <v>49726</v>
      </c>
      <c r="G429" s="42">
        <v>0</v>
      </c>
      <c r="I429" s="42">
        <v>0</v>
      </c>
      <c r="K429" s="42">
        <v>0</v>
      </c>
      <c r="M429" s="42">
        <v>0</v>
      </c>
      <c r="O429" s="42">
        <v>0</v>
      </c>
      <c r="Q429" s="42">
        <v>0</v>
      </c>
      <c r="S429" s="42">
        <v>0</v>
      </c>
      <c r="U429" s="42">
        <v>0</v>
      </c>
      <c r="W429" s="42">
        <v>0</v>
      </c>
      <c r="Y429" s="42">
        <v>0</v>
      </c>
      <c r="AA429" s="42">
        <v>0</v>
      </c>
      <c r="AC429" s="42">
        <v>0</v>
      </c>
      <c r="AE429" s="42">
        <v>0</v>
      </c>
      <c r="AG429" s="42">
        <v>0</v>
      </c>
      <c r="AI429" s="9" t="s">
        <v>609</v>
      </c>
      <c r="AJ429" s="9"/>
      <c r="AK429" s="9" t="s">
        <v>60</v>
      </c>
      <c r="AL429" s="9"/>
      <c r="AM429" s="42">
        <v>0</v>
      </c>
      <c r="AO429" s="42">
        <v>0</v>
      </c>
      <c r="AQ429" s="42">
        <v>0</v>
      </c>
      <c r="AS429" s="42">
        <v>0</v>
      </c>
      <c r="AW429" s="42">
        <v>0</v>
      </c>
      <c r="AY429" s="42">
        <f t="shared" si="46"/>
        <v>0</v>
      </c>
      <c r="BA429" s="42">
        <f>+'St of Act - GA Rev'!AI429-'St of Activities - GA Exp'!AY429</f>
        <v>0</v>
      </c>
      <c r="BC429" s="42">
        <v>0</v>
      </c>
      <c r="BE429" s="42">
        <f t="shared" si="45"/>
        <v>0</v>
      </c>
      <c r="BG429" s="42">
        <f>+'St of Net Pos - GA'!AE429-'St of Activities - GA Exp'!BE429</f>
        <v>0</v>
      </c>
    </row>
    <row r="430" spans="1:59">
      <c r="A430" s="9" t="s">
        <v>282</v>
      </c>
      <c r="B430" s="9"/>
      <c r="C430" s="9" t="s">
        <v>23</v>
      </c>
      <c r="D430" s="9"/>
      <c r="E430" s="23">
        <v>46763</v>
      </c>
      <c r="G430" s="42">
        <v>90416256</v>
      </c>
      <c r="I430" s="42">
        <v>19383362</v>
      </c>
      <c r="K430" s="42">
        <v>1027364</v>
      </c>
      <c r="M430" s="42">
        <v>0</v>
      </c>
      <c r="O430" s="42">
        <v>0</v>
      </c>
      <c r="Q430" s="42">
        <v>7177957</v>
      </c>
      <c r="S430" s="42">
        <v>10230181</v>
      </c>
      <c r="U430" s="42">
        <v>649903</v>
      </c>
      <c r="W430" s="42">
        <v>7942782</v>
      </c>
      <c r="Y430" s="42">
        <v>3670625</v>
      </c>
      <c r="AA430" s="42">
        <v>377158</v>
      </c>
      <c r="AC430" s="42">
        <v>14358642</v>
      </c>
      <c r="AE430" s="42">
        <v>9091088</v>
      </c>
      <c r="AG430" s="42">
        <v>2770588</v>
      </c>
      <c r="AI430" s="9" t="s">
        <v>282</v>
      </c>
      <c r="AJ430" s="9"/>
      <c r="AK430" s="9" t="s">
        <v>23</v>
      </c>
      <c r="AL430" s="9"/>
      <c r="AM430" s="42">
        <v>0</v>
      </c>
      <c r="AO430" s="42">
        <v>9000154</v>
      </c>
      <c r="AQ430" s="42">
        <v>4587449</v>
      </c>
      <c r="AS430" s="42">
        <v>14981360</v>
      </c>
      <c r="AW430" s="42">
        <v>0</v>
      </c>
      <c r="AY430" s="42">
        <f t="shared" si="46"/>
        <v>195664869</v>
      </c>
      <c r="BA430" s="42">
        <f>+'St of Act - GA Rev'!AI430-'St of Activities - GA Exp'!AY430</f>
        <v>20809047</v>
      </c>
      <c r="BC430" s="42">
        <v>49694307</v>
      </c>
      <c r="BE430" s="42">
        <f t="shared" si="45"/>
        <v>70503354</v>
      </c>
      <c r="BG430" s="42">
        <f>+'St of Net Pos - GA'!AE430-'St of Activities - GA Exp'!BE430</f>
        <v>0</v>
      </c>
    </row>
    <row r="431" spans="1:59">
      <c r="A431" s="9" t="s">
        <v>271</v>
      </c>
      <c r="B431" s="9"/>
      <c r="C431" s="9" t="s">
        <v>20</v>
      </c>
      <c r="D431" s="9"/>
      <c r="E431" s="23">
        <v>46573</v>
      </c>
      <c r="G431" s="42">
        <v>20509347</v>
      </c>
      <c r="I431" s="42">
        <v>6048092</v>
      </c>
      <c r="K431" s="42">
        <v>360404</v>
      </c>
      <c r="M431" s="42">
        <v>0</v>
      </c>
      <c r="O431" s="42">
        <v>43122</v>
      </c>
      <c r="Q431" s="42">
        <v>1889671</v>
      </c>
      <c r="S431" s="42">
        <v>1247677</v>
      </c>
      <c r="U431" s="42">
        <v>199296</v>
      </c>
      <c r="W431" s="42">
        <v>2521538</v>
      </c>
      <c r="Y431" s="42">
        <v>1016777</v>
      </c>
      <c r="AA431" s="42">
        <v>0</v>
      </c>
      <c r="AC431" s="42">
        <v>3945012</v>
      </c>
      <c r="AE431" s="42">
        <v>2125997</v>
      </c>
      <c r="AG431" s="42">
        <v>943662</v>
      </c>
      <c r="AI431" s="9" t="s">
        <v>271</v>
      </c>
      <c r="AJ431" s="9"/>
      <c r="AK431" s="9" t="s">
        <v>20</v>
      </c>
      <c r="AL431" s="9"/>
      <c r="AM431" s="42">
        <v>1227355</v>
      </c>
      <c r="AO431" s="42">
        <v>5853</v>
      </c>
      <c r="AQ431" s="42">
        <v>1759035</v>
      </c>
      <c r="AS431" s="42">
        <v>1221576</v>
      </c>
      <c r="AW431" s="42">
        <v>0</v>
      </c>
      <c r="AY431" s="42">
        <f t="shared" si="46"/>
        <v>45064414</v>
      </c>
      <c r="BA431" s="42">
        <f>+'St of Act - GA Rev'!AI431-'St of Activities - GA Exp'!AY431</f>
        <v>-344945</v>
      </c>
      <c r="BC431" s="42">
        <v>31695054</v>
      </c>
      <c r="BE431" s="42">
        <f t="shared" ref="BE431:BE495" si="49">+BA431+BC431</f>
        <v>31350109</v>
      </c>
      <c r="BG431" s="42">
        <f>+'St of Net Pos - GA'!AE431-'St of Activities - GA Exp'!BE431</f>
        <v>0</v>
      </c>
    </row>
    <row r="432" spans="1:59">
      <c r="A432" s="9" t="s">
        <v>467</v>
      </c>
      <c r="B432" s="9"/>
      <c r="C432" s="9" t="s">
        <v>109</v>
      </c>
      <c r="D432" s="9"/>
      <c r="E432" s="23">
        <v>49478</v>
      </c>
      <c r="G432" s="42">
        <v>7419464</v>
      </c>
      <c r="I432" s="42">
        <v>1578462</v>
      </c>
      <c r="K432" s="42">
        <v>255307</v>
      </c>
      <c r="M432" s="42">
        <v>0</v>
      </c>
      <c r="O432" s="42">
        <v>488756</v>
      </c>
      <c r="Q432" s="42">
        <v>961489</v>
      </c>
      <c r="S432" s="42">
        <v>940927</v>
      </c>
      <c r="U432" s="42">
        <v>51149</v>
      </c>
      <c r="W432" s="42">
        <v>1323873</v>
      </c>
      <c r="Y432" s="42">
        <v>535165</v>
      </c>
      <c r="AA432" s="42">
        <v>0</v>
      </c>
      <c r="AC432" s="42">
        <v>1713893</v>
      </c>
      <c r="AE432" s="42">
        <v>908354</v>
      </c>
      <c r="AG432" s="42">
        <v>59046</v>
      </c>
      <c r="AI432" s="9" t="s">
        <v>467</v>
      </c>
      <c r="AJ432" s="9"/>
      <c r="AK432" s="9" t="s">
        <v>109</v>
      </c>
      <c r="AL432" s="9"/>
      <c r="AM432" s="42">
        <v>845590</v>
      </c>
      <c r="AO432" s="42">
        <v>6377</v>
      </c>
      <c r="AQ432" s="42">
        <v>837604</v>
      </c>
      <c r="AS432" s="42">
        <v>645636</v>
      </c>
      <c r="AW432" s="42">
        <v>0</v>
      </c>
      <c r="AY432" s="42">
        <f t="shared" si="46"/>
        <v>18571092</v>
      </c>
      <c r="BA432" s="42">
        <f>+'St of Act - GA Rev'!AI432-'St of Activities - GA Exp'!AY432</f>
        <v>302416</v>
      </c>
      <c r="BC432" s="42">
        <v>14823721</v>
      </c>
      <c r="BE432" s="42">
        <f t="shared" si="49"/>
        <v>15126137</v>
      </c>
      <c r="BG432" s="42">
        <f>+'St of Net Pos - GA'!AE432-'St of Activities - GA Exp'!BE432</f>
        <v>0</v>
      </c>
    </row>
    <row r="433" spans="1:59">
      <c r="A433" s="9" t="s">
        <v>272</v>
      </c>
      <c r="B433" s="9"/>
      <c r="C433" s="9" t="s">
        <v>20</v>
      </c>
      <c r="D433" s="9"/>
      <c r="E433" s="23">
        <v>46581</v>
      </c>
      <c r="G433" s="42">
        <v>18837598</v>
      </c>
      <c r="I433" s="42">
        <v>6493403</v>
      </c>
      <c r="K433" s="42">
        <v>365421</v>
      </c>
      <c r="M433" s="42">
        <v>0</v>
      </c>
      <c r="O433" s="42">
        <v>683802</v>
      </c>
      <c r="Q433" s="42">
        <v>3598659</v>
      </c>
      <c r="S433" s="42">
        <v>4003460</v>
      </c>
      <c r="U433" s="42">
        <v>69029</v>
      </c>
      <c r="W433" s="42">
        <v>3428020</v>
      </c>
      <c r="Y433" s="42">
        <v>1344401</v>
      </c>
      <c r="AA433" s="42">
        <v>625460</v>
      </c>
      <c r="AC433" s="42">
        <v>5256521</v>
      </c>
      <c r="AE433" s="42">
        <v>3641934</v>
      </c>
      <c r="AG433" s="42">
        <v>992787</v>
      </c>
      <c r="AI433" s="9" t="s">
        <v>272</v>
      </c>
      <c r="AJ433" s="9"/>
      <c r="AK433" s="9" t="s">
        <v>20</v>
      </c>
      <c r="AL433" s="9"/>
      <c r="AM433" s="42">
        <v>737225</v>
      </c>
      <c r="AO433" s="42">
        <v>575953</v>
      </c>
      <c r="AQ433" s="42">
        <v>1665913</v>
      </c>
      <c r="AS433" s="42">
        <v>1277694</v>
      </c>
      <c r="AW433" s="42">
        <v>0</v>
      </c>
      <c r="AY433" s="42">
        <f t="shared" si="46"/>
        <v>53597280</v>
      </c>
      <c r="BA433" s="42">
        <f>+'St of Act - GA Rev'!AI433-'St of Activities - GA Exp'!AY433</f>
        <v>2743686</v>
      </c>
      <c r="BC433" s="42">
        <v>54192454</v>
      </c>
      <c r="BE433" s="42">
        <f t="shared" si="49"/>
        <v>56936140</v>
      </c>
      <c r="BG433" s="42">
        <f>+'St of Net Pos - GA'!AE433-'St of Activities - GA Exp'!BE433</f>
        <v>0</v>
      </c>
    </row>
    <row r="434" spans="1:59" ht="12" customHeight="1">
      <c r="A434" s="9" t="s">
        <v>388</v>
      </c>
      <c r="B434" s="9"/>
      <c r="C434" s="9" t="s">
        <v>114</v>
      </c>
      <c r="D434" s="9"/>
      <c r="E434" s="23">
        <v>44602</v>
      </c>
      <c r="G434" s="42">
        <v>17117527</v>
      </c>
      <c r="I434" s="42">
        <v>5246168</v>
      </c>
      <c r="K434" s="42">
        <v>2691536</v>
      </c>
      <c r="M434" s="42">
        <v>106186</v>
      </c>
      <c r="O434" s="42">
        <v>250502</v>
      </c>
      <c r="Q434" s="42">
        <v>1373945</v>
      </c>
      <c r="S434" s="42">
        <v>2977984</v>
      </c>
      <c r="U434" s="42">
        <v>30199</v>
      </c>
      <c r="W434" s="42">
        <v>2892283</v>
      </c>
      <c r="Y434" s="42">
        <v>804772</v>
      </c>
      <c r="AA434" s="42">
        <v>342859</v>
      </c>
      <c r="AC434" s="42">
        <v>4875462</v>
      </c>
      <c r="AE434" s="42">
        <v>1925745</v>
      </c>
      <c r="AG434" s="42">
        <v>694</v>
      </c>
      <c r="AI434" s="9" t="s">
        <v>388</v>
      </c>
      <c r="AJ434" s="9"/>
      <c r="AK434" s="9" t="s">
        <v>114</v>
      </c>
      <c r="AL434" s="9"/>
      <c r="AM434" s="42">
        <v>1672076</v>
      </c>
      <c r="AO434" s="42">
        <v>404640</v>
      </c>
      <c r="AQ434" s="42">
        <v>1197620</v>
      </c>
      <c r="AS434" s="42">
        <v>1578748</v>
      </c>
      <c r="AW434" s="42">
        <v>0</v>
      </c>
      <c r="AY434" s="42">
        <f t="shared" si="46"/>
        <v>45488946</v>
      </c>
      <c r="BA434" s="42">
        <f>+'St of Act - GA Rev'!AI434-'St of Activities - GA Exp'!AY434</f>
        <v>-775895</v>
      </c>
      <c r="BC434" s="42">
        <v>23695137</v>
      </c>
      <c r="BE434" s="42">
        <f t="shared" si="49"/>
        <v>22919242</v>
      </c>
      <c r="BG434" s="42">
        <f>+'St of Net Pos - GA'!AE434-'St of Activities - GA Exp'!BE434</f>
        <v>0</v>
      </c>
    </row>
    <row r="435" spans="1:59" hidden="1">
      <c r="A435" s="9" t="s">
        <v>812</v>
      </c>
      <c r="B435" s="9"/>
      <c r="C435" s="9" t="s">
        <v>71</v>
      </c>
      <c r="D435" s="9"/>
      <c r="E435" s="23">
        <v>44610</v>
      </c>
      <c r="G435" s="42">
        <v>0</v>
      </c>
      <c r="I435" s="42">
        <v>0</v>
      </c>
      <c r="K435" s="42">
        <v>0</v>
      </c>
      <c r="M435" s="42">
        <v>0</v>
      </c>
      <c r="O435" s="42">
        <v>0</v>
      </c>
      <c r="Q435" s="42">
        <v>0</v>
      </c>
      <c r="S435" s="42">
        <v>0</v>
      </c>
      <c r="U435" s="42">
        <v>0</v>
      </c>
      <c r="W435" s="42">
        <v>0</v>
      </c>
      <c r="Y435" s="42">
        <v>0</v>
      </c>
      <c r="AA435" s="42">
        <v>0</v>
      </c>
      <c r="AC435" s="42">
        <v>0</v>
      </c>
      <c r="AE435" s="42">
        <v>0</v>
      </c>
      <c r="AG435" s="42">
        <v>0</v>
      </c>
      <c r="AI435" s="9" t="s">
        <v>812</v>
      </c>
      <c r="AJ435" s="9"/>
      <c r="AK435" s="9" t="s">
        <v>71</v>
      </c>
      <c r="AL435" s="9"/>
      <c r="AM435" s="42">
        <v>0</v>
      </c>
      <c r="AO435" s="42">
        <v>0</v>
      </c>
      <c r="AQ435" s="42">
        <v>0</v>
      </c>
      <c r="AS435" s="42">
        <v>0</v>
      </c>
      <c r="AW435" s="42">
        <v>0</v>
      </c>
      <c r="AY435" s="42">
        <f t="shared" ref="AY435:AY495" si="50">SUM(G435:AX435)</f>
        <v>0</v>
      </c>
      <c r="BA435" s="42">
        <f>+'St of Act - GA Rev'!AI435-'St of Activities - GA Exp'!AY435</f>
        <v>0</v>
      </c>
      <c r="BC435" s="42">
        <v>0</v>
      </c>
      <c r="BE435" s="42">
        <f t="shared" si="49"/>
        <v>0</v>
      </c>
      <c r="BG435" s="42">
        <f>+'St of Net Pos - GA'!AE435-'St of Activities - GA Exp'!BE435</f>
        <v>0</v>
      </c>
    </row>
    <row r="436" spans="1:59" hidden="1">
      <c r="A436" s="8" t="s">
        <v>869</v>
      </c>
      <c r="B436" s="9"/>
      <c r="C436" s="9" t="s">
        <v>62</v>
      </c>
      <c r="D436" s="9"/>
      <c r="E436" s="23">
        <v>49916</v>
      </c>
      <c r="G436" s="42">
        <v>0</v>
      </c>
      <c r="I436" s="42">
        <v>0</v>
      </c>
      <c r="K436" s="42">
        <v>0</v>
      </c>
      <c r="M436" s="42">
        <v>0</v>
      </c>
      <c r="O436" s="42">
        <v>0</v>
      </c>
      <c r="Q436" s="42">
        <v>0</v>
      </c>
      <c r="S436" s="42">
        <v>0</v>
      </c>
      <c r="U436" s="42">
        <v>0</v>
      </c>
      <c r="W436" s="42">
        <v>0</v>
      </c>
      <c r="Y436" s="42">
        <v>0</v>
      </c>
      <c r="AA436" s="42">
        <v>0</v>
      </c>
      <c r="AC436" s="42">
        <v>0</v>
      </c>
      <c r="AE436" s="42">
        <v>0</v>
      </c>
      <c r="AG436" s="42">
        <v>0</v>
      </c>
      <c r="AI436" s="8" t="s">
        <v>869</v>
      </c>
      <c r="AJ436" s="9"/>
      <c r="AK436" s="9" t="s">
        <v>62</v>
      </c>
      <c r="AL436" s="9"/>
      <c r="AM436" s="42">
        <v>0</v>
      </c>
      <c r="AO436" s="42">
        <v>0</v>
      </c>
      <c r="AQ436" s="42">
        <v>0</v>
      </c>
      <c r="AS436" s="42">
        <v>0</v>
      </c>
      <c r="AW436" s="42">
        <v>0</v>
      </c>
      <c r="AY436" s="42">
        <f t="shared" si="50"/>
        <v>0</v>
      </c>
      <c r="BA436" s="42">
        <f>+'St of Act - GA Rev'!AI436-'St of Activities - GA Exp'!AY436</f>
        <v>0</v>
      </c>
      <c r="BC436" s="42">
        <v>0</v>
      </c>
      <c r="BE436" s="42">
        <f t="shared" si="49"/>
        <v>0</v>
      </c>
      <c r="BG436" s="42">
        <f>+'St of Net Pos - GA'!AE436-'St of Activities - GA Exp'!BE436</f>
        <v>0</v>
      </c>
    </row>
    <row r="437" spans="1:59">
      <c r="A437" s="9" t="s">
        <v>552</v>
      </c>
      <c r="B437" s="9"/>
      <c r="C437" s="9" t="s">
        <v>72</v>
      </c>
      <c r="D437" s="9"/>
      <c r="E437" s="23">
        <v>50724</v>
      </c>
      <c r="G437" s="42">
        <v>7779282</v>
      </c>
      <c r="I437" s="42">
        <v>2050597</v>
      </c>
      <c r="K437" s="42">
        <v>31433</v>
      </c>
      <c r="M437" s="42">
        <v>0</v>
      </c>
      <c r="O437" s="42">
        <v>0</v>
      </c>
      <c r="Q437" s="42">
        <v>646763</v>
      </c>
      <c r="S437" s="42">
        <v>245784</v>
      </c>
      <c r="U437" s="42">
        <v>41590</v>
      </c>
      <c r="W437" s="42">
        <v>964119</v>
      </c>
      <c r="Y437" s="42">
        <v>377239</v>
      </c>
      <c r="AA437" s="42">
        <v>5375</v>
      </c>
      <c r="AC437" s="42">
        <v>1413606</v>
      </c>
      <c r="AE437" s="42">
        <v>1007187</v>
      </c>
      <c r="AG437" s="42">
        <v>4011</v>
      </c>
      <c r="AI437" s="9" t="s">
        <v>552</v>
      </c>
      <c r="AJ437" s="9"/>
      <c r="AK437" s="9" t="s">
        <v>72</v>
      </c>
      <c r="AL437" s="9"/>
      <c r="AM437" s="42">
        <v>0</v>
      </c>
      <c r="AO437" s="42">
        <v>666119</v>
      </c>
      <c r="AQ437" s="42">
        <v>479772</v>
      </c>
      <c r="AS437" s="42">
        <v>1241140</v>
      </c>
      <c r="AW437" s="42">
        <v>0</v>
      </c>
      <c r="AY437" s="42">
        <f t="shared" si="50"/>
        <v>16954017</v>
      </c>
      <c r="BA437" s="42">
        <f>+'St of Act - GA Rev'!AI437-'St of Activities - GA Exp'!AY437</f>
        <v>-542073</v>
      </c>
      <c r="BC437" s="42">
        <v>28942755</v>
      </c>
      <c r="BE437" s="42">
        <f t="shared" si="49"/>
        <v>28400682</v>
      </c>
      <c r="BG437" s="42">
        <f>+'St of Net Pos - GA'!AE437-'St of Activities - GA Exp'!BE437</f>
        <v>0</v>
      </c>
    </row>
    <row r="438" spans="1:59">
      <c r="A438" s="9" t="s">
        <v>389</v>
      </c>
      <c r="B438" s="9"/>
      <c r="C438" s="9" t="s">
        <v>114</v>
      </c>
      <c r="D438" s="9"/>
      <c r="E438" s="23">
        <v>48215</v>
      </c>
      <c r="G438" s="42">
        <v>8692443</v>
      </c>
      <c r="I438" s="42">
        <v>0</v>
      </c>
      <c r="K438" s="42">
        <v>0</v>
      </c>
      <c r="M438" s="42">
        <v>0</v>
      </c>
      <c r="O438" s="42">
        <v>0</v>
      </c>
      <c r="Q438" s="42">
        <v>691157</v>
      </c>
      <c r="S438" s="42">
        <v>533193</v>
      </c>
      <c r="U438" s="42">
        <v>27102</v>
      </c>
      <c r="W438" s="42">
        <v>941530</v>
      </c>
      <c r="Y438" s="42">
        <v>486929</v>
      </c>
      <c r="AA438" s="42">
        <v>0</v>
      </c>
      <c r="AC438" s="42">
        <v>1244913</v>
      </c>
      <c r="AE438" s="42">
        <v>49387</v>
      </c>
      <c r="AG438" s="42">
        <v>125870</v>
      </c>
      <c r="AI438" s="9" t="s">
        <v>389</v>
      </c>
      <c r="AJ438" s="9"/>
      <c r="AK438" s="9" t="s">
        <v>114</v>
      </c>
      <c r="AL438" s="9"/>
      <c r="AM438" s="42">
        <v>0</v>
      </c>
      <c r="AO438" s="42">
        <v>403242</v>
      </c>
      <c r="AQ438" s="42">
        <v>843302</v>
      </c>
      <c r="AS438" s="42">
        <v>44301</v>
      </c>
      <c r="AW438" s="42">
        <v>0</v>
      </c>
      <c r="AY438" s="42">
        <f t="shared" si="50"/>
        <v>14083369</v>
      </c>
      <c r="BA438" s="42">
        <f>+'St of Act - GA Rev'!AI438-'St of Activities - GA Exp'!AY438</f>
        <v>1197706</v>
      </c>
      <c r="BC438" s="42">
        <v>7080903</v>
      </c>
      <c r="BE438" s="42">
        <f t="shared" si="49"/>
        <v>8278609</v>
      </c>
      <c r="BG438" s="42">
        <f>+'St of Net Pos - GA'!AE438-'St of Activities - GA Exp'!BE438</f>
        <v>0</v>
      </c>
    </row>
    <row r="439" spans="1:59" ht="12" hidden="1" customHeight="1">
      <c r="A439" s="9" t="s">
        <v>704</v>
      </c>
      <c r="B439" s="9"/>
      <c r="C439" s="9" t="s">
        <v>464</v>
      </c>
      <c r="D439" s="9"/>
      <c r="E439" s="23">
        <v>49379</v>
      </c>
      <c r="G439" s="42">
        <v>0</v>
      </c>
      <c r="I439" s="42">
        <v>0</v>
      </c>
      <c r="K439" s="42">
        <v>0</v>
      </c>
      <c r="M439" s="42">
        <v>0</v>
      </c>
      <c r="O439" s="42">
        <v>0</v>
      </c>
      <c r="Q439" s="42">
        <v>0</v>
      </c>
      <c r="S439" s="42">
        <v>0</v>
      </c>
      <c r="U439" s="42">
        <v>0</v>
      </c>
      <c r="W439" s="42">
        <v>0</v>
      </c>
      <c r="Y439" s="42">
        <v>0</v>
      </c>
      <c r="AA439" s="42">
        <v>0</v>
      </c>
      <c r="AC439" s="42">
        <v>0</v>
      </c>
      <c r="AE439" s="42">
        <v>0</v>
      </c>
      <c r="AG439" s="42">
        <v>0</v>
      </c>
      <c r="AI439" s="9" t="s">
        <v>704</v>
      </c>
      <c r="AJ439" s="9"/>
      <c r="AK439" s="9" t="s">
        <v>464</v>
      </c>
      <c r="AL439" s="9"/>
      <c r="AM439" s="42">
        <v>0</v>
      </c>
      <c r="AO439" s="42">
        <v>0</v>
      </c>
      <c r="AQ439" s="42">
        <v>0</v>
      </c>
      <c r="AS439" s="42">
        <v>0</v>
      </c>
      <c r="AW439" s="42">
        <v>0</v>
      </c>
      <c r="AY439" s="42">
        <f t="shared" si="50"/>
        <v>0</v>
      </c>
      <c r="BA439" s="42">
        <f>+'St of Act - GA Rev'!AI439-'St of Activities - GA Exp'!AY439</f>
        <v>0</v>
      </c>
      <c r="BC439" s="42">
        <v>0</v>
      </c>
      <c r="BE439" s="42">
        <f t="shared" si="49"/>
        <v>0</v>
      </c>
      <c r="BG439" s="42">
        <f>+'St of Net Pos - GA'!AE439-'St of Activities - GA Exp'!BE439</f>
        <v>0</v>
      </c>
    </row>
    <row r="440" spans="1:59" ht="12" hidden="1" customHeight="1">
      <c r="A440" s="9" t="s">
        <v>813</v>
      </c>
      <c r="B440" s="9"/>
      <c r="C440" s="9" t="s">
        <v>464</v>
      </c>
      <c r="D440" s="9"/>
      <c r="E440" s="23">
        <v>49387</v>
      </c>
      <c r="G440" s="42">
        <v>0</v>
      </c>
      <c r="I440" s="42">
        <v>0</v>
      </c>
      <c r="K440" s="42">
        <v>0</v>
      </c>
      <c r="M440" s="42">
        <v>0</v>
      </c>
      <c r="O440" s="42">
        <v>0</v>
      </c>
      <c r="Q440" s="42">
        <v>0</v>
      </c>
      <c r="S440" s="42">
        <v>0</v>
      </c>
      <c r="U440" s="42">
        <v>0</v>
      </c>
      <c r="W440" s="42">
        <v>0</v>
      </c>
      <c r="Y440" s="42">
        <v>0</v>
      </c>
      <c r="AA440" s="42">
        <v>0</v>
      </c>
      <c r="AC440" s="42">
        <v>0</v>
      </c>
      <c r="AE440" s="42">
        <v>0</v>
      </c>
      <c r="AG440" s="42">
        <v>0</v>
      </c>
      <c r="AI440" s="9" t="s">
        <v>813</v>
      </c>
      <c r="AJ440" s="9"/>
      <c r="AK440" s="9" t="s">
        <v>464</v>
      </c>
      <c r="AL440" s="9"/>
      <c r="AM440" s="42">
        <v>0</v>
      </c>
      <c r="AO440" s="42">
        <v>0</v>
      </c>
      <c r="AQ440" s="42">
        <v>0</v>
      </c>
      <c r="AS440" s="42">
        <v>0</v>
      </c>
      <c r="AW440" s="42">
        <v>0</v>
      </c>
      <c r="AY440" s="42">
        <f t="shared" si="50"/>
        <v>0</v>
      </c>
      <c r="BA440" s="42">
        <f>+'St of Act - GA Rev'!AI440-'St of Activities - GA Exp'!AY440</f>
        <v>0</v>
      </c>
      <c r="BC440" s="42">
        <v>0</v>
      </c>
      <c r="BE440" s="42">
        <f t="shared" si="49"/>
        <v>0</v>
      </c>
      <c r="BG440" s="42">
        <f>+'St of Net Pos - GA'!AE440-'St of Activities - GA Exp'!BE440</f>
        <v>0</v>
      </c>
    </row>
    <row r="441" spans="1:59" hidden="1">
      <c r="A441" s="9" t="s">
        <v>814</v>
      </c>
      <c r="B441" s="9"/>
      <c r="C441" s="9" t="s">
        <v>41</v>
      </c>
      <c r="D441" s="9"/>
      <c r="E441" s="23">
        <v>44628</v>
      </c>
      <c r="G441" s="42">
        <v>0</v>
      </c>
      <c r="I441" s="42">
        <v>0</v>
      </c>
      <c r="K441" s="42">
        <v>0</v>
      </c>
      <c r="M441" s="42">
        <v>0</v>
      </c>
      <c r="O441" s="42">
        <v>0</v>
      </c>
      <c r="Q441" s="42">
        <v>0</v>
      </c>
      <c r="S441" s="42">
        <v>0</v>
      </c>
      <c r="U441" s="42">
        <v>0</v>
      </c>
      <c r="W441" s="42">
        <v>0</v>
      </c>
      <c r="Y441" s="42">
        <v>0</v>
      </c>
      <c r="AA441" s="42">
        <v>0</v>
      </c>
      <c r="AC441" s="42">
        <v>0</v>
      </c>
      <c r="AE441" s="42">
        <v>0</v>
      </c>
      <c r="AG441" s="42">
        <v>0</v>
      </c>
      <c r="AI441" s="9" t="s">
        <v>814</v>
      </c>
      <c r="AJ441" s="9"/>
      <c r="AK441" s="9" t="s">
        <v>41</v>
      </c>
      <c r="AL441" s="9"/>
      <c r="AM441" s="42">
        <v>0</v>
      </c>
      <c r="AO441" s="42">
        <v>0</v>
      </c>
      <c r="AQ441" s="42">
        <v>0</v>
      </c>
      <c r="AS441" s="42">
        <v>0</v>
      </c>
      <c r="AW441" s="42">
        <v>0</v>
      </c>
      <c r="AY441" s="42">
        <f t="shared" si="50"/>
        <v>0</v>
      </c>
      <c r="BA441" s="42">
        <f>+'St of Act - GA Rev'!AI441-'St of Activities - GA Exp'!AY441</f>
        <v>0</v>
      </c>
      <c r="BC441" s="42">
        <v>0</v>
      </c>
      <c r="BE441" s="42">
        <f t="shared" si="49"/>
        <v>0</v>
      </c>
      <c r="BG441" s="42">
        <f>+'St of Net Pos - GA'!AE441-'St of Activities - GA Exp'!BE441</f>
        <v>0</v>
      </c>
    </row>
    <row r="442" spans="1:59" ht="12" hidden="1" customHeight="1">
      <c r="A442" s="9" t="s">
        <v>778</v>
      </c>
      <c r="B442" s="9"/>
      <c r="C442" s="9" t="s">
        <v>41</v>
      </c>
      <c r="D442" s="9"/>
      <c r="E442" s="23">
        <v>47894</v>
      </c>
      <c r="G442" s="42">
        <v>0</v>
      </c>
      <c r="I442" s="42">
        <v>0</v>
      </c>
      <c r="K442" s="42">
        <v>0</v>
      </c>
      <c r="M442" s="42">
        <v>0</v>
      </c>
      <c r="O442" s="42">
        <v>0</v>
      </c>
      <c r="Q442" s="42">
        <v>0</v>
      </c>
      <c r="S442" s="42">
        <v>0</v>
      </c>
      <c r="U442" s="42">
        <v>0</v>
      </c>
      <c r="W442" s="42">
        <v>0</v>
      </c>
      <c r="Y442" s="42">
        <v>0</v>
      </c>
      <c r="AA442" s="42">
        <v>0</v>
      </c>
      <c r="AC442" s="42">
        <v>0</v>
      </c>
      <c r="AE442" s="42">
        <v>0</v>
      </c>
      <c r="AG442" s="42">
        <v>0</v>
      </c>
      <c r="AI442" s="9" t="s">
        <v>778</v>
      </c>
      <c r="AJ442" s="9"/>
      <c r="AK442" s="9" t="s">
        <v>41</v>
      </c>
      <c r="AL442" s="9"/>
      <c r="AM442" s="42">
        <v>0</v>
      </c>
      <c r="AO442" s="42">
        <v>0</v>
      </c>
      <c r="AQ442" s="42">
        <v>0</v>
      </c>
      <c r="AS442" s="42">
        <v>0</v>
      </c>
      <c r="AW442" s="42">
        <v>0</v>
      </c>
      <c r="AY442" s="42">
        <f t="shared" si="50"/>
        <v>0</v>
      </c>
      <c r="BA442" s="42">
        <f>+'St of Act - GA Rev'!AI442-'St of Activities - GA Exp'!AY442</f>
        <v>0</v>
      </c>
      <c r="BC442" s="42">
        <v>0</v>
      </c>
      <c r="BE442" s="42">
        <f t="shared" si="49"/>
        <v>0</v>
      </c>
      <c r="BG442" s="42">
        <f>+'St of Net Pos - GA'!AE442-'St of Activities - GA Exp'!BE442</f>
        <v>0</v>
      </c>
    </row>
    <row r="443" spans="1:59" ht="12" customHeight="1">
      <c r="A443" s="9" t="s">
        <v>472</v>
      </c>
      <c r="B443" s="9"/>
      <c r="C443" s="9" t="s">
        <v>58</v>
      </c>
      <c r="D443" s="9"/>
      <c r="E443" s="23">
        <v>49510</v>
      </c>
      <c r="G443" s="42">
        <v>5235075</v>
      </c>
      <c r="I443" s="42">
        <v>1746563</v>
      </c>
      <c r="K443" s="42">
        <v>2208</v>
      </c>
      <c r="M443" s="42">
        <v>0</v>
      </c>
      <c r="O443" s="42">
        <v>1169481</v>
      </c>
      <c r="Q443" s="42">
        <v>302358</v>
      </c>
      <c r="S443" s="42">
        <v>156336</v>
      </c>
      <c r="U443" s="42">
        <v>76382</v>
      </c>
      <c r="W443" s="42">
        <v>636687</v>
      </c>
      <c r="Y443" s="42">
        <v>341884</v>
      </c>
      <c r="AA443" s="42">
        <v>0</v>
      </c>
      <c r="AC443" s="42">
        <v>1081947</v>
      </c>
      <c r="AE443" s="42">
        <v>601910</v>
      </c>
      <c r="AG443" s="42">
        <v>57185</v>
      </c>
      <c r="AI443" s="9" t="s">
        <v>472</v>
      </c>
      <c r="AJ443" s="9"/>
      <c r="AK443" s="9" t="s">
        <v>58</v>
      </c>
      <c r="AL443" s="9"/>
      <c r="AM443" s="42">
        <v>0</v>
      </c>
      <c r="AO443" s="42">
        <v>388642</v>
      </c>
      <c r="AQ443" s="42">
        <v>262814</v>
      </c>
      <c r="AS443" s="42">
        <v>34489</v>
      </c>
      <c r="AW443" s="42">
        <v>0</v>
      </c>
      <c r="AY443" s="42">
        <f t="shared" si="50"/>
        <v>12093961</v>
      </c>
      <c r="BA443" s="42">
        <f>+'St of Act - GA Rev'!AI443-'St of Activities - GA Exp'!AY443</f>
        <v>-1233707</v>
      </c>
      <c r="BC443" s="42">
        <v>18292279</v>
      </c>
      <c r="BE443" s="42">
        <f t="shared" si="49"/>
        <v>17058572</v>
      </c>
      <c r="BG443" s="42">
        <f>+'St of Net Pos - GA'!AE443-'St of Activities - GA Exp'!BE443</f>
        <v>0</v>
      </c>
    </row>
    <row r="444" spans="1:59" ht="12" hidden="1" customHeight="1">
      <c r="A444" s="9" t="s">
        <v>681</v>
      </c>
      <c r="B444" s="9"/>
      <c r="C444" s="9" t="s">
        <v>464</v>
      </c>
      <c r="D444" s="9"/>
      <c r="E444" s="23">
        <v>49395</v>
      </c>
      <c r="G444" s="42">
        <v>0</v>
      </c>
      <c r="I444" s="42">
        <v>0</v>
      </c>
      <c r="K444" s="42">
        <v>0</v>
      </c>
      <c r="M444" s="42">
        <v>0</v>
      </c>
      <c r="O444" s="42">
        <v>0</v>
      </c>
      <c r="Q444" s="42">
        <v>0</v>
      </c>
      <c r="S444" s="42">
        <v>0</v>
      </c>
      <c r="U444" s="42">
        <v>0</v>
      </c>
      <c r="W444" s="42">
        <v>0</v>
      </c>
      <c r="Y444" s="42">
        <v>0</v>
      </c>
      <c r="AA444" s="42">
        <v>0</v>
      </c>
      <c r="AC444" s="42">
        <v>0</v>
      </c>
      <c r="AE444" s="42">
        <v>0</v>
      </c>
      <c r="AG444" s="42">
        <v>0</v>
      </c>
      <c r="AI444" s="9" t="s">
        <v>681</v>
      </c>
      <c r="AJ444" s="9"/>
      <c r="AK444" s="9" t="s">
        <v>464</v>
      </c>
      <c r="AL444" s="9"/>
      <c r="AM444" s="42">
        <v>0</v>
      </c>
      <c r="AO444" s="42">
        <v>0</v>
      </c>
      <c r="AQ444" s="42">
        <v>0</v>
      </c>
      <c r="AS444" s="42">
        <v>0</v>
      </c>
      <c r="AW444" s="42">
        <v>0</v>
      </c>
      <c r="AY444" s="42">
        <f t="shared" si="50"/>
        <v>0</v>
      </c>
      <c r="BA444" s="42">
        <f>+'St of Act - GA Rev'!AI444-'St of Activities - GA Exp'!AY444</f>
        <v>0</v>
      </c>
      <c r="BC444" s="42">
        <v>0</v>
      </c>
      <c r="BE444" s="42">
        <f t="shared" si="49"/>
        <v>0</v>
      </c>
      <c r="BG444" s="42">
        <f>+'St of Net Pos - GA'!AE444-'St of Activities - GA Exp'!BE444</f>
        <v>0</v>
      </c>
    </row>
    <row r="445" spans="1:59" ht="12" hidden="1" customHeight="1">
      <c r="A445" s="9" t="s">
        <v>682</v>
      </c>
      <c r="B445" s="9"/>
      <c r="C445" s="9" t="s">
        <v>419</v>
      </c>
      <c r="D445" s="9"/>
      <c r="E445" s="23">
        <v>48579</v>
      </c>
      <c r="G445" s="42">
        <v>0</v>
      </c>
      <c r="I445" s="42">
        <v>0</v>
      </c>
      <c r="K445" s="42">
        <v>0</v>
      </c>
      <c r="M445" s="42">
        <v>0</v>
      </c>
      <c r="O445" s="42">
        <v>0</v>
      </c>
      <c r="Q445" s="42">
        <v>0</v>
      </c>
      <c r="S445" s="42">
        <v>0</v>
      </c>
      <c r="U445" s="42">
        <v>0</v>
      </c>
      <c r="W445" s="42">
        <v>0</v>
      </c>
      <c r="Y445" s="42">
        <v>0</v>
      </c>
      <c r="AA445" s="42">
        <v>0</v>
      </c>
      <c r="AC445" s="42">
        <v>0</v>
      </c>
      <c r="AE445" s="42">
        <v>0</v>
      </c>
      <c r="AG445" s="42">
        <v>0</v>
      </c>
      <c r="AI445" s="9" t="s">
        <v>682</v>
      </c>
      <c r="AJ445" s="9"/>
      <c r="AK445" s="9" t="s">
        <v>419</v>
      </c>
      <c r="AL445" s="9"/>
      <c r="AM445" s="42">
        <v>0</v>
      </c>
      <c r="AO445" s="42">
        <v>0</v>
      </c>
      <c r="AQ445" s="42">
        <v>0</v>
      </c>
      <c r="AS445" s="42">
        <v>0</v>
      </c>
      <c r="AW445" s="42">
        <v>0</v>
      </c>
      <c r="AY445" s="42">
        <f t="shared" si="50"/>
        <v>0</v>
      </c>
      <c r="BA445" s="42">
        <f>+'St of Act - GA Rev'!AI445-'St of Activities - GA Exp'!AY445</f>
        <v>0</v>
      </c>
      <c r="BC445" s="42">
        <v>0</v>
      </c>
      <c r="BE445" s="42">
        <f t="shared" si="49"/>
        <v>0</v>
      </c>
      <c r="BG445" s="42">
        <f>+'St of Net Pos - GA'!AE445-'St of Activities - GA Exp'!BE445</f>
        <v>0</v>
      </c>
    </row>
    <row r="446" spans="1:59">
      <c r="A446" s="9" t="s">
        <v>273</v>
      </c>
      <c r="B446" s="9"/>
      <c r="C446" s="9" t="s">
        <v>20</v>
      </c>
      <c r="D446" s="9"/>
      <c r="E446" s="23">
        <v>44636</v>
      </c>
      <c r="G446" s="42">
        <v>61545924</v>
      </c>
      <c r="I446" s="42">
        <v>21354515</v>
      </c>
      <c r="K446" s="42">
        <v>2750983</v>
      </c>
      <c r="M446" s="42">
        <v>900703</v>
      </c>
      <c r="O446" s="42">
        <v>150816</v>
      </c>
      <c r="Q446" s="42">
        <v>11581625</v>
      </c>
      <c r="S446" s="42">
        <v>10102860</v>
      </c>
      <c r="U446" s="42">
        <v>707503</v>
      </c>
      <c r="W446" s="42">
        <v>9470566</v>
      </c>
      <c r="Y446" s="42">
        <v>3087280</v>
      </c>
      <c r="AA446" s="42">
        <v>1737883</v>
      </c>
      <c r="AC446" s="42">
        <v>10478160</v>
      </c>
      <c r="AE446" s="42">
        <v>5843015</v>
      </c>
      <c r="AG446" s="42">
        <v>2819266</v>
      </c>
      <c r="AI446" s="9" t="s">
        <v>273</v>
      </c>
      <c r="AJ446" s="9"/>
      <c r="AK446" s="9" t="s">
        <v>20</v>
      </c>
      <c r="AL446" s="9"/>
      <c r="AM446" s="42">
        <v>0</v>
      </c>
      <c r="AO446" s="42">
        <v>4143131</v>
      </c>
      <c r="AQ446" s="42">
        <v>3045726</v>
      </c>
      <c r="AS446" s="42">
        <v>1635825</v>
      </c>
      <c r="AW446" s="42">
        <v>0</v>
      </c>
      <c r="AY446" s="42">
        <f t="shared" si="50"/>
        <v>151355781</v>
      </c>
      <c r="BA446" s="42">
        <f>+'St of Act - GA Rev'!AI446-'St of Activities - GA Exp'!AY446</f>
        <v>2849837</v>
      </c>
      <c r="BC446" s="42">
        <v>50104181</v>
      </c>
      <c r="BE446" s="42">
        <f t="shared" si="49"/>
        <v>52954018</v>
      </c>
      <c r="BG446" s="42">
        <f>+'St of Net Pos - GA'!AE446-'St of Activities - GA Exp'!BE446</f>
        <v>0</v>
      </c>
    </row>
    <row r="447" spans="1:59">
      <c r="A447" s="9" t="s">
        <v>345</v>
      </c>
      <c r="B447" s="9"/>
      <c r="C447" s="9" t="s">
        <v>34</v>
      </c>
      <c r="D447" s="9"/>
      <c r="E447" s="23">
        <v>47597</v>
      </c>
      <c r="G447" s="42">
        <v>4459937</v>
      </c>
      <c r="I447" s="42">
        <v>1097008</v>
      </c>
      <c r="K447" s="42">
        <v>85045</v>
      </c>
      <c r="M447" s="42">
        <v>0</v>
      </c>
      <c r="O447" s="42">
        <f>12+520778</f>
        <v>520790</v>
      </c>
      <c r="Q447" s="42">
        <v>512293</v>
      </c>
      <c r="S447" s="42">
        <v>551301</v>
      </c>
      <c r="U447" s="42">
        <v>16602</v>
      </c>
      <c r="W447" s="42">
        <v>497498</v>
      </c>
      <c r="Y447" s="42">
        <v>269143</v>
      </c>
      <c r="AA447" s="42">
        <v>3457</v>
      </c>
      <c r="AC447" s="42">
        <v>853282</v>
      </c>
      <c r="AE447" s="42">
        <v>359915</v>
      </c>
      <c r="AG447" s="42">
        <v>88185</v>
      </c>
      <c r="AI447" s="9" t="s">
        <v>345</v>
      </c>
      <c r="AJ447" s="9"/>
      <c r="AK447" s="9" t="s">
        <v>34</v>
      </c>
      <c r="AL447" s="9"/>
      <c r="AM447" s="42">
        <v>0</v>
      </c>
      <c r="AO447" s="42">
        <v>528544</v>
      </c>
      <c r="AQ447" s="42">
        <v>464628</v>
      </c>
      <c r="AS447" s="42">
        <v>306371</v>
      </c>
      <c r="AW447" s="42">
        <v>0</v>
      </c>
      <c r="AY447" s="42">
        <f t="shared" si="50"/>
        <v>10613999</v>
      </c>
      <c r="BA447" s="42">
        <f>+'St of Act - GA Rev'!AI447-'St of Activities - GA Exp'!AY447</f>
        <v>1663814</v>
      </c>
      <c r="BC447" s="42">
        <v>11177128</v>
      </c>
      <c r="BE447" s="42">
        <f t="shared" si="49"/>
        <v>12840942</v>
      </c>
      <c r="BG447" s="42">
        <f>+'St of Net Pos - GA'!AE447-'St of Activities - GA Exp'!BE447</f>
        <v>0</v>
      </c>
    </row>
    <row r="448" spans="1:59" ht="12" hidden="1" customHeight="1">
      <c r="A448" s="9" t="s">
        <v>769</v>
      </c>
      <c r="B448" s="9"/>
      <c r="C448" s="9" t="s">
        <v>447</v>
      </c>
      <c r="D448" s="9"/>
      <c r="E448" s="23">
        <v>45575</v>
      </c>
      <c r="G448" s="42">
        <v>0</v>
      </c>
      <c r="I448" s="42">
        <v>0</v>
      </c>
      <c r="K448" s="42">
        <v>0</v>
      </c>
      <c r="M448" s="42">
        <v>0</v>
      </c>
      <c r="O448" s="42">
        <v>0</v>
      </c>
      <c r="Q448" s="42">
        <v>0</v>
      </c>
      <c r="S448" s="42">
        <v>0</v>
      </c>
      <c r="U448" s="42">
        <v>0</v>
      </c>
      <c r="W448" s="42">
        <v>0</v>
      </c>
      <c r="Y448" s="42">
        <v>0</v>
      </c>
      <c r="AA448" s="42">
        <v>0</v>
      </c>
      <c r="AC448" s="42">
        <v>0</v>
      </c>
      <c r="AE448" s="42">
        <v>0</v>
      </c>
      <c r="AG448" s="42">
        <v>0</v>
      </c>
      <c r="AI448" s="9" t="s">
        <v>769</v>
      </c>
      <c r="AJ448" s="9"/>
      <c r="AK448" s="9" t="s">
        <v>447</v>
      </c>
      <c r="AL448" s="9"/>
      <c r="AM448" s="42">
        <v>0</v>
      </c>
      <c r="AO448" s="42">
        <v>0</v>
      </c>
      <c r="AQ448" s="42">
        <v>0</v>
      </c>
      <c r="AS448" s="42">
        <v>0</v>
      </c>
      <c r="AW448" s="42">
        <v>0</v>
      </c>
      <c r="AY448" s="42">
        <f>SUM(G448:AX448)</f>
        <v>0</v>
      </c>
      <c r="BA448" s="42">
        <f>+'St of Act - GA Rev'!AI448-'St of Activities - GA Exp'!AY448</f>
        <v>0</v>
      </c>
      <c r="BC448" s="42">
        <v>0</v>
      </c>
      <c r="BE448" s="42">
        <f t="shared" si="49"/>
        <v>0</v>
      </c>
      <c r="BG448" s="42">
        <f>+'St of Net Pos - GA'!AE448-'St of Activities - GA Exp'!BE448</f>
        <v>0</v>
      </c>
    </row>
    <row r="449" spans="1:59">
      <c r="A449" s="9" t="s">
        <v>287</v>
      </c>
      <c r="B449" s="9"/>
      <c r="C449" s="9" t="s">
        <v>24</v>
      </c>
      <c r="D449" s="9"/>
      <c r="E449" s="23">
        <v>46813</v>
      </c>
      <c r="G449" s="42">
        <v>11366893</v>
      </c>
      <c r="I449" s="42">
        <v>3336176</v>
      </c>
      <c r="K449" s="42">
        <v>171230</v>
      </c>
      <c r="M449" s="42">
        <v>0</v>
      </c>
      <c r="O449" s="42">
        <v>834802</v>
      </c>
      <c r="Q449" s="42">
        <v>1805724</v>
      </c>
      <c r="S449" s="42">
        <v>1781302</v>
      </c>
      <c r="U449" s="42">
        <v>8458</v>
      </c>
      <c r="W449" s="42">
        <v>1822016</v>
      </c>
      <c r="Y449" s="42">
        <v>540660</v>
      </c>
      <c r="AA449" s="42">
        <v>1781</v>
      </c>
      <c r="AC449" s="42">
        <v>1617914</v>
      </c>
      <c r="AE449" s="42">
        <v>1074565</v>
      </c>
      <c r="AG449" s="42">
        <v>178090</v>
      </c>
      <c r="AI449" s="9" t="s">
        <v>287</v>
      </c>
      <c r="AJ449" s="9"/>
      <c r="AK449" s="9" t="s">
        <v>24</v>
      </c>
      <c r="AL449" s="9"/>
      <c r="AM449" s="42">
        <v>900179</v>
      </c>
      <c r="AO449" s="42">
        <v>60759</v>
      </c>
      <c r="AQ449" s="42">
        <v>872877</v>
      </c>
      <c r="AS449" s="42">
        <v>118861</v>
      </c>
      <c r="AW449" s="42">
        <v>0</v>
      </c>
      <c r="AY449" s="42">
        <f>SUM(G449:AX449)</f>
        <v>26492287</v>
      </c>
      <c r="BA449" s="42">
        <f>+'St of Act - GA Rev'!AI449-'St of Activities - GA Exp'!AY449</f>
        <v>-527114</v>
      </c>
      <c r="BC449" s="42">
        <v>12469431</v>
      </c>
      <c r="BE449" s="42">
        <f t="shared" si="49"/>
        <v>11942317</v>
      </c>
      <c r="BG449" s="42">
        <f>+'St of Net Pos - GA'!AE449-'St of Activities - GA Exp'!BE449</f>
        <v>0</v>
      </c>
    </row>
    <row r="450" spans="1:59" hidden="1">
      <c r="A450" s="9" t="s">
        <v>683</v>
      </c>
      <c r="B450" s="9"/>
      <c r="C450" s="9" t="s">
        <v>10</v>
      </c>
      <c r="D450" s="9"/>
      <c r="E450" s="23">
        <v>45781</v>
      </c>
      <c r="G450" s="42">
        <v>0</v>
      </c>
      <c r="I450" s="42">
        <v>0</v>
      </c>
      <c r="K450" s="42">
        <v>0</v>
      </c>
      <c r="M450" s="42">
        <v>0</v>
      </c>
      <c r="O450" s="42">
        <v>0</v>
      </c>
      <c r="Q450" s="42">
        <v>0</v>
      </c>
      <c r="S450" s="42">
        <v>0</v>
      </c>
      <c r="U450" s="42">
        <v>0</v>
      </c>
      <c r="W450" s="42">
        <v>0</v>
      </c>
      <c r="Y450" s="42">
        <v>0</v>
      </c>
      <c r="AA450" s="42">
        <v>0</v>
      </c>
      <c r="AC450" s="42">
        <v>0</v>
      </c>
      <c r="AE450" s="42">
        <v>0</v>
      </c>
      <c r="AG450" s="42">
        <v>0</v>
      </c>
      <c r="AI450" s="9" t="s">
        <v>683</v>
      </c>
      <c r="AJ450" s="9"/>
      <c r="AK450" s="9" t="s">
        <v>10</v>
      </c>
      <c r="AL450" s="9"/>
      <c r="AM450" s="42">
        <v>0</v>
      </c>
      <c r="AO450" s="42">
        <v>0</v>
      </c>
      <c r="AQ450" s="42">
        <v>0</v>
      </c>
      <c r="AS450" s="42">
        <v>0</v>
      </c>
      <c r="AW450" s="42">
        <v>0</v>
      </c>
      <c r="AY450" s="42">
        <f>SUM(G450:AX450)</f>
        <v>0</v>
      </c>
      <c r="BA450" s="42">
        <f>+'St of Act - GA Rev'!AI450-'St of Activities - GA Exp'!AY450</f>
        <v>0</v>
      </c>
      <c r="BC450" s="42">
        <v>0</v>
      </c>
      <c r="BE450" s="42">
        <f t="shared" si="49"/>
        <v>0</v>
      </c>
      <c r="BG450" s="42">
        <f>+'St of Net Pos - GA'!AE450-'St of Activities - GA Exp'!BE450</f>
        <v>0</v>
      </c>
    </row>
    <row r="451" spans="1:59" ht="12" customHeight="1">
      <c r="A451" s="9" t="s">
        <v>201</v>
      </c>
      <c r="B451" s="9"/>
      <c r="C451" s="9" t="s">
        <v>41</v>
      </c>
      <c r="D451" s="9"/>
      <c r="E451" s="23">
        <v>47902</v>
      </c>
      <c r="G451" s="42">
        <v>11877613</v>
      </c>
      <c r="I451" s="42">
        <v>595271</v>
      </c>
      <c r="K451" s="42">
        <v>128344</v>
      </c>
      <c r="M451" s="42">
        <v>0</v>
      </c>
      <c r="O451" s="42">
        <v>2074908</v>
      </c>
      <c r="Q451" s="42">
        <v>1410931</v>
      </c>
      <c r="S451" s="42">
        <v>1631007</v>
      </c>
      <c r="U451" s="42">
        <v>94901</v>
      </c>
      <c r="W451" s="42">
        <v>1478138</v>
      </c>
      <c r="Y451" s="42">
        <v>657451</v>
      </c>
      <c r="AA451" s="42">
        <v>123969</v>
      </c>
      <c r="AC451" s="42">
        <v>3479365</v>
      </c>
      <c r="AE451" s="42">
        <v>1600483</v>
      </c>
      <c r="AG451" s="42">
        <v>23572</v>
      </c>
      <c r="AI451" s="9" t="s">
        <v>201</v>
      </c>
      <c r="AJ451" s="9"/>
      <c r="AK451" s="9" t="s">
        <v>41</v>
      </c>
      <c r="AL451" s="9"/>
      <c r="AM451" s="42">
        <v>958831</v>
      </c>
      <c r="AO451" s="42">
        <v>248637</v>
      </c>
      <c r="AQ451" s="42">
        <v>1317249</v>
      </c>
      <c r="AS451" s="42">
        <v>35878</v>
      </c>
      <c r="AW451" s="42">
        <v>0</v>
      </c>
      <c r="AY451" s="42">
        <f t="shared" si="50"/>
        <v>27736548</v>
      </c>
      <c r="BA451" s="42">
        <f>+'St of Act - GA Rev'!AI451-'St of Activities - GA Exp'!AY451</f>
        <v>458618</v>
      </c>
      <c r="BC451" s="42">
        <v>74204243</v>
      </c>
      <c r="BE451" s="42">
        <f t="shared" si="49"/>
        <v>74662861</v>
      </c>
      <c r="BG451" s="42">
        <f>+'St of Net Pos - GA'!AE451-'St of Activities - GA Exp'!BE451</f>
        <v>0</v>
      </c>
    </row>
    <row r="452" spans="1:59">
      <c r="A452" s="9" t="s">
        <v>201</v>
      </c>
      <c r="B452" s="9"/>
      <c r="C452" s="9" t="s">
        <v>62</v>
      </c>
      <c r="D452" s="9"/>
      <c r="E452" s="23">
        <v>49924</v>
      </c>
      <c r="G452" s="42">
        <v>20441168</v>
      </c>
      <c r="I452" s="42">
        <v>5057649</v>
      </c>
      <c r="K452" s="42">
        <v>1819420</v>
      </c>
      <c r="M452" s="42">
        <v>6744</v>
      </c>
      <c r="O452" s="42">
        <v>119657</v>
      </c>
      <c r="Q452" s="42">
        <v>3100233</v>
      </c>
      <c r="S452" s="42">
        <v>653935</v>
      </c>
      <c r="U452" s="42">
        <v>121026</v>
      </c>
      <c r="W452" s="42">
        <v>3424602</v>
      </c>
      <c r="Y452" s="42">
        <v>764919</v>
      </c>
      <c r="AA452" s="42">
        <v>189978</v>
      </c>
      <c r="AC452" s="42">
        <v>3677561</v>
      </c>
      <c r="AE452" s="42">
        <v>2229506</v>
      </c>
      <c r="AG452" s="42">
        <v>596546</v>
      </c>
      <c r="AI452" s="9" t="s">
        <v>201</v>
      </c>
      <c r="AJ452" s="9"/>
      <c r="AK452" s="9" t="s">
        <v>62</v>
      </c>
      <c r="AL452" s="9"/>
      <c r="AM452" s="42">
        <v>0</v>
      </c>
      <c r="AO452" s="42">
        <v>2034227</v>
      </c>
      <c r="AQ452" s="42">
        <v>1153752</v>
      </c>
      <c r="AS452" s="42">
        <v>25638</v>
      </c>
      <c r="AW452" s="42">
        <v>0</v>
      </c>
      <c r="AY452" s="42">
        <f>SUM(G452:AX452)</f>
        <v>45416561</v>
      </c>
      <c r="BA452" s="42">
        <f>+'St of Act - GA Rev'!AI452-'St of Activities - GA Exp'!AY452</f>
        <v>-1305449</v>
      </c>
      <c r="BC452" s="42">
        <v>44231888</v>
      </c>
      <c r="BE452" s="42">
        <f t="shared" si="49"/>
        <v>42926439</v>
      </c>
      <c r="BG452" s="42">
        <f>+'St of Net Pos - GA'!AE452-'St of Activities - GA Exp'!BE452</f>
        <v>0</v>
      </c>
    </row>
    <row r="453" spans="1:59">
      <c r="A453" s="9" t="s">
        <v>770</v>
      </c>
      <c r="B453" s="9"/>
      <c r="C453" s="9" t="s">
        <v>72</v>
      </c>
      <c r="D453" s="9"/>
      <c r="E453" s="23">
        <v>45583</v>
      </c>
      <c r="G453" s="42">
        <v>22747412</v>
      </c>
      <c r="I453" s="42">
        <v>5290848</v>
      </c>
      <c r="K453" s="42">
        <v>183899</v>
      </c>
      <c r="M453" s="42">
        <v>0</v>
      </c>
      <c r="O453" s="42">
        <v>0</v>
      </c>
      <c r="Q453" s="42">
        <v>2791859</v>
      </c>
      <c r="S453" s="42">
        <v>918727</v>
      </c>
      <c r="U453" s="42">
        <v>35685</v>
      </c>
      <c r="W453" s="42">
        <v>2898057</v>
      </c>
      <c r="Y453" s="42">
        <v>932205</v>
      </c>
      <c r="AA453" s="42">
        <v>39709</v>
      </c>
      <c r="AC453" s="42">
        <v>4128424</v>
      </c>
      <c r="AE453" s="42">
        <v>1730055</v>
      </c>
      <c r="AG453" s="42">
        <v>764257</v>
      </c>
      <c r="AI453" s="9" t="s">
        <v>770</v>
      </c>
      <c r="AJ453" s="9"/>
      <c r="AK453" s="9" t="s">
        <v>72</v>
      </c>
      <c r="AL453" s="9"/>
      <c r="AM453" s="42">
        <v>1757893</v>
      </c>
      <c r="AO453" s="42">
        <v>253547</v>
      </c>
      <c r="AQ453" s="42">
        <v>1683433</v>
      </c>
      <c r="AS453" s="42">
        <v>1420939</v>
      </c>
      <c r="AW453" s="42">
        <v>0</v>
      </c>
      <c r="AY453" s="42">
        <f t="shared" si="50"/>
        <v>47576949</v>
      </c>
      <c r="BA453" s="42">
        <f>+'St of Act - GA Rev'!AI453-'St of Activities - GA Exp'!AY453</f>
        <v>7221230</v>
      </c>
      <c r="BC453" s="42">
        <v>21231713</v>
      </c>
      <c r="BE453" s="42">
        <f t="shared" si="49"/>
        <v>28452943</v>
      </c>
      <c r="BG453" s="42">
        <f>+'St of Net Pos - GA'!AE453-'St of Activities - GA Exp'!BE453</f>
        <v>0</v>
      </c>
    </row>
    <row r="454" spans="1:59" hidden="1">
      <c r="A454" s="9" t="s">
        <v>884</v>
      </c>
      <c r="B454" s="9"/>
      <c r="C454" s="9" t="s">
        <v>28</v>
      </c>
      <c r="D454" s="9"/>
      <c r="E454" s="23">
        <v>47076</v>
      </c>
      <c r="G454" s="42">
        <v>0</v>
      </c>
      <c r="I454" s="42">
        <v>0</v>
      </c>
      <c r="K454" s="42">
        <v>0</v>
      </c>
      <c r="M454" s="42">
        <v>0</v>
      </c>
      <c r="O454" s="42">
        <v>0</v>
      </c>
      <c r="Q454" s="42">
        <v>0</v>
      </c>
      <c r="S454" s="42">
        <v>0</v>
      </c>
      <c r="U454" s="42">
        <v>0</v>
      </c>
      <c r="W454" s="42">
        <v>0</v>
      </c>
      <c r="Y454" s="42">
        <v>0</v>
      </c>
      <c r="AA454" s="42">
        <v>0</v>
      </c>
      <c r="AC454" s="42">
        <v>0</v>
      </c>
      <c r="AE454" s="42">
        <v>0</v>
      </c>
      <c r="AG454" s="42">
        <v>0</v>
      </c>
      <c r="AI454" s="9" t="s">
        <v>884</v>
      </c>
      <c r="AJ454" s="9"/>
      <c r="AK454" s="9" t="s">
        <v>28</v>
      </c>
      <c r="AL454" s="9"/>
      <c r="AM454" s="42">
        <v>0</v>
      </c>
      <c r="AO454" s="42">
        <v>0</v>
      </c>
      <c r="AQ454" s="42">
        <v>0</v>
      </c>
      <c r="AS454" s="42">
        <v>0</v>
      </c>
      <c r="AW454" s="42">
        <v>0</v>
      </c>
      <c r="AY454" s="42">
        <f t="shared" si="50"/>
        <v>0</v>
      </c>
      <c r="BA454" s="42">
        <f>+'St of Act - GA Rev'!AI454-'St of Activities - GA Exp'!AY454</f>
        <v>0</v>
      </c>
      <c r="BC454" s="42">
        <v>0</v>
      </c>
      <c r="BE454" s="42">
        <f t="shared" si="49"/>
        <v>0</v>
      </c>
      <c r="BG454" s="42">
        <f>+'St of Net Pos - GA'!AE454-'St of Activities - GA Exp'!BE454</f>
        <v>0</v>
      </c>
    </row>
    <row r="455" spans="1:59">
      <c r="A455" s="9" t="s">
        <v>294</v>
      </c>
      <c r="B455" s="9"/>
      <c r="C455" s="9" t="s">
        <v>25</v>
      </c>
      <c r="D455" s="9"/>
      <c r="E455" s="23">
        <v>46896</v>
      </c>
      <c r="G455" s="42">
        <v>50361670</v>
      </c>
      <c r="I455" s="42">
        <v>9310717</v>
      </c>
      <c r="K455" s="42">
        <v>348232</v>
      </c>
      <c r="M455" s="42">
        <v>0</v>
      </c>
      <c r="O455" s="42">
        <v>4049018</v>
      </c>
      <c r="Q455" s="42">
        <v>5751726</v>
      </c>
      <c r="S455" s="42">
        <v>6582868</v>
      </c>
      <c r="U455" s="42">
        <v>534999</v>
      </c>
      <c r="W455" s="42">
        <v>8271677</v>
      </c>
      <c r="Y455" s="42">
        <v>2026725</v>
      </c>
      <c r="AA455" s="42">
        <v>580648</v>
      </c>
      <c r="AC455" s="42">
        <v>11062931</v>
      </c>
      <c r="AE455" s="42">
        <v>5599096</v>
      </c>
      <c r="AG455" s="42">
        <v>90145</v>
      </c>
      <c r="AI455" s="9" t="s">
        <v>294</v>
      </c>
      <c r="AJ455" s="9"/>
      <c r="AK455" s="9" t="s">
        <v>25</v>
      </c>
      <c r="AL455" s="9"/>
      <c r="AM455" s="42">
        <v>5001686</v>
      </c>
      <c r="AO455" s="42">
        <v>466958</v>
      </c>
      <c r="AQ455" s="42">
        <v>2552075</v>
      </c>
      <c r="AS455" s="42">
        <v>7277760</v>
      </c>
      <c r="AW455" s="42">
        <v>0</v>
      </c>
      <c r="AY455" s="42">
        <f t="shared" si="50"/>
        <v>119868931</v>
      </c>
      <c r="BA455" s="42">
        <f>+'St of Act - GA Rev'!AI455-'St of Activities - GA Exp'!AY455</f>
        <v>4046300</v>
      </c>
      <c r="BC455" s="42">
        <v>70423987</v>
      </c>
      <c r="BE455" s="42">
        <f t="shared" si="49"/>
        <v>74470287</v>
      </c>
      <c r="BG455" s="42">
        <f>+'St of Net Pos - GA'!AE455-'St of Activities - GA Exp'!BE455</f>
        <v>0</v>
      </c>
    </row>
    <row r="456" spans="1:59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42">
        <v>0</v>
      </c>
      <c r="M456" s="42">
        <v>0</v>
      </c>
      <c r="O456" s="42">
        <v>0</v>
      </c>
      <c r="Q456" s="42">
        <v>0</v>
      </c>
      <c r="S456" s="42">
        <v>0</v>
      </c>
      <c r="U456" s="42">
        <v>0</v>
      </c>
      <c r="W456" s="42">
        <v>0</v>
      </c>
      <c r="Y456" s="42">
        <v>0</v>
      </c>
      <c r="AA456" s="42">
        <v>0</v>
      </c>
      <c r="AC456" s="42">
        <v>0</v>
      </c>
      <c r="AE456" s="42">
        <v>0</v>
      </c>
      <c r="AG456" s="42">
        <v>0</v>
      </c>
      <c r="AI456" s="9" t="s">
        <v>815</v>
      </c>
      <c r="AJ456" s="9"/>
      <c r="AK456" s="9" t="s">
        <v>28</v>
      </c>
      <c r="AL456" s="9"/>
      <c r="AM456" s="42">
        <v>0</v>
      </c>
      <c r="AO456" s="42">
        <v>0</v>
      </c>
      <c r="AQ456" s="42">
        <v>0</v>
      </c>
      <c r="AS456" s="42">
        <v>0</v>
      </c>
      <c r="AW456" s="42">
        <v>0</v>
      </c>
      <c r="AY456" s="42">
        <f t="shared" si="50"/>
        <v>0</v>
      </c>
      <c r="BA456" s="42">
        <f>+'St of Act - GA Rev'!AI456-'St of Activities - GA Exp'!AY456</f>
        <v>0</v>
      </c>
      <c r="BC456" s="42">
        <v>0</v>
      </c>
      <c r="BE456" s="42">
        <f t="shared" si="49"/>
        <v>0</v>
      </c>
      <c r="BG456" s="42">
        <f>+'St of Net Pos - GA'!AE456-'St of Activities - GA Exp'!BE456</f>
        <v>0</v>
      </c>
    </row>
    <row r="457" spans="1:59">
      <c r="A457" s="9" t="s">
        <v>422</v>
      </c>
      <c r="B457" s="9"/>
      <c r="C457" s="9" t="s">
        <v>48</v>
      </c>
      <c r="D457" s="9"/>
      <c r="E457" s="23">
        <v>44644</v>
      </c>
      <c r="G457" s="42">
        <v>22155945</v>
      </c>
      <c r="I457" s="42">
        <v>0</v>
      </c>
      <c r="K457" s="42">
        <v>0</v>
      </c>
      <c r="M457" s="42">
        <v>0</v>
      </c>
      <c r="O457" s="42">
        <v>0</v>
      </c>
      <c r="Q457" s="42">
        <v>870161</v>
      </c>
      <c r="S457" s="42">
        <v>2164903</v>
      </c>
      <c r="U457" s="42">
        <v>30160</v>
      </c>
      <c r="W457" s="42">
        <v>2318480</v>
      </c>
      <c r="Y457" s="42">
        <v>682210</v>
      </c>
      <c r="AA457" s="42">
        <v>261</v>
      </c>
      <c r="AC457" s="42">
        <v>2912605</v>
      </c>
      <c r="AE457" s="42">
        <v>1677670</v>
      </c>
      <c r="AG457" s="42">
        <v>228016</v>
      </c>
      <c r="AI457" s="9" t="s">
        <v>422</v>
      </c>
      <c r="AJ457" s="9"/>
      <c r="AK457" s="9" t="s">
        <v>48</v>
      </c>
      <c r="AL457" s="9"/>
      <c r="AM457" s="42">
        <v>0</v>
      </c>
      <c r="AO457" s="42">
        <v>189833</v>
      </c>
      <c r="AQ457" s="42">
        <v>919219</v>
      </c>
      <c r="AS457" s="42">
        <v>1839145</v>
      </c>
      <c r="AW457" s="42">
        <v>0</v>
      </c>
      <c r="AY457" s="42">
        <f t="shared" si="50"/>
        <v>35988608</v>
      </c>
      <c r="BA457" s="42">
        <f>+'St of Act - GA Rev'!AI457-'St of Activities - GA Exp'!AY457</f>
        <v>1646492</v>
      </c>
      <c r="BC457" s="42">
        <v>58525767</v>
      </c>
      <c r="BE457" s="42">
        <f t="shared" si="49"/>
        <v>60172259</v>
      </c>
      <c r="BG457" s="42">
        <f>+'St of Net Pos - GA'!AE457-'St of Activities - GA Exp'!BE457</f>
        <v>0</v>
      </c>
    </row>
    <row r="458" spans="1:59">
      <c r="A458" s="9" t="s">
        <v>304</v>
      </c>
      <c r="B458" s="9"/>
      <c r="C458" s="9" t="s">
        <v>62</v>
      </c>
      <c r="D458" s="9"/>
      <c r="E458" s="23">
        <v>49932</v>
      </c>
      <c r="G458" s="42">
        <v>25030876</v>
      </c>
      <c r="I458" s="42">
        <v>6752421</v>
      </c>
      <c r="K458" s="42">
        <v>1423591</v>
      </c>
      <c r="M458" s="42">
        <v>0</v>
      </c>
      <c r="O458" s="42">
        <v>228979</v>
      </c>
      <c r="Q458" s="42">
        <v>2778770</v>
      </c>
      <c r="S458" s="42">
        <v>2283556</v>
      </c>
      <c r="U458" s="42">
        <v>59207</v>
      </c>
      <c r="W458" s="42">
        <v>3499760</v>
      </c>
      <c r="Y458" s="42">
        <v>1091993</v>
      </c>
      <c r="AA458" s="42">
        <v>163604</v>
      </c>
      <c r="AC458" s="42">
        <v>5093174</v>
      </c>
      <c r="AE458" s="42">
        <v>3012411</v>
      </c>
      <c r="AG458" s="42">
        <v>193847</v>
      </c>
      <c r="AI458" s="9" t="s">
        <v>304</v>
      </c>
      <c r="AJ458" s="9"/>
      <c r="AK458" s="9" t="s">
        <v>62</v>
      </c>
      <c r="AL458" s="9"/>
      <c r="AM458" s="42">
        <v>2585329</v>
      </c>
      <c r="AO458" s="42">
        <v>612149</v>
      </c>
      <c r="AQ458" s="42">
        <v>1311169</v>
      </c>
      <c r="AS458" s="42">
        <v>1882058</v>
      </c>
      <c r="AW458" s="42">
        <v>0</v>
      </c>
      <c r="AY458" s="42">
        <f t="shared" si="50"/>
        <v>58002894</v>
      </c>
      <c r="BA458" s="42">
        <f>+'St of Act - GA Rev'!AI458-'St of Activities - GA Exp'!AY458</f>
        <v>331384</v>
      </c>
      <c r="BC458" s="42">
        <v>22392352</v>
      </c>
      <c r="BE458" s="42">
        <f t="shared" si="49"/>
        <v>22723736</v>
      </c>
      <c r="BG458" s="42">
        <f>+'St of Net Pos - GA'!AE458-'St of Activities - GA Exp'!BE458</f>
        <v>0</v>
      </c>
    </row>
    <row r="459" spans="1:59">
      <c r="A459" s="9" t="s">
        <v>408</v>
      </c>
      <c r="B459" s="9"/>
      <c r="C459" s="9" t="s">
        <v>46</v>
      </c>
      <c r="D459" s="9"/>
      <c r="E459" s="23">
        <v>48421</v>
      </c>
      <c r="G459" s="42">
        <v>7245498</v>
      </c>
      <c r="I459" s="42">
        <v>758637</v>
      </c>
      <c r="K459" s="42">
        <v>128734</v>
      </c>
      <c r="M459" s="42">
        <v>0</v>
      </c>
      <c r="O459" s="42">
        <v>3774</v>
      </c>
      <c r="Q459" s="42">
        <v>386929</v>
      </c>
      <c r="S459" s="42">
        <v>327226</v>
      </c>
      <c r="U459" s="42">
        <v>73128</v>
      </c>
      <c r="W459" s="42">
        <v>1029151</v>
      </c>
      <c r="Y459" s="42">
        <v>313755</v>
      </c>
      <c r="AA459" s="42">
        <v>0</v>
      </c>
      <c r="AC459" s="42">
        <v>1069020</v>
      </c>
      <c r="AE459" s="42">
        <v>446937</v>
      </c>
      <c r="AG459" s="42">
        <v>0</v>
      </c>
      <c r="AI459" s="9" t="s">
        <v>408</v>
      </c>
      <c r="AJ459" s="9"/>
      <c r="AK459" s="9" t="s">
        <v>46</v>
      </c>
      <c r="AL459" s="9"/>
      <c r="AM459" s="42">
        <v>0</v>
      </c>
      <c r="AO459" s="42">
        <v>514699</v>
      </c>
      <c r="AQ459" s="42">
        <v>505790</v>
      </c>
      <c r="AS459" s="42">
        <v>46751</v>
      </c>
      <c r="AW459" s="42">
        <v>0</v>
      </c>
      <c r="AY459" s="42">
        <f t="shared" si="50"/>
        <v>12850029</v>
      </c>
      <c r="BA459" s="42">
        <f>+'St of Act - GA Rev'!AI459-'St of Activities - GA Exp'!AY459</f>
        <v>-704888</v>
      </c>
      <c r="BC459" s="42">
        <v>9806809</v>
      </c>
      <c r="BE459" s="42">
        <f t="shared" si="49"/>
        <v>9101921</v>
      </c>
      <c r="BG459" s="42">
        <f>+'St of Net Pos - GA'!AE459-'St of Activities - GA Exp'!BE459</f>
        <v>0</v>
      </c>
    </row>
    <row r="460" spans="1:59">
      <c r="A460" s="9" t="s">
        <v>468</v>
      </c>
      <c r="B460" s="9"/>
      <c r="C460" s="9" t="s">
        <v>109</v>
      </c>
      <c r="D460" s="9"/>
      <c r="E460" s="23">
        <v>49460</v>
      </c>
      <c r="G460" s="42">
        <v>3779772</v>
      </c>
      <c r="I460" s="42">
        <v>1054865</v>
      </c>
      <c r="K460" s="42">
        <v>149140</v>
      </c>
      <c r="M460" s="42">
        <v>0</v>
      </c>
      <c r="O460" s="42">
        <v>491138</v>
      </c>
      <c r="Q460" s="42">
        <v>493019</v>
      </c>
      <c r="S460" s="42">
        <v>502021</v>
      </c>
      <c r="U460" s="42">
        <v>19361</v>
      </c>
      <c r="W460" s="42">
        <v>796038</v>
      </c>
      <c r="Y460" s="42">
        <v>235646</v>
      </c>
      <c r="AA460" s="42">
        <v>5450</v>
      </c>
      <c r="AC460" s="42">
        <v>1034122</v>
      </c>
      <c r="AE460" s="42">
        <v>509408</v>
      </c>
      <c r="AG460" s="42">
        <v>15768</v>
      </c>
      <c r="AI460" s="9" t="s">
        <v>468</v>
      </c>
      <c r="AJ460" s="9"/>
      <c r="AK460" s="9" t="s">
        <v>109</v>
      </c>
      <c r="AL460" s="9"/>
      <c r="AM460" s="42">
        <v>548289</v>
      </c>
      <c r="AO460" s="42">
        <v>1996</v>
      </c>
      <c r="AQ460" s="42">
        <v>426137</v>
      </c>
      <c r="AS460" s="42">
        <v>106984</v>
      </c>
      <c r="AW460" s="42">
        <v>0</v>
      </c>
      <c r="AY460" s="42">
        <f t="shared" si="50"/>
        <v>10169154</v>
      </c>
      <c r="BA460" s="42">
        <f>+'St of Act - GA Rev'!AI460-'St of Activities - GA Exp'!AY460</f>
        <v>-510936</v>
      </c>
      <c r="BC460" s="42">
        <v>20891130</v>
      </c>
      <c r="BE460" s="42">
        <f t="shared" si="49"/>
        <v>20380194</v>
      </c>
      <c r="BG460" s="42">
        <f>+'St of Net Pos - GA'!AE460-'St of Activities - GA Exp'!BE460</f>
        <v>0</v>
      </c>
    </row>
    <row r="461" spans="1:59" ht="12" customHeight="1">
      <c r="A461" s="9" t="s">
        <v>718</v>
      </c>
      <c r="B461" s="9"/>
      <c r="C461" s="9" t="s">
        <v>45</v>
      </c>
      <c r="D461" s="9"/>
      <c r="E461" s="23">
        <v>48348</v>
      </c>
      <c r="G461" s="42">
        <v>10037760</v>
      </c>
      <c r="I461" s="42">
        <v>1964803</v>
      </c>
      <c r="K461" s="42">
        <v>142654</v>
      </c>
      <c r="M461" s="42">
        <v>128806</v>
      </c>
      <c r="O461" s="42">
        <v>5693</v>
      </c>
      <c r="Q461" s="42">
        <v>1299163</v>
      </c>
      <c r="S461" s="42">
        <v>568714</v>
      </c>
      <c r="U461" s="42">
        <v>25615</v>
      </c>
      <c r="W461" s="42">
        <v>1535546</v>
      </c>
      <c r="Y461" s="42">
        <v>548147</v>
      </c>
      <c r="AA461" s="42">
        <v>254</v>
      </c>
      <c r="AC461" s="42">
        <v>1826852</v>
      </c>
      <c r="AE461" s="42">
        <v>923236</v>
      </c>
      <c r="AG461" s="42">
        <v>0</v>
      </c>
      <c r="AI461" s="9" t="s">
        <v>718</v>
      </c>
      <c r="AJ461" s="9"/>
      <c r="AK461" s="9" t="s">
        <v>45</v>
      </c>
      <c r="AL461" s="9"/>
      <c r="AM461" s="42">
        <v>832999</v>
      </c>
      <c r="AO461" s="42">
        <v>276581</v>
      </c>
      <c r="AQ461" s="42">
        <v>902902</v>
      </c>
      <c r="AS461" s="42">
        <v>394206</v>
      </c>
      <c r="AW461" s="42">
        <v>0</v>
      </c>
      <c r="AY461" s="42">
        <f t="shared" si="50"/>
        <v>21413931</v>
      </c>
      <c r="BA461" s="42">
        <f>+'St of Act - GA Rev'!AI461-'St of Activities - GA Exp'!AY461</f>
        <v>773213</v>
      </c>
      <c r="BC461" s="42">
        <v>2369953</v>
      </c>
      <c r="BE461" s="42">
        <f t="shared" si="49"/>
        <v>3143166</v>
      </c>
      <c r="BG461" s="42">
        <f>+'St of Net Pos - GA'!AE461-'St of Activities - GA Exp'!BE461</f>
        <v>0</v>
      </c>
    </row>
    <row r="462" spans="1:59" hidden="1">
      <c r="A462" s="9" t="s">
        <v>816</v>
      </c>
      <c r="B462" s="9"/>
      <c r="C462" s="9" t="s">
        <v>53</v>
      </c>
      <c r="D462" s="9"/>
      <c r="E462" s="23">
        <v>44651</v>
      </c>
      <c r="G462" s="42">
        <v>0</v>
      </c>
      <c r="I462" s="42">
        <v>0</v>
      </c>
      <c r="K462" s="42">
        <v>0</v>
      </c>
      <c r="M462" s="42">
        <v>0</v>
      </c>
      <c r="O462" s="42">
        <v>0</v>
      </c>
      <c r="Q462" s="42">
        <v>0</v>
      </c>
      <c r="S462" s="42">
        <v>0</v>
      </c>
      <c r="U462" s="42">
        <v>0</v>
      </c>
      <c r="W462" s="42">
        <v>0</v>
      </c>
      <c r="Y462" s="42">
        <v>0</v>
      </c>
      <c r="AA462" s="42">
        <v>0</v>
      </c>
      <c r="AC462" s="42">
        <v>0</v>
      </c>
      <c r="AE462" s="42">
        <v>0</v>
      </c>
      <c r="AG462" s="42">
        <v>0</v>
      </c>
      <c r="AI462" s="9" t="s">
        <v>816</v>
      </c>
      <c r="AJ462" s="9"/>
      <c r="AK462" s="9" t="s">
        <v>53</v>
      </c>
      <c r="AL462" s="9"/>
      <c r="AM462" s="42">
        <v>0</v>
      </c>
      <c r="AO462" s="42">
        <v>0</v>
      </c>
      <c r="AQ462" s="42">
        <v>0</v>
      </c>
      <c r="AS462" s="42">
        <v>0</v>
      </c>
      <c r="AW462" s="42">
        <v>0</v>
      </c>
      <c r="AY462" s="42">
        <f t="shared" si="50"/>
        <v>0</v>
      </c>
      <c r="BA462" s="42">
        <f>+'St of Act - GA Rev'!AI462-'St of Activities - GA Exp'!AY462</f>
        <v>0</v>
      </c>
      <c r="BC462" s="42">
        <v>0</v>
      </c>
      <c r="BE462" s="42">
        <f t="shared" si="49"/>
        <v>0</v>
      </c>
      <c r="BG462" s="42">
        <f>+'St of Net Pos - GA'!AE462-'St of Activities - GA Exp'!BE462</f>
        <v>0</v>
      </c>
    </row>
    <row r="463" spans="1:59" ht="12" customHeight="1">
      <c r="A463" s="9" t="s">
        <v>481</v>
      </c>
      <c r="B463" s="9"/>
      <c r="C463" s="9" t="s">
        <v>59</v>
      </c>
      <c r="D463" s="9"/>
      <c r="E463" s="23">
        <v>44669</v>
      </c>
      <c r="G463" s="42">
        <v>13413466</v>
      </c>
      <c r="I463" s="42">
        <v>6103402</v>
      </c>
      <c r="K463" s="42">
        <v>340318</v>
      </c>
      <c r="M463" s="42">
        <v>0</v>
      </c>
      <c r="O463" s="42">
        <v>418259</v>
      </c>
      <c r="Q463" s="42">
        <v>1959638</v>
      </c>
      <c r="S463" s="42">
        <v>1987804</v>
      </c>
      <c r="U463" s="42">
        <v>28682</v>
      </c>
      <c r="W463" s="42">
        <v>1735055</v>
      </c>
      <c r="Y463" s="42">
        <v>695493</v>
      </c>
      <c r="AA463" s="42">
        <v>107601</v>
      </c>
      <c r="AC463" s="42">
        <v>2608690</v>
      </c>
      <c r="AE463" s="42">
        <v>596336</v>
      </c>
      <c r="AG463" s="42">
        <v>41843</v>
      </c>
      <c r="AI463" s="9" t="s">
        <v>481</v>
      </c>
      <c r="AJ463" s="9"/>
      <c r="AK463" s="9" t="s">
        <v>59</v>
      </c>
      <c r="AL463" s="9"/>
      <c r="AM463" s="42">
        <v>1300826</v>
      </c>
      <c r="AO463" s="42">
        <v>208589</v>
      </c>
      <c r="AQ463" s="42">
        <v>375081</v>
      </c>
      <c r="AS463" s="42">
        <v>686655</v>
      </c>
      <c r="AW463" s="42">
        <v>0</v>
      </c>
      <c r="AY463" s="42">
        <f t="shared" si="50"/>
        <v>32607738</v>
      </c>
      <c r="BA463" s="42">
        <f>+'St of Act - GA Rev'!AI463-'St of Activities - GA Exp'!AY463</f>
        <v>-2835922</v>
      </c>
      <c r="BC463" s="42">
        <v>49601575</v>
      </c>
      <c r="BE463" s="42">
        <f t="shared" si="49"/>
        <v>46765653</v>
      </c>
      <c r="BG463" s="42">
        <f>+'St of Net Pos - GA'!AE463-'St of Activities - GA Exp'!BE463</f>
        <v>0</v>
      </c>
    </row>
    <row r="464" spans="1:59" ht="12" hidden="1" customHeight="1">
      <c r="A464" s="9" t="s">
        <v>684</v>
      </c>
      <c r="B464" s="9"/>
      <c r="C464" s="9" t="s">
        <v>57</v>
      </c>
      <c r="D464" s="9"/>
      <c r="E464" s="23">
        <v>49288</v>
      </c>
      <c r="G464" s="42">
        <v>0</v>
      </c>
      <c r="I464" s="42">
        <v>0</v>
      </c>
      <c r="K464" s="42">
        <v>0</v>
      </c>
      <c r="M464" s="42">
        <v>0</v>
      </c>
      <c r="O464" s="42">
        <v>0</v>
      </c>
      <c r="Q464" s="42">
        <v>0</v>
      </c>
      <c r="S464" s="42">
        <v>0</v>
      </c>
      <c r="U464" s="42">
        <v>0</v>
      </c>
      <c r="W464" s="42">
        <v>0</v>
      </c>
      <c r="Y464" s="42">
        <v>0</v>
      </c>
      <c r="AA464" s="42">
        <v>0</v>
      </c>
      <c r="AC464" s="42">
        <v>0</v>
      </c>
      <c r="AE464" s="42">
        <v>0</v>
      </c>
      <c r="AG464" s="42">
        <v>0</v>
      </c>
      <c r="AI464" s="9" t="s">
        <v>684</v>
      </c>
      <c r="AJ464" s="9"/>
      <c r="AK464" s="9" t="s">
        <v>57</v>
      </c>
      <c r="AL464" s="9"/>
      <c r="AM464" s="42">
        <v>0</v>
      </c>
      <c r="AO464" s="42">
        <v>0</v>
      </c>
      <c r="AQ464" s="42">
        <v>0</v>
      </c>
      <c r="AS464" s="42">
        <v>0</v>
      </c>
      <c r="AW464" s="42">
        <v>0</v>
      </c>
      <c r="AY464" s="42">
        <f t="shared" si="50"/>
        <v>0</v>
      </c>
      <c r="BA464" s="42">
        <f>+'St of Act - GA Rev'!AI464-'St of Activities - GA Exp'!AY464</f>
        <v>0</v>
      </c>
      <c r="BC464" s="42">
        <v>0</v>
      </c>
      <c r="BE464" s="42">
        <f t="shared" si="49"/>
        <v>0</v>
      </c>
      <c r="BG464" s="42">
        <f>+'St of Net Pos - GA'!AE464-'St of Activities - GA Exp'!BE464</f>
        <v>0</v>
      </c>
    </row>
    <row r="465" spans="1:59">
      <c r="A465" s="9" t="s">
        <v>327</v>
      </c>
      <c r="B465" s="9"/>
      <c r="C465" s="9" t="s">
        <v>32</v>
      </c>
      <c r="D465" s="9"/>
      <c r="E465" s="23">
        <v>44677</v>
      </c>
      <c r="G465" s="42">
        <v>37412032</v>
      </c>
      <c r="I465" s="42">
        <v>9326846</v>
      </c>
      <c r="K465" s="42">
        <v>53881</v>
      </c>
      <c r="M465" s="42">
        <v>0</v>
      </c>
      <c r="O465" s="42">
        <v>2474464</v>
      </c>
      <c r="Q465" s="42">
        <v>4303537</v>
      </c>
      <c r="S465" s="42">
        <v>2134313</v>
      </c>
      <c r="U465" s="42">
        <v>0</v>
      </c>
      <c r="W465" s="42">
        <f>222072+5932219</f>
        <v>6154291</v>
      </c>
      <c r="Y465" s="42">
        <v>2093683</v>
      </c>
      <c r="AA465" s="42">
        <v>219646</v>
      </c>
      <c r="AC465" s="42">
        <v>7398890</v>
      </c>
      <c r="AE465" s="42">
        <v>5556446</v>
      </c>
      <c r="AG465" s="42">
        <v>936744</v>
      </c>
      <c r="AI465" s="9" t="s">
        <v>327</v>
      </c>
      <c r="AJ465" s="9"/>
      <c r="AK465" s="9" t="s">
        <v>32</v>
      </c>
      <c r="AL465" s="9"/>
      <c r="AM465" s="42">
        <v>0</v>
      </c>
      <c r="AO465" s="42">
        <v>4032390</v>
      </c>
      <c r="AQ465" s="42">
        <v>1263001</v>
      </c>
      <c r="AS465" s="42">
        <v>12167816</v>
      </c>
      <c r="AW465" s="42">
        <v>0</v>
      </c>
      <c r="AY465" s="42">
        <f t="shared" si="50"/>
        <v>95527980</v>
      </c>
      <c r="BA465" s="42">
        <f>+'St of Act - GA Rev'!AI465-'St of Activities - GA Exp'!AY465</f>
        <v>3894683</v>
      </c>
      <c r="BC465" s="42">
        <v>30534514</v>
      </c>
      <c r="BE465" s="42">
        <f t="shared" si="49"/>
        <v>34429197</v>
      </c>
      <c r="BG465" s="42">
        <f>+'St of Net Pos - GA'!AE465-'St of Activities - GA Exp'!BE465</f>
        <v>0</v>
      </c>
    </row>
    <row r="466" spans="1:59" ht="12" hidden="1" customHeight="1">
      <c r="A466" s="9" t="s">
        <v>817</v>
      </c>
      <c r="B466" s="9"/>
      <c r="C466" s="9" t="s">
        <v>53</v>
      </c>
      <c r="D466" s="9"/>
      <c r="E466" s="23">
        <v>48975</v>
      </c>
      <c r="G466" s="42">
        <v>0</v>
      </c>
      <c r="I466" s="42">
        <v>0</v>
      </c>
      <c r="K466" s="42">
        <v>0</v>
      </c>
      <c r="M466" s="42">
        <v>0</v>
      </c>
      <c r="O466" s="42">
        <v>0</v>
      </c>
      <c r="Q466" s="42">
        <v>0</v>
      </c>
      <c r="S466" s="42">
        <v>0</v>
      </c>
      <c r="U466" s="42">
        <v>0</v>
      </c>
      <c r="W466" s="42">
        <v>0</v>
      </c>
      <c r="Y466" s="42">
        <v>0</v>
      </c>
      <c r="AA466" s="42">
        <v>0</v>
      </c>
      <c r="AC466" s="42">
        <v>0</v>
      </c>
      <c r="AE466" s="42">
        <v>0</v>
      </c>
      <c r="AG466" s="42">
        <v>0</v>
      </c>
      <c r="AI466" s="9" t="s">
        <v>817</v>
      </c>
      <c r="AJ466" s="9"/>
      <c r="AK466" s="9" t="s">
        <v>53</v>
      </c>
      <c r="AL466" s="9"/>
      <c r="AM466" s="42">
        <v>0</v>
      </c>
      <c r="AO466" s="42">
        <v>0</v>
      </c>
      <c r="AQ466" s="42">
        <v>0</v>
      </c>
      <c r="AS466" s="42">
        <v>0</v>
      </c>
      <c r="AW466" s="42">
        <v>0</v>
      </c>
      <c r="AY466" s="42">
        <f t="shared" ref="AY466" si="51">SUM(G466:AX466)</f>
        <v>0</v>
      </c>
      <c r="BA466" s="42">
        <f>+'St of Act - GA Rev'!AI466-'St of Activities - GA Exp'!AY466</f>
        <v>0</v>
      </c>
      <c r="BC466" s="42">
        <v>0</v>
      </c>
      <c r="BE466" s="42">
        <f t="shared" si="49"/>
        <v>0</v>
      </c>
      <c r="BG466" s="42">
        <f>+'St of Net Pos - GA'!AE466-'St of Activities - GA Exp'!BE466</f>
        <v>0</v>
      </c>
    </row>
    <row r="467" spans="1:59" ht="12" hidden="1" customHeight="1">
      <c r="A467" s="9" t="s">
        <v>818</v>
      </c>
      <c r="B467" s="9"/>
      <c r="C467" s="9" t="s">
        <v>12</v>
      </c>
      <c r="D467" s="9"/>
      <c r="E467" s="23">
        <v>45880</v>
      </c>
      <c r="G467" s="42">
        <v>0</v>
      </c>
      <c r="I467" s="42">
        <v>0</v>
      </c>
      <c r="K467" s="42">
        <v>0</v>
      </c>
      <c r="M467" s="42">
        <v>0</v>
      </c>
      <c r="O467" s="42">
        <v>0</v>
      </c>
      <c r="Q467" s="42">
        <v>0</v>
      </c>
      <c r="S467" s="42">
        <v>0</v>
      </c>
      <c r="U467" s="42">
        <v>0</v>
      </c>
      <c r="W467" s="42">
        <v>0</v>
      </c>
      <c r="Y467" s="42">
        <v>0</v>
      </c>
      <c r="AA467" s="42">
        <v>0</v>
      </c>
      <c r="AC467" s="42">
        <v>0</v>
      </c>
      <c r="AE467" s="42">
        <v>0</v>
      </c>
      <c r="AG467" s="42">
        <v>0</v>
      </c>
      <c r="AI467" s="9" t="s">
        <v>818</v>
      </c>
      <c r="AJ467" s="9"/>
      <c r="AK467" s="9" t="s">
        <v>12</v>
      </c>
      <c r="AL467" s="9"/>
      <c r="AM467" s="42">
        <v>0</v>
      </c>
      <c r="AO467" s="42">
        <v>0</v>
      </c>
      <c r="AQ467" s="42">
        <v>0</v>
      </c>
      <c r="AS467" s="42">
        <v>0</v>
      </c>
      <c r="AW467" s="42">
        <v>0</v>
      </c>
      <c r="AY467" s="42">
        <f t="shared" si="50"/>
        <v>0</v>
      </c>
      <c r="BA467" s="42">
        <f>+'St of Act - GA Rev'!AI467-'St of Activities - GA Exp'!AY467</f>
        <v>0</v>
      </c>
      <c r="BC467" s="42">
        <v>0</v>
      </c>
      <c r="BE467" s="42">
        <f t="shared" si="49"/>
        <v>0</v>
      </c>
      <c r="BG467" s="42">
        <f>+'St of Net Pos - GA'!AE467-'St of Activities - GA Exp'!BE467</f>
        <v>0</v>
      </c>
    </row>
    <row r="468" spans="1:59" s="24" customFormat="1">
      <c r="A468" s="51" t="s">
        <v>627</v>
      </c>
      <c r="B468" s="51"/>
      <c r="C468" s="51" t="s">
        <v>56</v>
      </c>
      <c r="D468" s="51"/>
      <c r="E468" s="23">
        <v>44685</v>
      </c>
      <c r="G468" s="42">
        <v>10752361</v>
      </c>
      <c r="H468" s="42"/>
      <c r="I468" s="42">
        <v>5450668</v>
      </c>
      <c r="J468" s="42"/>
      <c r="K468" s="42">
        <v>283130</v>
      </c>
      <c r="L468" s="42"/>
      <c r="M468" s="42">
        <v>0</v>
      </c>
      <c r="N468" s="42"/>
      <c r="O468" s="42">
        <v>1874234</v>
      </c>
      <c r="P468" s="42"/>
      <c r="Q468" s="42">
        <v>1464061</v>
      </c>
      <c r="R468" s="42"/>
      <c r="S468" s="42">
        <v>939671</v>
      </c>
      <c r="T468" s="42"/>
      <c r="U468" s="42">
        <v>102081</v>
      </c>
      <c r="V468" s="42"/>
      <c r="W468" s="42">
        <v>2202494</v>
      </c>
      <c r="X468" s="42"/>
      <c r="Y468" s="42">
        <v>728632</v>
      </c>
      <c r="Z468" s="42"/>
      <c r="AA468" s="42">
        <v>216127</v>
      </c>
      <c r="AB468" s="42"/>
      <c r="AC468" s="42">
        <v>2767259</v>
      </c>
      <c r="AD468" s="42"/>
      <c r="AE468" s="42">
        <v>1498847</v>
      </c>
      <c r="AF468" s="42"/>
      <c r="AG468" s="42">
        <v>784769</v>
      </c>
      <c r="AI468" s="51" t="s">
        <v>627</v>
      </c>
      <c r="AJ468" s="51"/>
      <c r="AK468" s="51" t="s">
        <v>56</v>
      </c>
      <c r="AL468" s="51"/>
      <c r="AM468" s="42">
        <v>1296842</v>
      </c>
      <c r="AN468" s="42"/>
      <c r="AO468" s="42">
        <v>33349</v>
      </c>
      <c r="AP468" s="42"/>
      <c r="AQ468" s="42">
        <v>949449</v>
      </c>
      <c r="AR468" s="42"/>
      <c r="AS468" s="42">
        <v>966988</v>
      </c>
      <c r="AT468" s="42"/>
      <c r="AU468" s="42"/>
      <c r="AV468" s="42"/>
      <c r="AW468" s="42">
        <v>0</v>
      </c>
      <c r="AX468" s="42"/>
      <c r="AY468" s="42">
        <f t="shared" si="50"/>
        <v>32310962</v>
      </c>
      <c r="AZ468" s="42"/>
      <c r="BA468" s="42">
        <f>+'St of Act - GA Rev'!AI468-'St of Activities - GA Exp'!AY468</f>
        <v>-1620298</v>
      </c>
      <c r="BB468" s="42"/>
      <c r="BC468" s="42">
        <v>17787817</v>
      </c>
      <c r="BD468" s="42"/>
      <c r="BE468" s="42">
        <f t="shared" si="49"/>
        <v>16167519</v>
      </c>
      <c r="BF468" s="42"/>
      <c r="BG468" s="42">
        <f>+'St of Net Pos - GA'!AE468-'St of Activities - GA Exp'!BE468</f>
        <v>0</v>
      </c>
    </row>
    <row r="469" spans="1:59" ht="12" customHeight="1">
      <c r="A469" s="9" t="s">
        <v>328</v>
      </c>
      <c r="B469" s="9"/>
      <c r="C469" s="9" t="s">
        <v>32</v>
      </c>
      <c r="D469" s="9"/>
      <c r="E469" s="23">
        <v>44693</v>
      </c>
      <c r="G469" s="42">
        <v>7558895</v>
      </c>
      <c r="I469" s="42">
        <v>2546093</v>
      </c>
      <c r="K469" s="42">
        <v>2086</v>
      </c>
      <c r="M469" s="42">
        <v>0</v>
      </c>
      <c r="O469" s="42">
        <v>537267</v>
      </c>
      <c r="Q469" s="42">
        <v>1051205</v>
      </c>
      <c r="S469" s="42">
        <v>497813</v>
      </c>
      <c r="U469" s="42">
        <v>47352</v>
      </c>
      <c r="W469" s="42">
        <v>1422113</v>
      </c>
      <c r="Y469" s="42">
        <v>359988</v>
      </c>
      <c r="AA469" s="42">
        <v>0</v>
      </c>
      <c r="AC469" s="42">
        <v>1266879</v>
      </c>
      <c r="AE469" s="42">
        <v>253177</v>
      </c>
      <c r="AG469" s="42">
        <v>54721</v>
      </c>
      <c r="AI469" s="9" t="s">
        <v>328</v>
      </c>
      <c r="AJ469" s="9"/>
      <c r="AK469" s="9" t="s">
        <v>32</v>
      </c>
      <c r="AL469" s="9"/>
      <c r="AM469" s="42">
        <v>0</v>
      </c>
      <c r="AO469" s="42">
        <v>1552036</v>
      </c>
      <c r="AQ469" s="42">
        <v>554008</v>
      </c>
      <c r="AS469" s="42">
        <v>63933</v>
      </c>
      <c r="AW469" s="42">
        <v>71709</v>
      </c>
      <c r="AY469" s="42">
        <f t="shared" si="50"/>
        <v>17839275</v>
      </c>
      <c r="BA469" s="42">
        <f>+'St of Act - GA Rev'!AI469-'St of Activities - GA Exp'!AY469</f>
        <v>-257625</v>
      </c>
      <c r="BC469" s="42">
        <v>6965864</v>
      </c>
      <c r="BE469" s="42">
        <f t="shared" si="49"/>
        <v>6708239</v>
      </c>
      <c r="BG469" s="42">
        <f>+'St of Net Pos - GA'!AE469-'St of Activities - GA Exp'!BE469</f>
        <v>0</v>
      </c>
    </row>
    <row r="470" spans="1:59">
      <c r="A470" s="9" t="s">
        <v>509</v>
      </c>
      <c r="B470" s="9"/>
      <c r="C470" s="9" t="s">
        <v>63</v>
      </c>
      <c r="D470" s="9"/>
      <c r="E470" s="23">
        <v>50054</v>
      </c>
      <c r="G470" s="42">
        <v>15917448</v>
      </c>
      <c r="I470" s="42">
        <v>2267783</v>
      </c>
      <c r="K470" s="42">
        <v>303953</v>
      </c>
      <c r="M470" s="42">
        <v>0</v>
      </c>
      <c r="O470" s="42">
        <f>649848+727819</f>
        <v>1377667</v>
      </c>
      <c r="Q470" s="42">
        <v>1631249</v>
      </c>
      <c r="S470" s="42">
        <v>1369961</v>
      </c>
      <c r="U470" s="42">
        <v>344109</v>
      </c>
      <c r="W470" s="42">
        <v>2144793</v>
      </c>
      <c r="Y470" s="42">
        <v>1199025</v>
      </c>
      <c r="AA470" s="42">
        <v>83073</v>
      </c>
      <c r="AC470" s="42">
        <v>4965677</v>
      </c>
      <c r="AE470" s="42">
        <v>2437844</v>
      </c>
      <c r="AG470" s="42">
        <v>533143</v>
      </c>
      <c r="AI470" s="9" t="s">
        <v>509</v>
      </c>
      <c r="AJ470" s="9"/>
      <c r="AK470" s="9" t="s">
        <v>63</v>
      </c>
      <c r="AL470" s="9"/>
      <c r="AM470" s="42">
        <v>945245</v>
      </c>
      <c r="AO470" s="42">
        <v>358219</v>
      </c>
      <c r="AQ470" s="42">
        <v>1297741</v>
      </c>
      <c r="AS470" s="42">
        <v>453726</v>
      </c>
      <c r="AW470" s="42">
        <v>0</v>
      </c>
      <c r="AY470" s="42">
        <f t="shared" si="50"/>
        <v>37630656</v>
      </c>
      <c r="BA470" s="42">
        <f>+'St of Act - GA Rev'!AI470-'St of Activities - GA Exp'!AY470</f>
        <v>40936</v>
      </c>
      <c r="BC470" s="42">
        <v>25010350</v>
      </c>
      <c r="BE470" s="42">
        <f t="shared" si="49"/>
        <v>25051286</v>
      </c>
      <c r="BG470" s="42">
        <f>+'St of Net Pos - GA'!AE470-'St of Activities - GA Exp'!BE470</f>
        <v>0</v>
      </c>
    </row>
    <row r="471" spans="1:59" hidden="1">
      <c r="A471" s="9" t="s">
        <v>819</v>
      </c>
      <c r="B471" s="9"/>
      <c r="C471" s="9" t="s">
        <v>27</v>
      </c>
      <c r="D471" s="9"/>
      <c r="E471" s="23">
        <v>47001</v>
      </c>
      <c r="G471" s="42">
        <v>0</v>
      </c>
      <c r="I471" s="42">
        <v>0</v>
      </c>
      <c r="K471" s="42">
        <v>0</v>
      </c>
      <c r="M471" s="42">
        <v>0</v>
      </c>
      <c r="O471" s="42">
        <v>0</v>
      </c>
      <c r="Q471" s="42">
        <v>0</v>
      </c>
      <c r="S471" s="42">
        <v>0</v>
      </c>
      <c r="U471" s="42">
        <v>0</v>
      </c>
      <c r="W471" s="42">
        <v>0</v>
      </c>
      <c r="Y471" s="42">
        <v>0</v>
      </c>
      <c r="AA471" s="42">
        <v>0</v>
      </c>
      <c r="AC471" s="42">
        <v>0</v>
      </c>
      <c r="AE471" s="42">
        <v>0</v>
      </c>
      <c r="AG471" s="42">
        <v>0</v>
      </c>
      <c r="AI471" s="9" t="s">
        <v>819</v>
      </c>
      <c r="AJ471" s="9"/>
      <c r="AK471" s="9" t="s">
        <v>27</v>
      </c>
      <c r="AL471" s="9"/>
      <c r="AM471" s="42">
        <v>0</v>
      </c>
      <c r="AO471" s="42">
        <v>0</v>
      </c>
      <c r="AQ471" s="42">
        <v>0</v>
      </c>
      <c r="AS471" s="42">
        <v>0</v>
      </c>
      <c r="AW471" s="42">
        <v>0</v>
      </c>
      <c r="AY471" s="42">
        <f t="shared" si="50"/>
        <v>0</v>
      </c>
      <c r="BA471" s="42">
        <f>+'St of Act - GA Rev'!AI471-'St of Activities - GA Exp'!AY471</f>
        <v>0</v>
      </c>
      <c r="BC471" s="42">
        <v>0</v>
      </c>
      <c r="BE471" s="42">
        <f t="shared" si="49"/>
        <v>0</v>
      </c>
      <c r="BG471" s="42">
        <f>+'St of Net Pos - GA'!AE471-'St of Activities - GA Exp'!BE471</f>
        <v>0</v>
      </c>
    </row>
    <row r="472" spans="1:59" ht="12" customHeight="1">
      <c r="A472" s="9" t="s">
        <v>274</v>
      </c>
      <c r="B472" s="9"/>
      <c r="C472" s="9" t="s">
        <v>20</v>
      </c>
      <c r="D472" s="9"/>
      <c r="E472" s="23">
        <v>46599</v>
      </c>
      <c r="G472" s="42">
        <v>6284881</v>
      </c>
      <c r="I472" s="42">
        <v>2565754</v>
      </c>
      <c r="K472" s="42">
        <v>151664</v>
      </c>
      <c r="M472" s="42">
        <v>0</v>
      </c>
      <c r="O472" s="42">
        <v>0</v>
      </c>
      <c r="Q472" s="42">
        <v>680740</v>
      </c>
      <c r="S472" s="42">
        <v>182386</v>
      </c>
      <c r="U472" s="42">
        <v>344174</v>
      </c>
      <c r="W472" s="42">
        <v>1004600</v>
      </c>
      <c r="Y472" s="42">
        <v>462474</v>
      </c>
      <c r="AA472" s="42">
        <v>10950</v>
      </c>
      <c r="AC472" s="42">
        <v>981669</v>
      </c>
      <c r="AE472" s="42">
        <v>1083673</v>
      </c>
      <c r="AG472" s="42">
        <v>177891</v>
      </c>
      <c r="AI472" s="9" t="s">
        <v>274</v>
      </c>
      <c r="AJ472" s="9"/>
      <c r="AK472" s="9" t="s">
        <v>20</v>
      </c>
      <c r="AL472" s="9"/>
      <c r="AM472" s="42">
        <v>0</v>
      </c>
      <c r="AO472" s="42">
        <v>5953</v>
      </c>
      <c r="AQ472" s="42">
        <v>305766</v>
      </c>
      <c r="AS472" s="42">
        <v>47844</v>
      </c>
      <c r="AW472" s="42">
        <v>0</v>
      </c>
      <c r="AY472" s="42">
        <f t="shared" si="50"/>
        <v>14290419</v>
      </c>
      <c r="BA472" s="42">
        <f>+'St of Act - GA Rev'!AI472-'St of Activities - GA Exp'!AY472</f>
        <v>26938</v>
      </c>
      <c r="BC472" s="42">
        <v>1033931</v>
      </c>
      <c r="BE472" s="42">
        <f t="shared" si="49"/>
        <v>1060869</v>
      </c>
      <c r="BG472" s="42">
        <f>+'St of Net Pos - GA'!AE472-'St of Activities - GA Exp'!BE472</f>
        <v>0</v>
      </c>
    </row>
    <row r="473" spans="1:59" s="24" customFormat="1">
      <c r="A473" s="51" t="s">
        <v>409</v>
      </c>
      <c r="B473" s="51"/>
      <c r="C473" s="51" t="s">
        <v>46</v>
      </c>
      <c r="D473" s="51"/>
      <c r="E473" s="51">
        <v>48439</v>
      </c>
      <c r="G473" s="24">
        <v>3138938</v>
      </c>
      <c r="I473" s="24">
        <v>711879</v>
      </c>
      <c r="K473" s="24">
        <v>205859</v>
      </c>
      <c r="M473" s="24">
        <v>0</v>
      </c>
      <c r="O473" s="24">
        <f>5850+1109802</f>
        <v>1115652</v>
      </c>
      <c r="Q473" s="24">
        <v>257705</v>
      </c>
      <c r="S473" s="24">
        <v>278210</v>
      </c>
      <c r="U473" s="24">
        <v>47601</v>
      </c>
      <c r="W473" s="24">
        <v>754143</v>
      </c>
      <c r="Y473" s="24">
        <v>267739</v>
      </c>
      <c r="AA473" s="24">
        <v>0</v>
      </c>
      <c r="AC473" s="24">
        <v>669113</v>
      </c>
      <c r="AE473" s="24">
        <v>537600</v>
      </c>
      <c r="AG473" s="24">
        <v>46235</v>
      </c>
      <c r="AI473" s="51" t="s">
        <v>409</v>
      </c>
      <c r="AJ473" s="51"/>
      <c r="AK473" s="51" t="s">
        <v>46</v>
      </c>
      <c r="AL473" s="51"/>
      <c r="AM473" s="24">
        <v>371946</v>
      </c>
      <c r="AO473" s="24">
        <v>0</v>
      </c>
      <c r="AQ473" s="24">
        <v>204764</v>
      </c>
      <c r="AS473" s="24">
        <v>19571</v>
      </c>
      <c r="AW473" s="24">
        <v>0</v>
      </c>
      <c r="AY473" s="24">
        <f t="shared" si="50"/>
        <v>8626955</v>
      </c>
      <c r="BA473" s="24">
        <f>+'St of Act - GA Rev'!AI473-'St of Activities - GA Exp'!AY473</f>
        <v>-221438</v>
      </c>
      <c r="BC473" s="24">
        <v>5345187</v>
      </c>
      <c r="BE473" s="24">
        <f t="shared" si="49"/>
        <v>5123749</v>
      </c>
      <c r="BG473" s="24">
        <f>+'St of Net Pos - GA'!AE473-'St of Activities - GA Exp'!BE473</f>
        <v>0</v>
      </c>
    </row>
    <row r="474" spans="1:59" ht="12" hidden="1" customHeight="1">
      <c r="A474" s="9" t="s">
        <v>885</v>
      </c>
      <c r="B474" s="9"/>
      <c r="C474" s="9" t="s">
        <v>337</v>
      </c>
      <c r="D474" s="9"/>
      <c r="E474" s="23">
        <v>47506</v>
      </c>
      <c r="G474" s="42">
        <v>0</v>
      </c>
      <c r="I474" s="42">
        <v>0</v>
      </c>
      <c r="K474" s="42">
        <v>0</v>
      </c>
      <c r="M474" s="42">
        <v>0</v>
      </c>
      <c r="O474" s="42">
        <v>0</v>
      </c>
      <c r="Q474" s="42">
        <v>0</v>
      </c>
      <c r="S474" s="42">
        <v>0</v>
      </c>
      <c r="U474" s="42">
        <v>0</v>
      </c>
      <c r="W474" s="42">
        <v>0</v>
      </c>
      <c r="Y474" s="42">
        <v>0</v>
      </c>
      <c r="AA474" s="42">
        <v>0</v>
      </c>
      <c r="AC474" s="42">
        <v>0</v>
      </c>
      <c r="AE474" s="42">
        <v>0</v>
      </c>
      <c r="AG474" s="42">
        <v>0</v>
      </c>
      <c r="AI474" s="9" t="s">
        <v>885</v>
      </c>
      <c r="AJ474" s="9"/>
      <c r="AK474" s="9" t="s">
        <v>337</v>
      </c>
      <c r="AL474" s="9"/>
      <c r="AM474" s="42">
        <v>0</v>
      </c>
      <c r="AO474" s="42">
        <v>0</v>
      </c>
      <c r="AQ474" s="42">
        <v>0</v>
      </c>
      <c r="AS474" s="42">
        <v>0</v>
      </c>
      <c r="AW474" s="42">
        <v>0</v>
      </c>
      <c r="AY474" s="42">
        <f t="shared" si="50"/>
        <v>0</v>
      </c>
      <c r="BA474" s="42">
        <f>+'St of Act - GA Rev'!AI474-'St of Activities - GA Exp'!AY474</f>
        <v>0</v>
      </c>
      <c r="BC474" s="42">
        <v>0</v>
      </c>
      <c r="BE474" s="42">
        <f t="shared" si="49"/>
        <v>0</v>
      </c>
      <c r="BG474" s="42">
        <f>+'St of Net Pos - GA'!AE474-'St of Activities - GA Exp'!BE474</f>
        <v>0</v>
      </c>
    </row>
    <row r="475" spans="1:59">
      <c r="A475" s="9" t="s">
        <v>252</v>
      </c>
      <c r="B475" s="9"/>
      <c r="C475" s="9" t="s">
        <v>19</v>
      </c>
      <c r="D475" s="9"/>
      <c r="E475" s="23">
        <v>46474</v>
      </c>
      <c r="G475" s="42">
        <v>5373644</v>
      </c>
      <c r="I475" s="42">
        <v>979308</v>
      </c>
      <c r="K475" s="42">
        <v>241934</v>
      </c>
      <c r="M475" s="42">
        <v>0</v>
      </c>
      <c r="O475" s="42">
        <v>36676</v>
      </c>
      <c r="Q475" s="42">
        <v>449276</v>
      </c>
      <c r="S475" s="42">
        <v>652675</v>
      </c>
      <c r="U475" s="42">
        <v>30473</v>
      </c>
      <c r="W475" s="42">
        <v>595552</v>
      </c>
      <c r="Y475" s="42">
        <v>358952</v>
      </c>
      <c r="AA475" s="42">
        <v>32635</v>
      </c>
      <c r="AC475" s="42">
        <v>1327042</v>
      </c>
      <c r="AE475" s="42">
        <v>809044</v>
      </c>
      <c r="AG475" s="42">
        <v>3558</v>
      </c>
      <c r="AI475" s="9" t="s">
        <v>252</v>
      </c>
      <c r="AJ475" s="9"/>
      <c r="AK475" s="9" t="s">
        <v>19</v>
      </c>
      <c r="AL475" s="9"/>
      <c r="AM475" s="42">
        <v>665547</v>
      </c>
      <c r="AO475" s="42">
        <v>0</v>
      </c>
      <c r="AQ475" s="42">
        <v>457230</v>
      </c>
      <c r="AS475" s="42">
        <v>180343</v>
      </c>
      <c r="AW475" s="42">
        <v>0</v>
      </c>
      <c r="AY475" s="42">
        <f t="shared" si="50"/>
        <v>12193889</v>
      </c>
      <c r="BA475" s="42">
        <f>+'St of Act - GA Rev'!AI475-'St of Activities - GA Exp'!AY475</f>
        <v>116854</v>
      </c>
      <c r="BC475" s="42">
        <v>16326192</v>
      </c>
      <c r="BE475" s="42">
        <f t="shared" si="49"/>
        <v>16443046</v>
      </c>
      <c r="BG475" s="42">
        <f>+'St of Net Pos - GA'!AE475-'St of Activities - GA Exp'!BE475</f>
        <v>0</v>
      </c>
    </row>
    <row r="476" spans="1:59" hidden="1">
      <c r="A476" s="9" t="s">
        <v>820</v>
      </c>
      <c r="B476" s="9"/>
      <c r="C476" s="9" t="s">
        <v>77</v>
      </c>
      <c r="D476" s="9"/>
      <c r="E476" s="23">
        <v>46078</v>
      </c>
      <c r="G476" s="42">
        <v>0</v>
      </c>
      <c r="I476" s="42">
        <v>0</v>
      </c>
      <c r="K476" s="42">
        <v>0</v>
      </c>
      <c r="M476" s="42">
        <v>0</v>
      </c>
      <c r="O476" s="42">
        <v>0</v>
      </c>
      <c r="Q476" s="42">
        <v>0</v>
      </c>
      <c r="S476" s="42">
        <v>0</v>
      </c>
      <c r="U476" s="42">
        <v>0</v>
      </c>
      <c r="W476" s="42">
        <v>0</v>
      </c>
      <c r="Y476" s="42">
        <v>0</v>
      </c>
      <c r="AA476" s="42">
        <v>0</v>
      </c>
      <c r="AC476" s="42">
        <v>0</v>
      </c>
      <c r="AE476" s="42">
        <v>0</v>
      </c>
      <c r="AG476" s="42">
        <v>0</v>
      </c>
      <c r="AI476" s="9" t="s">
        <v>820</v>
      </c>
      <c r="AJ476" s="9"/>
      <c r="AK476" s="9" t="s">
        <v>77</v>
      </c>
      <c r="AL476" s="9"/>
      <c r="AM476" s="42">
        <v>0</v>
      </c>
      <c r="AO476" s="42">
        <v>0</v>
      </c>
      <c r="AQ476" s="42">
        <v>0</v>
      </c>
      <c r="AS476" s="42">
        <v>0</v>
      </c>
      <c r="AW476" s="42">
        <v>0</v>
      </c>
      <c r="AY476" s="42">
        <f t="shared" si="50"/>
        <v>0</v>
      </c>
      <c r="BA476" s="42">
        <f>+'St of Act - GA Rev'!AI476-'St of Activities - GA Exp'!AY476</f>
        <v>0</v>
      </c>
      <c r="BC476" s="42">
        <v>0</v>
      </c>
      <c r="BE476" s="42">
        <f t="shared" si="49"/>
        <v>0</v>
      </c>
      <c r="BG476" s="42">
        <f>+'St of Net Pos - GA'!AE476-'St of Activities - GA Exp'!BE476</f>
        <v>0</v>
      </c>
    </row>
    <row r="477" spans="1:59" hidden="1">
      <c r="A477" s="9" t="s">
        <v>821</v>
      </c>
      <c r="B477" s="9"/>
      <c r="C477" s="9" t="s">
        <v>71</v>
      </c>
      <c r="D477" s="9"/>
      <c r="E477" s="23">
        <v>45591</v>
      </c>
      <c r="G477" s="42">
        <v>0</v>
      </c>
      <c r="I477" s="42">
        <v>0</v>
      </c>
      <c r="K477" s="42">
        <v>0</v>
      </c>
      <c r="M477" s="42">
        <v>0</v>
      </c>
      <c r="O477" s="42">
        <v>0</v>
      </c>
      <c r="Q477" s="42">
        <v>0</v>
      </c>
      <c r="S477" s="42">
        <v>0</v>
      </c>
      <c r="U477" s="42">
        <v>0</v>
      </c>
      <c r="W477" s="42">
        <v>0</v>
      </c>
      <c r="Y477" s="42">
        <v>0</v>
      </c>
      <c r="AA477" s="42">
        <v>0</v>
      </c>
      <c r="AC477" s="42">
        <v>0</v>
      </c>
      <c r="AE477" s="42">
        <v>0</v>
      </c>
      <c r="AG477" s="42">
        <v>0</v>
      </c>
      <c r="AI477" s="9" t="s">
        <v>821</v>
      </c>
      <c r="AJ477" s="9"/>
      <c r="AK477" s="9" t="s">
        <v>71</v>
      </c>
      <c r="AL477" s="9"/>
      <c r="AM477" s="42">
        <v>0</v>
      </c>
      <c r="AO477" s="42">
        <v>0</v>
      </c>
      <c r="AQ477" s="42">
        <v>0</v>
      </c>
      <c r="AS477" s="42">
        <v>0</v>
      </c>
      <c r="AW477" s="42">
        <v>0</v>
      </c>
      <c r="AY477" s="42">
        <f t="shared" si="50"/>
        <v>0</v>
      </c>
      <c r="BA477" s="42">
        <f>+'St of Act - GA Rev'!AI477-'St of Activities - GA Exp'!AY477</f>
        <v>0</v>
      </c>
      <c r="BC477" s="42">
        <v>0</v>
      </c>
      <c r="BE477" s="42">
        <f t="shared" si="49"/>
        <v>0</v>
      </c>
      <c r="BG477" s="42">
        <f>+'St of Net Pos - GA'!AE477-'St of Activities - GA Exp'!BE477</f>
        <v>0</v>
      </c>
    </row>
    <row r="478" spans="1:59">
      <c r="A478" s="9" t="s">
        <v>410</v>
      </c>
      <c r="B478" s="9"/>
      <c r="C478" s="9" t="s">
        <v>46</v>
      </c>
      <c r="D478" s="9"/>
      <c r="E478" s="23">
        <v>48447</v>
      </c>
      <c r="G478" s="42">
        <v>8871790</v>
      </c>
      <c r="I478" s="42">
        <v>1594423</v>
      </c>
      <c r="K478" s="42">
        <v>282167</v>
      </c>
      <c r="M478" s="42">
        <v>0</v>
      </c>
      <c r="O478" s="42">
        <v>0</v>
      </c>
      <c r="Q478" s="42">
        <v>469688</v>
      </c>
      <c r="S478" s="42">
        <v>1066185</v>
      </c>
      <c r="U478" s="42">
        <v>26741</v>
      </c>
      <c r="W478" s="42">
        <v>1449541</v>
      </c>
      <c r="Y478" s="42">
        <v>460510</v>
      </c>
      <c r="AA478" s="42">
        <v>26343</v>
      </c>
      <c r="AC478" s="42">
        <v>1329765</v>
      </c>
      <c r="AE478" s="42">
        <v>1148280</v>
      </c>
      <c r="AG478" s="42">
        <v>86575</v>
      </c>
      <c r="AI478" s="9" t="s">
        <v>410</v>
      </c>
      <c r="AJ478" s="9"/>
      <c r="AK478" s="9" t="s">
        <v>46</v>
      </c>
      <c r="AL478" s="9"/>
      <c r="AM478" s="42">
        <v>0</v>
      </c>
      <c r="AO478" s="42">
        <v>5679</v>
      </c>
      <c r="AQ478" s="42">
        <v>563280</v>
      </c>
      <c r="AS478" s="42">
        <v>749870</v>
      </c>
      <c r="AW478" s="42">
        <v>0</v>
      </c>
      <c r="AY478" s="42">
        <f t="shared" si="50"/>
        <v>18130837</v>
      </c>
      <c r="BA478" s="42">
        <f>+'St of Act - GA Rev'!AI478-'St of Activities - GA Exp'!AY478</f>
        <v>-439586</v>
      </c>
      <c r="BC478" s="42">
        <v>25468411</v>
      </c>
      <c r="BE478" s="42">
        <f t="shared" si="49"/>
        <v>25028825</v>
      </c>
      <c r="BG478" s="42">
        <f>+'St of Net Pos - GA'!AE478-'St of Activities - GA Exp'!BE478</f>
        <v>0</v>
      </c>
    </row>
    <row r="479" spans="1:59">
      <c r="A479" s="9" t="s">
        <v>253</v>
      </c>
      <c r="B479" s="9"/>
      <c r="C479" s="9" t="s">
        <v>19</v>
      </c>
      <c r="D479" s="9"/>
      <c r="E479" s="23">
        <v>46482</v>
      </c>
      <c r="G479" s="42">
        <v>9917383</v>
      </c>
      <c r="I479" s="42">
        <v>2684812</v>
      </c>
      <c r="K479" s="42">
        <v>406870</v>
      </c>
      <c r="M479" s="42">
        <v>0</v>
      </c>
      <c r="O479" s="42">
        <v>0</v>
      </c>
      <c r="Q479" s="42">
        <v>905154</v>
      </c>
      <c r="S479" s="42">
        <v>1836729</v>
      </c>
      <c r="U479" s="42">
        <v>148388</v>
      </c>
      <c r="W479" s="42">
        <v>1585077</v>
      </c>
      <c r="Y479" s="42">
        <v>615108</v>
      </c>
      <c r="AA479" s="42">
        <v>0</v>
      </c>
      <c r="AC479" s="42">
        <v>2009830</v>
      </c>
      <c r="AE479" s="42">
        <v>1761975</v>
      </c>
      <c r="AG479" s="42">
        <v>405357</v>
      </c>
      <c r="AI479" s="9" t="s">
        <v>253</v>
      </c>
      <c r="AJ479" s="9"/>
      <c r="AK479" s="9" t="s">
        <v>19</v>
      </c>
      <c r="AL479" s="9"/>
      <c r="AM479" s="42">
        <v>977774</v>
      </c>
      <c r="AO479" s="42">
        <v>41287</v>
      </c>
      <c r="AQ479" s="42">
        <v>393073</v>
      </c>
      <c r="AS479" s="42">
        <v>50769</v>
      </c>
      <c r="AW479" s="42">
        <v>0</v>
      </c>
      <c r="AY479" s="42">
        <f t="shared" si="50"/>
        <v>23739586</v>
      </c>
      <c r="BA479" s="42">
        <f>+'St of Act - GA Rev'!AI479-'St of Activities - GA Exp'!AY479</f>
        <v>-336823</v>
      </c>
      <c r="BC479" s="42">
        <v>13495397</v>
      </c>
      <c r="BE479" s="42">
        <f t="shared" si="49"/>
        <v>13158574</v>
      </c>
      <c r="BG479" s="42">
        <f>+'St of Net Pos - GA'!AE479-'St of Activities - GA Exp'!BE479</f>
        <v>0</v>
      </c>
    </row>
    <row r="480" spans="1:59" hidden="1">
      <c r="A480" s="9" t="s">
        <v>822</v>
      </c>
      <c r="B480" s="9"/>
      <c r="C480" s="9" t="s">
        <v>337</v>
      </c>
      <c r="D480" s="9"/>
      <c r="E480" s="23">
        <v>47514</v>
      </c>
      <c r="G480" s="42">
        <v>0</v>
      </c>
      <c r="I480" s="42">
        <v>0</v>
      </c>
      <c r="K480" s="42">
        <v>0</v>
      </c>
      <c r="M480" s="42">
        <v>0</v>
      </c>
      <c r="O480" s="42">
        <v>0</v>
      </c>
      <c r="Q480" s="42">
        <v>0</v>
      </c>
      <c r="S480" s="42">
        <v>0</v>
      </c>
      <c r="U480" s="42">
        <v>0</v>
      </c>
      <c r="W480" s="42">
        <v>0</v>
      </c>
      <c r="Y480" s="42">
        <v>0</v>
      </c>
      <c r="AA480" s="42">
        <v>0</v>
      </c>
      <c r="AC480" s="42">
        <v>0</v>
      </c>
      <c r="AE480" s="42">
        <v>0</v>
      </c>
      <c r="AG480" s="42">
        <v>0</v>
      </c>
      <c r="AI480" s="9" t="s">
        <v>822</v>
      </c>
      <c r="AJ480" s="9"/>
      <c r="AK480" s="9" t="s">
        <v>337</v>
      </c>
      <c r="AL480" s="9"/>
      <c r="AM480" s="42">
        <v>0</v>
      </c>
      <c r="AO480" s="42">
        <v>0</v>
      </c>
      <c r="AQ480" s="42">
        <v>0</v>
      </c>
      <c r="AS480" s="42">
        <v>0</v>
      </c>
      <c r="AW480" s="42">
        <v>0</v>
      </c>
      <c r="AY480" s="42">
        <f t="shared" si="50"/>
        <v>0</v>
      </c>
      <c r="BA480" s="42">
        <f>+'St of Act - GA Rev'!AI480-'St of Activities - GA Exp'!AY480</f>
        <v>0</v>
      </c>
      <c r="BC480" s="42">
        <v>0</v>
      </c>
      <c r="BE480" s="42">
        <f t="shared" si="49"/>
        <v>0</v>
      </c>
      <c r="BG480" s="42">
        <f>+'St of Net Pos - GA'!AE480-'St of Activities - GA Exp'!BE480</f>
        <v>0</v>
      </c>
    </row>
    <row r="481" spans="1:59">
      <c r="A481" s="9" t="s">
        <v>377</v>
      </c>
      <c r="B481" s="9"/>
      <c r="C481" s="9" t="s">
        <v>41</v>
      </c>
      <c r="D481" s="9"/>
      <c r="E481" s="23">
        <v>47894</v>
      </c>
      <c r="G481" s="42">
        <v>19904077</v>
      </c>
      <c r="I481" s="42">
        <v>4079945</v>
      </c>
      <c r="K481" s="42">
        <v>0</v>
      </c>
      <c r="M481" s="42">
        <v>0</v>
      </c>
      <c r="O481" s="42">
        <v>5937</v>
      </c>
      <c r="Q481" s="42">
        <v>1979909</v>
      </c>
      <c r="S481" s="42">
        <v>1371855</v>
      </c>
      <c r="U481" s="42">
        <v>36996</v>
      </c>
      <c r="W481" s="42">
        <v>4276847</v>
      </c>
      <c r="Y481" s="42">
        <v>1053676</v>
      </c>
      <c r="AA481" s="42">
        <v>0</v>
      </c>
      <c r="AC481" s="42">
        <v>3296717</v>
      </c>
      <c r="AE481" s="42">
        <v>3649926</v>
      </c>
      <c r="AG481" s="42">
        <v>61762</v>
      </c>
      <c r="AI481" s="9" t="s">
        <v>377</v>
      </c>
      <c r="AJ481" s="9"/>
      <c r="AK481" s="9" t="s">
        <v>41</v>
      </c>
      <c r="AL481" s="9"/>
      <c r="AM481" s="42">
        <v>56848</v>
      </c>
      <c r="AO481" s="42">
        <v>33507</v>
      </c>
      <c r="AQ481" s="42">
        <v>776905</v>
      </c>
      <c r="AS481" s="42">
        <v>124049</v>
      </c>
      <c r="AW481" s="42">
        <v>0</v>
      </c>
      <c r="AY481" s="42">
        <f t="shared" si="50"/>
        <v>40708956</v>
      </c>
      <c r="BA481" s="42">
        <f>+'St of Act - GA Rev'!AI481-'St of Activities - GA Exp'!AY481</f>
        <v>3600027</v>
      </c>
      <c r="BC481" s="42">
        <v>14081842</v>
      </c>
      <c r="BE481" s="42">
        <f t="shared" si="49"/>
        <v>17681869</v>
      </c>
      <c r="BG481" s="42">
        <f>+'St of Net Pos - GA'!AE481-'St of Activities - GA Exp'!BE481</f>
        <v>0</v>
      </c>
    </row>
    <row r="482" spans="1:59">
      <c r="A482" s="9" t="s">
        <v>377</v>
      </c>
      <c r="B482" s="9"/>
      <c r="C482" s="9" t="s">
        <v>43</v>
      </c>
      <c r="D482" s="9"/>
      <c r="E482" s="23">
        <v>48090</v>
      </c>
      <c r="G482" s="42">
        <v>3579017</v>
      </c>
      <c r="I482" s="42">
        <v>1137781</v>
      </c>
      <c r="K482" s="42">
        <v>154229</v>
      </c>
      <c r="M482" s="42">
        <v>0</v>
      </c>
      <c r="O482" s="42">
        <v>0</v>
      </c>
      <c r="Q482" s="42">
        <v>192056</v>
      </c>
      <c r="S482" s="42">
        <v>237428</v>
      </c>
      <c r="U482" s="42">
        <v>14311</v>
      </c>
      <c r="W482" s="42">
        <v>443425</v>
      </c>
      <c r="Y482" s="42">
        <v>282261</v>
      </c>
      <c r="AA482" s="42">
        <v>1280</v>
      </c>
      <c r="AC482" s="42">
        <v>809287</v>
      </c>
      <c r="AE482" s="42">
        <v>437979</v>
      </c>
      <c r="AG482" s="42">
        <v>0</v>
      </c>
      <c r="AI482" s="9" t="s">
        <v>377</v>
      </c>
      <c r="AJ482" s="9"/>
      <c r="AK482" s="9" t="s">
        <v>43</v>
      </c>
      <c r="AL482" s="9"/>
      <c r="AM482" s="42">
        <v>395798</v>
      </c>
      <c r="AO482" s="42">
        <v>500</v>
      </c>
      <c r="AQ482" s="42">
        <v>253278</v>
      </c>
      <c r="AS482" s="42">
        <v>146893</v>
      </c>
      <c r="AW482" s="42">
        <v>0</v>
      </c>
      <c r="AY482" s="42">
        <f t="shared" si="50"/>
        <v>8085523</v>
      </c>
      <c r="BA482" s="42">
        <f>+'St of Act - GA Rev'!AI482-'St of Activities - GA Exp'!AY482</f>
        <v>548164</v>
      </c>
      <c r="BC482" s="42">
        <v>9967878</v>
      </c>
      <c r="BE482" s="42">
        <f t="shared" si="49"/>
        <v>10516042</v>
      </c>
      <c r="BG482" s="42">
        <f>+'St of Net Pos - GA'!AE482-'St of Activities - GA Exp'!BE482</f>
        <v>0</v>
      </c>
    </row>
    <row r="483" spans="1:59">
      <c r="A483" s="9" t="s">
        <v>368</v>
      </c>
      <c r="B483" s="9"/>
      <c r="C483" s="9" t="s">
        <v>364</v>
      </c>
      <c r="D483" s="9"/>
      <c r="E483" s="23">
        <v>47944</v>
      </c>
      <c r="G483" s="42">
        <v>7480596</v>
      </c>
      <c r="I483" s="42">
        <v>2644521</v>
      </c>
      <c r="K483" s="42">
        <v>241665</v>
      </c>
      <c r="M483" s="42">
        <v>0</v>
      </c>
      <c r="O483" s="42">
        <v>1846296</v>
      </c>
      <c r="Q483" s="42">
        <v>850066</v>
      </c>
      <c r="S483" s="42">
        <v>475482</v>
      </c>
      <c r="U483" s="42">
        <v>358646</v>
      </c>
      <c r="W483" s="42">
        <v>1288464</v>
      </c>
      <c r="Y483" s="42">
        <v>377023</v>
      </c>
      <c r="AA483" s="42">
        <v>0</v>
      </c>
      <c r="AC483" s="42">
        <v>2073295</v>
      </c>
      <c r="AE483" s="42">
        <v>1428816</v>
      </c>
      <c r="AG483" s="42">
        <v>132690</v>
      </c>
      <c r="AI483" s="9" t="s">
        <v>368</v>
      </c>
      <c r="AJ483" s="9"/>
      <c r="AK483" s="9" t="s">
        <v>364</v>
      </c>
      <c r="AL483" s="9"/>
      <c r="AM483" s="42">
        <v>0</v>
      </c>
      <c r="AO483" s="42">
        <v>961187</v>
      </c>
      <c r="AQ483" s="42">
        <v>610167</v>
      </c>
      <c r="AS483" s="42">
        <v>80723</v>
      </c>
      <c r="AW483" s="42">
        <v>0</v>
      </c>
      <c r="AY483" s="42">
        <f t="shared" si="50"/>
        <v>20849637</v>
      </c>
      <c r="BA483" s="42">
        <f>+'St of Act - GA Rev'!AI483-'St of Activities - GA Exp'!AY483</f>
        <v>-1023051</v>
      </c>
      <c r="BC483" s="42">
        <v>39313145</v>
      </c>
      <c r="BE483" s="42">
        <f t="shared" si="49"/>
        <v>38290094</v>
      </c>
      <c r="BG483" s="42">
        <f>+'St of Net Pos - GA'!AE483-'St of Activities - GA Exp'!BE483</f>
        <v>0</v>
      </c>
    </row>
    <row r="484" spans="1:59" ht="12" customHeight="1">
      <c r="A484" s="9" t="s">
        <v>707</v>
      </c>
      <c r="B484" s="9"/>
      <c r="C484" s="9" t="s">
        <v>20</v>
      </c>
      <c r="D484" s="9"/>
      <c r="E484" s="23">
        <v>44701</v>
      </c>
      <c r="G484" s="42">
        <v>15121224</v>
      </c>
      <c r="I484" s="42">
        <v>4568551</v>
      </c>
      <c r="K484" s="42">
        <v>533005</v>
      </c>
      <c r="M484" s="42">
        <v>0</v>
      </c>
      <c r="O484" s="42">
        <v>40913</v>
      </c>
      <c r="Q484" s="42">
        <v>2180328</v>
      </c>
      <c r="S484" s="42">
        <v>1483784</v>
      </c>
      <c r="U484" s="42">
        <v>33324</v>
      </c>
      <c r="W484" s="42">
        <v>2006251</v>
      </c>
      <c r="Y484" s="42">
        <v>1019454</v>
      </c>
      <c r="AA484" s="42">
        <v>607480</v>
      </c>
      <c r="AC484" s="42">
        <v>3882725</v>
      </c>
      <c r="AE484" s="42">
        <v>1840784</v>
      </c>
      <c r="AG484" s="42">
        <v>922905</v>
      </c>
      <c r="AI484" s="9" t="s">
        <v>707</v>
      </c>
      <c r="AJ484" s="9"/>
      <c r="AK484" s="9" t="s">
        <v>20</v>
      </c>
      <c r="AL484" s="9"/>
      <c r="AM484" s="42">
        <v>453326</v>
      </c>
      <c r="AO484" s="42">
        <v>1655764</v>
      </c>
      <c r="AQ484" s="42">
        <v>1608326</v>
      </c>
      <c r="AS484" s="42">
        <v>2932133</v>
      </c>
      <c r="AW484" s="42">
        <v>0</v>
      </c>
      <c r="AY484" s="42">
        <f t="shared" si="50"/>
        <v>40890277</v>
      </c>
      <c r="BA484" s="42">
        <f>+'St of Act - GA Rev'!AI484-'St of Activities - GA Exp'!AY484</f>
        <v>1146580</v>
      </c>
      <c r="BC484" s="42">
        <v>11963865</v>
      </c>
      <c r="BE484" s="42">
        <f t="shared" si="49"/>
        <v>13110445</v>
      </c>
      <c r="BG484" s="42">
        <f>+'St of Net Pos - GA'!AE484-'St of Activities - GA Exp'!BE484</f>
        <v>0</v>
      </c>
    </row>
    <row r="485" spans="1:59" ht="12" customHeight="1">
      <c r="A485" s="9" t="s">
        <v>319</v>
      </c>
      <c r="B485" s="9"/>
      <c r="C485" s="9" t="s">
        <v>31</v>
      </c>
      <c r="D485" s="9"/>
      <c r="E485" s="23">
        <v>47308</v>
      </c>
      <c r="G485" s="42">
        <v>7872080</v>
      </c>
      <c r="I485" s="42">
        <v>2346269</v>
      </c>
      <c r="K485" s="42">
        <v>219018</v>
      </c>
      <c r="M485" s="42">
        <v>0</v>
      </c>
      <c r="O485" s="42">
        <v>1461856</v>
      </c>
      <c r="Q485" s="42">
        <v>536739</v>
      </c>
      <c r="S485" s="42">
        <v>1190313</v>
      </c>
      <c r="U485" s="42">
        <v>27683</v>
      </c>
      <c r="W485" s="42">
        <v>1516380</v>
      </c>
      <c r="Y485" s="42">
        <v>624905</v>
      </c>
      <c r="AA485" s="42">
        <v>0</v>
      </c>
      <c r="AC485" s="42">
        <v>1597033</v>
      </c>
      <c r="AE485" s="42">
        <v>900883</v>
      </c>
      <c r="AG485" s="42">
        <v>90156</v>
      </c>
      <c r="AI485" s="9" t="s">
        <v>319</v>
      </c>
      <c r="AJ485" s="9"/>
      <c r="AK485" s="9" t="s">
        <v>31</v>
      </c>
      <c r="AL485" s="9"/>
      <c r="AM485" s="42">
        <v>996873</v>
      </c>
      <c r="AO485" s="42">
        <v>25715</v>
      </c>
      <c r="AQ485" s="42">
        <v>429348</v>
      </c>
      <c r="AS485" s="42">
        <v>51067</v>
      </c>
      <c r="AW485" s="42">
        <v>0</v>
      </c>
      <c r="AY485" s="42">
        <f t="shared" si="50"/>
        <v>19886318</v>
      </c>
      <c r="BA485" s="42">
        <f>+'St of Act - GA Rev'!AI485-'St of Activities - GA Exp'!AY485</f>
        <v>633716</v>
      </c>
      <c r="BC485" s="42">
        <v>17194981</v>
      </c>
      <c r="BE485" s="42">
        <f t="shared" si="49"/>
        <v>17828697</v>
      </c>
      <c r="BG485" s="42">
        <f>+'St of Net Pos - GA'!AE485-'St of Activities - GA Exp'!BE485</f>
        <v>0</v>
      </c>
    </row>
    <row r="486" spans="1:59" ht="12" customHeight="1">
      <c r="A486" s="9" t="s">
        <v>459</v>
      </c>
      <c r="B486" s="9"/>
      <c r="C486" s="9" t="s">
        <v>56</v>
      </c>
      <c r="D486" s="9"/>
      <c r="E486" s="23">
        <v>49213</v>
      </c>
      <c r="G486" s="42">
        <v>4920309</v>
      </c>
      <c r="I486" s="42">
        <v>1274940</v>
      </c>
      <c r="K486" s="42">
        <v>192996</v>
      </c>
      <c r="M486" s="42">
        <v>0</v>
      </c>
      <c r="O486" s="42">
        <f>219+811301</f>
        <v>811520</v>
      </c>
      <c r="Q486" s="42">
        <v>574492</v>
      </c>
      <c r="S486" s="42">
        <v>440659</v>
      </c>
      <c r="U486" s="42">
        <v>25569</v>
      </c>
      <c r="W486" s="42">
        <v>859201</v>
      </c>
      <c r="Y486" s="42">
        <v>416485</v>
      </c>
      <c r="AA486" s="42">
        <v>8650</v>
      </c>
      <c r="AC486" s="42">
        <v>1003042</v>
      </c>
      <c r="AE486" s="42">
        <v>820388</v>
      </c>
      <c r="AG486" s="42">
        <v>4762</v>
      </c>
      <c r="AI486" s="9" t="s">
        <v>459</v>
      </c>
      <c r="AJ486" s="9"/>
      <c r="AK486" s="9" t="s">
        <v>56</v>
      </c>
      <c r="AL486" s="9"/>
      <c r="AM486" s="42">
        <v>327770</v>
      </c>
      <c r="AO486" s="42">
        <v>13865</v>
      </c>
      <c r="AQ486" s="42">
        <v>370756</v>
      </c>
      <c r="AS486" s="42">
        <v>6235</v>
      </c>
      <c r="AW486" s="42">
        <v>0</v>
      </c>
      <c r="AY486" s="42">
        <f t="shared" si="50"/>
        <v>12071639</v>
      </c>
      <c r="BA486" s="42">
        <f>+'St of Act - GA Rev'!AI486-'St of Activities - GA Exp'!AY486</f>
        <v>-53072</v>
      </c>
      <c r="BC486" s="42">
        <v>4513880</v>
      </c>
      <c r="BE486" s="42">
        <f t="shared" si="49"/>
        <v>4460808</v>
      </c>
      <c r="BG486" s="42">
        <f>+'St of Net Pos - GA'!AE486-'St of Activities - GA Exp'!BE486</f>
        <v>0</v>
      </c>
    </row>
    <row r="487" spans="1:59" ht="12" customHeight="1">
      <c r="A487" s="9" t="s">
        <v>708</v>
      </c>
      <c r="B487" s="9"/>
      <c r="C487" s="9" t="s">
        <v>220</v>
      </c>
      <c r="D487" s="9"/>
      <c r="E487" s="23">
        <v>46144</v>
      </c>
      <c r="G487" s="42">
        <v>12166170</v>
      </c>
      <c r="I487" s="42">
        <v>1604276</v>
      </c>
      <c r="K487" s="42">
        <v>0</v>
      </c>
      <c r="M487" s="42">
        <v>0</v>
      </c>
      <c r="O487" s="42">
        <v>873337</v>
      </c>
      <c r="Q487" s="42">
        <v>807496</v>
      </c>
      <c r="S487" s="42">
        <v>1476961</v>
      </c>
      <c r="U487" s="42">
        <v>30201</v>
      </c>
      <c r="W487" s="42">
        <v>1991135</v>
      </c>
      <c r="Y487" s="42">
        <v>655656</v>
      </c>
      <c r="AA487" s="42">
        <v>0</v>
      </c>
      <c r="AC487" s="42">
        <v>5175986</v>
      </c>
      <c r="AE487" s="42">
        <v>1569821</v>
      </c>
      <c r="AG487" s="42">
        <v>7482</v>
      </c>
      <c r="AI487" s="9" t="s">
        <v>708</v>
      </c>
      <c r="AJ487" s="9"/>
      <c r="AK487" s="9" t="s">
        <v>220</v>
      </c>
      <c r="AL487" s="9"/>
      <c r="AM487" s="42">
        <v>1120487</v>
      </c>
      <c r="AO487" s="42">
        <v>161704</v>
      </c>
      <c r="AQ487" s="42">
        <v>951709</v>
      </c>
      <c r="AS487" s="42">
        <v>726206</v>
      </c>
      <c r="AW487" s="42">
        <v>0</v>
      </c>
      <c r="AY487" s="42">
        <f t="shared" si="50"/>
        <v>29318627</v>
      </c>
      <c r="BA487" s="42">
        <f>+'St of Act - GA Rev'!AI487-'St of Activities - GA Exp'!AY487</f>
        <v>-1098211</v>
      </c>
      <c r="BC487" s="42">
        <v>44456433</v>
      </c>
      <c r="BE487" s="42">
        <f t="shared" si="49"/>
        <v>43358222</v>
      </c>
      <c r="BG487" s="42">
        <f>+'St of Net Pos - GA'!AE487-'St of Activities - GA Exp'!BE487</f>
        <v>0</v>
      </c>
    </row>
    <row r="488" spans="1:59" ht="12" customHeight="1">
      <c r="A488" s="9" t="s">
        <v>771</v>
      </c>
      <c r="B488" s="9"/>
      <c r="C488" s="9" t="s">
        <v>72</v>
      </c>
      <c r="D488" s="9"/>
      <c r="E488" s="23">
        <v>45609</v>
      </c>
      <c r="G488" s="42">
        <v>11403422</v>
      </c>
      <c r="I488" s="42">
        <v>2213166</v>
      </c>
      <c r="K488" s="42">
        <v>216121</v>
      </c>
      <c r="M488" s="42">
        <v>21908</v>
      </c>
      <c r="O488" s="42">
        <v>0</v>
      </c>
      <c r="Q488" s="42">
        <v>1966170</v>
      </c>
      <c r="S488" s="42">
        <v>1526096</v>
      </c>
      <c r="U488" s="42">
        <v>220915</v>
      </c>
      <c r="W488" s="42">
        <v>2048654</v>
      </c>
      <c r="Y488" s="42">
        <v>473864</v>
      </c>
      <c r="AA488" s="42">
        <v>124140</v>
      </c>
      <c r="AC488" s="42">
        <v>2317416</v>
      </c>
      <c r="AE488" s="42">
        <v>960325</v>
      </c>
      <c r="AG488" s="42">
        <v>532577</v>
      </c>
      <c r="AI488" s="9" t="s">
        <v>771</v>
      </c>
      <c r="AJ488" s="9"/>
      <c r="AK488" s="9" t="s">
        <v>72</v>
      </c>
      <c r="AL488" s="9"/>
      <c r="AM488" s="42">
        <v>0</v>
      </c>
      <c r="AO488" s="42">
        <v>1007026</v>
      </c>
      <c r="AQ488" s="42">
        <v>993542</v>
      </c>
      <c r="AS488" s="42">
        <v>0</v>
      </c>
      <c r="AW488" s="42">
        <v>0</v>
      </c>
      <c r="AY488" s="42">
        <f t="shared" si="50"/>
        <v>26025342</v>
      </c>
      <c r="BA488" s="42">
        <f>+'St of Act - GA Rev'!AI488-'St of Activities - GA Exp'!AY488</f>
        <v>-177375</v>
      </c>
      <c r="BC488" s="42">
        <v>17280002</v>
      </c>
      <c r="BE488" s="42">
        <f t="shared" si="49"/>
        <v>17102627</v>
      </c>
      <c r="BG488" s="42">
        <f>+'St of Net Pos - GA'!AE488-'St of Activities - GA Exp'!BE488</f>
        <v>0</v>
      </c>
    </row>
    <row r="489" spans="1:59" ht="12" customHeight="1">
      <c r="A489" s="9" t="s">
        <v>488</v>
      </c>
      <c r="B489" s="9"/>
      <c r="C489" s="9" t="s">
        <v>61</v>
      </c>
      <c r="D489" s="9"/>
      <c r="E489" s="23">
        <v>49817</v>
      </c>
      <c r="G489" s="42">
        <v>2173630</v>
      </c>
      <c r="I489" s="42">
        <v>415396</v>
      </c>
      <c r="K489" s="42">
        <v>0</v>
      </c>
      <c r="M489" s="42">
        <v>0</v>
      </c>
      <c r="O489" s="42">
        <v>5712</v>
      </c>
      <c r="Q489" s="42">
        <v>73895</v>
      </c>
      <c r="S489" s="42">
        <v>72874</v>
      </c>
      <c r="U489" s="42">
        <v>6493</v>
      </c>
      <c r="W489" s="42">
        <v>351987</v>
      </c>
      <c r="Y489" s="42">
        <v>172717</v>
      </c>
      <c r="AA489" s="42">
        <v>473</v>
      </c>
      <c r="AC489" s="42">
        <v>363759</v>
      </c>
      <c r="AE489" s="42">
        <v>172430</v>
      </c>
      <c r="AG489" s="42">
        <v>121307</v>
      </c>
      <c r="AI489" s="9" t="s">
        <v>488</v>
      </c>
      <c r="AJ489" s="9"/>
      <c r="AK489" s="9" t="s">
        <v>61</v>
      </c>
      <c r="AL489" s="9"/>
      <c r="AM489" s="42">
        <v>0</v>
      </c>
      <c r="AO489" s="42">
        <v>172943</v>
      </c>
      <c r="AQ489" s="42">
        <v>179480</v>
      </c>
      <c r="AS489" s="42">
        <v>227673</v>
      </c>
      <c r="AW489" s="42">
        <v>177873</v>
      </c>
      <c r="AY489" s="42">
        <f t="shared" si="50"/>
        <v>4688642</v>
      </c>
      <c r="BA489" s="42">
        <f>+'St of Act - GA Rev'!AI489-'St of Activities - GA Exp'!AY489</f>
        <v>306480</v>
      </c>
      <c r="BC489" s="42">
        <v>8717474</v>
      </c>
      <c r="BE489" s="42">
        <f t="shared" si="49"/>
        <v>9023954</v>
      </c>
      <c r="BG489" s="42">
        <f>+'St of Net Pos - GA'!AE489-'St of Activities - GA Exp'!BE489</f>
        <v>0</v>
      </c>
    </row>
    <row r="490" spans="1:59">
      <c r="A490" s="9" t="s">
        <v>602</v>
      </c>
      <c r="B490" s="9"/>
      <c r="C490" s="9" t="s">
        <v>111</v>
      </c>
      <c r="D490" s="9"/>
      <c r="E490" s="23">
        <v>44735</v>
      </c>
      <c r="G490" s="42">
        <v>8261486</v>
      </c>
      <c r="I490" s="42">
        <v>2915000</v>
      </c>
      <c r="K490" s="42">
        <v>235721</v>
      </c>
      <c r="M490" s="42">
        <v>628453</v>
      </c>
      <c r="O490" s="42">
        <v>1656273</v>
      </c>
      <c r="Q490" s="42">
        <v>1008195</v>
      </c>
      <c r="S490" s="42">
        <v>562837</v>
      </c>
      <c r="U490" s="42">
        <v>29811</v>
      </c>
      <c r="W490" s="42">
        <v>1915058</v>
      </c>
      <c r="Y490" s="42">
        <v>598442</v>
      </c>
      <c r="AA490" s="42">
        <v>7409</v>
      </c>
      <c r="AC490" s="42">
        <v>1683968</v>
      </c>
      <c r="AE490" s="42">
        <v>862843</v>
      </c>
      <c r="AG490" s="42">
        <v>150496</v>
      </c>
      <c r="AI490" s="9" t="s">
        <v>602</v>
      </c>
      <c r="AJ490" s="9"/>
      <c r="AK490" s="9" t="s">
        <v>111</v>
      </c>
      <c r="AL490" s="9"/>
      <c r="AM490" s="42">
        <v>704899</v>
      </c>
      <c r="AO490" s="42">
        <v>128757</v>
      </c>
      <c r="AQ490" s="42">
        <v>794842</v>
      </c>
      <c r="AS490" s="42">
        <v>92785</v>
      </c>
      <c r="AW490" s="42">
        <v>0</v>
      </c>
      <c r="AY490" s="42">
        <f t="shared" si="50"/>
        <v>22237275</v>
      </c>
      <c r="BA490" s="42">
        <f>+'St of Act - GA Rev'!AI490-'St of Activities - GA Exp'!AY490</f>
        <v>465096</v>
      </c>
      <c r="BC490" s="42">
        <v>6470600</v>
      </c>
      <c r="BE490" s="42">
        <f t="shared" si="49"/>
        <v>6935696</v>
      </c>
      <c r="BG490" s="42">
        <f>+'St of Net Pos - GA'!AE490-'St of Activities - GA Exp'!BE490</f>
        <v>0</v>
      </c>
    </row>
    <row r="491" spans="1:59">
      <c r="A491" s="9" t="s">
        <v>288</v>
      </c>
      <c r="B491" s="9"/>
      <c r="C491" s="9" t="s">
        <v>24</v>
      </c>
      <c r="D491" s="9"/>
      <c r="E491" s="23">
        <v>44743</v>
      </c>
      <c r="G491" s="42">
        <v>20721772</v>
      </c>
      <c r="I491" s="42">
        <v>6998887</v>
      </c>
      <c r="K491" s="42">
        <v>1292533</v>
      </c>
      <c r="M491" s="42">
        <v>894963</v>
      </c>
      <c r="O491" s="42">
        <v>447536</v>
      </c>
      <c r="Q491" s="42">
        <v>1964202</v>
      </c>
      <c r="S491" s="42">
        <v>2762425</v>
      </c>
      <c r="U491" s="42">
        <v>0</v>
      </c>
      <c r="W491" s="42">
        <f>162727+2621850</f>
        <v>2784577</v>
      </c>
      <c r="Y491" s="42">
        <v>757378</v>
      </c>
      <c r="AA491" s="42">
        <v>131172</v>
      </c>
      <c r="AC491" s="42">
        <v>2590459</v>
      </c>
      <c r="AE491" s="42">
        <v>1362330</v>
      </c>
      <c r="AG491" s="42">
        <v>806153</v>
      </c>
      <c r="AI491" s="9" t="s">
        <v>288</v>
      </c>
      <c r="AJ491" s="9"/>
      <c r="AK491" s="9" t="s">
        <v>24</v>
      </c>
      <c r="AL491" s="9"/>
      <c r="AM491" s="42">
        <v>0</v>
      </c>
      <c r="AO491" s="42">
        <v>2732734</v>
      </c>
      <c r="AQ491" s="42">
        <v>974228</v>
      </c>
      <c r="AS491" s="42">
        <v>69213</v>
      </c>
      <c r="AW491" s="42">
        <v>0</v>
      </c>
      <c r="AY491" s="42">
        <f t="shared" si="50"/>
        <v>47290562</v>
      </c>
      <c r="BA491" s="42">
        <f>+'St of Act - GA Rev'!AI491-'St of Activities - GA Exp'!AY491</f>
        <v>1198999</v>
      </c>
      <c r="BC491" s="42">
        <v>9545218</v>
      </c>
      <c r="BE491" s="42">
        <f t="shared" si="49"/>
        <v>10744217</v>
      </c>
      <c r="BG491" s="42">
        <f>+'St of Net Pos - GA'!AE491-'St of Activities - GA Exp'!BE491</f>
        <v>0</v>
      </c>
    </row>
    <row r="492" spans="1:59">
      <c r="A492" s="9" t="s">
        <v>500</v>
      </c>
      <c r="B492" s="9"/>
      <c r="C492" s="9" t="s">
        <v>62</v>
      </c>
      <c r="D492" s="9"/>
      <c r="E492" s="23">
        <v>49940</v>
      </c>
      <c r="G492" s="42">
        <v>5668630</v>
      </c>
      <c r="I492" s="42">
        <v>2139805</v>
      </c>
      <c r="K492" s="42">
        <v>610498</v>
      </c>
      <c r="M492" s="42">
        <v>0</v>
      </c>
      <c r="O492" s="42">
        <v>608341</v>
      </c>
      <c r="Q492" s="42">
        <v>1004256</v>
      </c>
      <c r="S492" s="42">
        <v>216689</v>
      </c>
      <c r="U492" s="42">
        <v>14678</v>
      </c>
      <c r="W492" s="42">
        <v>1273552</v>
      </c>
      <c r="Y492" s="42">
        <v>410790</v>
      </c>
      <c r="AA492" s="42">
        <v>77817</v>
      </c>
      <c r="AC492" s="42">
        <v>1229165</v>
      </c>
      <c r="AE492" s="42">
        <v>1086078</v>
      </c>
      <c r="AG492" s="42">
        <v>7997</v>
      </c>
      <c r="AI492" s="9" t="s">
        <v>500</v>
      </c>
      <c r="AJ492" s="9"/>
      <c r="AK492" s="9" t="s">
        <v>62</v>
      </c>
      <c r="AL492" s="9"/>
      <c r="AM492" s="42">
        <v>802915</v>
      </c>
      <c r="AO492" s="42">
        <v>89578</v>
      </c>
      <c r="AQ492" s="42">
        <v>533742</v>
      </c>
      <c r="AS492" s="42">
        <v>617169</v>
      </c>
      <c r="AW492" s="42">
        <v>0</v>
      </c>
      <c r="AY492" s="42">
        <f t="shared" si="50"/>
        <v>16391700</v>
      </c>
      <c r="BA492" s="42">
        <f>+'St of Act - GA Rev'!AI492-'St of Activities - GA Exp'!AY492</f>
        <v>145630</v>
      </c>
      <c r="BC492" s="42">
        <v>29915020</v>
      </c>
      <c r="BE492" s="42">
        <f t="shared" si="49"/>
        <v>30060650</v>
      </c>
      <c r="BG492" s="42">
        <f>+'St of Net Pos - GA'!AE492-'St of Activities - GA Exp'!BE492</f>
        <v>0</v>
      </c>
    </row>
    <row r="493" spans="1:59">
      <c r="A493" s="9" t="s">
        <v>453</v>
      </c>
      <c r="B493" s="9"/>
      <c r="C493" s="9" t="s">
        <v>55</v>
      </c>
      <c r="D493" s="9"/>
      <c r="E493" s="23">
        <v>49130</v>
      </c>
      <c r="G493" s="42">
        <v>7086505</v>
      </c>
      <c r="I493" s="42">
        <v>1931486</v>
      </c>
      <c r="K493" s="42">
        <v>0</v>
      </c>
      <c r="M493" s="42">
        <v>0</v>
      </c>
      <c r="O493" s="42">
        <v>16113</v>
      </c>
      <c r="Q493" s="42">
        <v>725049</v>
      </c>
      <c r="S493" s="42">
        <v>841383</v>
      </c>
      <c r="U493" s="42">
        <v>14738</v>
      </c>
      <c r="W493" s="42">
        <v>2013079</v>
      </c>
      <c r="Y493" s="42">
        <v>368483</v>
      </c>
      <c r="AA493" s="42">
        <v>0</v>
      </c>
      <c r="AC493" s="42">
        <v>1586560</v>
      </c>
      <c r="AE493" s="42">
        <v>1123977</v>
      </c>
      <c r="AG493" s="42">
        <v>118727</v>
      </c>
      <c r="AI493" s="9" t="s">
        <v>453</v>
      </c>
      <c r="AJ493" s="9"/>
      <c r="AK493" s="9" t="s">
        <v>55</v>
      </c>
      <c r="AL493" s="9"/>
      <c r="AM493" s="42">
        <v>0</v>
      </c>
      <c r="AO493" s="42">
        <v>629501</v>
      </c>
      <c r="AQ493" s="42">
        <v>436017</v>
      </c>
      <c r="AS493" s="42">
        <v>57623</v>
      </c>
      <c r="AW493" s="42">
        <v>46766</v>
      </c>
      <c r="AY493" s="42">
        <f t="shared" si="50"/>
        <v>16996007</v>
      </c>
      <c r="BA493" s="42">
        <f>+'St of Act - GA Rev'!AI493-'St of Activities - GA Exp'!AY493</f>
        <v>-1091752</v>
      </c>
      <c r="BC493" s="42">
        <v>27723225</v>
      </c>
      <c r="BE493" s="42">
        <f t="shared" si="49"/>
        <v>26631473</v>
      </c>
      <c r="BG493" s="42">
        <f>+'St of Net Pos - GA'!AE493-'St of Activities - GA Exp'!BE493</f>
        <v>0</v>
      </c>
    </row>
    <row r="494" spans="1:59">
      <c r="A494" s="9" t="s">
        <v>402</v>
      </c>
      <c r="B494" s="9"/>
      <c r="C494" s="9" t="s">
        <v>45</v>
      </c>
      <c r="D494" s="9"/>
      <c r="E494" s="23">
        <v>48355</v>
      </c>
      <c r="G494" s="42">
        <v>2982911</v>
      </c>
      <c r="I494" s="42">
        <v>1900740</v>
      </c>
      <c r="K494" s="42">
        <v>4720</v>
      </c>
      <c r="M494" s="42">
        <v>0</v>
      </c>
      <c r="O494" s="42">
        <v>0</v>
      </c>
      <c r="Q494" s="42">
        <v>175589</v>
      </c>
      <c r="S494" s="42">
        <v>290471</v>
      </c>
      <c r="U494" s="42">
        <v>15451</v>
      </c>
      <c r="W494" s="42">
        <v>721101</v>
      </c>
      <c r="Y494" s="42">
        <v>264816</v>
      </c>
      <c r="AA494" s="42">
        <v>0</v>
      </c>
      <c r="AC494" s="42">
        <v>745941</v>
      </c>
      <c r="AE494" s="42">
        <v>208711</v>
      </c>
      <c r="AG494" s="42">
        <v>2215</v>
      </c>
      <c r="AI494" s="9" t="s">
        <v>402</v>
      </c>
      <c r="AJ494" s="9"/>
      <c r="AK494" s="9" t="s">
        <v>45</v>
      </c>
      <c r="AL494" s="9"/>
      <c r="AM494" s="42">
        <v>319695</v>
      </c>
      <c r="AO494" s="42">
        <v>0</v>
      </c>
      <c r="AQ494" s="42">
        <v>235039</v>
      </c>
      <c r="AS494" s="42">
        <v>41413</v>
      </c>
      <c r="AW494" s="42">
        <v>0</v>
      </c>
      <c r="AY494" s="42">
        <f t="shared" si="50"/>
        <v>7908813</v>
      </c>
      <c r="BA494" s="42">
        <f>+'St of Act - GA Rev'!AI494-'St of Activities - GA Exp'!AY494</f>
        <v>-770631</v>
      </c>
      <c r="BC494" s="42">
        <v>10013500</v>
      </c>
      <c r="BE494" s="42">
        <f t="shared" si="49"/>
        <v>9242869</v>
      </c>
      <c r="BG494" s="42">
        <f>+'St of Net Pos - GA'!AE494-'St of Activities - GA Exp'!BE494</f>
        <v>0</v>
      </c>
    </row>
    <row r="495" spans="1:59">
      <c r="A495" s="9" t="s">
        <v>484</v>
      </c>
      <c r="B495" s="9"/>
      <c r="C495" s="9" t="s">
        <v>60</v>
      </c>
      <c r="D495" s="9"/>
      <c r="E495" s="23">
        <v>49684</v>
      </c>
      <c r="G495" s="42">
        <v>4926245</v>
      </c>
      <c r="I495" s="42">
        <v>1301813</v>
      </c>
      <c r="K495" s="42">
        <v>215833</v>
      </c>
      <c r="M495" s="42">
        <v>0</v>
      </c>
      <c r="O495" s="42">
        <v>0</v>
      </c>
      <c r="Q495" s="42">
        <v>173546</v>
      </c>
      <c r="S495" s="42">
        <v>515333</v>
      </c>
      <c r="U495" s="42">
        <v>49659</v>
      </c>
      <c r="W495" s="42">
        <v>602578</v>
      </c>
      <c r="Y495" s="42">
        <v>337521</v>
      </c>
      <c r="AA495" s="42">
        <v>21728</v>
      </c>
      <c r="AC495" s="42">
        <v>831335</v>
      </c>
      <c r="AE495" s="42">
        <v>728720</v>
      </c>
      <c r="AG495" s="42">
        <v>30185</v>
      </c>
      <c r="AI495" s="9" t="s">
        <v>484</v>
      </c>
      <c r="AJ495" s="9"/>
      <c r="AK495" s="9" t="s">
        <v>60</v>
      </c>
      <c r="AL495" s="9"/>
      <c r="AM495" s="42">
        <v>488519</v>
      </c>
      <c r="AO495" s="42">
        <v>35059</v>
      </c>
      <c r="AQ495" s="42">
        <v>402613</v>
      </c>
      <c r="AS495" s="42">
        <v>498699</v>
      </c>
      <c r="AW495" s="42">
        <v>154523</v>
      </c>
      <c r="AY495" s="42">
        <f t="shared" si="50"/>
        <v>11313909</v>
      </c>
      <c r="BA495" s="42">
        <f>+'St of Act - GA Rev'!AI495-'St of Activities - GA Exp'!AY495</f>
        <v>-475945</v>
      </c>
      <c r="BC495" s="42">
        <v>21374885</v>
      </c>
      <c r="BE495" s="42">
        <f t="shared" si="49"/>
        <v>20898940</v>
      </c>
      <c r="BG495" s="42">
        <f>+'St of Net Pos - GA'!AE495-'St of Activities - GA Exp'!BE495</f>
        <v>0</v>
      </c>
    </row>
    <row r="496" spans="1:59">
      <c r="A496" s="9" t="s">
        <v>216</v>
      </c>
      <c r="B496" s="9"/>
      <c r="C496" s="9" t="s">
        <v>15</v>
      </c>
      <c r="D496" s="9"/>
      <c r="E496" s="23">
        <v>46003</v>
      </c>
      <c r="G496" s="42">
        <v>3513658</v>
      </c>
      <c r="I496" s="42">
        <v>843211</v>
      </c>
      <c r="K496" s="42">
        <v>11835</v>
      </c>
      <c r="M496" s="42">
        <v>0</v>
      </c>
      <c r="O496" s="42">
        <v>0</v>
      </c>
      <c r="Q496" s="42">
        <v>158664</v>
      </c>
      <c r="S496" s="42">
        <v>168912</v>
      </c>
      <c r="U496" s="42">
        <v>22973</v>
      </c>
      <c r="W496" s="42">
        <v>736578</v>
      </c>
      <c r="Y496" s="42">
        <v>296585</v>
      </c>
      <c r="AA496" s="42">
        <v>0</v>
      </c>
      <c r="AC496" s="42">
        <v>685775</v>
      </c>
      <c r="AE496" s="42">
        <v>256053</v>
      </c>
      <c r="AG496" s="42">
        <v>0</v>
      </c>
      <c r="AI496" s="9" t="s">
        <v>216</v>
      </c>
      <c r="AJ496" s="9"/>
      <c r="AK496" s="9" t="s">
        <v>15</v>
      </c>
      <c r="AL496" s="9"/>
      <c r="AM496" s="42">
        <v>142375</v>
      </c>
      <c r="AO496" s="42">
        <v>0</v>
      </c>
      <c r="AQ496" s="42">
        <v>275826</v>
      </c>
      <c r="AS496" s="42">
        <v>5117</v>
      </c>
      <c r="AW496" s="42">
        <v>0</v>
      </c>
      <c r="AY496" s="42">
        <f t="shared" ref="AY496:AY509" si="52">SUM(G496:AX496)</f>
        <v>7117562</v>
      </c>
      <c r="BA496" s="42">
        <f>+'St of Act - GA Rev'!AI496-'St of Activities - GA Exp'!AY496</f>
        <v>-491032</v>
      </c>
      <c r="BC496" s="42">
        <v>6042655</v>
      </c>
      <c r="BE496" s="42">
        <f t="shared" ref="BE496:BE509" si="53">+BA496+BC496</f>
        <v>5551623</v>
      </c>
      <c r="BG496" s="42">
        <f>+'St of Net Pos - GA'!AE496-'St of Activities - GA Exp'!BE496</f>
        <v>0</v>
      </c>
    </row>
    <row r="497" spans="1:59">
      <c r="A497" s="9" t="s">
        <v>709</v>
      </c>
      <c r="B497" s="9"/>
      <c r="C497" s="9" t="s">
        <v>20</v>
      </c>
      <c r="D497" s="9"/>
      <c r="E497" s="23">
        <v>44750</v>
      </c>
      <c r="G497" s="42">
        <v>34461051</v>
      </c>
      <c r="I497" s="42">
        <v>12397536</v>
      </c>
      <c r="K497" s="42">
        <v>73704</v>
      </c>
      <c r="M497" s="42">
        <v>0</v>
      </c>
      <c r="O497" s="42">
        <f>42270+94</f>
        <v>42364</v>
      </c>
      <c r="Q497" s="42">
        <v>5556492</v>
      </c>
      <c r="S497" s="42">
        <v>7540608</v>
      </c>
      <c r="U497" s="42">
        <v>65876</v>
      </c>
      <c r="W497" s="42">
        <v>5815470</v>
      </c>
      <c r="Y497" s="42">
        <v>2443694</v>
      </c>
      <c r="AA497" s="42">
        <v>1085086</v>
      </c>
      <c r="AC497" s="42">
        <v>13142708</v>
      </c>
      <c r="AE497" s="42">
        <v>4674160</v>
      </c>
      <c r="AG497" s="42">
        <v>1683000</v>
      </c>
      <c r="AI497" s="9" t="s">
        <v>709</v>
      </c>
      <c r="AJ497" s="9"/>
      <c r="AK497" s="9" t="s">
        <v>20</v>
      </c>
      <c r="AL497" s="9"/>
      <c r="AM497" s="42">
        <v>1855816</v>
      </c>
      <c r="AO497" s="42">
        <v>1598259</v>
      </c>
      <c r="AQ497" s="42">
        <v>1331012</v>
      </c>
      <c r="AS497" s="42">
        <v>937911</v>
      </c>
      <c r="AW497" s="42">
        <v>185218</v>
      </c>
      <c r="AY497" s="42">
        <f t="shared" si="52"/>
        <v>94889965</v>
      </c>
      <c r="BA497" s="42">
        <f>+'St of Act - GA Rev'!AI497-'St of Activities - GA Exp'!AY497</f>
        <v>3616789</v>
      </c>
      <c r="BC497" s="42">
        <v>48586273</v>
      </c>
      <c r="BE497" s="42">
        <f t="shared" si="53"/>
        <v>52203062</v>
      </c>
      <c r="BG497" s="42">
        <f>+'St of Net Pos - GA'!AE497-'St of Activities - GA Exp'!BE497</f>
        <v>0</v>
      </c>
    </row>
    <row r="498" spans="1:59" hidden="1">
      <c r="A498" s="9" t="s">
        <v>694</v>
      </c>
      <c r="B498" s="9"/>
      <c r="C498" s="9" t="s">
        <v>10</v>
      </c>
      <c r="D498" s="9"/>
      <c r="E498" s="23">
        <v>45779</v>
      </c>
      <c r="G498" s="42">
        <v>0</v>
      </c>
      <c r="I498" s="42">
        <v>0</v>
      </c>
      <c r="K498" s="42">
        <v>0</v>
      </c>
      <c r="M498" s="42">
        <v>0</v>
      </c>
      <c r="O498" s="42">
        <v>0</v>
      </c>
      <c r="Q498" s="42">
        <v>0</v>
      </c>
      <c r="S498" s="42">
        <v>0</v>
      </c>
      <c r="U498" s="42">
        <v>0</v>
      </c>
      <c r="W498" s="42">
        <v>0</v>
      </c>
      <c r="Y498" s="42">
        <v>0</v>
      </c>
      <c r="AA498" s="42">
        <v>0</v>
      </c>
      <c r="AC498" s="42">
        <v>0</v>
      </c>
      <c r="AE498" s="42">
        <v>0</v>
      </c>
      <c r="AG498" s="42">
        <v>0</v>
      </c>
      <c r="AI498" s="9" t="s">
        <v>694</v>
      </c>
      <c r="AJ498" s="9"/>
      <c r="AK498" s="9" t="s">
        <v>10</v>
      </c>
      <c r="AL498" s="9"/>
      <c r="AM498" s="42">
        <v>0</v>
      </c>
      <c r="AO498" s="42">
        <v>0</v>
      </c>
      <c r="AQ498" s="42">
        <v>0</v>
      </c>
      <c r="AS498" s="42">
        <v>0</v>
      </c>
      <c r="AW498" s="42">
        <v>0</v>
      </c>
      <c r="AY498" s="42">
        <f t="shared" si="52"/>
        <v>0</v>
      </c>
      <c r="BA498" s="42">
        <f>+'St of Act - GA Rev'!AI498-'St of Activities - GA Exp'!AY498</f>
        <v>0</v>
      </c>
      <c r="BC498" s="42">
        <v>0</v>
      </c>
      <c r="BE498" s="42">
        <f t="shared" si="53"/>
        <v>0</v>
      </c>
      <c r="BG498" s="42">
        <f>+'St of Net Pos - GA'!AE498-'St of Activities - GA Exp'!BE498</f>
        <v>0</v>
      </c>
    </row>
    <row r="499" spans="1:59" ht="12" customHeight="1">
      <c r="A499" s="9" t="s">
        <v>783</v>
      </c>
      <c r="B499" s="9"/>
      <c r="C499" s="9" t="s">
        <v>44</v>
      </c>
      <c r="D499" s="9"/>
      <c r="E499" s="23">
        <v>44768</v>
      </c>
      <c r="G499" s="42">
        <v>9247663</v>
      </c>
      <c r="I499" s="42">
        <v>2826729</v>
      </c>
      <c r="K499" s="42">
        <v>152851</v>
      </c>
      <c r="M499" s="42">
        <v>0</v>
      </c>
      <c r="O499" s="42">
        <v>40669</v>
      </c>
      <c r="Q499" s="42">
        <v>1237820</v>
      </c>
      <c r="S499" s="42">
        <v>859436</v>
      </c>
      <c r="U499" s="42">
        <v>43514</v>
      </c>
      <c r="W499" s="42">
        <v>1636556</v>
      </c>
      <c r="Y499" s="42">
        <v>653895</v>
      </c>
      <c r="AA499" s="42">
        <v>262080</v>
      </c>
      <c r="AC499" s="42">
        <v>2489026</v>
      </c>
      <c r="AE499" s="42">
        <v>1084352</v>
      </c>
      <c r="AG499" s="42">
        <v>304386</v>
      </c>
      <c r="AI499" s="9" t="s">
        <v>783</v>
      </c>
      <c r="AJ499" s="9"/>
      <c r="AK499" s="9" t="s">
        <v>44</v>
      </c>
      <c r="AL499" s="9"/>
      <c r="AM499" s="42">
        <v>657160</v>
      </c>
      <c r="AO499" s="42">
        <v>0</v>
      </c>
      <c r="AQ499" s="42">
        <v>648934</v>
      </c>
      <c r="AS499" s="42">
        <v>1391757</v>
      </c>
      <c r="AW499" s="42">
        <v>0</v>
      </c>
      <c r="AY499" s="42">
        <f t="shared" si="52"/>
        <v>23536828</v>
      </c>
      <c r="BA499" s="42">
        <f>+'St of Act - GA Rev'!AI499-'St of Activities - GA Exp'!AY499</f>
        <v>-1709860</v>
      </c>
      <c r="BC499" s="42">
        <v>13780628</v>
      </c>
      <c r="BE499" s="42">
        <f t="shared" si="53"/>
        <v>12070768</v>
      </c>
      <c r="BG499" s="42">
        <f>+'St of Net Pos - GA'!AE499-'St of Activities - GA Exp'!BE499</f>
        <v>0</v>
      </c>
    </row>
    <row r="500" spans="1:59">
      <c r="A500" s="9" t="s">
        <v>469</v>
      </c>
      <c r="B500" s="9"/>
      <c r="C500" s="9" t="s">
        <v>109</v>
      </c>
      <c r="D500" s="9"/>
      <c r="E500" s="23">
        <v>44776</v>
      </c>
      <c r="G500" s="42">
        <v>8972464</v>
      </c>
      <c r="I500" s="42">
        <v>2281643</v>
      </c>
      <c r="K500" s="42">
        <v>150635</v>
      </c>
      <c r="M500" s="42">
        <v>0</v>
      </c>
      <c r="O500" s="42">
        <v>0</v>
      </c>
      <c r="Q500" s="42">
        <v>844960</v>
      </c>
      <c r="S500" s="42">
        <v>1321543</v>
      </c>
      <c r="U500" s="42">
        <v>88927</v>
      </c>
      <c r="W500" s="42">
        <v>1329090</v>
      </c>
      <c r="Y500" s="42">
        <v>726993</v>
      </c>
      <c r="AA500" s="42">
        <v>0</v>
      </c>
      <c r="AC500" s="42">
        <v>1978569</v>
      </c>
      <c r="AE500" s="42">
        <v>937402</v>
      </c>
      <c r="AG500" s="42">
        <v>108430</v>
      </c>
      <c r="AI500" s="9" t="s">
        <v>469</v>
      </c>
      <c r="AJ500" s="9"/>
      <c r="AK500" s="9" t="s">
        <v>109</v>
      </c>
      <c r="AL500" s="9"/>
      <c r="AM500" s="42">
        <v>1019946</v>
      </c>
      <c r="AO500" s="42">
        <v>138449</v>
      </c>
      <c r="AQ500" s="42">
        <v>642939</v>
      </c>
      <c r="AS500" s="42">
        <v>1429546</v>
      </c>
      <c r="AW500" s="42">
        <v>0</v>
      </c>
      <c r="AY500" s="42">
        <f t="shared" si="52"/>
        <v>21971536</v>
      </c>
      <c r="BA500" s="42">
        <f>+'St of Act - GA Rev'!AI500-'St of Activities - GA Exp'!AY500</f>
        <v>399569</v>
      </c>
      <c r="BC500" s="42">
        <v>19281748</v>
      </c>
      <c r="BE500" s="42">
        <f t="shared" si="53"/>
        <v>19681317</v>
      </c>
      <c r="BG500" s="42">
        <f>+'St of Net Pos - GA'!AE500-'St of Activities - GA Exp'!BE500</f>
        <v>0</v>
      </c>
    </row>
    <row r="501" spans="1:59" hidden="1">
      <c r="A501" s="9" t="s">
        <v>827</v>
      </c>
      <c r="B501" s="9"/>
      <c r="C501" s="9" t="s">
        <v>61</v>
      </c>
      <c r="D501" s="9"/>
      <c r="E501" s="23">
        <v>44784</v>
      </c>
      <c r="G501" s="42">
        <v>0</v>
      </c>
      <c r="I501" s="42">
        <v>0</v>
      </c>
      <c r="K501" s="42">
        <v>0</v>
      </c>
      <c r="M501" s="42">
        <v>0</v>
      </c>
      <c r="O501" s="42">
        <v>0</v>
      </c>
      <c r="Q501" s="42">
        <v>0</v>
      </c>
      <c r="S501" s="42">
        <v>0</v>
      </c>
      <c r="U501" s="42">
        <v>0</v>
      </c>
      <c r="W501" s="42">
        <v>0</v>
      </c>
      <c r="Y501" s="42">
        <v>0</v>
      </c>
      <c r="AA501" s="42">
        <v>0</v>
      </c>
      <c r="AC501" s="42">
        <v>0</v>
      </c>
      <c r="AE501" s="42">
        <v>0</v>
      </c>
      <c r="AG501" s="42">
        <v>0</v>
      </c>
      <c r="AI501" s="9" t="s">
        <v>827</v>
      </c>
      <c r="AJ501" s="9"/>
      <c r="AK501" s="9" t="s">
        <v>61</v>
      </c>
      <c r="AL501" s="9"/>
      <c r="AM501" s="42">
        <v>0</v>
      </c>
      <c r="AO501" s="42">
        <v>0</v>
      </c>
      <c r="AQ501" s="42">
        <v>0</v>
      </c>
      <c r="AS501" s="42">
        <v>0</v>
      </c>
      <c r="AW501" s="42">
        <v>0</v>
      </c>
      <c r="AY501" s="42">
        <f t="shared" si="52"/>
        <v>0</v>
      </c>
      <c r="BA501" s="42">
        <f>+'St of Act - GA Rev'!AI501-'St of Activities - GA Exp'!AY501</f>
        <v>0</v>
      </c>
      <c r="BC501" s="42">
        <v>0</v>
      </c>
      <c r="BE501" s="42">
        <f t="shared" si="53"/>
        <v>0</v>
      </c>
      <c r="BG501" s="42">
        <f>+'St of Net Pos - GA'!AE501-'St of Activities - GA Exp'!BE501</f>
        <v>0</v>
      </c>
    </row>
    <row r="502" spans="1:59">
      <c r="A502" s="9" t="s">
        <v>275</v>
      </c>
      <c r="B502" s="9"/>
      <c r="C502" s="9" t="s">
        <v>20</v>
      </c>
      <c r="D502" s="9"/>
      <c r="E502" s="23">
        <v>46607</v>
      </c>
      <c r="G502" s="42">
        <v>33834645</v>
      </c>
      <c r="I502" s="42">
        <v>6870366</v>
      </c>
      <c r="K502" s="42">
        <v>539212</v>
      </c>
      <c r="M502" s="42">
        <v>0</v>
      </c>
      <c r="O502" s="42">
        <v>840338</v>
      </c>
      <c r="Q502" s="42">
        <v>3845111</v>
      </c>
      <c r="S502" s="42">
        <v>1560971</v>
      </c>
      <c r="U502" s="42">
        <v>59051</v>
      </c>
      <c r="W502" s="42">
        <v>3482845</v>
      </c>
      <c r="Y502" s="42">
        <v>1746937</v>
      </c>
      <c r="AA502" s="42">
        <v>1151762</v>
      </c>
      <c r="AC502" s="42">
        <v>6972552</v>
      </c>
      <c r="AE502" s="42">
        <v>3600396</v>
      </c>
      <c r="AG502" s="42">
        <v>1055433</v>
      </c>
      <c r="AI502" s="9" t="s">
        <v>275</v>
      </c>
      <c r="AJ502" s="9"/>
      <c r="AK502" s="9" t="s">
        <v>20</v>
      </c>
      <c r="AL502" s="9"/>
      <c r="AM502" s="42">
        <v>1930544</v>
      </c>
      <c r="AO502" s="42">
        <v>553538</v>
      </c>
      <c r="AQ502" s="42">
        <v>1742835</v>
      </c>
      <c r="AS502" s="42">
        <v>550630</v>
      </c>
      <c r="AW502" s="42">
        <v>109373</v>
      </c>
      <c r="AY502" s="42">
        <f t="shared" si="52"/>
        <v>70446539</v>
      </c>
      <c r="BA502" s="42">
        <f>+'St of Act - GA Rev'!AI502-'St of Activities - GA Exp'!AY502</f>
        <v>5333031</v>
      </c>
      <c r="BC502" s="42">
        <v>45818726</v>
      </c>
      <c r="BE502" s="42">
        <f t="shared" si="53"/>
        <v>51151757</v>
      </c>
      <c r="BG502" s="42">
        <f>+'St of Net Pos - GA'!AE502-'St of Activities - GA Exp'!BE502</f>
        <v>0</v>
      </c>
    </row>
    <row r="503" spans="1:59">
      <c r="A503" s="9" t="s">
        <v>628</v>
      </c>
      <c r="B503" s="9"/>
      <c r="C503" s="9" t="s">
        <v>37</v>
      </c>
      <c r="D503" s="9"/>
      <c r="E503" s="23">
        <v>47738</v>
      </c>
      <c r="G503" s="42">
        <v>4053919</v>
      </c>
      <c r="I503" s="42">
        <v>546246</v>
      </c>
      <c r="K503" s="42">
        <v>162457</v>
      </c>
      <c r="M503" s="42">
        <v>0</v>
      </c>
      <c r="O503" s="42">
        <v>931711</v>
      </c>
      <c r="Q503" s="42">
        <v>375420</v>
      </c>
      <c r="S503" s="42">
        <v>607419</v>
      </c>
      <c r="U503" s="42">
        <v>33422</v>
      </c>
      <c r="W503" s="42">
        <v>700581</v>
      </c>
      <c r="Y503" s="42">
        <v>231205</v>
      </c>
      <c r="AA503" s="42">
        <v>0</v>
      </c>
      <c r="AC503" s="42">
        <v>915352</v>
      </c>
      <c r="AE503" s="42">
        <v>644534</v>
      </c>
      <c r="AG503" s="42">
        <v>1729</v>
      </c>
      <c r="AI503" s="9" t="s">
        <v>628</v>
      </c>
      <c r="AJ503" s="9"/>
      <c r="AK503" s="9" t="s">
        <v>37</v>
      </c>
      <c r="AL503" s="9"/>
      <c r="AM503" s="42">
        <v>403218</v>
      </c>
      <c r="AO503" s="42">
        <v>8700</v>
      </c>
      <c r="AQ503" s="42">
        <v>316535</v>
      </c>
      <c r="AS503" s="42">
        <v>32716</v>
      </c>
      <c r="AW503" s="42">
        <v>0</v>
      </c>
      <c r="AY503" s="42">
        <f t="shared" si="52"/>
        <v>9965164</v>
      </c>
      <c r="BA503" s="42">
        <f>+'St of Act - GA Rev'!AI503-'St of Activities - GA Exp'!AY503</f>
        <v>-803731</v>
      </c>
      <c r="BC503" s="42">
        <v>7518256</v>
      </c>
      <c r="BE503" s="42">
        <f t="shared" si="53"/>
        <v>6714525</v>
      </c>
      <c r="BG503" s="42">
        <f>+'St of Net Pos - GA'!AE503-'St of Activities - GA Exp'!BE503</f>
        <v>0</v>
      </c>
    </row>
    <row r="504" spans="1:59">
      <c r="A504" s="9" t="s">
        <v>276</v>
      </c>
      <c r="B504" s="9"/>
      <c r="C504" s="9" t="s">
        <v>20</v>
      </c>
      <c r="D504" s="9"/>
      <c r="E504" s="23">
        <v>44792</v>
      </c>
      <c r="G504" s="42">
        <v>22778114</v>
      </c>
      <c r="I504" s="42">
        <v>9075017</v>
      </c>
      <c r="K504" s="42">
        <v>1915202</v>
      </c>
      <c r="M504" s="42">
        <v>0</v>
      </c>
      <c r="O504" s="42">
        <v>0</v>
      </c>
      <c r="Q504" s="42">
        <v>3910976</v>
      </c>
      <c r="S504" s="42">
        <v>1402399</v>
      </c>
      <c r="U504" s="42">
        <v>300257</v>
      </c>
      <c r="W504" s="42">
        <v>3682777</v>
      </c>
      <c r="Y504" s="42">
        <v>2161638</v>
      </c>
      <c r="AA504" s="42">
        <v>370513</v>
      </c>
      <c r="AC504" s="42">
        <v>6487850</v>
      </c>
      <c r="AE504" s="42">
        <v>3289319</v>
      </c>
      <c r="AG504" s="42">
        <v>1110130</v>
      </c>
      <c r="AI504" s="9" t="s">
        <v>276</v>
      </c>
      <c r="AJ504" s="9"/>
      <c r="AK504" s="9" t="s">
        <v>20</v>
      </c>
      <c r="AL504" s="9"/>
      <c r="AM504" s="42">
        <v>1763486</v>
      </c>
      <c r="AO504" s="42">
        <v>1051848</v>
      </c>
      <c r="AQ504" s="42">
        <v>1215372</v>
      </c>
      <c r="AS504" s="42">
        <v>620172</v>
      </c>
      <c r="AW504" s="42">
        <v>0</v>
      </c>
      <c r="AY504" s="42">
        <f t="shared" si="52"/>
        <v>61135070</v>
      </c>
      <c r="BA504" s="42">
        <f>+'St of Act - GA Rev'!AI504-'St of Activities - GA Exp'!AY504</f>
        <v>9524085</v>
      </c>
      <c r="BC504" s="42">
        <v>30841691</v>
      </c>
      <c r="BE504" s="42">
        <f t="shared" si="53"/>
        <v>40365776</v>
      </c>
      <c r="BG504" s="42">
        <f>+'St of Net Pos - GA'!AE504-'St of Activities - GA Exp'!BE504</f>
        <v>0</v>
      </c>
    </row>
    <row r="505" spans="1:59" ht="12" customHeight="1">
      <c r="A505" s="9" t="s">
        <v>369</v>
      </c>
      <c r="B505" s="9"/>
      <c r="C505" s="9" t="s">
        <v>364</v>
      </c>
      <c r="D505" s="9"/>
      <c r="E505" s="23">
        <v>47951</v>
      </c>
      <c r="G505" s="42">
        <v>8666034</v>
      </c>
      <c r="I505" s="42">
        <v>2358666</v>
      </c>
      <c r="K505" s="42">
        <v>254131</v>
      </c>
      <c r="M505" s="42">
        <v>0</v>
      </c>
      <c r="O505" s="42">
        <f>34297+7536</f>
        <v>41833</v>
      </c>
      <c r="Q505" s="42">
        <v>603929</v>
      </c>
      <c r="S505" s="42">
        <v>1097399</v>
      </c>
      <c r="U505" s="42">
        <v>87031</v>
      </c>
      <c r="W505" s="42">
        <v>1197023</v>
      </c>
      <c r="Y505" s="42">
        <v>435551</v>
      </c>
      <c r="AA505" s="42">
        <v>0</v>
      </c>
      <c r="AC505" s="42">
        <v>2009911</v>
      </c>
      <c r="AE505" s="42">
        <v>1173380</v>
      </c>
      <c r="AG505" s="42">
        <v>82134</v>
      </c>
      <c r="AI505" s="9" t="s">
        <v>369</v>
      </c>
      <c r="AJ505" s="9"/>
      <c r="AK505" s="9" t="s">
        <v>364</v>
      </c>
      <c r="AL505" s="9"/>
      <c r="AM505" s="42">
        <v>779328</v>
      </c>
      <c r="AO505" s="42">
        <v>1060</v>
      </c>
      <c r="AQ505" s="42">
        <f>374415+1700</f>
        <v>376115</v>
      </c>
      <c r="AS505" s="42">
        <v>353573</v>
      </c>
      <c r="AW505" s="42">
        <v>0</v>
      </c>
      <c r="AY505" s="42">
        <f t="shared" si="52"/>
        <v>19517098</v>
      </c>
      <c r="BA505" s="42">
        <f>+'St of Act - GA Rev'!AI505-'St of Activities - GA Exp'!AY505</f>
        <v>-163296</v>
      </c>
      <c r="BC505" s="42">
        <v>48083676</v>
      </c>
      <c r="BE505" s="42">
        <f t="shared" si="53"/>
        <v>47920380</v>
      </c>
      <c r="BG505" s="42">
        <f>+'St of Net Pos - GA'!AE505-'St of Activities - GA Exp'!BE505</f>
        <v>0</v>
      </c>
    </row>
    <row r="506" spans="1:59">
      <c r="A506" s="9" t="s">
        <v>403</v>
      </c>
      <c r="B506" s="9"/>
      <c r="C506" s="9" t="s">
        <v>45</v>
      </c>
      <c r="D506" s="9"/>
      <c r="E506" s="23">
        <v>48363</v>
      </c>
      <c r="G506" s="42">
        <v>6409673</v>
      </c>
      <c r="I506" s="42">
        <v>1396445</v>
      </c>
      <c r="K506" s="42">
        <v>163592</v>
      </c>
      <c r="M506" s="42">
        <v>0</v>
      </c>
      <c r="O506" s="42">
        <v>373264</v>
      </c>
      <c r="Q506" s="42">
        <v>311389</v>
      </c>
      <c r="S506" s="42">
        <v>575566</v>
      </c>
      <c r="U506" s="42">
        <v>27926</v>
      </c>
      <c r="W506" s="42">
        <v>877382</v>
      </c>
      <c r="Y506" s="42">
        <v>405193</v>
      </c>
      <c r="AA506" s="42">
        <v>0</v>
      </c>
      <c r="AC506" s="42">
        <v>1181127</v>
      </c>
      <c r="AE506" s="42">
        <v>1135961</v>
      </c>
      <c r="AG506" s="42">
        <v>109186</v>
      </c>
      <c r="AI506" s="9" t="s">
        <v>403</v>
      </c>
      <c r="AJ506" s="9"/>
      <c r="AK506" s="9" t="s">
        <v>45</v>
      </c>
      <c r="AL506" s="9"/>
      <c r="AM506" s="42">
        <v>376231</v>
      </c>
      <c r="AO506" s="42">
        <v>2624</v>
      </c>
      <c r="AQ506" s="42">
        <v>590138</v>
      </c>
      <c r="AS506" s="42">
        <v>890091</v>
      </c>
      <c r="AW506" s="42">
        <v>0</v>
      </c>
      <c r="AY506" s="42">
        <f t="shared" si="52"/>
        <v>14825788</v>
      </c>
      <c r="BA506" s="42">
        <f>+'St of Act - GA Rev'!AI506-'St of Activities - GA Exp'!AY506</f>
        <v>-1954822</v>
      </c>
      <c r="BC506" s="42">
        <v>20327757</v>
      </c>
      <c r="BE506" s="42">
        <f t="shared" si="53"/>
        <v>18372935</v>
      </c>
      <c r="BG506" s="42">
        <f>+'St of Net Pos - GA'!AE506-'St of Activities - GA Exp'!BE506</f>
        <v>0</v>
      </c>
    </row>
    <row r="507" spans="1:59">
      <c r="A507" s="9" t="s">
        <v>460</v>
      </c>
      <c r="B507" s="9"/>
      <c r="C507" s="9" t="s">
        <v>56</v>
      </c>
      <c r="D507" s="9"/>
      <c r="E507" s="23">
        <v>49221</v>
      </c>
      <c r="G507" s="42">
        <v>8547250</v>
      </c>
      <c r="I507" s="42">
        <v>2771020</v>
      </c>
      <c r="K507" s="42">
        <v>120049</v>
      </c>
      <c r="M507" s="42">
        <v>0</v>
      </c>
      <c r="O507" s="42">
        <f>33415+1010715</f>
        <v>1044130</v>
      </c>
      <c r="Q507" s="42">
        <v>960763</v>
      </c>
      <c r="S507" s="42">
        <v>294339</v>
      </c>
      <c r="U507" s="42">
        <v>32323</v>
      </c>
      <c r="W507" s="42">
        <v>1358671</v>
      </c>
      <c r="Y507" s="42">
        <v>465328</v>
      </c>
      <c r="AA507" s="42">
        <v>15348</v>
      </c>
      <c r="AC507" s="42">
        <v>4626116</v>
      </c>
      <c r="AE507" s="42">
        <v>1483829</v>
      </c>
      <c r="AG507" s="42">
        <v>85057</v>
      </c>
      <c r="AI507" s="9" t="s">
        <v>460</v>
      </c>
      <c r="AJ507" s="9"/>
      <c r="AK507" s="9" t="s">
        <v>56</v>
      </c>
      <c r="AL507" s="9"/>
      <c r="AM507" s="42">
        <v>710694</v>
      </c>
      <c r="AO507" s="42">
        <v>0</v>
      </c>
      <c r="AQ507" s="42">
        <v>534615</v>
      </c>
      <c r="AS507" s="42">
        <v>143025</v>
      </c>
      <c r="AW507" s="42">
        <v>0</v>
      </c>
      <c r="AY507" s="42">
        <f t="shared" si="52"/>
        <v>23192557</v>
      </c>
      <c r="BA507" s="42">
        <f>+'St of Act - GA Rev'!AI507-'St of Activities - GA Exp'!AY507</f>
        <v>-2030619</v>
      </c>
      <c r="BC507" s="42">
        <v>36891371</v>
      </c>
      <c r="BE507" s="42">
        <f t="shared" si="53"/>
        <v>34860752</v>
      </c>
      <c r="BG507" s="42">
        <f>+'St of Net Pos - GA'!AE507-'St of Activities - GA Exp'!BE507</f>
        <v>0</v>
      </c>
    </row>
    <row r="508" spans="1:59">
      <c r="A508" s="9" t="s">
        <v>460</v>
      </c>
      <c r="B508" s="9"/>
      <c r="C508" s="9" t="s">
        <v>71</v>
      </c>
      <c r="D508" s="9"/>
      <c r="E508" s="23">
        <v>50583</v>
      </c>
      <c r="G508" s="42">
        <v>6644516</v>
      </c>
      <c r="I508" s="42">
        <v>1990468</v>
      </c>
      <c r="K508" s="42">
        <v>159398</v>
      </c>
      <c r="M508" s="42">
        <v>0</v>
      </c>
      <c r="O508" s="42">
        <v>961761</v>
      </c>
      <c r="Q508" s="42">
        <v>682916</v>
      </c>
      <c r="S508" s="42">
        <v>831169</v>
      </c>
      <c r="U508" s="42">
        <v>35829</v>
      </c>
      <c r="W508" s="42">
        <v>1575113</v>
      </c>
      <c r="Y508" s="42">
        <v>394512</v>
      </c>
      <c r="AA508" s="42">
        <v>0</v>
      </c>
      <c r="AC508" s="42">
        <v>1002560</v>
      </c>
      <c r="AE508" s="42">
        <v>1266610</v>
      </c>
      <c r="AG508" s="42">
        <v>209384</v>
      </c>
      <c r="AI508" s="9" t="s">
        <v>460</v>
      </c>
      <c r="AJ508" s="9"/>
      <c r="AK508" s="9" t="s">
        <v>71</v>
      </c>
      <c r="AL508" s="9"/>
      <c r="AM508" s="42">
        <v>0</v>
      </c>
      <c r="AO508" s="42">
        <v>886117</v>
      </c>
      <c r="AQ508" s="42">
        <v>588847</v>
      </c>
      <c r="AS508" s="42">
        <v>1057</v>
      </c>
      <c r="AW508" s="42">
        <v>0</v>
      </c>
      <c r="AY508" s="42">
        <f t="shared" si="52"/>
        <v>17230257</v>
      </c>
      <c r="BA508" s="42">
        <f>+'St of Act - GA Rev'!AI508-'St of Activities - GA Exp'!AY508</f>
        <v>772240</v>
      </c>
      <c r="BC508" s="42">
        <v>4829740</v>
      </c>
      <c r="BE508" s="42">
        <f t="shared" si="53"/>
        <v>5601980</v>
      </c>
      <c r="BG508" s="42">
        <f>+'St of Net Pos - GA'!AE508-'St of Activities - GA Exp'!BE508</f>
        <v>0</v>
      </c>
    </row>
    <row r="509" spans="1:59">
      <c r="A509" s="9" t="s">
        <v>233</v>
      </c>
      <c r="B509" s="9"/>
      <c r="C509" s="9" t="s">
        <v>17</v>
      </c>
      <c r="D509" s="9"/>
      <c r="E509" s="23">
        <v>46276</v>
      </c>
      <c r="G509" s="42">
        <v>4052066</v>
      </c>
      <c r="I509" s="42">
        <v>1206660</v>
      </c>
      <c r="K509" s="42">
        <v>191479</v>
      </c>
      <c r="M509" s="42">
        <v>0</v>
      </c>
      <c r="O509" s="42">
        <v>14605</v>
      </c>
      <c r="Q509" s="42">
        <v>430058</v>
      </c>
      <c r="S509" s="42">
        <v>271731</v>
      </c>
      <c r="U509" s="42">
        <v>21353</v>
      </c>
      <c r="W509" s="42">
        <v>503198</v>
      </c>
      <c r="Y509" s="42">
        <v>268198</v>
      </c>
      <c r="AA509" s="42">
        <v>0</v>
      </c>
      <c r="AC509" s="42">
        <v>524523</v>
      </c>
      <c r="AE509" s="42">
        <v>459041</v>
      </c>
      <c r="AG509" s="42">
        <v>53406</v>
      </c>
      <c r="AI509" s="9" t="s">
        <v>233</v>
      </c>
      <c r="AJ509" s="9"/>
      <c r="AK509" s="9" t="s">
        <v>17</v>
      </c>
      <c r="AL509" s="9"/>
      <c r="AM509" s="42">
        <v>0</v>
      </c>
      <c r="AO509" s="42">
        <v>205831</v>
      </c>
      <c r="AQ509" s="42">
        <v>314664</v>
      </c>
      <c r="AS509" s="42">
        <v>65976</v>
      </c>
      <c r="AW509" s="42">
        <v>0</v>
      </c>
      <c r="AY509" s="42">
        <f t="shared" si="52"/>
        <v>8582789</v>
      </c>
      <c r="BA509" s="42">
        <f>+'St of Act - GA Rev'!AI509-'St of Activities - GA Exp'!AY509</f>
        <v>-436901</v>
      </c>
      <c r="BC509" s="42">
        <v>9398436</v>
      </c>
      <c r="BE509" s="42">
        <f t="shared" si="53"/>
        <v>8961535</v>
      </c>
      <c r="BG509" s="42">
        <f>+'St of Net Pos - GA'!AE509-'St of Activities - GA Exp'!BE509</f>
        <v>0</v>
      </c>
    </row>
    <row r="510" spans="1:59">
      <c r="A510" s="9" t="s">
        <v>233</v>
      </c>
      <c r="B510" s="9"/>
      <c r="C510" s="9" t="s">
        <v>58</v>
      </c>
      <c r="D510" s="9"/>
      <c r="E510" s="23">
        <v>49528</v>
      </c>
      <c r="G510" s="42">
        <v>5883832</v>
      </c>
      <c r="I510" s="42">
        <v>1603127</v>
      </c>
      <c r="K510" s="42">
        <v>0</v>
      </c>
      <c r="M510" s="42">
        <v>0</v>
      </c>
      <c r="O510" s="42">
        <v>119</v>
      </c>
      <c r="Q510" s="42">
        <v>544049</v>
      </c>
      <c r="S510" s="42">
        <v>354399</v>
      </c>
      <c r="U510" s="42">
        <v>0</v>
      </c>
      <c r="W510" s="42">
        <v>651569</v>
      </c>
      <c r="Y510" s="42">
        <v>232417</v>
      </c>
      <c r="AA510" s="42">
        <v>249534</v>
      </c>
      <c r="AC510" s="42">
        <v>1106608</v>
      </c>
      <c r="AE510" s="42">
        <v>986209</v>
      </c>
      <c r="AG510" s="42">
        <v>111783</v>
      </c>
      <c r="AI510" s="9" t="s">
        <v>233</v>
      </c>
      <c r="AJ510" s="9"/>
      <c r="AK510" s="9" t="s">
        <v>58</v>
      </c>
      <c r="AL510" s="9"/>
      <c r="AM510" s="42">
        <v>0</v>
      </c>
      <c r="AO510" s="42">
        <v>458402</v>
      </c>
      <c r="AQ510" s="42">
        <v>527291</v>
      </c>
      <c r="AS510" s="42">
        <v>196197</v>
      </c>
      <c r="AW510" s="42">
        <v>0</v>
      </c>
      <c r="AY510" s="42">
        <f t="shared" ref="AY510:AY516" si="54">SUM(G510:AX510)</f>
        <v>12905536</v>
      </c>
      <c r="BA510" s="42">
        <f>+'St of Act - GA Rev'!AI510-'St of Activities - GA Exp'!AY510</f>
        <v>-580233</v>
      </c>
      <c r="BC510" s="42">
        <v>24246385</v>
      </c>
      <c r="BE510" s="42">
        <f t="shared" ref="BE510:BE516" si="55">+BA510+BC510</f>
        <v>23666152</v>
      </c>
      <c r="BG510" s="42">
        <f>+'St of Net Pos - GA'!AE510-'St of Activities - GA Exp'!BE510</f>
        <v>0</v>
      </c>
    </row>
    <row r="511" spans="1:59">
      <c r="A511" s="9" t="s">
        <v>640</v>
      </c>
      <c r="B511" s="9"/>
      <c r="C511" s="9" t="s">
        <v>111</v>
      </c>
      <c r="D511" s="9"/>
      <c r="E511" s="23">
        <v>46441</v>
      </c>
      <c r="G511" s="42">
        <v>3785176</v>
      </c>
      <c r="I511" s="42">
        <v>1177605</v>
      </c>
      <c r="K511" s="42">
        <v>232067</v>
      </c>
      <c r="M511" s="42">
        <v>0</v>
      </c>
      <c r="O511" s="42">
        <v>266520</v>
      </c>
      <c r="Q511" s="42">
        <v>897330</v>
      </c>
      <c r="S511" s="42">
        <v>709500</v>
      </c>
      <c r="U511" s="42">
        <v>1267750</v>
      </c>
      <c r="W511" s="42">
        <v>739781</v>
      </c>
      <c r="Y511" s="42">
        <v>243799</v>
      </c>
      <c r="AA511" s="42">
        <v>58759</v>
      </c>
      <c r="AC511" s="42">
        <v>1043779</v>
      </c>
      <c r="AE511" s="42">
        <v>874891</v>
      </c>
      <c r="AG511" s="42">
        <v>94661</v>
      </c>
      <c r="AI511" s="9" t="s">
        <v>640</v>
      </c>
      <c r="AJ511" s="9"/>
      <c r="AK511" s="9" t="s">
        <v>111</v>
      </c>
      <c r="AL511" s="9"/>
      <c r="AM511" s="42">
        <v>414889</v>
      </c>
      <c r="AO511" s="42">
        <v>19838</v>
      </c>
      <c r="AQ511" s="42">
        <v>255586</v>
      </c>
      <c r="AS511" s="42">
        <v>173590</v>
      </c>
      <c r="AW511" s="42">
        <v>0</v>
      </c>
      <c r="AY511" s="42">
        <f t="shared" si="54"/>
        <v>12255521</v>
      </c>
      <c r="BA511" s="42">
        <f>+'St of Act - GA Rev'!AI511-'St of Activities - GA Exp'!AY511</f>
        <v>-1016801</v>
      </c>
      <c r="BC511" s="42">
        <v>10490493</v>
      </c>
      <c r="BE511" s="42">
        <f t="shared" si="55"/>
        <v>9473692</v>
      </c>
      <c r="BG511" s="42">
        <f>+'St of Net Pos - GA'!AE511-'St of Activities - GA Exp'!BE511</f>
        <v>0</v>
      </c>
    </row>
    <row r="512" spans="1:59">
      <c r="A512" s="9" t="s">
        <v>248</v>
      </c>
      <c r="B512" s="9"/>
      <c r="C512" s="9" t="s">
        <v>417</v>
      </c>
      <c r="D512" s="9"/>
      <c r="E512" s="23">
        <v>48538</v>
      </c>
      <c r="G512" s="42">
        <v>4375809</v>
      </c>
      <c r="I512" s="42">
        <v>919230</v>
      </c>
      <c r="K512" s="42">
        <v>181927</v>
      </c>
      <c r="M512" s="42">
        <v>0</v>
      </c>
      <c r="O512" s="42">
        <f>122773+790662</f>
        <v>913435</v>
      </c>
      <c r="Q512" s="42">
        <v>565758</v>
      </c>
      <c r="S512" s="42">
        <v>506365</v>
      </c>
      <c r="U512" s="42">
        <v>29166</v>
      </c>
      <c r="W512" s="42">
        <v>488446</v>
      </c>
      <c r="Y512" s="42">
        <v>321811</v>
      </c>
      <c r="AA512" s="42">
        <v>0</v>
      </c>
      <c r="AC512" s="42">
        <v>1360963</v>
      </c>
      <c r="AE512" s="42">
        <v>724340</v>
      </c>
      <c r="AG512" s="42">
        <v>80344</v>
      </c>
      <c r="AI512" s="9" t="s">
        <v>248</v>
      </c>
      <c r="AJ512" s="9"/>
      <c r="AK512" s="9" t="s">
        <v>417</v>
      </c>
      <c r="AL512" s="9"/>
      <c r="AM512" s="42">
        <v>0</v>
      </c>
      <c r="AO512" s="42">
        <v>442622</v>
      </c>
      <c r="AQ512" s="42">
        <v>187173</v>
      </c>
      <c r="AS512" s="42">
        <v>355495</v>
      </c>
      <c r="AW512" s="42">
        <v>0</v>
      </c>
      <c r="AY512" s="42">
        <f t="shared" si="54"/>
        <v>11452884</v>
      </c>
      <c r="BA512" s="42">
        <f>+'St of Act - GA Rev'!AI512-'St of Activities - GA Exp'!AY512</f>
        <v>1701116</v>
      </c>
      <c r="BC512" s="42">
        <v>15495630</v>
      </c>
      <c r="BE512" s="42">
        <f t="shared" si="55"/>
        <v>17196746</v>
      </c>
      <c r="BG512" s="42">
        <f>+'St of Net Pos - GA'!AE512-'St of Activities - GA Exp'!BE512</f>
        <v>0</v>
      </c>
    </row>
    <row r="513" spans="1:59" hidden="1">
      <c r="A513" s="9" t="s">
        <v>695</v>
      </c>
      <c r="B513" s="9"/>
      <c r="C513" s="9" t="s">
        <v>448</v>
      </c>
      <c r="D513" s="9"/>
      <c r="E513" s="23">
        <v>49064</v>
      </c>
      <c r="G513" s="42">
        <v>0</v>
      </c>
      <c r="I513" s="42">
        <v>0</v>
      </c>
      <c r="K513" s="42">
        <v>0</v>
      </c>
      <c r="M513" s="42">
        <v>0</v>
      </c>
      <c r="O513" s="42">
        <v>0</v>
      </c>
      <c r="Q513" s="42">
        <v>0</v>
      </c>
      <c r="S513" s="42">
        <v>0</v>
      </c>
      <c r="U513" s="42">
        <v>0</v>
      </c>
      <c r="W513" s="42">
        <v>0</v>
      </c>
      <c r="Y513" s="42">
        <v>0</v>
      </c>
      <c r="AA513" s="42">
        <v>0</v>
      </c>
      <c r="AC513" s="42">
        <v>0</v>
      </c>
      <c r="AE513" s="42">
        <v>0</v>
      </c>
      <c r="AG513" s="42">
        <v>0</v>
      </c>
      <c r="AI513" s="9" t="s">
        <v>695</v>
      </c>
      <c r="AJ513" s="9"/>
      <c r="AK513" s="9" t="s">
        <v>448</v>
      </c>
      <c r="AL513" s="9"/>
      <c r="AM513" s="42">
        <v>0</v>
      </c>
      <c r="AO513" s="42">
        <v>0</v>
      </c>
      <c r="AQ513" s="42">
        <v>0</v>
      </c>
      <c r="AS513" s="42">
        <v>0</v>
      </c>
      <c r="AW513" s="42">
        <v>0</v>
      </c>
      <c r="AY513" s="42">
        <f t="shared" si="54"/>
        <v>0</v>
      </c>
      <c r="BA513" s="42">
        <f>+'St of Act - GA Rev'!AI513-'St of Activities - GA Exp'!AY513</f>
        <v>0</v>
      </c>
      <c r="BC513" s="42">
        <v>0</v>
      </c>
      <c r="BE513" s="42">
        <f t="shared" si="55"/>
        <v>0</v>
      </c>
      <c r="BG513" s="42">
        <f>+'St of Net Pos - GA'!AE513-'St of Activities - GA Exp'!BE513</f>
        <v>0</v>
      </c>
    </row>
    <row r="514" spans="1:59">
      <c r="A514" s="9" t="s">
        <v>526</v>
      </c>
      <c r="B514" s="9"/>
      <c r="C514" s="9" t="s">
        <v>64</v>
      </c>
      <c r="D514" s="9"/>
      <c r="E514" s="23">
        <v>50237</v>
      </c>
      <c r="G514" s="42">
        <v>3675532</v>
      </c>
      <c r="I514" s="42">
        <v>498238</v>
      </c>
      <c r="K514" s="42">
        <v>21848</v>
      </c>
      <c r="M514" s="42">
        <v>0</v>
      </c>
      <c r="O514" s="42">
        <v>0</v>
      </c>
      <c r="Q514" s="42">
        <v>239267</v>
      </c>
      <c r="S514" s="42">
        <v>61316</v>
      </c>
      <c r="U514" s="42">
        <v>54289</v>
      </c>
      <c r="W514" s="42">
        <v>395968</v>
      </c>
      <c r="Y514" s="42">
        <v>278011</v>
      </c>
      <c r="AA514" s="42">
        <v>28005</v>
      </c>
      <c r="AC514" s="42">
        <v>506123</v>
      </c>
      <c r="AE514" s="42">
        <v>376361</v>
      </c>
      <c r="AG514" s="42">
        <v>17653</v>
      </c>
      <c r="AI514" s="9" t="s">
        <v>526</v>
      </c>
      <c r="AJ514" s="9"/>
      <c r="AK514" s="9" t="s">
        <v>64</v>
      </c>
      <c r="AL514" s="9"/>
      <c r="AM514" s="42">
        <v>231968</v>
      </c>
      <c r="AO514" s="42">
        <v>31884</v>
      </c>
      <c r="AQ514" s="42">
        <v>371952</v>
      </c>
      <c r="AS514" s="42">
        <v>364459</v>
      </c>
      <c r="AW514" s="42">
        <v>0</v>
      </c>
      <c r="AY514" s="42">
        <f t="shared" si="54"/>
        <v>7152874</v>
      </c>
      <c r="BA514" s="42">
        <f>+'St of Act - GA Rev'!AI514-'St of Activities - GA Exp'!AY514</f>
        <v>-703606</v>
      </c>
      <c r="BC514" s="42">
        <v>17692801</v>
      </c>
      <c r="BE514" s="42">
        <f t="shared" si="55"/>
        <v>16989195</v>
      </c>
      <c r="BG514" s="42">
        <f>+'St of Net Pos - GA'!AE514-'St of Activities - GA Exp'!BE514</f>
        <v>0</v>
      </c>
    </row>
    <row r="515" spans="1:59" ht="12" hidden="1" customHeight="1">
      <c r="A515" s="9" t="s">
        <v>823</v>
      </c>
      <c r="B515" s="9"/>
      <c r="C515" s="9" t="s">
        <v>42</v>
      </c>
      <c r="D515" s="9"/>
      <c r="E515" s="23">
        <v>48041</v>
      </c>
      <c r="G515" s="42">
        <v>0</v>
      </c>
      <c r="I515" s="42">
        <v>0</v>
      </c>
      <c r="K515" s="42">
        <v>0</v>
      </c>
      <c r="M515" s="42">
        <v>0</v>
      </c>
      <c r="O515" s="42">
        <v>0</v>
      </c>
      <c r="Q515" s="42">
        <v>0</v>
      </c>
      <c r="S515" s="42">
        <v>0</v>
      </c>
      <c r="U515" s="42">
        <v>0</v>
      </c>
      <c r="W515" s="42">
        <v>0</v>
      </c>
      <c r="Y515" s="42">
        <v>0</v>
      </c>
      <c r="AA515" s="42">
        <v>0</v>
      </c>
      <c r="AC515" s="42">
        <v>0</v>
      </c>
      <c r="AE515" s="42">
        <v>0</v>
      </c>
      <c r="AG515" s="42">
        <v>0</v>
      </c>
      <c r="AI515" s="8" t="s">
        <v>823</v>
      </c>
      <c r="AJ515" s="9"/>
      <c r="AK515" s="9" t="s">
        <v>42</v>
      </c>
      <c r="AL515" s="9"/>
      <c r="AM515" s="42">
        <v>0</v>
      </c>
      <c r="AO515" s="42">
        <v>0</v>
      </c>
      <c r="AQ515" s="42">
        <v>0</v>
      </c>
      <c r="AS515" s="42">
        <v>0</v>
      </c>
      <c r="AW515" s="42">
        <v>0</v>
      </c>
      <c r="AY515" s="42">
        <f t="shared" si="54"/>
        <v>0</v>
      </c>
      <c r="BA515" s="42">
        <f>+'St of Act - GA Rev'!AI515-'St of Activities - GA Exp'!AY515</f>
        <v>0</v>
      </c>
      <c r="BC515" s="42">
        <v>0</v>
      </c>
      <c r="BE515" s="42">
        <f t="shared" si="55"/>
        <v>0</v>
      </c>
      <c r="BG515" s="42">
        <f>+'St of Net Pos - GA'!AE515-'St of Activities - GA Exp'!BE515</f>
        <v>0</v>
      </c>
    </row>
    <row r="516" spans="1:59" ht="12" customHeight="1">
      <c r="A516" s="9" t="s">
        <v>329</v>
      </c>
      <c r="B516" s="9"/>
      <c r="C516" s="9" t="s">
        <v>32</v>
      </c>
      <c r="D516" s="9"/>
      <c r="E516" s="23">
        <v>47381</v>
      </c>
      <c r="G516" s="42">
        <v>15289991</v>
      </c>
      <c r="I516" s="42">
        <v>4542062</v>
      </c>
      <c r="K516" s="42">
        <v>0</v>
      </c>
      <c r="M516" s="42">
        <v>0</v>
      </c>
      <c r="O516" s="42">
        <v>797162</v>
      </c>
      <c r="Q516" s="42">
        <v>1678421</v>
      </c>
      <c r="S516" s="42">
        <v>332377</v>
      </c>
      <c r="U516" s="42">
        <v>0</v>
      </c>
      <c r="W516" s="42">
        <f>33590+2538948</f>
        <v>2572538</v>
      </c>
      <c r="Y516" s="42">
        <v>949663</v>
      </c>
      <c r="AA516" s="42">
        <v>100</v>
      </c>
      <c r="AC516" s="42">
        <v>3063956</v>
      </c>
      <c r="AE516" s="42">
        <v>1235927</v>
      </c>
      <c r="AG516" s="42">
        <v>106878</v>
      </c>
      <c r="AI516" s="9" t="s">
        <v>329</v>
      </c>
      <c r="AJ516" s="9"/>
      <c r="AK516" s="9" t="s">
        <v>32</v>
      </c>
      <c r="AL516" s="9"/>
      <c r="AM516" s="42">
        <v>0</v>
      </c>
      <c r="AO516" s="42">
        <v>1564674</v>
      </c>
      <c r="AQ516" s="42">
        <v>767971</v>
      </c>
      <c r="AS516" s="42">
        <v>658416</v>
      </c>
      <c r="AW516" s="42">
        <v>0</v>
      </c>
      <c r="AY516" s="42">
        <f t="shared" si="54"/>
        <v>33560136</v>
      </c>
      <c r="BA516" s="42">
        <f>+'St of Act - GA Rev'!AI516-'St of Activities - GA Exp'!AY516</f>
        <v>1009786</v>
      </c>
      <c r="BC516" s="42">
        <v>10312990</v>
      </c>
      <c r="BE516" s="42">
        <f t="shared" si="55"/>
        <v>11322776</v>
      </c>
      <c r="BG516" s="42">
        <f>+'St of Net Pos - GA'!AE516-'St of Activities - GA Exp'!BE516</f>
        <v>0</v>
      </c>
    </row>
    <row r="517" spans="1:59">
      <c r="A517" s="9" t="s">
        <v>305</v>
      </c>
      <c r="B517" s="9"/>
      <c r="C517" s="9" t="s">
        <v>27</v>
      </c>
      <c r="D517" s="9"/>
      <c r="E517" s="23">
        <v>44800</v>
      </c>
      <c r="G517" s="42">
        <v>102766386</v>
      </c>
      <c r="I517" s="42">
        <v>32721653</v>
      </c>
      <c r="K517" s="42">
        <v>6268512</v>
      </c>
      <c r="M517" s="42">
        <v>0</v>
      </c>
      <c r="O517" s="42">
        <v>983567</v>
      </c>
      <c r="Q517" s="42">
        <v>10582567</v>
      </c>
      <c r="S517" s="42">
        <v>14851375</v>
      </c>
      <c r="U517" s="42">
        <v>38433</v>
      </c>
      <c r="W517" s="42">
        <v>15025637</v>
      </c>
      <c r="Y517" s="42">
        <v>3970157</v>
      </c>
      <c r="AA517" s="42">
        <v>820483</v>
      </c>
      <c r="AC517" s="42">
        <v>16488459</v>
      </c>
      <c r="AE517" s="42">
        <v>12706181</v>
      </c>
      <c r="AG517" s="42">
        <v>7983879</v>
      </c>
      <c r="AI517" s="9" t="s">
        <v>305</v>
      </c>
      <c r="AJ517" s="9"/>
      <c r="AK517" s="9" t="s">
        <v>27</v>
      </c>
      <c r="AL517" s="9"/>
      <c r="AM517" s="42">
        <v>8404080</v>
      </c>
      <c r="AO517" s="42">
        <v>1620950</v>
      </c>
      <c r="AQ517" s="42">
        <v>4604650</v>
      </c>
      <c r="AS517" s="42">
        <v>8241288</v>
      </c>
      <c r="AW517" s="42">
        <v>101502</v>
      </c>
      <c r="AY517" s="42">
        <f t="shared" ref="AY517:AY577" si="56">SUM(G517:AX517)</f>
        <v>248179759</v>
      </c>
      <c r="BA517" s="42">
        <f>+'St of Act - GA Rev'!AI517-'St of Activities - GA Exp'!AY517</f>
        <v>124121274</v>
      </c>
      <c r="BC517" s="42">
        <v>198016561</v>
      </c>
      <c r="BE517" s="42">
        <f t="shared" ref="BE517:BE571" si="57">+BA517+BC517</f>
        <v>322137835</v>
      </c>
      <c r="BG517" s="42">
        <f>+'St of Net Pos - GA'!AE517-'St of Activities - GA Exp'!BE517</f>
        <v>0</v>
      </c>
    </row>
    <row r="518" spans="1:59" ht="12" hidden="1" customHeight="1">
      <c r="A518" s="9" t="s">
        <v>696</v>
      </c>
      <c r="B518" s="9"/>
      <c r="C518" s="9" t="s">
        <v>10</v>
      </c>
      <c r="D518" s="9"/>
      <c r="E518" s="23">
        <v>45807</v>
      </c>
      <c r="G518" s="42">
        <v>0</v>
      </c>
      <c r="I518" s="42">
        <v>0</v>
      </c>
      <c r="K518" s="42">
        <v>0</v>
      </c>
      <c r="M518" s="42">
        <v>0</v>
      </c>
      <c r="O518" s="42">
        <v>0</v>
      </c>
      <c r="Q518" s="42">
        <v>0</v>
      </c>
      <c r="S518" s="42">
        <v>0</v>
      </c>
      <c r="U518" s="42">
        <v>0</v>
      </c>
      <c r="W518" s="42">
        <v>0</v>
      </c>
      <c r="Y518" s="42">
        <v>0</v>
      </c>
      <c r="AA518" s="42">
        <v>0</v>
      </c>
      <c r="AC518" s="42">
        <v>0</v>
      </c>
      <c r="AE518" s="42">
        <v>0</v>
      </c>
      <c r="AG518" s="42">
        <v>0</v>
      </c>
      <c r="AI518" s="9" t="s">
        <v>696</v>
      </c>
      <c r="AJ518" s="9"/>
      <c r="AK518" s="9" t="s">
        <v>10</v>
      </c>
      <c r="AL518" s="9"/>
      <c r="AM518" s="42">
        <v>0</v>
      </c>
      <c r="AO518" s="42">
        <v>0</v>
      </c>
      <c r="AQ518" s="42">
        <v>0</v>
      </c>
      <c r="AS518" s="42">
        <v>0</v>
      </c>
      <c r="AW518" s="42">
        <v>0</v>
      </c>
      <c r="AY518" s="42">
        <f t="shared" si="56"/>
        <v>0</v>
      </c>
      <c r="BA518" s="42">
        <f>+'St of Act - GA Rev'!AI518-'St of Activities - GA Exp'!AY518</f>
        <v>0</v>
      </c>
      <c r="BC518" s="42">
        <v>0</v>
      </c>
      <c r="BE518" s="42">
        <f t="shared" si="57"/>
        <v>0</v>
      </c>
      <c r="BG518" s="42">
        <f>+'St of Net Pos - GA'!AE518-'St of Activities - GA Exp'!BE518</f>
        <v>0</v>
      </c>
    </row>
    <row r="519" spans="1:59" ht="12" customHeight="1">
      <c r="A519" s="8" t="s">
        <v>838</v>
      </c>
      <c r="B519" s="9"/>
      <c r="C519" s="9" t="s">
        <v>69</v>
      </c>
      <c r="D519" s="9"/>
      <c r="E519" s="23">
        <v>50427</v>
      </c>
      <c r="G519" s="42">
        <v>23610057</v>
      </c>
      <c r="I519" s="42">
        <v>4133630</v>
      </c>
      <c r="K519" s="42">
        <v>0</v>
      </c>
      <c r="M519" s="42">
        <v>0</v>
      </c>
      <c r="O519" s="42">
        <v>582059</v>
      </c>
      <c r="Q519" s="42">
        <v>2339062</v>
      </c>
      <c r="S519" s="42">
        <v>3390317</v>
      </c>
      <c r="U519" s="42">
        <v>239248</v>
      </c>
      <c r="W519" s="42">
        <v>3270478</v>
      </c>
      <c r="Y519" s="42">
        <v>770803</v>
      </c>
      <c r="AA519" s="42">
        <v>205835</v>
      </c>
      <c r="AC519" s="42">
        <v>4819483</v>
      </c>
      <c r="AE519" s="42">
        <v>3136508</v>
      </c>
      <c r="AG519" s="42">
        <v>272037</v>
      </c>
      <c r="AI519" s="8" t="s">
        <v>838</v>
      </c>
      <c r="AJ519" s="9"/>
      <c r="AK519" s="9" t="s">
        <v>69</v>
      </c>
      <c r="AL519" s="9"/>
      <c r="AM519" s="42">
        <v>0</v>
      </c>
      <c r="AO519" s="42">
        <v>1330779</v>
      </c>
      <c r="AQ519" s="42">
        <v>1762415</v>
      </c>
      <c r="AS519" s="42">
        <v>4046329</v>
      </c>
      <c r="AW519" s="42">
        <v>24295</v>
      </c>
      <c r="AY519" s="42">
        <f t="shared" si="56"/>
        <v>53933335</v>
      </c>
      <c r="BA519" s="42">
        <f>+'St of Act - GA Rev'!AI519-'St of Activities - GA Exp'!AY519</f>
        <v>1776887</v>
      </c>
      <c r="BC519" s="42">
        <v>2777680</v>
      </c>
      <c r="BE519" s="42">
        <f t="shared" si="57"/>
        <v>4554567</v>
      </c>
      <c r="BG519" s="42">
        <f>+'St of Net Pos - GA'!AE519-'St of Activities - GA Exp'!BE519</f>
        <v>0</v>
      </c>
    </row>
    <row r="520" spans="1:59">
      <c r="A520" s="9" t="s">
        <v>624</v>
      </c>
      <c r="B520" s="9"/>
      <c r="C520" s="9" t="s">
        <v>17</v>
      </c>
      <c r="D520" s="9"/>
      <c r="E520" s="23">
        <v>44818</v>
      </c>
      <c r="G520" s="42">
        <v>30603989</v>
      </c>
      <c r="I520" s="42">
        <v>11453383</v>
      </c>
      <c r="K520" s="42">
        <v>235148</v>
      </c>
      <c r="M520" s="42">
        <v>325703</v>
      </c>
      <c r="O520" s="42">
        <v>15069726</v>
      </c>
      <c r="Q520" s="42">
        <v>7458453</v>
      </c>
      <c r="S520" s="42">
        <v>7485239</v>
      </c>
      <c r="U520" s="42">
        <v>264601</v>
      </c>
      <c r="W520" s="42">
        <v>7408544</v>
      </c>
      <c r="Y520" s="42">
        <v>1778229</v>
      </c>
      <c r="AA520" s="42">
        <v>391781</v>
      </c>
      <c r="AC520" s="42">
        <v>7396803</v>
      </c>
      <c r="AE520" s="42">
        <v>2580206</v>
      </c>
      <c r="AG520" s="42">
        <v>1481062</v>
      </c>
      <c r="AI520" s="9" t="s">
        <v>624</v>
      </c>
      <c r="AJ520" s="9"/>
      <c r="AK520" s="9" t="s">
        <v>17</v>
      </c>
      <c r="AL520" s="9"/>
      <c r="AM520" s="42">
        <v>0</v>
      </c>
      <c r="AO520" s="42">
        <v>6146987</v>
      </c>
      <c r="AQ520" s="42">
        <v>977180</v>
      </c>
      <c r="AS520" s="42">
        <v>2498213</v>
      </c>
      <c r="AW520" s="42">
        <v>4733369</v>
      </c>
      <c r="AY520" s="42">
        <f t="shared" si="56"/>
        <v>108288616</v>
      </c>
      <c r="BA520" s="42">
        <f>+'St of Act - GA Rev'!AI520-'St of Activities - GA Exp'!AY520</f>
        <v>-6146826</v>
      </c>
      <c r="BC520" s="42">
        <v>196147227</v>
      </c>
      <c r="BE520" s="42">
        <f t="shared" si="57"/>
        <v>190000401</v>
      </c>
      <c r="BG520" s="42">
        <f>+'St of Net Pos - GA'!AE520-'St of Activities - GA Exp'!BE520</f>
        <v>0</v>
      </c>
    </row>
    <row r="521" spans="1:59">
      <c r="A521" s="9" t="s">
        <v>710</v>
      </c>
      <c r="B521" s="9"/>
      <c r="C521" s="9" t="s">
        <v>114</v>
      </c>
      <c r="D521" s="9"/>
      <c r="E521" s="23">
        <v>48223</v>
      </c>
      <c r="G521" s="42">
        <v>18296017</v>
      </c>
      <c r="I521" s="42">
        <v>4637298</v>
      </c>
      <c r="K521" s="42">
        <v>224839</v>
      </c>
      <c r="M521" s="42">
        <v>0</v>
      </c>
      <c r="O521" s="42">
        <v>3536915</v>
      </c>
      <c r="Q521" s="42">
        <v>1385659</v>
      </c>
      <c r="S521" s="42">
        <v>561910</v>
      </c>
      <c r="U521" s="42">
        <v>100482</v>
      </c>
      <c r="W521" s="42">
        <v>2827003</v>
      </c>
      <c r="Y521" s="42">
        <v>782578</v>
      </c>
      <c r="AA521" s="42">
        <v>0</v>
      </c>
      <c r="AC521" s="42">
        <v>3099078</v>
      </c>
      <c r="AE521" s="42">
        <v>2043877</v>
      </c>
      <c r="AG521" s="42">
        <v>118627</v>
      </c>
      <c r="AI521" s="9" t="s">
        <v>710</v>
      </c>
      <c r="AJ521" s="9"/>
      <c r="AK521" s="9" t="s">
        <v>114</v>
      </c>
      <c r="AL521" s="9"/>
      <c r="AM521" s="42">
        <v>1465725</v>
      </c>
      <c r="AO521" s="42">
        <v>1330395</v>
      </c>
      <c r="AQ521" s="42">
        <v>1251157</v>
      </c>
      <c r="AS521" s="42">
        <v>442176</v>
      </c>
      <c r="AW521" s="42">
        <v>0</v>
      </c>
      <c r="AY521" s="42">
        <f t="shared" si="56"/>
        <v>42103736</v>
      </c>
      <c r="BA521" s="42">
        <f>+'St of Act - GA Rev'!AI521-'St of Activities - GA Exp'!AY521</f>
        <v>1220507</v>
      </c>
      <c r="BC521" s="42">
        <v>11081699</v>
      </c>
      <c r="BE521" s="42">
        <f t="shared" si="57"/>
        <v>12302206</v>
      </c>
      <c r="BG521" s="42">
        <f>+'St of Net Pos - GA'!AE521-'St of Activities - GA Exp'!BE521</f>
        <v>0</v>
      </c>
    </row>
    <row r="522" spans="1:59">
      <c r="A522" s="9" t="s">
        <v>390</v>
      </c>
      <c r="B522" s="9"/>
      <c r="C522" s="9" t="s">
        <v>45</v>
      </c>
      <c r="D522" s="9"/>
      <c r="E522" s="23">
        <v>48371</v>
      </c>
      <c r="G522" s="42">
        <v>5246852</v>
      </c>
      <c r="I522" s="42">
        <v>1087742</v>
      </c>
      <c r="K522" s="42">
        <v>191393</v>
      </c>
      <c r="M522" s="42">
        <v>0</v>
      </c>
      <c r="O522" s="42">
        <v>108109</v>
      </c>
      <c r="Q522" s="42">
        <v>598082</v>
      </c>
      <c r="S522" s="42">
        <v>437268</v>
      </c>
      <c r="U522" s="42">
        <v>26064</v>
      </c>
      <c r="W522" s="42">
        <v>1286055</v>
      </c>
      <c r="Y522" s="42">
        <v>363349</v>
      </c>
      <c r="AA522" s="42">
        <v>4519</v>
      </c>
      <c r="AC522" s="42">
        <v>913859</v>
      </c>
      <c r="AE522" s="42">
        <v>580836</v>
      </c>
      <c r="AG522" s="42">
        <v>29030</v>
      </c>
      <c r="AI522" s="9" t="s">
        <v>390</v>
      </c>
      <c r="AJ522" s="9"/>
      <c r="AK522" s="9" t="s">
        <v>45</v>
      </c>
      <c r="AL522" s="9"/>
      <c r="AM522" s="42">
        <v>581620</v>
      </c>
      <c r="AO522" s="42">
        <v>4465</v>
      </c>
      <c r="AQ522" s="42">
        <v>579545</v>
      </c>
      <c r="AS522" s="42">
        <v>162978</v>
      </c>
      <c r="AW522" s="42">
        <v>0</v>
      </c>
      <c r="AY522" s="42">
        <f t="shared" si="56"/>
        <v>12201766</v>
      </c>
      <c r="BA522" s="42">
        <f>+'St of Act - GA Rev'!AI522-'St of Activities - GA Exp'!AY522</f>
        <v>132126</v>
      </c>
      <c r="BC522" s="42">
        <v>5437248</v>
      </c>
      <c r="BE522" s="42">
        <f t="shared" si="57"/>
        <v>5569374</v>
      </c>
      <c r="BG522" s="42">
        <f>+'St of Net Pos - GA'!AE522-'St of Activities - GA Exp'!BE522</f>
        <v>0</v>
      </c>
    </row>
    <row r="523" spans="1:59">
      <c r="A523" s="9" t="s">
        <v>390</v>
      </c>
      <c r="B523" s="9"/>
      <c r="C523" s="9" t="s">
        <v>63</v>
      </c>
      <c r="D523" s="9"/>
      <c r="E523" s="23">
        <v>50062</v>
      </c>
      <c r="G523" s="42">
        <v>11685049</v>
      </c>
      <c r="I523" s="42">
        <v>3639393</v>
      </c>
      <c r="K523" s="42">
        <v>283372</v>
      </c>
      <c r="M523" s="42">
        <v>0</v>
      </c>
      <c r="O523" s="42">
        <v>2304781</v>
      </c>
      <c r="Q523" s="42">
        <v>1347871</v>
      </c>
      <c r="S523" s="42">
        <v>1188431</v>
      </c>
      <c r="U523" s="42">
        <v>59323</v>
      </c>
      <c r="W523" s="42">
        <v>1979975</v>
      </c>
      <c r="Y523" s="42">
        <v>876344</v>
      </c>
      <c r="AA523" s="42">
        <v>140384</v>
      </c>
      <c r="AC523" s="42">
        <v>2523627</v>
      </c>
      <c r="AE523" s="42">
        <v>1464568</v>
      </c>
      <c r="AG523" s="42">
        <v>58436</v>
      </c>
      <c r="AI523" s="9" t="s">
        <v>390</v>
      </c>
      <c r="AJ523" s="9"/>
      <c r="AK523" s="9" t="s">
        <v>63</v>
      </c>
      <c r="AL523" s="9"/>
      <c r="AM523" s="42">
        <v>940196</v>
      </c>
      <c r="AO523" s="42">
        <v>19218</v>
      </c>
      <c r="AQ523" s="42">
        <v>729120</v>
      </c>
      <c r="AS523" s="42">
        <v>1948719</v>
      </c>
      <c r="AW523" s="42">
        <v>0</v>
      </c>
      <c r="AY523" s="42">
        <f t="shared" si="56"/>
        <v>31188807</v>
      </c>
      <c r="BA523" s="42">
        <f>+'St of Act - GA Rev'!AI523-'St of Activities - GA Exp'!AY523</f>
        <v>-618544</v>
      </c>
      <c r="BC523" s="42">
        <v>17570917</v>
      </c>
      <c r="BE523" s="42">
        <f t="shared" si="57"/>
        <v>16952373</v>
      </c>
      <c r="BG523" s="42">
        <f>+'St of Net Pos - GA'!AE523-'St of Activities - GA Exp'!BE523</f>
        <v>0</v>
      </c>
    </row>
    <row r="524" spans="1:59">
      <c r="A524" s="9" t="s">
        <v>780</v>
      </c>
      <c r="B524" s="9"/>
      <c r="C524" s="9" t="s">
        <v>32</v>
      </c>
      <c r="D524" s="9"/>
      <c r="E524" s="23">
        <v>44719</v>
      </c>
      <c r="G524" s="42">
        <v>5883135</v>
      </c>
      <c r="I524" s="42">
        <v>1948036</v>
      </c>
      <c r="K524" s="42">
        <v>0</v>
      </c>
      <c r="M524" s="42">
        <v>0</v>
      </c>
      <c r="O524" s="42">
        <v>0</v>
      </c>
      <c r="Q524" s="42">
        <v>911023</v>
      </c>
      <c r="S524" s="42">
        <v>671172</v>
      </c>
      <c r="U524" s="42">
        <v>16996</v>
      </c>
      <c r="W524" s="42">
        <v>942430</v>
      </c>
      <c r="Y524" s="42">
        <v>459793</v>
      </c>
      <c r="AA524" s="42">
        <v>0</v>
      </c>
      <c r="AC524" s="42">
        <v>1214290</v>
      </c>
      <c r="AE524" s="42">
        <v>338543</v>
      </c>
      <c r="AG524" s="42">
        <v>200983</v>
      </c>
      <c r="AI524" s="9" t="s">
        <v>780</v>
      </c>
      <c r="AJ524" s="9"/>
      <c r="AK524" s="9" t="s">
        <v>32</v>
      </c>
      <c r="AL524" s="9"/>
      <c r="AM524" s="42">
        <v>0</v>
      </c>
      <c r="AO524" s="42">
        <v>927538</v>
      </c>
      <c r="AQ524" s="42">
        <v>245493</v>
      </c>
      <c r="AS524" s="42">
        <v>48971</v>
      </c>
      <c r="AW524" s="42">
        <v>0</v>
      </c>
      <c r="AY524" s="42">
        <f t="shared" si="56"/>
        <v>13808403</v>
      </c>
      <c r="BA524" s="42">
        <f>+'St of Act - GA Rev'!AI524-'St of Activities - GA Exp'!AY524</f>
        <v>565112</v>
      </c>
      <c r="BC524" s="42">
        <v>9548478</v>
      </c>
      <c r="BE524" s="42">
        <f t="shared" si="57"/>
        <v>10113590</v>
      </c>
      <c r="BG524" s="42">
        <f>+'St of Net Pos - GA'!AE524-'St of Activities - GA Exp'!BE524</f>
        <v>0</v>
      </c>
    </row>
    <row r="525" spans="1:59">
      <c r="A525" s="9" t="s">
        <v>781</v>
      </c>
      <c r="B525" s="9"/>
      <c r="C525" s="9" t="s">
        <v>15</v>
      </c>
      <c r="D525" s="9"/>
      <c r="E525" s="23">
        <v>45997</v>
      </c>
      <c r="G525" s="42">
        <v>7680158</v>
      </c>
      <c r="I525" s="42">
        <v>1650894</v>
      </c>
      <c r="K525" s="42">
        <v>24245</v>
      </c>
      <c r="M525" s="42">
        <v>0</v>
      </c>
      <c r="O525" s="42">
        <v>0</v>
      </c>
      <c r="Q525" s="42">
        <v>752453</v>
      </c>
      <c r="S525" s="42">
        <v>234050</v>
      </c>
      <c r="U525" s="42">
        <v>19722</v>
      </c>
      <c r="W525" s="42">
        <v>872982</v>
      </c>
      <c r="Y525" s="42">
        <v>549148</v>
      </c>
      <c r="AA525" s="42">
        <v>0</v>
      </c>
      <c r="AC525" s="42">
        <v>1274063</v>
      </c>
      <c r="AE525" s="42">
        <v>717356</v>
      </c>
      <c r="AG525" s="42">
        <v>262949</v>
      </c>
      <c r="AI525" s="9" t="s">
        <v>781</v>
      </c>
      <c r="AJ525" s="9"/>
      <c r="AK525" s="9" t="s">
        <v>15</v>
      </c>
      <c r="AL525" s="9"/>
      <c r="AM525" s="42">
        <v>279687</v>
      </c>
      <c r="AO525" s="42">
        <v>283340</v>
      </c>
      <c r="AQ525" s="42">
        <v>803394</v>
      </c>
      <c r="AS525" s="42">
        <v>180827</v>
      </c>
      <c r="AW525" s="42">
        <v>0</v>
      </c>
      <c r="AY525" s="42">
        <f t="shared" si="56"/>
        <v>15585268</v>
      </c>
      <c r="BA525" s="42">
        <f>+'St of Act - GA Rev'!AI525-'St of Activities - GA Exp'!AY525</f>
        <v>455996</v>
      </c>
      <c r="BC525" s="42">
        <v>7571590</v>
      </c>
      <c r="BE525" s="42">
        <f t="shared" si="57"/>
        <v>8027586</v>
      </c>
      <c r="BG525" s="42">
        <f>+'St of Net Pos - GA'!AE525-'St of Activities - GA Exp'!BE525</f>
        <v>0</v>
      </c>
    </row>
    <row r="526" spans="1:59" ht="12" hidden="1" customHeight="1">
      <c r="A526" s="9" t="s">
        <v>697</v>
      </c>
      <c r="B526" s="9"/>
      <c r="C526" s="9" t="s">
        <v>419</v>
      </c>
      <c r="D526" s="9"/>
      <c r="E526" s="23">
        <v>48587</v>
      </c>
      <c r="G526" s="42">
        <v>0</v>
      </c>
      <c r="I526" s="42">
        <v>0</v>
      </c>
      <c r="K526" s="42">
        <v>0</v>
      </c>
      <c r="M526" s="42">
        <v>0</v>
      </c>
      <c r="O526" s="42">
        <v>0</v>
      </c>
      <c r="Q526" s="42">
        <v>0</v>
      </c>
      <c r="S526" s="42">
        <v>0</v>
      </c>
      <c r="U526" s="42">
        <v>0</v>
      </c>
      <c r="W526" s="42">
        <v>0</v>
      </c>
      <c r="Y526" s="42">
        <v>0</v>
      </c>
      <c r="AA526" s="42">
        <v>0</v>
      </c>
      <c r="AC526" s="42">
        <v>0</v>
      </c>
      <c r="AE526" s="42">
        <v>0</v>
      </c>
      <c r="AG526" s="42">
        <v>0</v>
      </c>
      <c r="AI526" s="9" t="s">
        <v>697</v>
      </c>
      <c r="AJ526" s="9"/>
      <c r="AK526" s="9" t="s">
        <v>419</v>
      </c>
      <c r="AL526" s="9"/>
      <c r="AM526" s="42">
        <v>0</v>
      </c>
      <c r="AO526" s="42">
        <v>0</v>
      </c>
      <c r="AQ526" s="42">
        <v>0</v>
      </c>
      <c r="AS526" s="42">
        <v>0</v>
      </c>
      <c r="AW526" s="42">
        <v>0</v>
      </c>
      <c r="AY526" s="42">
        <f t="shared" si="56"/>
        <v>0</v>
      </c>
      <c r="BA526" s="42">
        <f>+'St of Act - GA Rev'!AI526-'St of Activities - GA Exp'!AY526</f>
        <v>0</v>
      </c>
      <c r="BC526" s="42">
        <v>0</v>
      </c>
      <c r="BE526" s="42">
        <f t="shared" si="57"/>
        <v>0</v>
      </c>
      <c r="BG526" s="42">
        <f>+'St of Net Pos - GA'!AE526-'St of Activities - GA Exp'!BE526</f>
        <v>0</v>
      </c>
    </row>
    <row r="527" spans="1:59" ht="12" hidden="1" customHeight="1">
      <c r="A527" s="9" t="s">
        <v>698</v>
      </c>
      <c r="B527" s="9"/>
      <c r="C527" s="9" t="s">
        <v>14</v>
      </c>
      <c r="D527" s="9"/>
      <c r="E527" s="23">
        <v>44727</v>
      </c>
      <c r="G527" s="42">
        <v>0</v>
      </c>
      <c r="I527" s="42">
        <v>0</v>
      </c>
      <c r="K527" s="42">
        <v>0</v>
      </c>
      <c r="M527" s="42">
        <v>0</v>
      </c>
      <c r="O527" s="42">
        <v>0</v>
      </c>
      <c r="Q527" s="42">
        <v>0</v>
      </c>
      <c r="S527" s="42">
        <v>0</v>
      </c>
      <c r="U527" s="42">
        <v>0</v>
      </c>
      <c r="W527" s="42">
        <v>0</v>
      </c>
      <c r="Y527" s="42">
        <v>0</v>
      </c>
      <c r="AA527" s="42">
        <v>0</v>
      </c>
      <c r="AC527" s="42">
        <v>0</v>
      </c>
      <c r="AE527" s="42">
        <v>0</v>
      </c>
      <c r="AG527" s="42">
        <v>0</v>
      </c>
      <c r="AI527" s="9" t="s">
        <v>698</v>
      </c>
      <c r="AJ527" s="9"/>
      <c r="AK527" s="9" t="s">
        <v>14</v>
      </c>
      <c r="AL527" s="9"/>
      <c r="AM527" s="42">
        <v>0</v>
      </c>
      <c r="AO527" s="42">
        <v>0</v>
      </c>
      <c r="AQ527" s="42">
        <v>0</v>
      </c>
      <c r="AS527" s="42">
        <v>0</v>
      </c>
      <c r="AW527" s="42">
        <v>0</v>
      </c>
      <c r="AY527" s="42">
        <f t="shared" si="56"/>
        <v>0</v>
      </c>
      <c r="BA527" s="42">
        <f>+'St of Act - GA Rev'!AI527-'St of Activities - GA Exp'!AY527</f>
        <v>0</v>
      </c>
      <c r="BC527" s="42">
        <v>0</v>
      </c>
      <c r="BE527" s="42">
        <f t="shared" si="57"/>
        <v>0</v>
      </c>
      <c r="BG527" s="42">
        <f>+'St of Net Pos - GA'!AE527-'St of Activities - GA Exp'!BE527</f>
        <v>0</v>
      </c>
    </row>
    <row r="528" spans="1:59">
      <c r="A528" s="9" t="s">
        <v>362</v>
      </c>
      <c r="B528" s="9"/>
      <c r="C528" s="9" t="s">
        <v>39</v>
      </c>
      <c r="D528" s="9"/>
      <c r="E528" s="23">
        <v>44826</v>
      </c>
      <c r="G528" s="42">
        <v>11302374</v>
      </c>
      <c r="I528" s="42">
        <v>3959316</v>
      </c>
      <c r="K528" s="42">
        <v>804127</v>
      </c>
      <c r="M528" s="42">
        <v>0</v>
      </c>
      <c r="O528" s="42">
        <v>81505</v>
      </c>
      <c r="Q528" s="42">
        <v>763170</v>
      </c>
      <c r="S528" s="42">
        <v>982784</v>
      </c>
      <c r="U528" s="42">
        <v>105686</v>
      </c>
      <c r="W528" s="42">
        <v>1836451</v>
      </c>
      <c r="Y528" s="42">
        <v>425593</v>
      </c>
      <c r="AA528" s="42">
        <v>288819</v>
      </c>
      <c r="AC528" s="42">
        <v>2807365</v>
      </c>
      <c r="AE528" s="42">
        <v>435135</v>
      </c>
      <c r="AG528" s="42">
        <v>7941</v>
      </c>
      <c r="AI528" s="9" t="s">
        <v>362</v>
      </c>
      <c r="AJ528" s="9"/>
      <c r="AK528" s="9" t="s">
        <v>39</v>
      </c>
      <c r="AL528" s="9"/>
      <c r="AM528" s="42">
        <v>963530</v>
      </c>
      <c r="AO528" s="42">
        <v>623133</v>
      </c>
      <c r="AQ528" s="42">
        <v>734726</v>
      </c>
      <c r="AS528" s="42">
        <v>398810</v>
      </c>
      <c r="AW528" s="42">
        <v>0</v>
      </c>
      <c r="AY528" s="42">
        <f t="shared" si="56"/>
        <v>26520465</v>
      </c>
      <c r="BA528" s="42">
        <f>+'St of Act - GA Rev'!AI528-'St of Activities - GA Exp'!AY528</f>
        <v>-864935</v>
      </c>
      <c r="BC528" s="42">
        <v>54589831</v>
      </c>
      <c r="BE528" s="42">
        <f t="shared" si="57"/>
        <v>53724896</v>
      </c>
      <c r="BG528" s="42">
        <f>+'St of Net Pos - GA'!AE528-'St of Activities - GA Exp'!BE528</f>
        <v>0</v>
      </c>
    </row>
    <row r="529" spans="1:59">
      <c r="A529" s="9" t="s">
        <v>510</v>
      </c>
      <c r="B529" s="9"/>
      <c r="C529" s="9" t="s">
        <v>63</v>
      </c>
      <c r="D529" s="9"/>
      <c r="E529" s="23">
        <v>44834</v>
      </c>
      <c r="G529" s="42">
        <v>24059541</v>
      </c>
      <c r="I529" s="42">
        <v>5059066</v>
      </c>
      <c r="K529" s="42">
        <v>1947538</v>
      </c>
      <c r="M529" s="42">
        <v>0</v>
      </c>
      <c r="O529" s="42">
        <v>154464</v>
      </c>
      <c r="Q529" s="42">
        <v>3236206</v>
      </c>
      <c r="S529" s="42">
        <v>2685844</v>
      </c>
      <c r="U529" s="42">
        <v>748634</v>
      </c>
      <c r="W529" s="42">
        <v>3118716</v>
      </c>
      <c r="Y529" s="42">
        <v>1323704</v>
      </c>
      <c r="AA529" s="42">
        <v>66133</v>
      </c>
      <c r="AC529" s="42">
        <v>5138022</v>
      </c>
      <c r="AE529" s="42">
        <v>3374244</v>
      </c>
      <c r="AG529" s="42">
        <v>496342</v>
      </c>
      <c r="AI529" s="9" t="s">
        <v>510</v>
      </c>
      <c r="AJ529" s="9"/>
      <c r="AK529" s="9" t="s">
        <v>63</v>
      </c>
      <c r="AL529" s="9"/>
      <c r="AM529" s="42">
        <v>1380094</v>
      </c>
      <c r="AO529" s="42">
        <v>475514</v>
      </c>
      <c r="AQ529" s="42">
        <v>1235215</v>
      </c>
      <c r="AS529" s="42">
        <v>155073</v>
      </c>
      <c r="AW529" s="42">
        <v>0</v>
      </c>
      <c r="AY529" s="42">
        <f t="shared" si="56"/>
        <v>54654350</v>
      </c>
      <c r="BA529" s="42">
        <f>+'St of Act - GA Rev'!AI529-'St of Activities - GA Exp'!AY529</f>
        <v>3079147</v>
      </c>
      <c r="BC529" s="42">
        <v>25417768</v>
      </c>
      <c r="BE529" s="42">
        <f t="shared" si="57"/>
        <v>28496915</v>
      </c>
      <c r="BG529" s="42">
        <f>+'St of Net Pos - GA'!AE529-'St of Activities - GA Exp'!BE529</f>
        <v>0</v>
      </c>
    </row>
    <row r="530" spans="1:59" hidden="1">
      <c r="A530" s="9" t="s">
        <v>699</v>
      </c>
      <c r="B530" s="9"/>
      <c r="C530" s="9" t="s">
        <v>65</v>
      </c>
      <c r="D530" s="9"/>
      <c r="E530" s="23">
        <v>50294</v>
      </c>
      <c r="G530" s="42">
        <v>0</v>
      </c>
      <c r="I530" s="42">
        <v>0</v>
      </c>
      <c r="K530" s="42">
        <v>0</v>
      </c>
      <c r="M530" s="42">
        <v>0</v>
      </c>
      <c r="O530" s="42">
        <v>0</v>
      </c>
      <c r="Q530" s="42">
        <v>0</v>
      </c>
      <c r="S530" s="42">
        <v>0</v>
      </c>
      <c r="U530" s="42">
        <v>0</v>
      </c>
      <c r="W530" s="42">
        <v>0</v>
      </c>
      <c r="Y530" s="42">
        <v>0</v>
      </c>
      <c r="AA530" s="42">
        <v>0</v>
      </c>
      <c r="AC530" s="42">
        <v>0</v>
      </c>
      <c r="AE530" s="42">
        <v>0</v>
      </c>
      <c r="AG530" s="42">
        <v>0</v>
      </c>
      <c r="AI530" s="9" t="s">
        <v>699</v>
      </c>
      <c r="AJ530" s="9"/>
      <c r="AK530" s="9" t="s">
        <v>65</v>
      </c>
      <c r="AL530" s="9"/>
      <c r="AM530" s="42">
        <v>0</v>
      </c>
      <c r="AO530" s="42">
        <v>0</v>
      </c>
      <c r="AQ530" s="42">
        <v>0</v>
      </c>
      <c r="AS530" s="42">
        <v>0</v>
      </c>
      <c r="AW530" s="42">
        <v>0</v>
      </c>
      <c r="AY530" s="42">
        <f t="shared" si="56"/>
        <v>0</v>
      </c>
      <c r="BA530" s="42">
        <f>+'St of Act - GA Rev'!AI530-'St of Activities - GA Exp'!AY530</f>
        <v>0</v>
      </c>
      <c r="BC530" s="42">
        <v>0</v>
      </c>
      <c r="BE530" s="42">
        <f t="shared" si="57"/>
        <v>0</v>
      </c>
      <c r="BG530" s="42">
        <f>+'St of Net Pos - GA'!AE530-'St of Activities - GA Exp'!BE530</f>
        <v>0</v>
      </c>
    </row>
    <row r="531" spans="1:59">
      <c r="A531" s="9" t="s">
        <v>461</v>
      </c>
      <c r="B531" s="9"/>
      <c r="C531" s="9" t="s">
        <v>56</v>
      </c>
      <c r="D531" s="9"/>
      <c r="E531" s="23">
        <v>49239</v>
      </c>
      <c r="G531" s="42">
        <v>9563309</v>
      </c>
      <c r="I531" s="42">
        <v>2392851</v>
      </c>
      <c r="K531" s="42">
        <v>12537</v>
      </c>
      <c r="M531" s="42">
        <v>0</v>
      </c>
      <c r="O531" s="42">
        <f>297845+1035539</f>
        <v>1333384</v>
      </c>
      <c r="Q531" s="42">
        <v>1303905</v>
      </c>
      <c r="S531" s="42">
        <v>930779</v>
      </c>
      <c r="U531" s="42">
        <v>220240</v>
      </c>
      <c r="W531" s="42">
        <v>1724487</v>
      </c>
      <c r="Y531" s="42">
        <v>694913</v>
      </c>
      <c r="AA531" s="42">
        <v>199744</v>
      </c>
      <c r="AC531" s="42">
        <v>1981139</v>
      </c>
      <c r="AE531" s="42">
        <v>1300008</v>
      </c>
      <c r="AG531" s="42">
        <v>9244</v>
      </c>
      <c r="AI531" s="9" t="s">
        <v>461</v>
      </c>
      <c r="AJ531" s="9"/>
      <c r="AK531" s="9" t="s">
        <v>56</v>
      </c>
      <c r="AL531" s="9"/>
      <c r="AM531" s="42">
        <v>711983</v>
      </c>
      <c r="AO531" s="42">
        <f>148121+202</f>
        <v>148323</v>
      </c>
      <c r="AQ531" s="42">
        <v>781034</v>
      </c>
      <c r="AS531" s="42">
        <v>0</v>
      </c>
      <c r="AW531" s="42">
        <v>560050</v>
      </c>
      <c r="AY531" s="42">
        <f t="shared" si="56"/>
        <v>23867930</v>
      </c>
      <c r="BA531" s="42">
        <f>+'St of Act - GA Rev'!AI531-'St of Activities - GA Exp'!AY531</f>
        <v>1216179</v>
      </c>
      <c r="BC531" s="42">
        <v>10588952</v>
      </c>
      <c r="BE531" s="42">
        <f t="shared" si="57"/>
        <v>11805131</v>
      </c>
      <c r="BG531" s="42">
        <f>+'St of Net Pos - GA'!AE531-'St of Activities - GA Exp'!BE531</f>
        <v>0</v>
      </c>
    </row>
    <row r="532" spans="1:59">
      <c r="A532" s="9" t="s">
        <v>277</v>
      </c>
      <c r="B532" s="9"/>
      <c r="C532" s="9" t="s">
        <v>20</v>
      </c>
      <c r="D532" s="9"/>
      <c r="E532" s="23">
        <v>44842</v>
      </c>
      <c r="G532" s="42">
        <v>31906820</v>
      </c>
      <c r="I532" s="42">
        <v>4961052</v>
      </c>
      <c r="K532" s="42">
        <v>561456</v>
      </c>
      <c r="M532" s="42">
        <v>0</v>
      </c>
      <c r="O532" s="42">
        <v>32501</v>
      </c>
      <c r="Q532" s="42">
        <v>2795803</v>
      </c>
      <c r="S532" s="42">
        <v>3644085</v>
      </c>
      <c r="U532" s="42">
        <v>36366</v>
      </c>
      <c r="W532" s="42">
        <v>3152006</v>
      </c>
      <c r="Y532" s="42">
        <v>4718649</v>
      </c>
      <c r="AA532" s="42">
        <v>1047659</v>
      </c>
      <c r="AC532" s="42">
        <v>9690529</v>
      </c>
      <c r="AE532" s="42">
        <v>3627758</v>
      </c>
      <c r="AG532" s="42">
        <v>1541043</v>
      </c>
      <c r="AI532" s="9" t="s">
        <v>277</v>
      </c>
      <c r="AJ532" s="9"/>
      <c r="AK532" s="9" t="s">
        <v>20</v>
      </c>
      <c r="AL532" s="9"/>
      <c r="AM532" s="42">
        <v>1703814</v>
      </c>
      <c r="AO532" s="42">
        <v>547048</v>
      </c>
      <c r="AQ532" s="42">
        <v>765989</v>
      </c>
      <c r="AS532" s="42">
        <v>1506414</v>
      </c>
      <c r="AW532" s="42">
        <v>0</v>
      </c>
      <c r="AY532" s="42">
        <f t="shared" si="56"/>
        <v>72238992</v>
      </c>
      <c r="BA532" s="42">
        <f>+'St of Act - GA Rev'!AI532-'St of Activities - GA Exp'!AY532</f>
        <v>5465945</v>
      </c>
      <c r="BC532" s="42">
        <v>34961741</v>
      </c>
      <c r="BE532" s="42">
        <f t="shared" si="57"/>
        <v>40427686</v>
      </c>
      <c r="BG532" s="42">
        <f>+'St of Net Pos - GA'!AE532-'St of Activities - GA Exp'!BE532</f>
        <v>0</v>
      </c>
    </row>
    <row r="533" spans="1:59" ht="12" customHeight="1">
      <c r="A533" s="9" t="s">
        <v>404</v>
      </c>
      <c r="B533" s="9"/>
      <c r="C533" s="9" t="s">
        <v>45</v>
      </c>
      <c r="D533" s="9"/>
      <c r="E533" s="23">
        <v>44859</v>
      </c>
      <c r="G533" s="42">
        <v>9031494</v>
      </c>
      <c r="I533" s="42">
        <v>3090739</v>
      </c>
      <c r="K533" s="42">
        <v>206089</v>
      </c>
      <c r="M533" s="42">
        <v>0</v>
      </c>
      <c r="O533" s="42">
        <v>1331786</v>
      </c>
      <c r="Q533" s="42">
        <v>677971</v>
      </c>
      <c r="S533" s="42">
        <v>518323</v>
      </c>
      <c r="U533" s="42">
        <v>138911</v>
      </c>
      <c r="W533" s="42">
        <v>1309753</v>
      </c>
      <c r="Y533" s="42">
        <v>384654</v>
      </c>
      <c r="AA533" s="42">
        <v>73372</v>
      </c>
      <c r="AC533" s="42">
        <v>1733264</v>
      </c>
      <c r="AE533" s="42">
        <v>500937</v>
      </c>
      <c r="AG533" s="42">
        <v>186579</v>
      </c>
      <c r="AI533" s="9" t="s">
        <v>404</v>
      </c>
      <c r="AJ533" s="9"/>
      <c r="AK533" s="9" t="s">
        <v>45</v>
      </c>
      <c r="AL533" s="9"/>
      <c r="AM533" s="42">
        <v>780099</v>
      </c>
      <c r="AO533" s="42">
        <v>133161</v>
      </c>
      <c r="AQ533" s="42">
        <v>730200</v>
      </c>
      <c r="AS533" s="42">
        <v>157694</v>
      </c>
      <c r="AW533" s="42">
        <v>0</v>
      </c>
      <c r="AY533" s="42">
        <f t="shared" si="56"/>
        <v>20985026</v>
      </c>
      <c r="BA533" s="42">
        <f>+'St of Act - GA Rev'!AI533-'St of Activities - GA Exp'!AY533</f>
        <v>-828562</v>
      </c>
      <c r="BC533" s="42">
        <v>25060368</v>
      </c>
      <c r="BE533" s="42">
        <f t="shared" si="57"/>
        <v>24231806</v>
      </c>
      <c r="BG533" s="42">
        <f>+'St of Net Pos - GA'!AE533-'St of Activities - GA Exp'!BE533</f>
        <v>0</v>
      </c>
    </row>
    <row r="534" spans="1:59" hidden="1">
      <c r="A534" s="9" t="s">
        <v>906</v>
      </c>
      <c r="B534" s="9"/>
      <c r="C534" s="9" t="s">
        <v>548</v>
      </c>
      <c r="D534" s="9"/>
      <c r="E534" s="23">
        <v>50658</v>
      </c>
      <c r="G534" s="42">
        <v>0</v>
      </c>
      <c r="I534" s="42">
        <v>0</v>
      </c>
      <c r="K534" s="42">
        <v>0</v>
      </c>
      <c r="M534" s="42">
        <v>0</v>
      </c>
      <c r="O534" s="42">
        <v>0</v>
      </c>
      <c r="Q534" s="42">
        <v>0</v>
      </c>
      <c r="S534" s="42">
        <v>0</v>
      </c>
      <c r="U534" s="42">
        <v>0</v>
      </c>
      <c r="W534" s="42">
        <v>0</v>
      </c>
      <c r="Y534" s="42">
        <v>0</v>
      </c>
      <c r="AA534" s="42">
        <v>0</v>
      </c>
      <c r="AC534" s="42">
        <v>0</v>
      </c>
      <c r="AE534" s="42">
        <v>0</v>
      </c>
      <c r="AG534" s="42">
        <v>0</v>
      </c>
      <c r="AI534" s="9" t="s">
        <v>906</v>
      </c>
      <c r="AJ534" s="9"/>
      <c r="AK534" s="9" t="s">
        <v>548</v>
      </c>
      <c r="AL534" s="9"/>
      <c r="AM534" s="42">
        <v>0</v>
      </c>
      <c r="AO534" s="42">
        <v>0</v>
      </c>
      <c r="AQ534" s="42">
        <v>0</v>
      </c>
      <c r="AS534" s="42">
        <v>0</v>
      </c>
      <c r="AW534" s="42">
        <v>0</v>
      </c>
      <c r="AY534" s="42">
        <f t="shared" si="56"/>
        <v>0</v>
      </c>
      <c r="BA534" s="42">
        <f>+'St of Act - GA Rev'!AI534-'St of Activities - GA Exp'!AY534</f>
        <v>0</v>
      </c>
      <c r="BC534" s="42">
        <v>0</v>
      </c>
      <c r="BE534" s="42">
        <f t="shared" si="57"/>
        <v>0</v>
      </c>
      <c r="BG534" s="42">
        <f>+'St of Net Pos - GA'!AE534-'St of Activities - GA Exp'!BE534</f>
        <v>0</v>
      </c>
    </row>
    <row r="535" spans="1:59">
      <c r="A535" s="9" t="s">
        <v>310</v>
      </c>
      <c r="B535" s="9"/>
      <c r="C535" s="9" t="s">
        <v>28</v>
      </c>
      <c r="D535" s="9"/>
      <c r="E535" s="23">
        <v>47092</v>
      </c>
      <c r="G535" s="42">
        <v>5992067</v>
      </c>
      <c r="I535" s="42">
        <v>1982874</v>
      </c>
      <c r="K535" s="42">
        <v>240</v>
      </c>
      <c r="M535" s="42">
        <v>0</v>
      </c>
      <c r="O535" s="42">
        <v>0</v>
      </c>
      <c r="Q535" s="42">
        <v>705768</v>
      </c>
      <c r="S535" s="42">
        <v>638797</v>
      </c>
      <c r="U535" s="42">
        <v>55465</v>
      </c>
      <c r="W535" s="42">
        <v>1351219</v>
      </c>
      <c r="Y535" s="42">
        <v>462729</v>
      </c>
      <c r="AA535" s="42">
        <v>6148</v>
      </c>
      <c r="AC535" s="42">
        <v>1278718</v>
      </c>
      <c r="AE535" s="42">
        <v>816670</v>
      </c>
      <c r="AG535" s="42">
        <v>100094</v>
      </c>
      <c r="AI535" s="9" t="s">
        <v>310</v>
      </c>
      <c r="AJ535" s="9"/>
      <c r="AK535" s="9" t="s">
        <v>28</v>
      </c>
      <c r="AL535" s="9"/>
      <c r="AM535" s="42">
        <v>0</v>
      </c>
      <c r="AO535" s="42">
        <v>641988</v>
      </c>
      <c r="AQ535" s="42">
        <v>538759</v>
      </c>
      <c r="AS535" s="42">
        <v>793429</v>
      </c>
      <c r="AW535" s="42">
        <v>0</v>
      </c>
      <c r="AY535" s="42">
        <f t="shared" si="56"/>
        <v>15364965</v>
      </c>
      <c r="BA535" s="42">
        <f>+'St of Act - GA Rev'!AI535-'St of Activities - GA Exp'!AY535</f>
        <v>-598251</v>
      </c>
      <c r="BC535" s="42">
        <v>16320150</v>
      </c>
      <c r="BE535" s="42">
        <f t="shared" si="57"/>
        <v>15721899</v>
      </c>
      <c r="BG535" s="42">
        <f>+'St of Net Pos - GA'!AE535-'St of Activities - GA Exp'!BE535</f>
        <v>0</v>
      </c>
    </row>
    <row r="536" spans="1:59">
      <c r="A536" s="9" t="s">
        <v>623</v>
      </c>
      <c r="B536" s="9"/>
      <c r="C536" s="9" t="s">
        <v>49</v>
      </c>
      <c r="D536" s="9"/>
      <c r="E536" s="23">
        <v>48652</v>
      </c>
      <c r="G536" s="42">
        <v>14313586</v>
      </c>
      <c r="I536" s="42">
        <v>3543496</v>
      </c>
      <c r="K536" s="42">
        <v>2234381</v>
      </c>
      <c r="M536" s="42">
        <v>0</v>
      </c>
      <c r="O536" s="42">
        <v>3938</v>
      </c>
      <c r="Q536" s="42">
        <v>874056</v>
      </c>
      <c r="S536" s="42">
        <v>696218</v>
      </c>
      <c r="U536" s="42">
        <v>34035</v>
      </c>
      <c r="W536" s="42">
        <v>2219378</v>
      </c>
      <c r="Y536" s="42">
        <v>931836</v>
      </c>
      <c r="AA536" s="42">
        <v>8600</v>
      </c>
      <c r="AC536" s="42">
        <v>3303486</v>
      </c>
      <c r="AE536" s="42">
        <v>2925283</v>
      </c>
      <c r="AG536" s="42">
        <v>140398</v>
      </c>
      <c r="AI536" s="9" t="s">
        <v>424</v>
      </c>
      <c r="AJ536" s="9"/>
      <c r="AK536" s="9" t="s">
        <v>49</v>
      </c>
      <c r="AL536" s="9"/>
      <c r="AM536" s="42">
        <v>1736868</v>
      </c>
      <c r="AO536" s="42">
        <v>61721</v>
      </c>
      <c r="AQ536" s="42">
        <v>589112</v>
      </c>
      <c r="AS536" s="42">
        <v>1842388</v>
      </c>
      <c r="AW536" s="42">
        <v>0</v>
      </c>
      <c r="AY536" s="42">
        <f t="shared" si="56"/>
        <v>35458780</v>
      </c>
      <c r="BA536" s="42">
        <f>+'St of Act - GA Rev'!AI536-'St of Activities - GA Exp'!AY536</f>
        <v>-3151337</v>
      </c>
      <c r="BC536" s="42">
        <v>66282862</v>
      </c>
      <c r="BE536" s="42">
        <f t="shared" si="57"/>
        <v>63131525</v>
      </c>
      <c r="BG536" s="42">
        <f>+'St of Net Pos - GA'!AE536-'St of Activities - GA Exp'!BE536</f>
        <v>0</v>
      </c>
    </row>
    <row r="537" spans="1:59" ht="12" customHeight="1">
      <c r="A537" s="8" t="s">
        <v>828</v>
      </c>
      <c r="B537" s="9"/>
      <c r="C537" s="9" t="s">
        <v>32</v>
      </c>
      <c r="D537" s="9"/>
      <c r="E537" s="23">
        <v>44867</v>
      </c>
      <c r="G537" s="42">
        <v>36687214</v>
      </c>
      <c r="I537" s="42">
        <v>11266169</v>
      </c>
      <c r="K537" s="42">
        <v>0</v>
      </c>
      <c r="M537" s="42">
        <v>0</v>
      </c>
      <c r="O537" s="42">
        <v>744284</v>
      </c>
      <c r="Q537" s="42">
        <v>5204283</v>
      </c>
      <c r="S537" s="42">
        <v>2141451</v>
      </c>
      <c r="U537" s="42">
        <v>36753</v>
      </c>
      <c r="W537" s="42">
        <v>5353234</v>
      </c>
      <c r="Y537" s="42">
        <v>1690481</v>
      </c>
      <c r="AA537" s="42">
        <v>77993</v>
      </c>
      <c r="AC537" s="42">
        <v>6978332</v>
      </c>
      <c r="AE537" s="42">
        <v>4735476</v>
      </c>
      <c r="AG537" s="42">
        <v>682958</v>
      </c>
      <c r="AI537" s="8" t="s">
        <v>828</v>
      </c>
      <c r="AJ537" s="9"/>
      <c r="AK537" s="9" t="s">
        <v>32</v>
      </c>
      <c r="AL537" s="9"/>
      <c r="AM537" s="42">
        <v>0</v>
      </c>
      <c r="AO537" s="42">
        <v>4482339</v>
      </c>
      <c r="AQ537" s="42">
        <v>1778474</v>
      </c>
      <c r="AS537" s="42">
        <v>3218476</v>
      </c>
      <c r="AW537" s="42">
        <v>0</v>
      </c>
      <c r="AY537" s="42">
        <f t="shared" si="56"/>
        <v>85077917</v>
      </c>
      <c r="BA537" s="42">
        <f>+'St of Act - GA Rev'!AI537-'St of Activities - GA Exp'!AY537</f>
        <v>-3470070</v>
      </c>
      <c r="BC537" s="42">
        <v>76003400</v>
      </c>
      <c r="BE537" s="42">
        <f t="shared" si="57"/>
        <v>72533330</v>
      </c>
      <c r="BG537" s="42">
        <f>+'St of Net Pos - GA'!AE537-'St of Activities - GA Exp'!BE537</f>
        <v>0</v>
      </c>
    </row>
    <row r="538" spans="1:59">
      <c r="A538" s="9" t="s">
        <v>391</v>
      </c>
      <c r="B538" s="9"/>
      <c r="C538" s="9" t="s">
        <v>114</v>
      </c>
      <c r="D538" s="9"/>
      <c r="E538" s="23">
        <v>44875</v>
      </c>
      <c r="G538" s="42">
        <v>36103261</v>
      </c>
      <c r="I538" s="42">
        <v>10332087</v>
      </c>
      <c r="K538" s="42">
        <v>1804791</v>
      </c>
      <c r="M538" s="42">
        <v>68943</v>
      </c>
      <c r="O538" s="42">
        <v>2021759</v>
      </c>
      <c r="Q538" s="42">
        <v>5601668</v>
      </c>
      <c r="S538" s="42">
        <v>4672021</v>
      </c>
      <c r="U538" s="42">
        <v>24426</v>
      </c>
      <c r="W538" s="42">
        <v>4874391</v>
      </c>
      <c r="Y538" s="42">
        <v>1807481</v>
      </c>
      <c r="AA538" s="42">
        <v>229418</v>
      </c>
      <c r="AC538" s="42">
        <v>9122893</v>
      </c>
      <c r="AE538" s="42">
        <v>4894939</v>
      </c>
      <c r="AG538" s="42">
        <v>947814</v>
      </c>
      <c r="AI538" s="9" t="s">
        <v>391</v>
      </c>
      <c r="AJ538" s="9"/>
      <c r="AK538" s="9" t="s">
        <v>114</v>
      </c>
      <c r="AL538" s="9"/>
      <c r="AM538" s="42">
        <v>1974761</v>
      </c>
      <c r="AO538" s="42">
        <v>1304715</v>
      </c>
      <c r="AQ538" s="42">
        <v>2724876</v>
      </c>
      <c r="AS538" s="42">
        <v>4840501</v>
      </c>
      <c r="AW538" s="42">
        <v>0</v>
      </c>
      <c r="AY538" s="42">
        <f t="shared" si="56"/>
        <v>93350745</v>
      </c>
      <c r="BA538" s="42">
        <f>+'St of Act - GA Rev'!AI538-'St of Activities - GA Exp'!AY538</f>
        <v>339156</v>
      </c>
      <c r="BC538" s="42">
        <v>7365384</v>
      </c>
      <c r="BE538" s="42">
        <f t="shared" si="57"/>
        <v>7704540</v>
      </c>
      <c r="BG538" s="42">
        <f>+'St of Net Pos - GA'!AE538-'St of Activities - GA Exp'!BE538</f>
        <v>0</v>
      </c>
    </row>
    <row r="539" spans="1:59">
      <c r="A539" s="9" t="s">
        <v>370</v>
      </c>
      <c r="B539" s="9"/>
      <c r="C539" s="9" t="s">
        <v>364</v>
      </c>
      <c r="D539" s="9"/>
      <c r="E539" s="23">
        <v>47969</v>
      </c>
      <c r="G539" s="42">
        <v>3899480</v>
      </c>
      <c r="I539" s="42">
        <v>943025</v>
      </c>
      <c r="K539" s="42">
        <v>153168</v>
      </c>
      <c r="M539" s="42">
        <v>0</v>
      </c>
      <c r="O539" s="42">
        <v>0</v>
      </c>
      <c r="Q539" s="42">
        <v>292179</v>
      </c>
      <c r="S539" s="42">
        <v>323603</v>
      </c>
      <c r="U539" s="42">
        <v>83605</v>
      </c>
      <c r="W539" s="42">
        <v>438463</v>
      </c>
      <c r="Y539" s="42">
        <v>402053</v>
      </c>
      <c r="AA539" s="42">
        <v>0</v>
      </c>
      <c r="AC539" s="42">
        <v>915587</v>
      </c>
      <c r="AE539" s="42">
        <v>1073710</v>
      </c>
      <c r="AG539" s="42">
        <v>112683</v>
      </c>
      <c r="AI539" s="9" t="s">
        <v>370</v>
      </c>
      <c r="AJ539" s="9"/>
      <c r="AK539" s="9" t="s">
        <v>364</v>
      </c>
      <c r="AL539" s="9"/>
      <c r="AM539" s="42">
        <v>441535</v>
      </c>
      <c r="AO539" s="42">
        <v>0</v>
      </c>
      <c r="AQ539" s="42">
        <v>281391</v>
      </c>
      <c r="AS539" s="42">
        <v>18378</v>
      </c>
      <c r="AW539" s="42">
        <v>0</v>
      </c>
      <c r="AY539" s="42">
        <f t="shared" si="56"/>
        <v>9378860</v>
      </c>
      <c r="BA539" s="42">
        <f>+'St of Act - GA Rev'!AI539-'St of Activities - GA Exp'!AY539</f>
        <v>-397578</v>
      </c>
      <c r="BC539" s="42">
        <v>11057832</v>
      </c>
      <c r="BE539" s="42">
        <f t="shared" si="57"/>
        <v>10660254</v>
      </c>
      <c r="BG539" s="42">
        <f>+'St of Net Pos - GA'!AE539-'St of Activities - GA Exp'!BE539</f>
        <v>0</v>
      </c>
    </row>
    <row r="540" spans="1:59">
      <c r="A540" s="9" t="s">
        <v>711</v>
      </c>
      <c r="B540" s="9"/>
      <c r="C540" s="9" t="s">
        <v>220</v>
      </c>
      <c r="D540" s="9"/>
      <c r="E540" s="23">
        <v>46151</v>
      </c>
      <c r="G540" s="42">
        <v>16322315</v>
      </c>
      <c r="I540" s="42">
        <v>2961530</v>
      </c>
      <c r="K540" s="42">
        <v>0</v>
      </c>
      <c r="M540" s="42">
        <v>0</v>
      </c>
      <c r="O540" s="42">
        <v>1187686</v>
      </c>
      <c r="Q540" s="42">
        <v>1626396</v>
      </c>
      <c r="S540" s="42">
        <v>2400082</v>
      </c>
      <c r="U540" s="42">
        <v>60014</v>
      </c>
      <c r="W540" s="42">
        <v>2228366</v>
      </c>
      <c r="Y540" s="42">
        <v>1314829</v>
      </c>
      <c r="AA540" s="42">
        <v>802</v>
      </c>
      <c r="AC540" s="42">
        <v>3122849</v>
      </c>
      <c r="AE540" s="42">
        <v>2875288</v>
      </c>
      <c r="AG540" s="42">
        <v>227646</v>
      </c>
      <c r="AI540" s="9" t="s">
        <v>711</v>
      </c>
      <c r="AJ540" s="9"/>
      <c r="AK540" s="9" t="s">
        <v>220</v>
      </c>
      <c r="AL540" s="9"/>
      <c r="AM540" s="42">
        <v>1231210</v>
      </c>
      <c r="AO540" s="42">
        <v>115425</v>
      </c>
      <c r="AQ540" s="42">
        <v>853514</v>
      </c>
      <c r="AS540" s="42">
        <v>2660799</v>
      </c>
      <c r="AW540" s="42">
        <v>0</v>
      </c>
      <c r="AY540" s="42">
        <f t="shared" si="56"/>
        <v>39188751</v>
      </c>
      <c r="BA540" s="42">
        <f>+'St of Act - GA Rev'!AI540-'St of Activities - GA Exp'!AY540</f>
        <v>-194031</v>
      </c>
      <c r="BC540" s="42">
        <v>37595042</v>
      </c>
      <c r="BE540" s="42">
        <f t="shared" si="57"/>
        <v>37401011</v>
      </c>
      <c r="BG540" s="42">
        <f>+'St of Net Pos - GA'!AE540-'St of Activities - GA Exp'!BE540</f>
        <v>0</v>
      </c>
    </row>
    <row r="541" spans="1:59">
      <c r="A541" s="9" t="s">
        <v>511</v>
      </c>
      <c r="B541" s="9"/>
      <c r="C541" s="9" t="s">
        <v>63</v>
      </c>
      <c r="D541" s="9"/>
      <c r="E541" s="23">
        <v>44883</v>
      </c>
      <c r="G541" s="42">
        <v>12968695</v>
      </c>
      <c r="I541" s="42">
        <v>2726342</v>
      </c>
      <c r="K541" s="42">
        <v>666593</v>
      </c>
      <c r="M541" s="42">
        <v>53265</v>
      </c>
      <c r="O541" s="42">
        <v>0</v>
      </c>
      <c r="Q541" s="42">
        <v>1426624</v>
      </c>
      <c r="S541" s="42">
        <v>622553</v>
      </c>
      <c r="U541" s="42">
        <v>41818</v>
      </c>
      <c r="W541" s="42">
        <v>1901459</v>
      </c>
      <c r="Y541" s="42">
        <v>900487</v>
      </c>
      <c r="AA541" s="42">
        <v>127538</v>
      </c>
      <c r="AC541" s="42">
        <v>2087150</v>
      </c>
      <c r="AE541" s="42">
        <v>1827222</v>
      </c>
      <c r="AG541" s="42">
        <v>954360</v>
      </c>
      <c r="AI541" s="9" t="s">
        <v>511</v>
      </c>
      <c r="AJ541" s="9"/>
      <c r="AK541" s="9" t="s">
        <v>63</v>
      </c>
      <c r="AL541" s="9"/>
      <c r="AM541" s="42">
        <v>0</v>
      </c>
      <c r="AO541" s="42">
        <v>819175</v>
      </c>
      <c r="AQ541" s="42">
        <v>1005703</v>
      </c>
      <c r="AS541" s="42">
        <v>832990</v>
      </c>
      <c r="AW541" s="42">
        <v>0</v>
      </c>
      <c r="AY541" s="42">
        <f t="shared" si="56"/>
        <v>28961974</v>
      </c>
      <c r="BA541" s="42">
        <f>+'St of Act - GA Rev'!AI541-'St of Activities - GA Exp'!AY541</f>
        <v>911920</v>
      </c>
      <c r="BC541" s="42">
        <v>14067097</v>
      </c>
      <c r="BE541" s="42">
        <f t="shared" si="57"/>
        <v>14979017</v>
      </c>
      <c r="BG541" s="42">
        <f>+'St of Net Pos - GA'!AE541-'St of Activities - GA Exp'!BE541</f>
        <v>0</v>
      </c>
    </row>
    <row r="542" spans="1:59">
      <c r="A542" s="9" t="s">
        <v>451</v>
      </c>
      <c r="B542" s="9"/>
      <c r="C542" s="9" t="s">
        <v>54</v>
      </c>
      <c r="D542" s="9"/>
      <c r="E542" s="23">
        <v>49098</v>
      </c>
      <c r="G542" s="42">
        <v>18516358</v>
      </c>
      <c r="I542" s="42">
        <v>4202518</v>
      </c>
      <c r="K542" s="42">
        <v>416734</v>
      </c>
      <c r="M542" s="42">
        <v>0</v>
      </c>
      <c r="O542" s="42">
        <v>749028</v>
      </c>
      <c r="Q542" s="42">
        <v>1296906</v>
      </c>
      <c r="S542" s="42">
        <v>532048</v>
      </c>
      <c r="U542" s="42">
        <v>204812</v>
      </c>
      <c r="W542" s="42">
        <v>3068977</v>
      </c>
      <c r="Y542" s="42">
        <v>738093</v>
      </c>
      <c r="AA542" s="42">
        <v>303703</v>
      </c>
      <c r="AC542" s="42">
        <v>3856257</v>
      </c>
      <c r="AE542" s="42">
        <v>2264060</v>
      </c>
      <c r="AG542" s="42">
        <v>570043</v>
      </c>
      <c r="AI542" s="9" t="s">
        <v>451</v>
      </c>
      <c r="AJ542" s="9"/>
      <c r="AK542" s="9" t="s">
        <v>54</v>
      </c>
      <c r="AL542" s="9"/>
      <c r="AM542" s="42">
        <v>1411162</v>
      </c>
      <c r="AO542" s="42">
        <v>21998</v>
      </c>
      <c r="AQ542" s="42">
        <v>912495</v>
      </c>
      <c r="AS542" s="42">
        <v>1794812</v>
      </c>
      <c r="AW542" s="42">
        <v>0</v>
      </c>
      <c r="AY542" s="42">
        <f t="shared" si="56"/>
        <v>40860004</v>
      </c>
      <c r="BA542" s="42">
        <f>+'St of Act - GA Rev'!AI542-'St of Activities - GA Exp'!AY542</f>
        <v>-2726397</v>
      </c>
      <c r="BC542" s="42">
        <v>70159787</v>
      </c>
      <c r="BE542" s="42">
        <f t="shared" si="57"/>
        <v>67433390</v>
      </c>
      <c r="BG542" s="42">
        <f>+'St of Net Pos - GA'!AE542-'St of Activities - GA Exp'!BE542</f>
        <v>0</v>
      </c>
    </row>
    <row r="543" spans="1:59">
      <c r="A543" s="9" t="s">
        <v>234</v>
      </c>
      <c r="B543" s="9"/>
      <c r="C543" s="9" t="s">
        <v>17</v>
      </c>
      <c r="D543" s="9"/>
      <c r="E543" s="23">
        <v>46243</v>
      </c>
      <c r="G543" s="42">
        <v>11562633</v>
      </c>
      <c r="I543" s="42">
        <v>4096144</v>
      </c>
      <c r="K543" s="42">
        <v>357666</v>
      </c>
      <c r="M543" s="42">
        <v>0</v>
      </c>
      <c r="O543" s="42">
        <f>2268+1137710</f>
        <v>1139978</v>
      </c>
      <c r="Q543" s="42">
        <v>1979341</v>
      </c>
      <c r="S543" s="42">
        <v>1415463</v>
      </c>
      <c r="U543" s="42">
        <v>78942</v>
      </c>
      <c r="W543" s="42">
        <v>2597476</v>
      </c>
      <c r="Y543" s="42">
        <v>628588</v>
      </c>
      <c r="AA543" s="42">
        <v>63585</v>
      </c>
      <c r="AC543" s="42">
        <v>3693360</v>
      </c>
      <c r="AE543" s="42">
        <v>1535995</v>
      </c>
      <c r="AG543" s="42">
        <v>162085</v>
      </c>
      <c r="AI543" s="9" t="s">
        <v>234</v>
      </c>
      <c r="AJ543" s="9"/>
      <c r="AK543" s="9" t="s">
        <v>17</v>
      </c>
      <c r="AL543" s="9"/>
      <c r="AM543" s="42">
        <v>0</v>
      </c>
      <c r="AO543" s="42">
        <v>1717702</v>
      </c>
      <c r="AQ543" s="42">
        <v>610718</v>
      </c>
      <c r="AS543" s="42">
        <v>658340</v>
      </c>
      <c r="AW543" s="42">
        <f>304726+2670062</f>
        <v>2974788</v>
      </c>
      <c r="AY543" s="42">
        <f t="shared" si="56"/>
        <v>35272804</v>
      </c>
      <c r="BA543" s="42">
        <f>+'St of Act - GA Rev'!AI543-'St of Activities - GA Exp'!AY543</f>
        <v>-2973253</v>
      </c>
      <c r="BC543" s="42">
        <v>60516121</v>
      </c>
      <c r="BE543" s="42">
        <f t="shared" si="57"/>
        <v>57542868</v>
      </c>
      <c r="BG543" s="42">
        <f>+'St of Net Pos - GA'!AE543-'St of Activities - GA Exp'!BE543</f>
        <v>0</v>
      </c>
    </row>
    <row r="544" spans="1:59" ht="12" customHeight="1">
      <c r="A544" s="9" t="s">
        <v>719</v>
      </c>
      <c r="B544" s="9"/>
      <c r="C544" s="9" t="s">
        <v>32</v>
      </c>
      <c r="D544" s="9"/>
      <c r="E544" s="23">
        <v>47399</v>
      </c>
      <c r="G544" s="42">
        <v>9122948</v>
      </c>
      <c r="I544" s="42">
        <v>3473173</v>
      </c>
      <c r="K544" s="42">
        <v>3735</v>
      </c>
      <c r="M544" s="42">
        <v>0</v>
      </c>
      <c r="O544" s="42">
        <v>529704</v>
      </c>
      <c r="Q544" s="42">
        <v>1249545</v>
      </c>
      <c r="S544" s="42">
        <v>690945</v>
      </c>
      <c r="U544" s="42">
        <v>49047</v>
      </c>
      <c r="W544" s="42">
        <v>1675136</v>
      </c>
      <c r="Y544" s="42">
        <v>627807</v>
      </c>
      <c r="AA544" s="42">
        <v>0</v>
      </c>
      <c r="AC544" s="42">
        <v>1384174</v>
      </c>
      <c r="AE544" s="42">
        <v>1550469</v>
      </c>
      <c r="AG544" s="42">
        <v>127706</v>
      </c>
      <c r="AI544" s="9" t="s">
        <v>719</v>
      </c>
      <c r="AJ544" s="9"/>
      <c r="AK544" s="9" t="s">
        <v>32</v>
      </c>
      <c r="AL544" s="9"/>
      <c r="AM544" s="42">
        <v>0</v>
      </c>
      <c r="AO544" s="42">
        <v>961932</v>
      </c>
      <c r="AQ544" s="42">
        <v>589563</v>
      </c>
      <c r="AS544" s="42">
        <v>2152735</v>
      </c>
      <c r="AW544" s="42">
        <v>0</v>
      </c>
      <c r="AY544" s="42">
        <f t="shared" si="56"/>
        <v>24188619</v>
      </c>
      <c r="BA544" s="42">
        <f>+'St of Act - GA Rev'!AI544-'St of Activities - GA Exp'!AY544</f>
        <v>2771010</v>
      </c>
      <c r="BC544" s="42">
        <v>43042006</v>
      </c>
      <c r="BE544" s="42">
        <f t="shared" si="57"/>
        <v>45813016</v>
      </c>
      <c r="BG544" s="42">
        <f>+'St of Net Pos - GA'!AE544-'St of Activities - GA Exp'!BE544</f>
        <v>0</v>
      </c>
    </row>
    <row r="545" spans="1:59" ht="12" customHeight="1">
      <c r="A545" s="9" t="s">
        <v>485</v>
      </c>
      <c r="B545" s="9"/>
      <c r="C545" s="9" t="s">
        <v>60</v>
      </c>
      <c r="D545" s="9"/>
      <c r="E545" s="23">
        <v>44891</v>
      </c>
      <c r="G545" s="42">
        <v>10779058</v>
      </c>
      <c r="I545" s="42">
        <v>3576667</v>
      </c>
      <c r="K545" s="42">
        <v>141259</v>
      </c>
      <c r="M545" s="42">
        <v>0</v>
      </c>
      <c r="O545" s="42">
        <v>38295</v>
      </c>
      <c r="Q545" s="42">
        <v>1212820</v>
      </c>
      <c r="S545" s="42">
        <v>1303951</v>
      </c>
      <c r="U545" s="42">
        <v>32549</v>
      </c>
      <c r="W545" s="42">
        <v>1733875</v>
      </c>
      <c r="Y545" s="42">
        <v>600838</v>
      </c>
      <c r="AA545" s="42">
        <v>19958</v>
      </c>
      <c r="AC545" s="42">
        <v>2556885</v>
      </c>
      <c r="AE545" s="42">
        <v>1019842</v>
      </c>
      <c r="AG545" s="42">
        <v>5071</v>
      </c>
      <c r="AI545" s="9" t="s">
        <v>485</v>
      </c>
      <c r="AJ545" s="9"/>
      <c r="AK545" s="9" t="s">
        <v>60</v>
      </c>
      <c r="AL545" s="9"/>
      <c r="AM545" s="42">
        <v>753083</v>
      </c>
      <c r="AO545" s="42">
        <v>326441</v>
      </c>
      <c r="AQ545" s="42">
        <v>649330</v>
      </c>
      <c r="AS545" s="42">
        <v>387308</v>
      </c>
      <c r="AW545" s="42">
        <v>0</v>
      </c>
      <c r="AY545" s="42">
        <f t="shared" si="56"/>
        <v>25137230</v>
      </c>
      <c r="BA545" s="42">
        <f>+'St of Act - GA Rev'!AI545-'St of Activities - GA Exp'!AY545</f>
        <v>1330263</v>
      </c>
      <c r="BC545" s="42">
        <v>17247548</v>
      </c>
      <c r="BE545" s="42">
        <f t="shared" si="57"/>
        <v>18577811</v>
      </c>
      <c r="BG545" s="42">
        <f>+'St of Net Pos - GA'!AE545-'St of Activities - GA Exp'!BE545</f>
        <v>0</v>
      </c>
    </row>
    <row r="546" spans="1:59">
      <c r="A546" s="9" t="s">
        <v>772</v>
      </c>
      <c r="B546" s="9"/>
      <c r="C546" s="9" t="s">
        <v>48</v>
      </c>
      <c r="D546" s="9"/>
      <c r="E546" s="23">
        <v>45617</v>
      </c>
      <c r="G546" s="42">
        <v>13813536</v>
      </c>
      <c r="I546" s="42">
        <v>0</v>
      </c>
      <c r="K546" s="42">
        <v>0</v>
      </c>
      <c r="M546" s="42">
        <v>0</v>
      </c>
      <c r="O546" s="42">
        <v>0</v>
      </c>
      <c r="Q546" s="42">
        <v>865355</v>
      </c>
      <c r="S546" s="42">
        <v>977739</v>
      </c>
      <c r="U546" s="42">
        <v>22704</v>
      </c>
      <c r="W546" s="42">
        <v>1632370</v>
      </c>
      <c r="Y546" s="42">
        <v>562245</v>
      </c>
      <c r="AA546" s="42">
        <v>145827</v>
      </c>
      <c r="AC546" s="42">
        <v>3126607</v>
      </c>
      <c r="AE546" s="42">
        <v>1099669</v>
      </c>
      <c r="AG546" s="42">
        <v>304499</v>
      </c>
      <c r="AI546" s="9" t="s">
        <v>772</v>
      </c>
      <c r="AJ546" s="9"/>
      <c r="AK546" s="9" t="s">
        <v>48</v>
      </c>
      <c r="AL546" s="9"/>
      <c r="AM546" s="42">
        <v>736682</v>
      </c>
      <c r="AO546" s="42">
        <v>9770</v>
      </c>
      <c r="AQ546" s="42">
        <v>1069985</v>
      </c>
      <c r="AS546" s="42">
        <v>944191</v>
      </c>
      <c r="AW546" s="42">
        <v>0</v>
      </c>
      <c r="AY546" s="42">
        <f t="shared" si="56"/>
        <v>25311179</v>
      </c>
      <c r="BA546" s="42">
        <f>+'St of Act - GA Rev'!AI546-'St of Activities - GA Exp'!AY546</f>
        <v>207114</v>
      </c>
      <c r="BC546" s="42">
        <v>6587169</v>
      </c>
      <c r="BE546" s="42">
        <f t="shared" si="57"/>
        <v>6794283</v>
      </c>
      <c r="BG546" s="42">
        <f>+'St of Net Pos - GA'!AE546-'St of Activities - GA Exp'!BE546</f>
        <v>0</v>
      </c>
    </row>
    <row r="547" spans="1:59">
      <c r="A547" s="9" t="s">
        <v>392</v>
      </c>
      <c r="B547" s="9"/>
      <c r="C547" s="9" t="s">
        <v>114</v>
      </c>
      <c r="D547" s="9"/>
      <c r="E547" s="23">
        <v>44909</v>
      </c>
      <c r="G547" s="42">
        <v>253504953</v>
      </c>
      <c r="I547" s="42">
        <v>0</v>
      </c>
      <c r="K547" s="42">
        <v>0</v>
      </c>
      <c r="M547" s="42">
        <v>0</v>
      </c>
      <c r="O547" s="42">
        <v>0</v>
      </c>
      <c r="Q547" s="42">
        <v>113119827</v>
      </c>
      <c r="S547" s="42">
        <v>0</v>
      </c>
      <c r="U547" s="42">
        <v>0</v>
      </c>
      <c r="W547" s="42">
        <v>0</v>
      </c>
      <c r="Y547" s="42">
        <v>0</v>
      </c>
      <c r="AA547" s="42">
        <v>0</v>
      </c>
      <c r="AC547" s="42">
        <v>0</v>
      </c>
      <c r="AE547" s="42">
        <v>0</v>
      </c>
      <c r="AG547" s="42">
        <v>0</v>
      </c>
      <c r="AI547" s="9" t="s">
        <v>392</v>
      </c>
      <c r="AJ547" s="9"/>
      <c r="AK547" s="9" t="s">
        <v>114</v>
      </c>
      <c r="AL547" s="9"/>
      <c r="AM547" s="42">
        <v>0</v>
      </c>
      <c r="AO547" s="42">
        <v>18046982</v>
      </c>
      <c r="AQ547" s="42">
        <v>2245168</v>
      </c>
      <c r="AS547" s="42">
        <v>7305050</v>
      </c>
      <c r="AW547" s="42">
        <v>0</v>
      </c>
      <c r="AY547" s="42">
        <f t="shared" si="56"/>
        <v>394221980</v>
      </c>
      <c r="BA547" s="42">
        <f>+'St of Act - GA Rev'!AI547-'St of Activities - GA Exp'!AY547</f>
        <v>-16795192</v>
      </c>
      <c r="BC547" s="42">
        <v>489997899</v>
      </c>
      <c r="BE547" s="42">
        <f t="shared" si="57"/>
        <v>473202707</v>
      </c>
      <c r="BG547" s="42">
        <f>+'St of Net Pos - GA'!AE547-'St of Activities - GA Exp'!BE547</f>
        <v>0</v>
      </c>
    </row>
    <row r="548" spans="1:59" hidden="1">
      <c r="A548" s="9" t="s">
        <v>882</v>
      </c>
      <c r="B548" s="9"/>
      <c r="C548" s="9" t="s">
        <v>114</v>
      </c>
      <c r="D548" s="9"/>
      <c r="E548" s="23"/>
      <c r="G548" s="42">
        <v>0</v>
      </c>
      <c r="I548" s="42">
        <v>0</v>
      </c>
      <c r="K548" s="42">
        <v>0</v>
      </c>
      <c r="M548" s="42">
        <v>0</v>
      </c>
      <c r="O548" s="42">
        <v>0</v>
      </c>
      <c r="Q548" s="42">
        <v>0</v>
      </c>
      <c r="S548" s="42">
        <v>0</v>
      </c>
      <c r="U548" s="42">
        <v>0</v>
      </c>
      <c r="W548" s="42">
        <v>0</v>
      </c>
      <c r="Y548" s="42">
        <v>0</v>
      </c>
      <c r="AA548" s="42">
        <v>0</v>
      </c>
      <c r="AC548" s="42">
        <v>0</v>
      </c>
      <c r="AE548" s="42">
        <v>0</v>
      </c>
      <c r="AG548" s="42">
        <v>0</v>
      </c>
      <c r="AI548" s="9" t="s">
        <v>882</v>
      </c>
      <c r="AJ548" s="9"/>
      <c r="AK548" s="9" t="s">
        <v>114</v>
      </c>
      <c r="AL548" s="9"/>
      <c r="AM548" s="42">
        <v>0</v>
      </c>
      <c r="AO548" s="42">
        <v>0</v>
      </c>
      <c r="AQ548" s="42">
        <v>0</v>
      </c>
      <c r="AS548" s="42">
        <v>0</v>
      </c>
      <c r="AW548" s="42">
        <v>0</v>
      </c>
      <c r="AY548" s="42">
        <f t="shared" si="56"/>
        <v>0</v>
      </c>
      <c r="BA548" s="42">
        <f>+'St of Act - GA Rev'!AI548-'St of Activities - GA Exp'!AY548</f>
        <v>0</v>
      </c>
      <c r="BC548" s="42">
        <v>0</v>
      </c>
      <c r="BE548" s="42">
        <f t="shared" si="57"/>
        <v>0</v>
      </c>
      <c r="BG548" s="42">
        <f>+'St of Net Pos - GA'!AE548-'St of Activities - GA Exp'!BE548</f>
        <v>0</v>
      </c>
    </row>
    <row r="549" spans="1:59">
      <c r="A549" s="9" t="s">
        <v>720</v>
      </c>
      <c r="B549" s="9"/>
      <c r="C549" s="9" t="s">
        <v>39</v>
      </c>
      <c r="D549" s="9"/>
      <c r="E549" s="23">
        <v>44917</v>
      </c>
      <c r="G549" s="42">
        <v>3020351</v>
      </c>
      <c r="I549" s="42">
        <v>957435</v>
      </c>
      <c r="K549" s="42">
        <v>102447</v>
      </c>
      <c r="M549" s="42">
        <v>0</v>
      </c>
      <c r="O549" s="42">
        <f>45079+592500</f>
        <v>637579</v>
      </c>
      <c r="Q549" s="42">
        <v>255053</v>
      </c>
      <c r="S549" s="42">
        <v>256185</v>
      </c>
      <c r="U549" s="42">
        <v>11976</v>
      </c>
      <c r="W549" s="42">
        <v>828713</v>
      </c>
      <c r="Y549" s="42">
        <v>310243</v>
      </c>
      <c r="AA549" s="42">
        <v>79457</v>
      </c>
      <c r="AC549" s="42">
        <v>744268</v>
      </c>
      <c r="AE549" s="42">
        <v>142010</v>
      </c>
      <c r="AG549" s="42">
        <v>0</v>
      </c>
      <c r="AI549" s="9" t="s">
        <v>720</v>
      </c>
      <c r="AJ549" s="9"/>
      <c r="AK549" s="9" t="s">
        <v>39</v>
      </c>
      <c r="AL549" s="9"/>
      <c r="AM549" s="42">
        <v>0</v>
      </c>
      <c r="AO549" s="42">
        <v>398088</v>
      </c>
      <c r="AQ549" s="42">
        <v>292796</v>
      </c>
      <c r="AS549" s="42">
        <v>938690</v>
      </c>
      <c r="AW549" s="42">
        <v>2869286</v>
      </c>
      <c r="AY549" s="42">
        <f t="shared" si="56"/>
        <v>11844577</v>
      </c>
      <c r="BA549" s="42">
        <f>+'St of Act - GA Rev'!AI549-'St of Activities - GA Exp'!AY549</f>
        <v>-798266</v>
      </c>
      <c r="BC549" s="42">
        <v>14174777</v>
      </c>
      <c r="BE549" s="42">
        <f t="shared" si="57"/>
        <v>13376511</v>
      </c>
      <c r="BG549" s="42">
        <f>+'St of Net Pos - GA'!AE549-'St of Activities - GA Exp'!BE549</f>
        <v>0</v>
      </c>
    </row>
    <row r="550" spans="1:59">
      <c r="A550" s="9" t="s">
        <v>228</v>
      </c>
      <c r="B550" s="9"/>
      <c r="C550" s="9" t="s">
        <v>227</v>
      </c>
      <c r="D550" s="9"/>
      <c r="E550" s="23">
        <v>46201</v>
      </c>
      <c r="G550" s="42">
        <v>5160253</v>
      </c>
      <c r="I550" s="42">
        <v>1263106</v>
      </c>
      <c r="K550" s="42">
        <v>147022</v>
      </c>
      <c r="M550" s="42">
        <v>0</v>
      </c>
      <c r="O550" s="42">
        <v>0</v>
      </c>
      <c r="Q550" s="42">
        <v>461831</v>
      </c>
      <c r="S550" s="42">
        <v>215707</v>
      </c>
      <c r="U550" s="42">
        <v>50512</v>
      </c>
      <c r="W550" s="42">
        <v>863309</v>
      </c>
      <c r="Y550" s="42">
        <v>313283</v>
      </c>
      <c r="AA550" s="42">
        <v>7288</v>
      </c>
      <c r="AC550" s="42">
        <v>973353</v>
      </c>
      <c r="AE550" s="42">
        <v>701203</v>
      </c>
      <c r="AG550" s="42">
        <v>230773</v>
      </c>
      <c r="AI550" s="9" t="s">
        <v>228</v>
      </c>
      <c r="AJ550" s="9"/>
      <c r="AK550" s="9" t="s">
        <v>227</v>
      </c>
      <c r="AL550" s="9"/>
      <c r="AM550" s="42">
        <v>456581</v>
      </c>
      <c r="AO550" s="42">
        <v>0</v>
      </c>
      <c r="AQ550" s="42">
        <v>393299</v>
      </c>
      <c r="AS550" s="42">
        <v>290887</v>
      </c>
      <c r="AW550" s="42">
        <v>0</v>
      </c>
      <c r="AY550" s="42">
        <f t="shared" si="56"/>
        <v>11528407</v>
      </c>
      <c r="BA550" s="42">
        <f>+'St of Act - GA Rev'!AI550-'St of Activities - GA Exp'!AY550</f>
        <v>145592</v>
      </c>
      <c r="BC550" s="42">
        <v>12344533</v>
      </c>
      <c r="BE550" s="42">
        <f t="shared" si="57"/>
        <v>12490125</v>
      </c>
      <c r="BG550" s="42">
        <f>+'St of Net Pos - GA'!AE550-'St of Activities - GA Exp'!BE550</f>
        <v>0</v>
      </c>
    </row>
    <row r="551" spans="1:59" s="24" customFormat="1">
      <c r="A551" s="51" t="s">
        <v>463</v>
      </c>
      <c r="B551" s="51"/>
      <c r="C551" s="51" t="s">
        <v>57</v>
      </c>
      <c r="D551" s="51"/>
      <c r="E551" s="23">
        <v>91397</v>
      </c>
      <c r="G551" s="42">
        <v>5087088</v>
      </c>
      <c r="H551" s="42"/>
      <c r="I551" s="42">
        <v>949960</v>
      </c>
      <c r="J551" s="42"/>
      <c r="K551" s="42">
        <v>57567</v>
      </c>
      <c r="L551" s="42"/>
      <c r="M551" s="42">
        <v>0</v>
      </c>
      <c r="N551" s="42"/>
      <c r="O551" s="42">
        <v>0</v>
      </c>
      <c r="P551" s="42"/>
      <c r="Q551" s="42">
        <v>571086</v>
      </c>
      <c r="R551" s="42"/>
      <c r="S551" s="42">
        <v>559043</v>
      </c>
      <c r="T551" s="42"/>
      <c r="U551" s="42">
        <v>18795</v>
      </c>
      <c r="V551" s="42"/>
      <c r="W551" s="42">
        <v>983982</v>
      </c>
      <c r="X551" s="42"/>
      <c r="Y551" s="42">
        <v>183722</v>
      </c>
      <c r="Z551" s="42"/>
      <c r="AA551" s="42">
        <v>0</v>
      </c>
      <c r="AB551" s="42"/>
      <c r="AC551" s="42">
        <v>766331</v>
      </c>
      <c r="AD551" s="42"/>
      <c r="AE551" s="42">
        <v>543864</v>
      </c>
      <c r="AF551" s="42"/>
      <c r="AG551" s="42">
        <v>28013</v>
      </c>
      <c r="AI551" s="51" t="s">
        <v>463</v>
      </c>
      <c r="AJ551" s="51"/>
      <c r="AK551" s="51" t="s">
        <v>57</v>
      </c>
      <c r="AL551" s="51"/>
      <c r="AM551" s="42">
        <v>0</v>
      </c>
      <c r="AN551" s="42"/>
      <c r="AO551" s="42">
        <v>410412</v>
      </c>
      <c r="AP551" s="42"/>
      <c r="AQ551" s="42">
        <v>437034</v>
      </c>
      <c r="AR551" s="42"/>
      <c r="AS551" s="42">
        <v>0</v>
      </c>
      <c r="AT551" s="42"/>
      <c r="AU551" s="42"/>
      <c r="AV551" s="42"/>
      <c r="AW551" s="42">
        <v>0</v>
      </c>
      <c r="AX551" s="42"/>
      <c r="AY551" s="42">
        <f t="shared" si="56"/>
        <v>10596897</v>
      </c>
      <c r="AZ551" s="42"/>
      <c r="BA551" s="42">
        <f>+'St of Act - GA Rev'!AI551-'St of Activities - GA Exp'!AY551</f>
        <v>-1077497</v>
      </c>
      <c r="BB551" s="42"/>
      <c r="BC551" s="42">
        <v>11166428</v>
      </c>
      <c r="BD551" s="42"/>
      <c r="BE551" s="42">
        <f t="shared" si="57"/>
        <v>10088931</v>
      </c>
      <c r="BF551" s="42"/>
      <c r="BG551" s="42">
        <f>+'St of Net Pos - GA'!AE551-'St of Activities - GA Exp'!BE551</f>
        <v>0</v>
      </c>
    </row>
    <row r="552" spans="1:59">
      <c r="A552" s="9" t="s">
        <v>211</v>
      </c>
      <c r="B552" s="9"/>
      <c r="C552" s="9" t="s">
        <v>13</v>
      </c>
      <c r="D552" s="9"/>
      <c r="E552" s="23">
        <v>45922</v>
      </c>
      <c r="G552" s="42">
        <v>4049609</v>
      </c>
      <c r="I552" s="42">
        <v>1842599</v>
      </c>
      <c r="K552" s="42">
        <v>4272</v>
      </c>
      <c r="M552" s="42">
        <v>0</v>
      </c>
      <c r="O552" s="42">
        <v>104037</v>
      </c>
      <c r="Q552" s="42">
        <v>429759</v>
      </c>
      <c r="S552" s="42">
        <v>677449</v>
      </c>
      <c r="U552" s="42">
        <v>86466</v>
      </c>
      <c r="W552" s="42">
        <v>714914</v>
      </c>
      <c r="Y552" s="42">
        <v>247615</v>
      </c>
      <c r="AA552" s="42">
        <v>0</v>
      </c>
      <c r="AC552" s="42">
        <v>971811</v>
      </c>
      <c r="AE552" s="42">
        <v>709508</v>
      </c>
      <c r="AG552" s="42">
        <v>27073</v>
      </c>
      <c r="AI552" s="9" t="s">
        <v>211</v>
      </c>
      <c r="AJ552" s="9"/>
      <c r="AK552" s="9" t="s">
        <v>13</v>
      </c>
      <c r="AL552" s="9"/>
      <c r="AM552" s="42">
        <v>0</v>
      </c>
      <c r="AO552" s="42">
        <v>546994</v>
      </c>
      <c r="AQ552" s="42">
        <v>178765</v>
      </c>
      <c r="AS552" s="42">
        <v>30681</v>
      </c>
      <c r="AW552" s="42">
        <v>0</v>
      </c>
      <c r="AY552" s="42">
        <f>SUM(G552:AX552)</f>
        <v>10621552</v>
      </c>
      <c r="BA552" s="42">
        <f>+'St of Act - GA Rev'!AI552-'St of Activities - GA Exp'!AY552</f>
        <v>-80150</v>
      </c>
      <c r="BC552" s="42">
        <v>15400711</v>
      </c>
      <c r="BE552" s="42">
        <f t="shared" si="57"/>
        <v>15320561</v>
      </c>
      <c r="BG552" s="42">
        <f>+'St of Net Pos - GA'!AE552-'St of Activities - GA Exp'!BE552</f>
        <v>0</v>
      </c>
    </row>
    <row r="553" spans="1:59">
      <c r="A553" s="9" t="s">
        <v>443</v>
      </c>
      <c r="B553" s="9"/>
      <c r="C553" s="9" t="s">
        <v>51</v>
      </c>
      <c r="D553" s="9"/>
      <c r="E553" s="23">
        <v>48876</v>
      </c>
      <c r="G553" s="42">
        <v>14202935</v>
      </c>
      <c r="I553" s="42">
        <v>3946462</v>
      </c>
      <c r="K553" s="42">
        <v>365132</v>
      </c>
      <c r="M553" s="42">
        <v>0</v>
      </c>
      <c r="O553" s="42">
        <f>15667+3435</f>
        <v>19102</v>
      </c>
      <c r="Q553" s="42">
        <v>933456</v>
      </c>
      <c r="S553" s="42">
        <v>1235146</v>
      </c>
      <c r="U553" s="42">
        <v>590517</v>
      </c>
      <c r="W553" s="42">
        <v>2486047</v>
      </c>
      <c r="Y553" s="42">
        <v>470475</v>
      </c>
      <c r="AA553" s="42">
        <v>0</v>
      </c>
      <c r="AC553" s="42">
        <v>2713403</v>
      </c>
      <c r="AE553" s="42">
        <v>2068885</v>
      </c>
      <c r="AG553" s="42">
        <v>425217</v>
      </c>
      <c r="AI553" s="9" t="s">
        <v>443</v>
      </c>
      <c r="AJ553" s="9"/>
      <c r="AK553" s="9" t="s">
        <v>51</v>
      </c>
      <c r="AL553" s="9"/>
      <c r="AM553" s="42">
        <v>1424014</v>
      </c>
      <c r="AO553" s="42">
        <v>143952</v>
      </c>
      <c r="AQ553" s="42">
        <v>356034</v>
      </c>
      <c r="AS553" s="42">
        <v>843159</v>
      </c>
      <c r="AW553" s="42">
        <v>43282</v>
      </c>
      <c r="AY553" s="42">
        <f t="shared" si="56"/>
        <v>32267218</v>
      </c>
      <c r="BA553" s="42">
        <f>+'St of Act - GA Rev'!AI553-'St of Activities - GA Exp'!AY553</f>
        <v>-3814079</v>
      </c>
      <c r="BC553" s="42">
        <v>55030976</v>
      </c>
      <c r="BE553" s="42">
        <f t="shared" si="57"/>
        <v>51216897</v>
      </c>
      <c r="BG553" s="42">
        <f>+'St of Net Pos - GA'!AE553-'St of Activities - GA Exp'!BE553</f>
        <v>0</v>
      </c>
    </row>
    <row r="554" spans="1:59" ht="12" hidden="1" customHeight="1">
      <c r="A554" s="9" t="s">
        <v>685</v>
      </c>
      <c r="B554" s="9"/>
      <c r="C554" s="9" t="s">
        <v>21</v>
      </c>
      <c r="D554" s="9"/>
      <c r="E554" s="23">
        <v>46680</v>
      </c>
      <c r="G554" s="42">
        <v>0</v>
      </c>
      <c r="I554" s="42">
        <v>0</v>
      </c>
      <c r="K554" s="42">
        <v>0</v>
      </c>
      <c r="M554" s="42">
        <v>0</v>
      </c>
      <c r="O554" s="42">
        <v>0</v>
      </c>
      <c r="Q554" s="42">
        <v>0</v>
      </c>
      <c r="S554" s="42">
        <v>0</v>
      </c>
      <c r="U554" s="42">
        <v>0</v>
      </c>
      <c r="W554" s="42">
        <v>0</v>
      </c>
      <c r="Y554" s="42">
        <v>0</v>
      </c>
      <c r="AA554" s="42">
        <v>0</v>
      </c>
      <c r="AC554" s="42">
        <v>0</v>
      </c>
      <c r="AE554" s="42">
        <v>0</v>
      </c>
      <c r="AG554" s="42">
        <v>0</v>
      </c>
      <c r="AI554" s="9" t="s">
        <v>685</v>
      </c>
      <c r="AJ554" s="9"/>
      <c r="AK554" s="9" t="s">
        <v>21</v>
      </c>
      <c r="AL554" s="9"/>
      <c r="AM554" s="42">
        <v>0</v>
      </c>
      <c r="AO554" s="42">
        <v>0</v>
      </c>
      <c r="AQ554" s="42">
        <v>0</v>
      </c>
      <c r="AS554" s="42">
        <v>0</v>
      </c>
      <c r="AW554" s="42">
        <v>0</v>
      </c>
      <c r="AY554" s="42">
        <f t="shared" si="56"/>
        <v>0</v>
      </c>
      <c r="BA554" s="42">
        <f>+'St of Act - GA Rev'!AI554-'St of Activities - GA Exp'!AY554</f>
        <v>0</v>
      </c>
      <c r="BC554" s="42">
        <v>0</v>
      </c>
      <c r="BE554" s="42">
        <f t="shared" si="57"/>
        <v>0</v>
      </c>
      <c r="BG554" s="42">
        <f>+'St of Net Pos - GA'!AE554-'St of Activities - GA Exp'!BE554</f>
        <v>0</v>
      </c>
    </row>
    <row r="555" spans="1:59" hidden="1">
      <c r="A555" s="8" t="s">
        <v>829</v>
      </c>
      <c r="B555" s="9"/>
      <c r="C555" s="9" t="s">
        <v>71</v>
      </c>
      <c r="D555" s="9"/>
      <c r="E555" s="23">
        <v>50591</v>
      </c>
      <c r="G555" s="42">
        <v>0</v>
      </c>
      <c r="I555" s="42">
        <v>0</v>
      </c>
      <c r="K555" s="42">
        <v>0</v>
      </c>
      <c r="M555" s="42">
        <v>0</v>
      </c>
      <c r="O555" s="42">
        <v>0</v>
      </c>
      <c r="Q555" s="42">
        <v>0</v>
      </c>
      <c r="S555" s="42">
        <v>0</v>
      </c>
      <c r="U555" s="42">
        <v>0</v>
      </c>
      <c r="W555" s="42">
        <v>0</v>
      </c>
      <c r="Y555" s="42">
        <v>0</v>
      </c>
      <c r="AA555" s="42">
        <v>0</v>
      </c>
      <c r="AC555" s="42">
        <v>0</v>
      </c>
      <c r="AE555" s="42">
        <v>0</v>
      </c>
      <c r="AG555" s="42">
        <v>0</v>
      </c>
      <c r="AI555" s="8" t="s">
        <v>829</v>
      </c>
      <c r="AJ555" s="9"/>
      <c r="AK555" s="9" t="s">
        <v>71</v>
      </c>
      <c r="AL555" s="9"/>
      <c r="AM555" s="42">
        <v>0</v>
      </c>
      <c r="AO555" s="42">
        <v>0</v>
      </c>
      <c r="AQ555" s="42">
        <v>0</v>
      </c>
      <c r="AS555" s="42">
        <v>0</v>
      </c>
      <c r="AW555" s="42">
        <v>0</v>
      </c>
      <c r="AY555" s="42">
        <f t="shared" si="56"/>
        <v>0</v>
      </c>
      <c r="BA555" s="42">
        <f>+'St of Act - GA Rev'!AI555-'St of Activities - GA Exp'!AY555</f>
        <v>0</v>
      </c>
      <c r="BC555" s="42">
        <v>0</v>
      </c>
      <c r="BE555" s="42">
        <f t="shared" si="57"/>
        <v>0</v>
      </c>
      <c r="BG555" s="42">
        <f>+'St of Net Pos - GA'!AE555-'St of Activities - GA Exp'!BE555</f>
        <v>0</v>
      </c>
    </row>
    <row r="556" spans="1:59">
      <c r="A556" s="9" t="s">
        <v>433</v>
      </c>
      <c r="B556" s="9"/>
      <c r="C556" s="9" t="s">
        <v>50</v>
      </c>
      <c r="D556" s="9"/>
      <c r="E556" s="23">
        <v>48694</v>
      </c>
      <c r="G556" s="42">
        <v>11295187</v>
      </c>
      <c r="I556" s="42">
        <v>3513789</v>
      </c>
      <c r="K556" s="42">
        <v>212</v>
      </c>
      <c r="M556" s="42">
        <v>0</v>
      </c>
      <c r="O556" s="42">
        <v>393217</v>
      </c>
      <c r="Q556" s="42">
        <v>1777767</v>
      </c>
      <c r="S556" s="42">
        <v>1595126</v>
      </c>
      <c r="U556" s="42">
        <v>54152</v>
      </c>
      <c r="W556" s="42">
        <v>2334417</v>
      </c>
      <c r="Y556" s="42">
        <v>879029</v>
      </c>
      <c r="AA556" s="42">
        <v>416984</v>
      </c>
      <c r="AC556" s="42">
        <v>2479418</v>
      </c>
      <c r="AE556" s="42">
        <v>1585329</v>
      </c>
      <c r="AG556" s="42">
        <v>895992</v>
      </c>
      <c r="AI556" s="9" t="s">
        <v>433</v>
      </c>
      <c r="AJ556" s="9"/>
      <c r="AK556" s="9" t="s">
        <v>50</v>
      </c>
      <c r="AL556" s="9"/>
      <c r="AM556" s="42">
        <v>0</v>
      </c>
      <c r="AO556" s="42">
        <v>6778755</v>
      </c>
      <c r="AQ556" s="42">
        <v>489902</v>
      </c>
      <c r="AS556" s="42">
        <v>2065021</v>
      </c>
      <c r="AW556" s="42">
        <v>0</v>
      </c>
      <c r="AY556" s="42">
        <f t="shared" si="56"/>
        <v>36554297</v>
      </c>
      <c r="BA556" s="42">
        <f>+'St of Act - GA Rev'!AI556-'St of Activities - GA Exp'!AY556</f>
        <v>1937178</v>
      </c>
      <c r="BC556" s="42">
        <v>66153917</v>
      </c>
      <c r="BE556" s="42">
        <f t="shared" si="57"/>
        <v>68091095</v>
      </c>
      <c r="BG556" s="42">
        <f>+'St of Net Pos - GA'!AE556-'St of Activities - GA Exp'!BE556</f>
        <v>0</v>
      </c>
    </row>
    <row r="557" spans="1:59" s="24" customFormat="1">
      <c r="A557" s="51" t="s">
        <v>423</v>
      </c>
      <c r="B557" s="51"/>
      <c r="C557" s="51" t="s">
        <v>48</v>
      </c>
      <c r="D557" s="51"/>
      <c r="E557" s="51">
        <v>44925</v>
      </c>
      <c r="G557" s="24">
        <v>23468153</v>
      </c>
      <c r="I557" s="24">
        <v>5961880</v>
      </c>
      <c r="K557" s="24">
        <v>19858</v>
      </c>
      <c r="M557" s="24">
        <v>0</v>
      </c>
      <c r="O557" s="24">
        <f>222839+2197038</f>
        <v>2419877</v>
      </c>
      <c r="Q557" s="24">
        <v>2032513</v>
      </c>
      <c r="S557" s="24">
        <v>1381894</v>
      </c>
      <c r="U557" s="24">
        <v>597316</v>
      </c>
      <c r="W557" s="24">
        <v>3614306</v>
      </c>
      <c r="Y557" s="24">
        <v>562822</v>
      </c>
      <c r="AA557" s="24">
        <v>476970</v>
      </c>
      <c r="AC557" s="24">
        <v>3603137</v>
      </c>
      <c r="AE557" s="24">
        <v>2107383</v>
      </c>
      <c r="AG557" s="24">
        <v>84291</v>
      </c>
      <c r="AI557" s="51" t="s">
        <v>423</v>
      </c>
      <c r="AJ557" s="51"/>
      <c r="AK557" s="51" t="s">
        <v>48</v>
      </c>
      <c r="AL557" s="51"/>
      <c r="AM557" s="24">
        <v>0</v>
      </c>
      <c r="AO557" s="24">
        <v>2287537</v>
      </c>
      <c r="AQ557" s="24">
        <v>476514</v>
      </c>
      <c r="AS557" s="24">
        <v>762729</v>
      </c>
      <c r="AW557" s="24">
        <v>605035</v>
      </c>
      <c r="AY557" s="24">
        <f t="shared" si="56"/>
        <v>50462215</v>
      </c>
      <c r="BA557" s="24">
        <f>+'St of Act - GA Rev'!AI557-'St of Activities - GA Exp'!AY557</f>
        <v>-1028941</v>
      </c>
      <c r="BC557" s="24">
        <v>17239658</v>
      </c>
      <c r="BE557" s="24">
        <f t="shared" si="57"/>
        <v>16210717</v>
      </c>
      <c r="BG557" s="24">
        <f>+'St of Net Pos - GA'!AE557-'St of Activities - GA Exp'!BE557</f>
        <v>0</v>
      </c>
    </row>
    <row r="558" spans="1:59">
      <c r="A558" s="9" t="s">
        <v>534</v>
      </c>
      <c r="B558" s="9"/>
      <c r="C558" s="9" t="s">
        <v>65</v>
      </c>
      <c r="D558" s="9"/>
      <c r="E558" s="23">
        <v>50302</v>
      </c>
      <c r="G558" s="42">
        <v>5984858</v>
      </c>
      <c r="I558" s="42">
        <v>951126</v>
      </c>
      <c r="K558" s="42">
        <v>142748</v>
      </c>
      <c r="M558" s="42">
        <v>0</v>
      </c>
      <c r="O558" s="42">
        <v>1214585</v>
      </c>
      <c r="Q558" s="42">
        <v>353259</v>
      </c>
      <c r="S558" s="42">
        <v>630148</v>
      </c>
      <c r="U558" s="42">
        <v>22209</v>
      </c>
      <c r="W558" s="42">
        <v>1327479</v>
      </c>
      <c r="Y558" s="42">
        <v>393192</v>
      </c>
      <c r="AA558" s="42">
        <v>0</v>
      </c>
      <c r="AC558" s="42">
        <v>1067227</v>
      </c>
      <c r="AE558" s="42">
        <v>1063926</v>
      </c>
      <c r="AG558" s="42">
        <v>7735</v>
      </c>
      <c r="AI558" s="9" t="s">
        <v>534</v>
      </c>
      <c r="AJ558" s="9"/>
      <c r="AK558" s="9" t="s">
        <v>65</v>
      </c>
      <c r="AL558" s="9"/>
      <c r="AM558" s="42">
        <v>548726</v>
      </c>
      <c r="AO558" s="42">
        <v>109021</v>
      </c>
      <c r="AQ558" s="42">
        <v>416376</v>
      </c>
      <c r="AS558" s="42">
        <v>228877</v>
      </c>
      <c r="AW558" s="42">
        <v>0</v>
      </c>
      <c r="AY558" s="42">
        <f t="shared" si="56"/>
        <v>14461492</v>
      </c>
      <c r="BA558" s="42">
        <f>+'St of Act - GA Rev'!AI558-'St of Activities - GA Exp'!AY558</f>
        <v>-454611</v>
      </c>
      <c r="BC558" s="42">
        <v>6958465</v>
      </c>
      <c r="BE558" s="42">
        <f t="shared" si="57"/>
        <v>6503854</v>
      </c>
      <c r="BG558" s="42">
        <f>+'St of Net Pos - GA'!AE558-'St of Activities - GA Exp'!BE558</f>
        <v>0</v>
      </c>
    </row>
    <row r="559" spans="1:59">
      <c r="A559" s="9" t="s">
        <v>501</v>
      </c>
      <c r="B559" s="9"/>
      <c r="C559" s="9" t="s">
        <v>62</v>
      </c>
      <c r="D559" s="9"/>
      <c r="E559" s="23">
        <v>49957</v>
      </c>
      <c r="G559" s="42">
        <v>5725834</v>
      </c>
      <c r="I559" s="42">
        <v>1817835</v>
      </c>
      <c r="K559" s="42">
        <v>108113</v>
      </c>
      <c r="M559" s="42">
        <v>0</v>
      </c>
      <c r="O559" s="42">
        <v>5287</v>
      </c>
      <c r="Q559" s="42">
        <v>669218</v>
      </c>
      <c r="S559" s="42">
        <v>485013</v>
      </c>
      <c r="U559" s="42">
        <v>16532</v>
      </c>
      <c r="W559" s="42">
        <v>858143</v>
      </c>
      <c r="Y559" s="42">
        <v>358078</v>
      </c>
      <c r="AA559" s="42">
        <v>41958</v>
      </c>
      <c r="AC559" s="42">
        <v>1274313</v>
      </c>
      <c r="AE559" s="42">
        <v>964231</v>
      </c>
      <c r="AG559" s="42">
        <v>49706</v>
      </c>
      <c r="AI559" s="9" t="s">
        <v>501</v>
      </c>
      <c r="AJ559" s="9"/>
      <c r="AK559" s="9" t="s">
        <v>62</v>
      </c>
      <c r="AL559" s="9"/>
      <c r="AM559" s="42">
        <v>0</v>
      </c>
      <c r="AO559" s="42">
        <v>470989</v>
      </c>
      <c r="AQ559" s="42">
        <v>729913</v>
      </c>
      <c r="AS559" s="42">
        <v>645072</v>
      </c>
      <c r="AW559" s="42">
        <v>0</v>
      </c>
      <c r="AY559" s="42">
        <f t="shared" si="56"/>
        <v>14220235</v>
      </c>
      <c r="BA559" s="42">
        <f>+'St of Act - GA Rev'!AI559-'St of Activities - GA Exp'!AY559</f>
        <v>204750</v>
      </c>
      <c r="BC559" s="42">
        <v>16930749</v>
      </c>
      <c r="BE559" s="42">
        <f t="shared" si="57"/>
        <v>17135499</v>
      </c>
      <c r="BG559" s="42">
        <f>+'St of Net Pos - GA'!AE559-'St of Activities - GA Exp'!BE559</f>
        <v>0</v>
      </c>
    </row>
    <row r="560" spans="1:59" ht="12" hidden="1" customHeight="1">
      <c r="A560" s="9" t="s">
        <v>689</v>
      </c>
      <c r="B560" s="9"/>
      <c r="C560" s="9" t="s">
        <v>57</v>
      </c>
      <c r="D560" s="9"/>
      <c r="E560" s="23">
        <v>49296</v>
      </c>
      <c r="G560" s="42">
        <v>0</v>
      </c>
      <c r="I560" s="42">
        <v>0</v>
      </c>
      <c r="K560" s="42">
        <v>0</v>
      </c>
      <c r="M560" s="42">
        <v>0</v>
      </c>
      <c r="O560" s="42">
        <v>0</v>
      </c>
      <c r="Q560" s="42">
        <v>0</v>
      </c>
      <c r="S560" s="42">
        <v>0</v>
      </c>
      <c r="U560" s="42">
        <v>0</v>
      </c>
      <c r="W560" s="42">
        <v>0</v>
      </c>
      <c r="Y560" s="42">
        <v>0</v>
      </c>
      <c r="AA560" s="42">
        <v>0</v>
      </c>
      <c r="AC560" s="42">
        <v>0</v>
      </c>
      <c r="AE560" s="42">
        <v>0</v>
      </c>
      <c r="AG560" s="42">
        <v>0</v>
      </c>
      <c r="AI560" s="9" t="s">
        <v>689</v>
      </c>
      <c r="AJ560" s="9"/>
      <c r="AK560" s="9" t="s">
        <v>57</v>
      </c>
      <c r="AL560" s="9"/>
      <c r="AM560" s="42">
        <v>0</v>
      </c>
      <c r="AO560" s="42">
        <v>0</v>
      </c>
      <c r="AQ560" s="42">
        <v>0</v>
      </c>
      <c r="AS560" s="42">
        <v>0</v>
      </c>
      <c r="AW560" s="42">
        <v>0</v>
      </c>
      <c r="AY560" s="42">
        <f t="shared" si="56"/>
        <v>0</v>
      </c>
      <c r="BA560" s="42">
        <f>+'St of Act - GA Rev'!AI560-'St of Activities - GA Exp'!AY560</f>
        <v>0</v>
      </c>
      <c r="BC560" s="42">
        <v>0</v>
      </c>
      <c r="BE560" s="42">
        <f t="shared" si="57"/>
        <v>0</v>
      </c>
      <c r="BG560" s="42">
        <f>+'St of Net Pos - GA'!AE560-'St of Activities - GA Exp'!BE560</f>
        <v>0</v>
      </c>
    </row>
    <row r="561" spans="1:59">
      <c r="A561" s="9" t="s">
        <v>512</v>
      </c>
      <c r="B561" s="9"/>
      <c r="C561" s="9" t="s">
        <v>63</v>
      </c>
      <c r="D561" s="9"/>
      <c r="E561" s="23">
        <v>50070</v>
      </c>
      <c r="G561" s="42">
        <v>22000065</v>
      </c>
      <c r="I561" s="42">
        <v>3071338</v>
      </c>
      <c r="K561" s="42">
        <v>114721</v>
      </c>
      <c r="M561" s="42">
        <v>0</v>
      </c>
      <c r="O561" s="42">
        <f>133387+295566</f>
        <v>428953</v>
      </c>
      <c r="Q561" s="42">
        <v>2377141</v>
      </c>
      <c r="S561" s="42">
        <v>1620694</v>
      </c>
      <c r="U561" s="42">
        <v>374348</v>
      </c>
      <c r="W561" s="42">
        <v>2945174</v>
      </c>
      <c r="Y561" s="42">
        <v>1204727</v>
      </c>
      <c r="AA561" s="42">
        <v>104712</v>
      </c>
      <c r="AC561" s="42">
        <v>3887992</v>
      </c>
      <c r="AE561" s="42">
        <v>2809153</v>
      </c>
      <c r="AG561" s="42">
        <v>1241916</v>
      </c>
      <c r="AI561" s="9" t="s">
        <v>512</v>
      </c>
      <c r="AJ561" s="9"/>
      <c r="AK561" s="9" t="s">
        <v>63</v>
      </c>
      <c r="AL561" s="9"/>
      <c r="AM561" s="42">
        <v>1216009</v>
      </c>
      <c r="AO561" s="42">
        <v>2676</v>
      </c>
      <c r="AQ561" s="42">
        <v>1247144</v>
      </c>
      <c r="AS561" s="42">
        <v>751999</v>
      </c>
      <c r="AW561" s="42">
        <v>0</v>
      </c>
      <c r="AY561" s="42">
        <f t="shared" si="56"/>
        <v>45398762</v>
      </c>
      <c r="BA561" s="42">
        <f>+'St of Act - GA Rev'!AI561-'St of Activities - GA Exp'!AY561</f>
        <v>-855626</v>
      </c>
      <c r="BC561" s="42">
        <v>45907037</v>
      </c>
      <c r="BE561" s="42">
        <f t="shared" si="57"/>
        <v>45051411</v>
      </c>
      <c r="BG561" s="42">
        <f>+'St of Net Pos - GA'!AE561-'St of Activities - GA Exp'!BE561</f>
        <v>0</v>
      </c>
    </row>
    <row r="562" spans="1:59">
      <c r="A562" s="8" t="s">
        <v>907</v>
      </c>
      <c r="B562" s="9"/>
      <c r="C562" s="9" t="s">
        <v>15</v>
      </c>
      <c r="D562" s="9"/>
      <c r="E562" s="23">
        <v>46011</v>
      </c>
      <c r="G562" s="42">
        <v>6834269</v>
      </c>
      <c r="I562" s="42">
        <v>1999396</v>
      </c>
      <c r="K562" s="42">
        <v>501999</v>
      </c>
      <c r="M562" s="42">
        <v>0</v>
      </c>
      <c r="O562" s="42">
        <v>2501</v>
      </c>
      <c r="Q562" s="42">
        <v>550150</v>
      </c>
      <c r="S562" s="42">
        <v>366526</v>
      </c>
      <c r="U562" s="42">
        <v>70751</v>
      </c>
      <c r="W562" s="42">
        <v>1020163</v>
      </c>
      <c r="Y562" s="42">
        <v>326392</v>
      </c>
      <c r="AA562" s="42">
        <v>0</v>
      </c>
      <c r="AC562" s="42">
        <v>1132160</v>
      </c>
      <c r="AE562" s="42">
        <v>798865</v>
      </c>
      <c r="AG562" s="42">
        <v>40348</v>
      </c>
      <c r="AI562" s="8" t="s">
        <v>907</v>
      </c>
      <c r="AJ562" s="9"/>
      <c r="AK562" s="9" t="s">
        <v>15</v>
      </c>
      <c r="AL562" s="9"/>
      <c r="AM562" s="42">
        <v>431928</v>
      </c>
      <c r="AO562" s="42">
        <v>2619</v>
      </c>
      <c r="AQ562" s="42">
        <v>304433</v>
      </c>
      <c r="AS562" s="42">
        <v>92515</v>
      </c>
      <c r="AW562" s="42">
        <v>0</v>
      </c>
      <c r="AY562" s="42">
        <f t="shared" si="56"/>
        <v>14475015</v>
      </c>
      <c r="BA562" s="42">
        <f>+'St of Act - GA Rev'!AI562-'St of Activities - GA Exp'!AY562</f>
        <v>762760</v>
      </c>
      <c r="BC562" s="42">
        <v>10765084</v>
      </c>
      <c r="BE562" s="42">
        <f t="shared" si="57"/>
        <v>11527844</v>
      </c>
      <c r="BG562" s="42">
        <f>+'St of Net Pos - GA'!AE562-'St of Activities - GA Exp'!BE562</f>
        <v>0</v>
      </c>
    </row>
    <row r="563" spans="1:59">
      <c r="A563" s="9" t="s">
        <v>473</v>
      </c>
      <c r="B563" s="9"/>
      <c r="C563" s="9" t="s">
        <v>58</v>
      </c>
      <c r="D563" s="9"/>
      <c r="E563" s="23">
        <v>49536</v>
      </c>
      <c r="G563" s="42">
        <v>11663713</v>
      </c>
      <c r="I563" s="42">
        <v>1877253</v>
      </c>
      <c r="K563" s="42">
        <v>67381</v>
      </c>
      <c r="M563" s="42">
        <v>0</v>
      </c>
      <c r="O563" s="42">
        <v>0</v>
      </c>
      <c r="Q563" s="42">
        <v>814732</v>
      </c>
      <c r="S563" s="42">
        <v>572532</v>
      </c>
      <c r="U563" s="42">
        <v>921590</v>
      </c>
      <c r="W563" s="42">
        <v>1118038</v>
      </c>
      <c r="Y563" s="42">
        <v>478424</v>
      </c>
      <c r="AA563" s="42">
        <v>21043</v>
      </c>
      <c r="AC563" s="42">
        <v>1511169</v>
      </c>
      <c r="AE563" s="42">
        <v>977198</v>
      </c>
      <c r="AG563" s="42">
        <v>88998</v>
      </c>
      <c r="AI563" s="9" t="s">
        <v>473</v>
      </c>
      <c r="AJ563" s="9"/>
      <c r="AK563" s="9" t="s">
        <v>58</v>
      </c>
      <c r="AL563" s="9"/>
      <c r="AM563" s="42">
        <v>0</v>
      </c>
      <c r="AO563" s="42">
        <v>1040244</v>
      </c>
      <c r="AQ563" s="42">
        <v>275078</v>
      </c>
      <c r="AS563" s="42">
        <v>264342</v>
      </c>
      <c r="AW563" s="42">
        <v>74144</v>
      </c>
      <c r="AY563" s="42">
        <f t="shared" si="56"/>
        <v>21765879</v>
      </c>
      <c r="BA563" s="42">
        <f>+'St of Act - GA Rev'!AI563-'St of Activities - GA Exp'!AY563</f>
        <v>-787493</v>
      </c>
      <c r="BC563" s="42">
        <v>31641416</v>
      </c>
      <c r="BE563" s="42">
        <f t="shared" si="57"/>
        <v>30853923</v>
      </c>
      <c r="BG563" s="42">
        <f>+'St of Net Pos - GA'!AE563-'St of Activities - GA Exp'!BE563</f>
        <v>0</v>
      </c>
    </row>
    <row r="564" spans="1:59" ht="12" customHeight="1">
      <c r="A564" s="9" t="s">
        <v>249</v>
      </c>
      <c r="B564" s="9"/>
      <c r="C564" s="9" t="s">
        <v>111</v>
      </c>
      <c r="D564" s="9"/>
      <c r="E564" s="23">
        <v>46458</v>
      </c>
      <c r="G564" s="42">
        <v>5695797</v>
      </c>
      <c r="I564" s="42">
        <v>1729097</v>
      </c>
      <c r="K564" s="42">
        <v>222593</v>
      </c>
      <c r="M564" s="42">
        <v>8251</v>
      </c>
      <c r="O564" s="42">
        <v>5611</v>
      </c>
      <c r="Q564" s="42">
        <v>453533</v>
      </c>
      <c r="S564" s="42">
        <v>511378</v>
      </c>
      <c r="U564" s="42">
        <v>73647</v>
      </c>
      <c r="W564" s="42">
        <v>956929</v>
      </c>
      <c r="Y564" s="42">
        <v>320961</v>
      </c>
      <c r="AA564" s="42">
        <v>239886</v>
      </c>
      <c r="AC564" s="42">
        <v>1098174</v>
      </c>
      <c r="AE564" s="42">
        <v>910365</v>
      </c>
      <c r="AG564" s="42">
        <v>49448</v>
      </c>
      <c r="AI564" s="9" t="s">
        <v>249</v>
      </c>
      <c r="AJ564" s="9"/>
      <c r="AK564" s="9" t="s">
        <v>111</v>
      </c>
      <c r="AL564" s="9"/>
      <c r="AM564" s="42">
        <v>657454</v>
      </c>
      <c r="AO564" s="42">
        <v>10604</v>
      </c>
      <c r="AQ564" s="42">
        <v>592286</v>
      </c>
      <c r="AS564" s="42">
        <v>7150</v>
      </c>
      <c r="AW564" s="42">
        <v>0</v>
      </c>
      <c r="AY564" s="42">
        <f t="shared" si="56"/>
        <v>13543164</v>
      </c>
      <c r="BA564" s="42">
        <f>+'St of Act - GA Rev'!AI564-'St of Activities - GA Exp'!AY564</f>
        <v>-347409</v>
      </c>
      <c r="BC564" s="42">
        <v>10956761</v>
      </c>
      <c r="BE564" s="42">
        <f t="shared" si="57"/>
        <v>10609352</v>
      </c>
      <c r="BG564" s="42">
        <f>+'St of Net Pos - GA'!AE564-'St of Activities - GA Exp'!BE564</f>
        <v>0</v>
      </c>
    </row>
    <row r="565" spans="1:59">
      <c r="A565" s="9" t="s">
        <v>306</v>
      </c>
      <c r="B565" s="9"/>
      <c r="C565" s="9" t="s">
        <v>27</v>
      </c>
      <c r="D565" s="9"/>
      <c r="E565" s="23">
        <v>44933</v>
      </c>
      <c r="G565" s="42">
        <v>43810916</v>
      </c>
      <c r="I565" s="42">
        <v>10560928</v>
      </c>
      <c r="K565" s="42">
        <v>55666</v>
      </c>
      <c r="M565" s="42">
        <v>0</v>
      </c>
      <c r="O565" s="42">
        <v>0</v>
      </c>
      <c r="Q565" s="42">
        <v>5593739</v>
      </c>
      <c r="S565" s="42">
        <v>5131532</v>
      </c>
      <c r="U565" s="42">
        <v>28847</v>
      </c>
      <c r="W565" s="42">
        <v>5084136</v>
      </c>
      <c r="Y565" s="42">
        <v>1889364</v>
      </c>
      <c r="AA565" s="42">
        <v>682321</v>
      </c>
      <c r="AC565" s="42">
        <v>6914143</v>
      </c>
      <c r="AE565" s="42">
        <v>1756688</v>
      </c>
      <c r="AG565" s="42">
        <v>990525</v>
      </c>
      <c r="AI565" s="9" t="s">
        <v>306</v>
      </c>
      <c r="AJ565" s="9"/>
      <c r="AK565" s="9" t="s">
        <v>27</v>
      </c>
      <c r="AL565" s="9"/>
      <c r="AM565" s="42">
        <v>1418278</v>
      </c>
      <c r="AO565" s="42">
        <v>3142239</v>
      </c>
      <c r="AQ565" s="42">
        <v>2966647</v>
      </c>
      <c r="AS565" s="42">
        <v>1003986</v>
      </c>
      <c r="AW565" s="42">
        <v>0</v>
      </c>
      <c r="AY565" s="42">
        <f t="shared" si="56"/>
        <v>91029955</v>
      </c>
      <c r="BA565" s="42">
        <f>+'St of Act - GA Rev'!AI565-'St of Activities - GA Exp'!AY565</f>
        <v>410419</v>
      </c>
      <c r="BC565" s="42">
        <v>80066176</v>
      </c>
      <c r="BE565" s="42">
        <f t="shared" si="57"/>
        <v>80476595</v>
      </c>
      <c r="BG565" s="42">
        <f>+'St of Net Pos - GA'!AE565-'St of Activities - GA Exp'!BE565</f>
        <v>0</v>
      </c>
    </row>
    <row r="566" spans="1:59" ht="12" hidden="1" customHeight="1">
      <c r="A566" s="9" t="s">
        <v>773</v>
      </c>
      <c r="B566" s="9"/>
      <c r="C566" s="9" t="s">
        <v>553</v>
      </c>
      <c r="D566" s="9"/>
      <c r="E566" s="23">
        <v>45625</v>
      </c>
      <c r="G566" s="42">
        <v>0</v>
      </c>
      <c r="I566" s="42">
        <v>0</v>
      </c>
      <c r="K566" s="42">
        <v>0</v>
      </c>
      <c r="M566" s="42">
        <v>0</v>
      </c>
      <c r="O566" s="42">
        <v>0</v>
      </c>
      <c r="Q566" s="42">
        <v>0</v>
      </c>
      <c r="S566" s="42">
        <v>0</v>
      </c>
      <c r="U566" s="42">
        <v>0</v>
      </c>
      <c r="W566" s="42">
        <v>0</v>
      </c>
      <c r="Y566" s="42">
        <v>0</v>
      </c>
      <c r="AA566" s="42">
        <v>0</v>
      </c>
      <c r="AC566" s="42">
        <v>0</v>
      </c>
      <c r="AE566" s="42">
        <v>0</v>
      </c>
      <c r="AG566" s="42">
        <v>0</v>
      </c>
      <c r="AI566" s="9" t="s">
        <v>773</v>
      </c>
      <c r="AJ566" s="9"/>
      <c r="AK566" s="9" t="s">
        <v>553</v>
      </c>
      <c r="AL566" s="9"/>
      <c r="AM566" s="42">
        <v>0</v>
      </c>
      <c r="AO566" s="42">
        <v>0</v>
      </c>
      <c r="AQ566" s="42">
        <v>0</v>
      </c>
      <c r="AS566" s="42">
        <v>0</v>
      </c>
      <c r="AW566" s="42">
        <v>0</v>
      </c>
      <c r="AY566" s="42">
        <f t="shared" si="56"/>
        <v>0</v>
      </c>
      <c r="BA566" s="42">
        <f>+'St of Act - GA Rev'!AI566-'St of Activities - GA Exp'!AY566</f>
        <v>0</v>
      </c>
      <c r="BC566" s="42">
        <v>0</v>
      </c>
      <c r="BE566" s="42">
        <f t="shared" si="57"/>
        <v>0</v>
      </c>
      <c r="BG566" s="42">
        <f>+'St of Net Pos - GA'!AE566-'St of Activities - GA Exp'!BE566</f>
        <v>0</v>
      </c>
    </row>
    <row r="567" spans="1:59" ht="12" hidden="1" customHeight="1">
      <c r="A567" s="9" t="s">
        <v>690</v>
      </c>
      <c r="B567" s="9"/>
      <c r="C567" s="9" t="s">
        <v>337</v>
      </c>
      <c r="D567" s="9"/>
      <c r="E567" s="23">
        <v>47522</v>
      </c>
      <c r="G567" s="42">
        <v>0</v>
      </c>
      <c r="I567" s="42">
        <v>0</v>
      </c>
      <c r="K567" s="42">
        <v>0</v>
      </c>
      <c r="M567" s="42">
        <v>0</v>
      </c>
      <c r="O567" s="42">
        <v>0</v>
      </c>
      <c r="Q567" s="42">
        <v>0</v>
      </c>
      <c r="S567" s="42">
        <v>0</v>
      </c>
      <c r="U567" s="42">
        <v>0</v>
      </c>
      <c r="W567" s="42">
        <v>0</v>
      </c>
      <c r="Y567" s="42">
        <v>0</v>
      </c>
      <c r="AA567" s="42">
        <v>0</v>
      </c>
      <c r="AC567" s="42">
        <v>0</v>
      </c>
      <c r="AE567" s="42">
        <v>0</v>
      </c>
      <c r="AG567" s="42">
        <v>0</v>
      </c>
      <c r="AI567" s="9" t="s">
        <v>690</v>
      </c>
      <c r="AJ567" s="9"/>
      <c r="AK567" s="9" t="s">
        <v>337</v>
      </c>
      <c r="AL567" s="9"/>
      <c r="AM567" s="42">
        <v>0</v>
      </c>
      <c r="AO567" s="42">
        <v>0</v>
      </c>
      <c r="AQ567" s="42">
        <v>0</v>
      </c>
      <c r="AS567" s="42">
        <v>0</v>
      </c>
      <c r="AW567" s="42">
        <v>0</v>
      </c>
      <c r="AY567" s="42">
        <f t="shared" si="56"/>
        <v>0</v>
      </c>
      <c r="BA567" s="42">
        <f>+'St of Act - GA Rev'!AI567-'St of Activities - GA Exp'!AY567</f>
        <v>0</v>
      </c>
      <c r="BC567" s="42">
        <v>0</v>
      </c>
      <c r="BE567" s="42">
        <f t="shared" si="57"/>
        <v>0</v>
      </c>
      <c r="BG567" s="42">
        <f>+'St of Net Pos - GA'!AE567-'St of Activities - GA Exp'!BE567</f>
        <v>0</v>
      </c>
    </row>
    <row r="568" spans="1:59" hidden="1">
      <c r="A568" s="9" t="s">
        <v>883</v>
      </c>
      <c r="B568" s="9"/>
      <c r="C568" s="9" t="s">
        <v>227</v>
      </c>
      <c r="D568" s="9"/>
      <c r="E568" s="23">
        <v>44941</v>
      </c>
      <c r="G568" s="42">
        <v>0</v>
      </c>
      <c r="I568" s="42">
        <v>0</v>
      </c>
      <c r="K568" s="42">
        <v>0</v>
      </c>
      <c r="M568" s="42">
        <v>0</v>
      </c>
      <c r="O568" s="42">
        <v>0</v>
      </c>
      <c r="Q568" s="42">
        <v>0</v>
      </c>
      <c r="S568" s="42">
        <v>0</v>
      </c>
      <c r="U568" s="42">
        <v>0</v>
      </c>
      <c r="W568" s="42">
        <v>0</v>
      </c>
      <c r="Y568" s="42">
        <v>0</v>
      </c>
      <c r="AA568" s="42">
        <v>0</v>
      </c>
      <c r="AC568" s="42">
        <v>0</v>
      </c>
      <c r="AE568" s="42">
        <v>0</v>
      </c>
      <c r="AG568" s="42">
        <v>0</v>
      </c>
      <c r="AI568" s="9" t="s">
        <v>883</v>
      </c>
      <c r="AJ568" s="9"/>
      <c r="AK568" s="9" t="s">
        <v>227</v>
      </c>
      <c r="AL568" s="9"/>
      <c r="AM568" s="42">
        <v>0</v>
      </c>
      <c r="AO568" s="42">
        <v>0</v>
      </c>
      <c r="AQ568" s="42">
        <v>0</v>
      </c>
      <c r="AS568" s="42">
        <v>0</v>
      </c>
      <c r="AW568" s="42">
        <v>0</v>
      </c>
      <c r="AY568" s="42">
        <f t="shared" si="56"/>
        <v>0</v>
      </c>
      <c r="BA568" s="42">
        <f>+'St of Act - GA Rev'!AI568-'St of Activities - GA Exp'!AY568</f>
        <v>0</v>
      </c>
      <c r="BC568" s="42">
        <v>0</v>
      </c>
      <c r="BE568" s="42">
        <f t="shared" si="57"/>
        <v>0</v>
      </c>
      <c r="BG568" s="42">
        <f>+'St of Net Pos - GA'!AE568-'St of Activities - GA Exp'!BE568</f>
        <v>0</v>
      </c>
    </row>
    <row r="569" spans="1:59" ht="12" hidden="1" customHeight="1">
      <c r="A569" s="9" t="s">
        <v>691</v>
      </c>
      <c r="B569" s="9"/>
      <c r="C569" s="9" t="s">
        <v>59</v>
      </c>
      <c r="D569" s="9"/>
      <c r="E569" s="23">
        <v>49643</v>
      </c>
      <c r="G569" s="42">
        <v>0</v>
      </c>
      <c r="I569" s="42">
        <v>0</v>
      </c>
      <c r="K569" s="42">
        <v>0</v>
      </c>
      <c r="M569" s="42">
        <v>0</v>
      </c>
      <c r="O569" s="42">
        <v>0</v>
      </c>
      <c r="Q569" s="42">
        <v>0</v>
      </c>
      <c r="S569" s="42">
        <v>0</v>
      </c>
      <c r="U569" s="42">
        <v>0</v>
      </c>
      <c r="W569" s="42">
        <v>0</v>
      </c>
      <c r="Y569" s="42">
        <v>0</v>
      </c>
      <c r="AA569" s="42">
        <v>0</v>
      </c>
      <c r="AC569" s="42">
        <v>0</v>
      </c>
      <c r="AE569" s="42">
        <v>0</v>
      </c>
      <c r="AG569" s="42">
        <v>0</v>
      </c>
      <c r="AI569" s="9" t="s">
        <v>691</v>
      </c>
      <c r="AJ569" s="9"/>
      <c r="AK569" s="9" t="s">
        <v>59</v>
      </c>
      <c r="AL569" s="9"/>
      <c r="AM569" s="42">
        <v>0</v>
      </c>
      <c r="AO569" s="42">
        <v>0</v>
      </c>
      <c r="AQ569" s="42">
        <v>0</v>
      </c>
      <c r="AS569" s="42">
        <v>0</v>
      </c>
      <c r="AW569" s="42">
        <v>0</v>
      </c>
      <c r="AY569" s="42">
        <f t="shared" si="56"/>
        <v>0</v>
      </c>
      <c r="BA569" s="42">
        <f>+'St of Act - GA Rev'!AI569-'St of Activities - GA Exp'!AY569</f>
        <v>0</v>
      </c>
      <c r="BC569" s="42">
        <v>0</v>
      </c>
      <c r="BE569" s="42">
        <f t="shared" si="57"/>
        <v>0</v>
      </c>
      <c r="BG569" s="42">
        <f>+'St of Net Pos - GA'!AE569-'St of Activities - GA Exp'!BE569</f>
        <v>0</v>
      </c>
    </row>
    <row r="570" spans="1:59">
      <c r="A570" s="9" t="s">
        <v>434</v>
      </c>
      <c r="B570" s="9"/>
      <c r="C570" s="9" t="s">
        <v>50</v>
      </c>
      <c r="D570" s="9"/>
      <c r="E570" s="23">
        <v>48744</v>
      </c>
      <c r="G570" s="42">
        <v>8890254</v>
      </c>
      <c r="I570" s="42">
        <v>1653727</v>
      </c>
      <c r="K570" s="42">
        <v>109068</v>
      </c>
      <c r="M570" s="42">
        <v>0</v>
      </c>
      <c r="O570" s="42">
        <v>642145</v>
      </c>
      <c r="Q570" s="42">
        <v>1288902</v>
      </c>
      <c r="S570" s="42">
        <v>950558</v>
      </c>
      <c r="U570" s="42">
        <v>13184</v>
      </c>
      <c r="W570" s="42">
        <v>996768</v>
      </c>
      <c r="Y570" s="42">
        <v>367988</v>
      </c>
      <c r="AA570" s="42">
        <v>11025</v>
      </c>
      <c r="AC570" s="42">
        <v>1451671</v>
      </c>
      <c r="AE570" s="42">
        <v>1108684</v>
      </c>
      <c r="AG570" s="42">
        <v>76103</v>
      </c>
      <c r="AI570" s="9" t="s">
        <v>434</v>
      </c>
      <c r="AJ570" s="9"/>
      <c r="AK570" s="9" t="s">
        <v>50</v>
      </c>
      <c r="AL570" s="9"/>
      <c r="AM570" s="42">
        <v>655315</v>
      </c>
      <c r="AO570" s="42">
        <v>37001</v>
      </c>
      <c r="AQ570" s="42">
        <v>565079</v>
      </c>
      <c r="AS570" s="42">
        <v>28097</v>
      </c>
      <c r="AW570" s="42">
        <v>0</v>
      </c>
      <c r="AY570" s="42">
        <f t="shared" si="56"/>
        <v>18845569</v>
      </c>
      <c r="BA570" s="42">
        <f>+'St of Act - GA Rev'!AI570-'St of Activities - GA Exp'!AY570</f>
        <v>-610647</v>
      </c>
      <c r="BC570" s="42">
        <v>5257685</v>
      </c>
      <c r="BE570" s="42">
        <f t="shared" si="57"/>
        <v>4647038</v>
      </c>
      <c r="BG570" s="42">
        <f>+'St of Net Pos - GA'!AE570-'St of Activities - GA Exp'!BE570</f>
        <v>0</v>
      </c>
    </row>
    <row r="571" spans="1:59">
      <c r="A571" s="9" t="s">
        <v>336</v>
      </c>
      <c r="B571" s="9"/>
      <c r="C571" s="9" t="s">
        <v>33</v>
      </c>
      <c r="D571" s="9"/>
      <c r="E571" s="23">
        <v>47464</v>
      </c>
      <c r="G571" s="42">
        <v>5386855</v>
      </c>
      <c r="I571" s="42">
        <v>1105342</v>
      </c>
      <c r="K571" s="42">
        <v>217879</v>
      </c>
      <c r="M571" s="42">
        <v>0</v>
      </c>
      <c r="O571" s="42">
        <v>0</v>
      </c>
      <c r="Q571" s="42">
        <v>575587</v>
      </c>
      <c r="S571" s="42">
        <v>295131</v>
      </c>
      <c r="U571" s="42">
        <v>51133</v>
      </c>
      <c r="W571" s="42">
        <v>761905</v>
      </c>
      <c r="Y571" s="42">
        <v>374448</v>
      </c>
      <c r="AA571" s="42">
        <v>0</v>
      </c>
      <c r="AC571" s="42">
        <v>1339981</v>
      </c>
      <c r="AE571" s="42">
        <v>600066</v>
      </c>
      <c r="AG571" s="42">
        <v>39010</v>
      </c>
      <c r="AI571" s="9" t="s">
        <v>336</v>
      </c>
      <c r="AJ571" s="9"/>
      <c r="AK571" s="9" t="s">
        <v>33</v>
      </c>
      <c r="AL571" s="9"/>
      <c r="AM571" s="42">
        <v>0</v>
      </c>
      <c r="AO571" s="42">
        <v>307247</v>
      </c>
      <c r="AQ571" s="42">
        <v>412633</v>
      </c>
      <c r="AS571" s="42">
        <v>381045</v>
      </c>
      <c r="AW571" s="42">
        <v>0</v>
      </c>
      <c r="AY571" s="42">
        <f t="shared" si="56"/>
        <v>11848262</v>
      </c>
      <c r="BA571" s="42">
        <f>+'St of Act - GA Rev'!AI571-'St of Activities - GA Exp'!AY571</f>
        <v>556106</v>
      </c>
      <c r="BC571" s="42">
        <v>16199762</v>
      </c>
      <c r="BE571" s="42">
        <f t="shared" si="57"/>
        <v>16755868</v>
      </c>
      <c r="BG571" s="42">
        <f>+'St of Net Pos - GA'!AE571-'St of Activities - GA Exp'!BE571</f>
        <v>0</v>
      </c>
    </row>
    <row r="572" spans="1:59" ht="12" hidden="1" customHeight="1">
      <c r="A572" s="9" t="s">
        <v>824</v>
      </c>
      <c r="B572" s="9"/>
      <c r="C572" s="9" t="s">
        <v>67</v>
      </c>
      <c r="D572" s="9"/>
      <c r="E572" s="23">
        <v>44966</v>
      </c>
      <c r="G572" s="42">
        <v>0</v>
      </c>
      <c r="I572" s="42">
        <v>0</v>
      </c>
      <c r="K572" s="42">
        <v>0</v>
      </c>
      <c r="M572" s="42">
        <v>0</v>
      </c>
      <c r="O572" s="42">
        <v>0</v>
      </c>
      <c r="Q572" s="42">
        <v>0</v>
      </c>
      <c r="S572" s="42">
        <v>0</v>
      </c>
      <c r="U572" s="42">
        <v>0</v>
      </c>
      <c r="W572" s="42">
        <v>0</v>
      </c>
      <c r="Y572" s="42">
        <v>0</v>
      </c>
      <c r="AA572" s="42">
        <v>0</v>
      </c>
      <c r="AC572" s="42">
        <v>0</v>
      </c>
      <c r="AE572" s="42">
        <v>0</v>
      </c>
      <c r="AG572" s="42">
        <v>0</v>
      </c>
      <c r="AI572" s="8" t="s">
        <v>824</v>
      </c>
      <c r="AJ572" s="9"/>
      <c r="AK572" s="9" t="s">
        <v>67</v>
      </c>
      <c r="AL572" s="9"/>
      <c r="AM572" s="42">
        <v>0</v>
      </c>
      <c r="AO572" s="42">
        <v>0</v>
      </c>
      <c r="AQ572" s="42">
        <v>0</v>
      </c>
      <c r="AS572" s="42">
        <v>0</v>
      </c>
      <c r="AW572" s="42">
        <v>0</v>
      </c>
      <c r="AY572" s="42">
        <f t="shared" si="56"/>
        <v>0</v>
      </c>
      <c r="BA572" s="42">
        <f>+'St of Act - GA Rev'!AI572-'St of Activities - GA Exp'!AY572</f>
        <v>0</v>
      </c>
      <c r="BC572" s="42">
        <v>0</v>
      </c>
      <c r="BE572" s="42">
        <f t="shared" ref="BE572:BE577" si="58">+BA572+BC572</f>
        <v>0</v>
      </c>
      <c r="BG572" s="42">
        <f>+'St of Net Pos - GA'!AE572-'St of Activities - GA Exp'!BE572</f>
        <v>0</v>
      </c>
    </row>
    <row r="573" spans="1:59">
      <c r="A573" s="9" t="s">
        <v>435</v>
      </c>
      <c r="B573" s="9"/>
      <c r="C573" s="9" t="s">
        <v>50</v>
      </c>
      <c r="D573" s="9"/>
      <c r="E573" s="23">
        <v>44958</v>
      </c>
      <c r="G573" s="42">
        <v>14805862</v>
      </c>
      <c r="I573" s="42">
        <v>5342568</v>
      </c>
      <c r="K573" s="42">
        <v>216339</v>
      </c>
      <c r="M573" s="42">
        <v>0</v>
      </c>
      <c r="O573" s="42">
        <v>2125598</v>
      </c>
      <c r="Q573" s="42">
        <v>3114147</v>
      </c>
      <c r="S573" s="42">
        <v>2840679</v>
      </c>
      <c r="U573" s="42">
        <v>35205</v>
      </c>
      <c r="W573" s="42">
        <v>2184149</v>
      </c>
      <c r="Y573" s="42">
        <v>888769</v>
      </c>
      <c r="AA573" s="42">
        <v>166427</v>
      </c>
      <c r="AC573" s="42">
        <v>2545988</v>
      </c>
      <c r="AE573" s="42">
        <v>1395055</v>
      </c>
      <c r="AG573" s="42">
        <v>347349</v>
      </c>
      <c r="AI573" s="9" t="s">
        <v>435</v>
      </c>
      <c r="AJ573" s="9"/>
      <c r="AK573" s="9" t="s">
        <v>50</v>
      </c>
      <c r="AL573" s="9"/>
      <c r="AM573" s="42">
        <v>1308596</v>
      </c>
      <c r="AO573" s="42">
        <v>362780</v>
      </c>
      <c r="AQ573" s="42">
        <v>983793</v>
      </c>
      <c r="AS573" s="42">
        <v>2612752</v>
      </c>
      <c r="AW573" s="42">
        <v>0</v>
      </c>
      <c r="AY573" s="42">
        <f t="shared" si="56"/>
        <v>41276056</v>
      </c>
      <c r="BA573" s="42">
        <f>+'St of Act - GA Rev'!AI573-'St of Activities - GA Exp'!AY573</f>
        <v>-6283418</v>
      </c>
      <c r="BC573" s="42">
        <v>7850764</v>
      </c>
      <c r="BE573" s="42">
        <f t="shared" si="58"/>
        <v>1567346</v>
      </c>
      <c r="BG573" s="42">
        <f>+'St of Net Pos - GA'!AE573-'St of Activities - GA Exp'!BE573</f>
        <v>0</v>
      </c>
    </row>
    <row r="574" spans="1:59" ht="12" hidden="1" customHeight="1">
      <c r="A574" s="9" t="s">
        <v>692</v>
      </c>
      <c r="B574" s="9"/>
      <c r="C574" s="9" t="s">
        <v>33</v>
      </c>
      <c r="D574" s="9"/>
      <c r="E574" s="23">
        <v>47472</v>
      </c>
      <c r="G574" s="42">
        <v>0</v>
      </c>
      <c r="I574" s="42">
        <v>0</v>
      </c>
      <c r="K574" s="42">
        <v>0</v>
      </c>
      <c r="M574" s="42">
        <v>0</v>
      </c>
      <c r="O574" s="42">
        <v>0</v>
      </c>
      <c r="Q574" s="42">
        <v>0</v>
      </c>
      <c r="S574" s="42">
        <v>0</v>
      </c>
      <c r="U574" s="42">
        <v>0</v>
      </c>
      <c r="W574" s="42">
        <v>0</v>
      </c>
      <c r="Y574" s="42">
        <v>0</v>
      </c>
      <c r="AA574" s="42">
        <v>0</v>
      </c>
      <c r="AC574" s="42">
        <v>0</v>
      </c>
      <c r="AE574" s="42">
        <v>0</v>
      </c>
      <c r="AG574" s="42">
        <v>0</v>
      </c>
      <c r="AI574" s="9" t="s">
        <v>692</v>
      </c>
      <c r="AJ574" s="9"/>
      <c r="AK574" s="9" t="s">
        <v>33</v>
      </c>
      <c r="AL574" s="9"/>
      <c r="AM574" s="42">
        <v>0</v>
      </c>
      <c r="AO574" s="42">
        <v>0</v>
      </c>
      <c r="AQ574" s="42">
        <v>0</v>
      </c>
      <c r="AS574" s="42">
        <v>0</v>
      </c>
      <c r="AW574" s="42">
        <v>0</v>
      </c>
      <c r="AY574" s="42">
        <f t="shared" si="56"/>
        <v>0</v>
      </c>
      <c r="BA574" s="42">
        <f>+'St of Act - GA Rev'!AI574-'St of Activities - GA Exp'!AY574</f>
        <v>0</v>
      </c>
      <c r="BC574" s="42">
        <v>0</v>
      </c>
      <c r="BE574" s="42">
        <f t="shared" si="58"/>
        <v>0</v>
      </c>
      <c r="BG574" s="42">
        <f>+'St of Net Pos - GA'!AE574-'St of Activities - GA Exp'!BE574</f>
        <v>0</v>
      </c>
    </row>
    <row r="575" spans="1:59">
      <c r="A575" s="9" t="s">
        <v>289</v>
      </c>
      <c r="B575" s="9"/>
      <c r="C575" s="9" t="s">
        <v>24</v>
      </c>
      <c r="D575" s="9"/>
      <c r="E575" s="23">
        <v>46821</v>
      </c>
      <c r="G575" s="42">
        <v>8539031</v>
      </c>
      <c r="I575" s="42">
        <v>1865591</v>
      </c>
      <c r="K575" s="42">
        <v>118140</v>
      </c>
      <c r="M575" s="42">
        <v>0</v>
      </c>
      <c r="O575" s="42">
        <v>1791279</v>
      </c>
      <c r="Q575" s="42">
        <v>1339830</v>
      </c>
      <c r="S575" s="42">
        <v>2795498</v>
      </c>
      <c r="U575" s="42">
        <v>149616</v>
      </c>
      <c r="W575" s="42">
        <v>1699184</v>
      </c>
      <c r="Y575" s="42">
        <v>597916</v>
      </c>
      <c r="AA575" s="42">
        <v>126394</v>
      </c>
      <c r="AC575" s="42">
        <v>2078609</v>
      </c>
      <c r="AE575" s="42">
        <v>1448206</v>
      </c>
      <c r="AG575" s="42">
        <v>31146</v>
      </c>
      <c r="AI575" s="9" t="s">
        <v>289</v>
      </c>
      <c r="AJ575" s="9"/>
      <c r="AK575" s="9" t="s">
        <v>24</v>
      </c>
      <c r="AL575" s="9"/>
      <c r="AM575" s="42">
        <v>0</v>
      </c>
      <c r="AO575" s="42">
        <v>785433</v>
      </c>
      <c r="AQ575" s="42">
        <v>708789</v>
      </c>
      <c r="AS575" s="42">
        <v>986597</v>
      </c>
      <c r="AW575" s="42">
        <v>79972</v>
      </c>
      <c r="AY575" s="42">
        <f t="shared" si="56"/>
        <v>25141231</v>
      </c>
      <c r="BA575" s="42">
        <f>+'St of Act - GA Rev'!AI575-'St of Activities - GA Exp'!AY575</f>
        <v>-608955</v>
      </c>
      <c r="BC575" s="42">
        <v>18646211</v>
      </c>
      <c r="BE575" s="42">
        <f t="shared" si="58"/>
        <v>18037256</v>
      </c>
      <c r="BG575" s="42">
        <f>+'St of Net Pos - GA'!AE575-'St of Activities - GA Exp'!BE575</f>
        <v>0</v>
      </c>
    </row>
    <row r="576" spans="1:59" hidden="1">
      <c r="A576" s="9" t="s">
        <v>693</v>
      </c>
      <c r="B576" s="9"/>
      <c r="C576" s="9" t="s">
        <v>21</v>
      </c>
      <c r="D576" s="9"/>
      <c r="E576" s="23">
        <v>45633</v>
      </c>
      <c r="G576" s="42">
        <v>0</v>
      </c>
      <c r="I576" s="42">
        <v>0</v>
      </c>
      <c r="K576" s="42">
        <v>0</v>
      </c>
      <c r="M576" s="42">
        <v>0</v>
      </c>
      <c r="O576" s="42">
        <v>0</v>
      </c>
      <c r="Q576" s="42">
        <v>0</v>
      </c>
      <c r="S576" s="42">
        <v>0</v>
      </c>
      <c r="U576" s="42">
        <v>0</v>
      </c>
      <c r="W576" s="42">
        <v>0</v>
      </c>
      <c r="Y576" s="42">
        <v>0</v>
      </c>
      <c r="AA576" s="42">
        <v>0</v>
      </c>
      <c r="AC576" s="42">
        <v>0</v>
      </c>
      <c r="AE576" s="42">
        <v>0</v>
      </c>
      <c r="AG576" s="42">
        <v>0</v>
      </c>
      <c r="AI576" s="9" t="s">
        <v>693</v>
      </c>
      <c r="AJ576" s="9"/>
      <c r="AK576" s="9" t="s">
        <v>21</v>
      </c>
      <c r="AL576" s="9"/>
      <c r="AM576" s="42">
        <v>0</v>
      </c>
      <c r="AO576" s="42">
        <v>0</v>
      </c>
      <c r="AQ576" s="42">
        <v>0</v>
      </c>
      <c r="AS576" s="42">
        <v>0</v>
      </c>
      <c r="AW576" s="42">
        <v>0</v>
      </c>
      <c r="AY576" s="42">
        <f t="shared" si="56"/>
        <v>0</v>
      </c>
      <c r="BA576" s="42">
        <f>+'St of Act - GA Rev'!AI576-'St of Activities - GA Exp'!AY576</f>
        <v>0</v>
      </c>
      <c r="BC576" s="42">
        <v>0</v>
      </c>
      <c r="BE576" s="42">
        <f t="shared" si="58"/>
        <v>0</v>
      </c>
      <c r="BG576" s="42">
        <f>+'St of Net Pos - GA'!AE576-'St of Activities - GA Exp'!BE576</f>
        <v>0</v>
      </c>
    </row>
    <row r="577" spans="1:59">
      <c r="A577" s="9" t="s">
        <v>538</v>
      </c>
      <c r="B577" s="9"/>
      <c r="C577" s="9" t="s">
        <v>68</v>
      </c>
      <c r="D577" s="9"/>
      <c r="E577" s="23">
        <v>50393</v>
      </c>
      <c r="G577" s="42">
        <v>12193147</v>
      </c>
      <c r="I577" s="42">
        <v>2637522</v>
      </c>
      <c r="K577" s="42">
        <v>270377</v>
      </c>
      <c r="M577" s="42">
        <v>0</v>
      </c>
      <c r="O577" s="42">
        <f>73724+1090159</f>
        <v>1163883</v>
      </c>
      <c r="Q577" s="42">
        <v>1153445</v>
      </c>
      <c r="S577" s="42">
        <v>1648324</v>
      </c>
      <c r="U577" s="42">
        <v>341037</v>
      </c>
      <c r="W577" s="42">
        <v>2009238</v>
      </c>
      <c r="Y577" s="42">
        <v>367184</v>
      </c>
      <c r="AA577" s="42">
        <v>0</v>
      </c>
      <c r="AC577" s="42">
        <v>1737296</v>
      </c>
      <c r="AE577" s="42">
        <v>2261401</v>
      </c>
      <c r="AG577" s="42">
        <v>431885</v>
      </c>
      <c r="AI577" s="9" t="s">
        <v>538</v>
      </c>
      <c r="AJ577" s="9"/>
      <c r="AK577" s="9" t="s">
        <v>68</v>
      </c>
      <c r="AL577" s="9"/>
      <c r="AM577" s="42">
        <v>0</v>
      </c>
      <c r="AO577" s="42">
        <v>1614805</v>
      </c>
      <c r="AQ577" s="42">
        <v>369597</v>
      </c>
      <c r="AS577" s="42">
        <v>0</v>
      </c>
      <c r="AW577" s="42">
        <f>406195+213566</f>
        <v>619761</v>
      </c>
      <c r="AY577" s="42">
        <f t="shared" si="56"/>
        <v>28818902</v>
      </c>
      <c r="BA577" s="42">
        <f>+'St of Act - GA Rev'!AI577-'St of Activities - GA Exp'!AY577</f>
        <v>-2363720</v>
      </c>
      <c r="BC577" s="42">
        <v>69228063</v>
      </c>
      <c r="BE577" s="42">
        <f t="shared" si="58"/>
        <v>66864343</v>
      </c>
      <c r="BG577" s="42">
        <f>+'St of Net Pos - GA'!AE577-'St of Activities - GA Exp'!BE577</f>
        <v>0</v>
      </c>
    </row>
    <row r="578" spans="1:59">
      <c r="A578" s="9" t="s">
        <v>416</v>
      </c>
      <c r="B578" s="9"/>
      <c r="C578" s="9" t="s">
        <v>47</v>
      </c>
      <c r="D578" s="9"/>
      <c r="E578" s="23">
        <v>44974</v>
      </c>
      <c r="G578" s="42">
        <v>23069745</v>
      </c>
      <c r="I578" s="42">
        <v>3692423</v>
      </c>
      <c r="K578" s="42">
        <v>1856606</v>
      </c>
      <c r="M578" s="42">
        <v>12342</v>
      </c>
      <c r="O578" s="42">
        <v>1685901</v>
      </c>
      <c r="Q578" s="42">
        <v>3921313</v>
      </c>
      <c r="S578" s="42">
        <v>1455480</v>
      </c>
      <c r="U578" s="42">
        <v>396759</v>
      </c>
      <c r="W578" s="42">
        <v>4444430</v>
      </c>
      <c r="Y578" s="42">
        <v>1045558</v>
      </c>
      <c r="AA578" s="42">
        <v>0</v>
      </c>
      <c r="AC578" s="42">
        <v>5573399</v>
      </c>
      <c r="AE578" s="42">
        <v>2083822</v>
      </c>
      <c r="AG578" s="42">
        <v>1124425</v>
      </c>
      <c r="AI578" s="9" t="s">
        <v>416</v>
      </c>
      <c r="AJ578" s="9"/>
      <c r="AK578" s="9" t="s">
        <v>47</v>
      </c>
      <c r="AL578" s="9"/>
      <c r="AM578" s="42">
        <v>1667914</v>
      </c>
      <c r="AO578" s="42">
        <v>450172</v>
      </c>
      <c r="AQ578" s="42">
        <v>1316845</v>
      </c>
      <c r="AS578" s="42">
        <v>4987822</v>
      </c>
      <c r="AW578" s="42">
        <v>216437</v>
      </c>
      <c r="AY578" s="42">
        <f t="shared" ref="AY578:AY600" si="59">SUM(G578:AX578)</f>
        <v>59001393</v>
      </c>
      <c r="BA578" s="42">
        <f>+'St of Act - GA Rev'!AI578-'St of Activities - GA Exp'!AY578</f>
        <v>-6965245</v>
      </c>
      <c r="BC578" s="42">
        <v>77589037</v>
      </c>
      <c r="BE578" s="42">
        <f t="shared" ref="BE578:BE600" si="60">+BA578+BC578</f>
        <v>70623792</v>
      </c>
      <c r="BG578" s="42">
        <f>+'St of Net Pos - GA'!AE578-'St of Activities - GA Exp'!BE578</f>
        <v>0</v>
      </c>
    </row>
    <row r="579" spans="1:59" hidden="1">
      <c r="A579" s="9" t="s">
        <v>862</v>
      </c>
      <c r="B579" s="9"/>
      <c r="C579" s="9" t="s">
        <v>25</v>
      </c>
      <c r="D579" s="9"/>
      <c r="E579" s="23">
        <v>46904</v>
      </c>
      <c r="G579" s="42">
        <v>0</v>
      </c>
      <c r="I579" s="42">
        <v>0</v>
      </c>
      <c r="K579" s="42">
        <v>0</v>
      </c>
      <c r="M579" s="42">
        <v>0</v>
      </c>
      <c r="O579" s="42">
        <v>0</v>
      </c>
      <c r="Q579" s="42">
        <v>0</v>
      </c>
      <c r="S579" s="42">
        <v>0</v>
      </c>
      <c r="U579" s="42">
        <v>0</v>
      </c>
      <c r="W579" s="42">
        <v>0</v>
      </c>
      <c r="Y579" s="42">
        <v>0</v>
      </c>
      <c r="AA579" s="42">
        <v>0</v>
      </c>
      <c r="AC579" s="42">
        <v>0</v>
      </c>
      <c r="AE579" s="42">
        <v>0</v>
      </c>
      <c r="AG579" s="42">
        <v>0</v>
      </c>
      <c r="AI579" s="9" t="s">
        <v>862</v>
      </c>
      <c r="AJ579" s="9"/>
      <c r="AK579" s="9" t="s">
        <v>25</v>
      </c>
      <c r="AL579" s="9"/>
      <c r="AM579" s="42">
        <v>0</v>
      </c>
      <c r="AO579" s="42">
        <v>0</v>
      </c>
      <c r="AQ579" s="42">
        <v>0</v>
      </c>
      <c r="AS579" s="42">
        <v>0</v>
      </c>
      <c r="AW579" s="42">
        <v>0</v>
      </c>
      <c r="AY579" s="42">
        <f t="shared" ref="AY579:AY581" si="61">SUM(G579:AX579)</f>
        <v>0</v>
      </c>
      <c r="BA579" s="42">
        <f>+'St of Act - GA Rev'!AI579-'St of Activities - GA Exp'!AY579</f>
        <v>0</v>
      </c>
      <c r="BC579" s="42">
        <v>0</v>
      </c>
      <c r="BE579" s="42">
        <f t="shared" ref="BE579:BE581" si="62">+BA579+BC579</f>
        <v>0</v>
      </c>
      <c r="BG579" s="42">
        <f>+'St of Net Pos - GA'!AE579-'St of Activities - GA Exp'!BE579</f>
        <v>0</v>
      </c>
    </row>
    <row r="580" spans="1:59" hidden="1">
      <c r="A580" s="9" t="s">
        <v>863</v>
      </c>
      <c r="B580" s="9"/>
      <c r="C580" s="9" t="s">
        <v>14</v>
      </c>
      <c r="D580" s="9"/>
      <c r="E580" s="23">
        <v>44982</v>
      </c>
      <c r="G580" s="42">
        <v>0</v>
      </c>
      <c r="I580" s="42">
        <v>0</v>
      </c>
      <c r="K580" s="42">
        <v>0</v>
      </c>
      <c r="M580" s="42">
        <v>0</v>
      </c>
      <c r="O580" s="42">
        <v>0</v>
      </c>
      <c r="Q580" s="42">
        <v>0</v>
      </c>
      <c r="S580" s="42">
        <v>0</v>
      </c>
      <c r="U580" s="42">
        <v>0</v>
      </c>
      <c r="W580" s="42">
        <v>0</v>
      </c>
      <c r="Y580" s="42">
        <v>0</v>
      </c>
      <c r="AA580" s="42">
        <v>0</v>
      </c>
      <c r="AC580" s="42">
        <v>0</v>
      </c>
      <c r="AE580" s="42">
        <v>0</v>
      </c>
      <c r="AG580" s="42">
        <v>0</v>
      </c>
      <c r="AI580" s="9" t="s">
        <v>863</v>
      </c>
      <c r="AJ580" s="9"/>
      <c r="AK580" s="9" t="s">
        <v>14</v>
      </c>
      <c r="AL580" s="9"/>
      <c r="AM580" s="42">
        <v>0</v>
      </c>
      <c r="AO580" s="42">
        <v>0</v>
      </c>
      <c r="AQ580" s="42">
        <v>0</v>
      </c>
      <c r="AS580" s="42">
        <v>0</v>
      </c>
      <c r="AW580" s="42">
        <v>0</v>
      </c>
      <c r="AY580" s="42">
        <f t="shared" si="61"/>
        <v>0</v>
      </c>
      <c r="BA580" s="42">
        <f>+'St of Act - GA Rev'!AI580-'St of Activities - GA Exp'!AY580</f>
        <v>0</v>
      </c>
      <c r="BC580" s="42">
        <v>0</v>
      </c>
      <c r="BE580" s="42">
        <f t="shared" si="62"/>
        <v>0</v>
      </c>
      <c r="BG580" s="42">
        <f>+'St of Net Pos - GA'!AE580-'St of Activities - GA Exp'!BE580</f>
        <v>0</v>
      </c>
    </row>
    <row r="581" spans="1:59" hidden="1">
      <c r="A581" s="8" t="s">
        <v>864</v>
      </c>
      <c r="B581" s="8"/>
      <c r="C581" s="8" t="s">
        <v>63</v>
      </c>
      <c r="D581" s="9"/>
      <c r="E581" s="23"/>
      <c r="G581" s="42">
        <v>0</v>
      </c>
      <c r="I581" s="42">
        <v>0</v>
      </c>
      <c r="K581" s="42">
        <v>0</v>
      </c>
      <c r="M581" s="42">
        <v>0</v>
      </c>
      <c r="O581" s="42">
        <v>0</v>
      </c>
      <c r="Q581" s="42">
        <v>0</v>
      </c>
      <c r="S581" s="42">
        <v>0</v>
      </c>
      <c r="U581" s="42">
        <v>0</v>
      </c>
      <c r="W581" s="42">
        <v>0</v>
      </c>
      <c r="Y581" s="42">
        <v>0</v>
      </c>
      <c r="AA581" s="42">
        <v>0</v>
      </c>
      <c r="AC581" s="42">
        <v>0</v>
      </c>
      <c r="AE581" s="42">
        <v>0</v>
      </c>
      <c r="AG581" s="42">
        <v>0</v>
      </c>
      <c r="AI581" s="8" t="s">
        <v>864</v>
      </c>
      <c r="AJ581" s="8"/>
      <c r="AK581" s="8" t="s">
        <v>63</v>
      </c>
      <c r="AL581" s="9"/>
      <c r="AM581" s="42">
        <v>0</v>
      </c>
      <c r="AO581" s="42">
        <v>0</v>
      </c>
      <c r="AQ581" s="42">
        <v>0</v>
      </c>
      <c r="AS581" s="42">
        <v>0</v>
      </c>
      <c r="AW581" s="42">
        <v>0</v>
      </c>
      <c r="AY581" s="42">
        <f t="shared" si="61"/>
        <v>0</v>
      </c>
      <c r="BA581" s="42">
        <f>+'St of Act - GA Rev'!AI581-'St of Activities - GA Exp'!AY581</f>
        <v>0</v>
      </c>
      <c r="BC581" s="42">
        <v>0</v>
      </c>
      <c r="BE581" s="42">
        <f t="shared" si="62"/>
        <v>0</v>
      </c>
      <c r="BG581" s="42">
        <f>+'St of Net Pos - GA'!AE581-'St of Activities - GA Exp'!BE581</f>
        <v>0</v>
      </c>
    </row>
    <row r="582" spans="1:59">
      <c r="A582" s="9" t="s">
        <v>527</v>
      </c>
      <c r="B582" s="9"/>
      <c r="C582" s="9" t="s">
        <v>64</v>
      </c>
      <c r="D582" s="9"/>
      <c r="E582" s="23">
        <v>44990</v>
      </c>
      <c r="G582" s="42">
        <v>28988384</v>
      </c>
      <c r="I582" s="42">
        <v>9935105</v>
      </c>
      <c r="K582" s="42">
        <v>137593</v>
      </c>
      <c r="M582" s="42">
        <v>0</v>
      </c>
      <c r="O582" s="42">
        <v>2726946</v>
      </c>
      <c r="Q582" s="42">
        <v>3711520</v>
      </c>
      <c r="S582" s="42">
        <v>6090975</v>
      </c>
      <c r="U582" s="42">
        <v>30264</v>
      </c>
      <c r="W582" s="42">
        <v>5688182</v>
      </c>
      <c r="Y582" s="42">
        <v>1157539</v>
      </c>
      <c r="AA582" s="42">
        <v>703174</v>
      </c>
      <c r="AC582" s="42">
        <v>7778321</v>
      </c>
      <c r="AE582" s="42">
        <v>2934583</v>
      </c>
      <c r="AG582" s="42">
        <v>1299250</v>
      </c>
      <c r="AI582" s="9" t="s">
        <v>527</v>
      </c>
      <c r="AJ582" s="9"/>
      <c r="AK582" s="9" t="s">
        <v>64</v>
      </c>
      <c r="AL582" s="9"/>
      <c r="AM582" s="42">
        <v>3583916</v>
      </c>
      <c r="AO582" s="42">
        <v>350267</v>
      </c>
      <c r="AQ582" s="42">
        <v>1262693</v>
      </c>
      <c r="AS582" s="42">
        <v>1650399</v>
      </c>
      <c r="AW582" s="42">
        <v>373722</v>
      </c>
      <c r="AY582" s="42">
        <f t="shared" si="59"/>
        <v>78402833</v>
      </c>
      <c r="BA582" s="42">
        <f>+'St of Act - GA Rev'!AI582-'St of Activities - GA Exp'!AY582</f>
        <v>-11177679</v>
      </c>
      <c r="BC582" s="42">
        <v>137933446</v>
      </c>
      <c r="BE582" s="42">
        <f t="shared" si="60"/>
        <v>126755767</v>
      </c>
      <c r="BG582" s="42">
        <f>+'St of Net Pos - GA'!AE582-'St of Activities - GA Exp'!BE582</f>
        <v>0</v>
      </c>
    </row>
    <row r="583" spans="1:59" ht="12" customHeight="1">
      <c r="A583" s="9" t="s">
        <v>545</v>
      </c>
      <c r="B583" s="9"/>
      <c r="C583" s="9" t="s">
        <v>70</v>
      </c>
      <c r="D583" s="9"/>
      <c r="E583" s="23">
        <v>50500</v>
      </c>
      <c r="G583" s="42">
        <v>10829000</v>
      </c>
      <c r="I583" s="42">
        <v>1984115</v>
      </c>
      <c r="K583" s="42">
        <v>67989</v>
      </c>
      <c r="M583" s="42">
        <v>0</v>
      </c>
      <c r="O583" s="42">
        <v>5994</v>
      </c>
      <c r="Q583" s="42">
        <v>521452</v>
      </c>
      <c r="S583" s="42">
        <v>1008811</v>
      </c>
      <c r="U583" s="42">
        <v>51880</v>
      </c>
      <c r="W583" s="42">
        <v>1431489</v>
      </c>
      <c r="Y583" s="42">
        <v>495379</v>
      </c>
      <c r="AA583" s="42">
        <v>6116</v>
      </c>
      <c r="AC583" s="42">
        <v>1931609</v>
      </c>
      <c r="AE583" s="42">
        <v>1574985</v>
      </c>
      <c r="AG583" s="42">
        <v>25897</v>
      </c>
      <c r="AI583" s="9" t="s">
        <v>545</v>
      </c>
      <c r="AJ583" s="9"/>
      <c r="AK583" s="9" t="s">
        <v>70</v>
      </c>
      <c r="AL583" s="9"/>
      <c r="AM583" s="42">
        <v>0</v>
      </c>
      <c r="AO583" s="42">
        <v>2517</v>
      </c>
      <c r="AQ583" s="42">
        <v>466026</v>
      </c>
      <c r="AS583" s="42">
        <v>0</v>
      </c>
      <c r="AW583" s="42">
        <v>0</v>
      </c>
      <c r="AY583" s="42">
        <f t="shared" si="59"/>
        <v>20403259</v>
      </c>
      <c r="BA583" s="42">
        <f>+'St of Act - GA Rev'!AI583-'St of Activities - GA Exp'!AY583</f>
        <v>320276</v>
      </c>
      <c r="BC583" s="42">
        <v>10468306</v>
      </c>
      <c r="BE583" s="42">
        <f t="shared" si="60"/>
        <v>10788582</v>
      </c>
      <c r="BG583" s="42">
        <f>+'St of Net Pos - GA'!AE583-'St of Activities - GA Exp'!BE583</f>
        <v>0</v>
      </c>
    </row>
    <row r="584" spans="1:59">
      <c r="A584" s="9" t="s">
        <v>278</v>
      </c>
      <c r="B584" s="9"/>
      <c r="C584" s="9" t="s">
        <v>20</v>
      </c>
      <c r="D584" s="9"/>
      <c r="E584" s="23">
        <v>45005</v>
      </c>
      <c r="G584" s="42">
        <v>12753897</v>
      </c>
      <c r="I584" s="42">
        <v>4074227</v>
      </c>
      <c r="K584" s="42">
        <v>392164</v>
      </c>
      <c r="M584" s="42">
        <v>0</v>
      </c>
      <c r="O584" s="42">
        <v>0</v>
      </c>
      <c r="Q584" s="42">
        <v>783108</v>
      </c>
      <c r="S584" s="42">
        <v>2738038</v>
      </c>
      <c r="U584" s="42">
        <v>71938</v>
      </c>
      <c r="W584" s="42">
        <v>2274044</v>
      </c>
      <c r="Y584" s="42">
        <v>1315364</v>
      </c>
      <c r="AA584" s="42">
        <v>1154862</v>
      </c>
      <c r="AC584" s="42">
        <v>3552735</v>
      </c>
      <c r="AE584" s="42">
        <v>1063635</v>
      </c>
      <c r="AG584" s="42">
        <v>278754</v>
      </c>
      <c r="AI584" s="9" t="s">
        <v>278</v>
      </c>
      <c r="AJ584" s="9"/>
      <c r="AK584" s="9" t="s">
        <v>20</v>
      </c>
      <c r="AL584" s="9"/>
      <c r="AM584" s="42">
        <v>743579</v>
      </c>
      <c r="AO584" s="42">
        <v>26056</v>
      </c>
      <c r="AQ584" s="42">
        <v>224039</v>
      </c>
      <c r="AS584" s="42">
        <v>1252253</v>
      </c>
      <c r="AW584" s="42">
        <v>0</v>
      </c>
      <c r="AY584" s="42">
        <f t="shared" si="59"/>
        <v>32698693</v>
      </c>
      <c r="BA584" s="42">
        <f>+'St of Act - GA Rev'!AI584-'St of Activities - GA Exp'!AY584</f>
        <v>6814760</v>
      </c>
      <c r="BC584" s="42">
        <v>13718162</v>
      </c>
      <c r="BE584" s="42">
        <f t="shared" si="60"/>
        <v>20532922</v>
      </c>
      <c r="BG584" s="42">
        <f>+'St of Net Pos - GA'!AE584-'St of Activities - GA Exp'!BE584</f>
        <v>0</v>
      </c>
    </row>
    <row r="585" spans="1:59" ht="12" customHeight="1">
      <c r="A585" s="9" t="s">
        <v>296</v>
      </c>
      <c r="B585" s="9"/>
      <c r="C585" s="9" t="s">
        <v>26</v>
      </c>
      <c r="D585" s="9"/>
      <c r="E585" s="23">
        <v>45013</v>
      </c>
      <c r="G585" s="42">
        <v>10464401</v>
      </c>
      <c r="I585" s="42">
        <v>3414216</v>
      </c>
      <c r="K585" s="42">
        <v>0</v>
      </c>
      <c r="M585" s="42">
        <v>0</v>
      </c>
      <c r="O585" s="42">
        <v>5675</v>
      </c>
      <c r="Q585" s="42">
        <v>810111</v>
      </c>
      <c r="S585" s="42">
        <v>1066115</v>
      </c>
      <c r="U585" s="42">
        <v>26608</v>
      </c>
      <c r="W585" s="42">
        <f>2023415+5839</f>
        <v>2029254</v>
      </c>
      <c r="Y585" s="42">
        <v>625337</v>
      </c>
      <c r="AA585" s="42">
        <v>6278</v>
      </c>
      <c r="AC585" s="42">
        <v>1890099</v>
      </c>
      <c r="AE585" s="42">
        <v>738620</v>
      </c>
      <c r="AG585" s="42">
        <v>147517</v>
      </c>
      <c r="AI585" s="9" t="s">
        <v>296</v>
      </c>
      <c r="AJ585" s="9"/>
      <c r="AK585" s="9" t="s">
        <v>26</v>
      </c>
      <c r="AL585" s="9"/>
      <c r="AM585" s="42">
        <v>1123880</v>
      </c>
      <c r="AO585" s="42">
        <v>9742</v>
      </c>
      <c r="AQ585" s="42">
        <v>760525</v>
      </c>
      <c r="AS585" s="42">
        <v>1223782</v>
      </c>
      <c r="AW585" s="42">
        <v>0</v>
      </c>
      <c r="AY585" s="42">
        <f t="shared" si="59"/>
        <v>24342160</v>
      </c>
      <c r="BA585" s="42">
        <f>+'St of Act - GA Rev'!AI585-'St of Activities - GA Exp'!AY585</f>
        <v>-1838688</v>
      </c>
      <c r="BC585" s="42">
        <v>53439208</v>
      </c>
      <c r="BE585" s="42">
        <f t="shared" si="60"/>
        <v>51600520</v>
      </c>
      <c r="BG585" s="42">
        <f>+'St of Net Pos - GA'!AE585-'St of Activities - GA Exp'!BE585</f>
        <v>0</v>
      </c>
    </row>
    <row r="586" spans="1:59" ht="12" customHeight="1">
      <c r="A586" s="9" t="s">
        <v>393</v>
      </c>
      <c r="B586" s="9"/>
      <c r="C586" s="9" t="s">
        <v>114</v>
      </c>
      <c r="D586" s="9"/>
      <c r="E586" s="23">
        <v>48231</v>
      </c>
      <c r="G586" s="42">
        <v>32015169</v>
      </c>
      <c r="I586" s="42">
        <v>12737040</v>
      </c>
      <c r="K586" s="42">
        <v>2590848</v>
      </c>
      <c r="M586" s="42">
        <v>484</v>
      </c>
      <c r="O586" s="42">
        <v>3389404</v>
      </c>
      <c r="Q586" s="42">
        <v>4154106</v>
      </c>
      <c r="S586" s="42">
        <v>1554516</v>
      </c>
      <c r="U586" s="42">
        <v>148799</v>
      </c>
      <c r="W586" s="42">
        <v>4934411</v>
      </c>
      <c r="Y586" s="42">
        <v>1501514</v>
      </c>
      <c r="AA586" s="42">
        <v>607550</v>
      </c>
      <c r="AC586" s="42">
        <v>8644139</v>
      </c>
      <c r="AE586" s="42">
        <v>3692152</v>
      </c>
      <c r="AG586" s="42">
        <v>1842576</v>
      </c>
      <c r="AI586" s="9" t="s">
        <v>393</v>
      </c>
      <c r="AJ586" s="9"/>
      <c r="AK586" s="9" t="s">
        <v>114</v>
      </c>
      <c r="AL586" s="9"/>
      <c r="AM586" s="42">
        <v>2792806</v>
      </c>
      <c r="AO586" s="42">
        <v>1059308</v>
      </c>
      <c r="AQ586" s="42">
        <v>1644585</v>
      </c>
      <c r="AS586" s="42">
        <v>510023</v>
      </c>
      <c r="AW586" s="42">
        <v>0</v>
      </c>
      <c r="AY586" s="42">
        <f t="shared" si="59"/>
        <v>83819430</v>
      </c>
      <c r="BA586" s="42">
        <f>+'St of Act - GA Rev'!AI586-'St of Activities - GA Exp'!AY586</f>
        <v>-2101250</v>
      </c>
      <c r="BC586" s="42">
        <v>57232794</v>
      </c>
      <c r="BE586" s="42">
        <f t="shared" si="60"/>
        <v>55131544</v>
      </c>
      <c r="BG586" s="42">
        <f>+'St of Net Pos - GA'!AE586-'St of Activities - GA Exp'!BE586</f>
        <v>0</v>
      </c>
    </row>
    <row r="587" spans="1:59" ht="12" customHeight="1">
      <c r="A587" s="9" t="s">
        <v>482</v>
      </c>
      <c r="B587" s="9"/>
      <c r="C587" s="9" t="s">
        <v>59</v>
      </c>
      <c r="D587" s="9"/>
      <c r="E587" s="23">
        <v>49650</v>
      </c>
      <c r="G587" s="42">
        <v>6772287</v>
      </c>
      <c r="I587" s="42">
        <v>2591483</v>
      </c>
      <c r="K587" s="42">
        <v>110434</v>
      </c>
      <c r="M587" s="42">
        <v>0</v>
      </c>
      <c r="O587" s="42">
        <v>29985</v>
      </c>
      <c r="Q587" s="42">
        <v>855787</v>
      </c>
      <c r="S587" s="42">
        <v>885492</v>
      </c>
      <c r="U587" s="42">
        <v>52108</v>
      </c>
      <c r="W587" s="42">
        <v>1228345</v>
      </c>
      <c r="Y587" s="42">
        <v>357448</v>
      </c>
      <c r="AA587" s="42">
        <v>0</v>
      </c>
      <c r="AC587" s="42">
        <v>1723957</v>
      </c>
      <c r="AE587" s="42">
        <v>877811</v>
      </c>
      <c r="AG587" s="42">
        <v>0</v>
      </c>
      <c r="AI587" s="9" t="s">
        <v>482</v>
      </c>
      <c r="AJ587" s="9"/>
      <c r="AK587" s="9" t="s">
        <v>59</v>
      </c>
      <c r="AL587" s="9"/>
      <c r="AM587" s="42">
        <v>852696</v>
      </c>
      <c r="AO587" s="42">
        <v>3291</v>
      </c>
      <c r="AQ587" s="42">
        <v>526261</v>
      </c>
      <c r="AS587" s="42">
        <v>17598</v>
      </c>
      <c r="AW587" s="42">
        <v>0</v>
      </c>
      <c r="AY587" s="42">
        <f t="shared" si="59"/>
        <v>16884983</v>
      </c>
      <c r="BA587" s="42">
        <f>+'St of Act - GA Rev'!AI587-'St of Activities - GA Exp'!AY587</f>
        <v>-837080</v>
      </c>
      <c r="BC587" s="42">
        <v>37356337</v>
      </c>
      <c r="BE587" s="42">
        <f t="shared" si="60"/>
        <v>36519257</v>
      </c>
      <c r="BG587" s="42">
        <f>+'St of Net Pos - GA'!AE587-'St of Activities - GA Exp'!BE587</f>
        <v>0</v>
      </c>
    </row>
    <row r="588" spans="1:59" ht="12" customHeight="1">
      <c r="A588" s="9" t="s">
        <v>462</v>
      </c>
      <c r="B588" s="9"/>
      <c r="C588" s="9" t="s">
        <v>56</v>
      </c>
      <c r="D588" s="9"/>
      <c r="E588" s="23">
        <v>49247</v>
      </c>
      <c r="G588" s="42">
        <v>5200902</v>
      </c>
      <c r="I588" s="42">
        <v>1620404</v>
      </c>
      <c r="K588" s="42">
        <v>0</v>
      </c>
      <c r="M588" s="42">
        <v>0</v>
      </c>
      <c r="O588" s="42">
        <v>14094</v>
      </c>
      <c r="Q588" s="42">
        <v>404129</v>
      </c>
      <c r="S588" s="42">
        <v>295180</v>
      </c>
      <c r="U588" s="42">
        <v>24588</v>
      </c>
      <c r="W588" s="42">
        <v>825405</v>
      </c>
      <c r="Y588" s="42">
        <v>313125</v>
      </c>
      <c r="AA588" s="42">
        <v>25384</v>
      </c>
      <c r="AC588" s="42">
        <v>929277</v>
      </c>
      <c r="AE588" s="42">
        <v>852558</v>
      </c>
      <c r="AG588" s="42">
        <v>15186</v>
      </c>
      <c r="AI588" s="9" t="s">
        <v>462</v>
      </c>
      <c r="AJ588" s="9"/>
      <c r="AK588" s="9" t="s">
        <v>56</v>
      </c>
      <c r="AL588" s="9"/>
      <c r="AM588" s="42">
        <v>444991</v>
      </c>
      <c r="AO588" s="42">
        <v>71755</v>
      </c>
      <c r="AQ588" s="42">
        <v>354697</v>
      </c>
      <c r="AS588" s="42">
        <v>502327</v>
      </c>
      <c r="AW588" s="42">
        <v>0</v>
      </c>
      <c r="AY588" s="42">
        <f t="shared" si="59"/>
        <v>11894002</v>
      </c>
      <c r="BA588" s="42">
        <f>+'St of Act - GA Rev'!AI588-'St of Activities - GA Exp'!AY588</f>
        <v>101527</v>
      </c>
      <c r="BC588" s="42">
        <v>8970201</v>
      </c>
      <c r="BE588" s="42">
        <f t="shared" si="60"/>
        <v>9071728</v>
      </c>
      <c r="BG588" s="42">
        <f>+'St of Net Pos - GA'!AE588-'St of Activities - GA Exp'!BE588</f>
        <v>0</v>
      </c>
    </row>
    <row r="589" spans="1:59" ht="12" customHeight="1">
      <c r="A589" s="9" t="s">
        <v>774</v>
      </c>
      <c r="B589" s="9"/>
      <c r="C589" s="9" t="s">
        <v>28</v>
      </c>
      <c r="D589" s="9"/>
      <c r="E589" s="23">
        <v>45641</v>
      </c>
      <c r="G589" s="42">
        <v>7797015</v>
      </c>
      <c r="I589" s="42">
        <v>2578818</v>
      </c>
      <c r="K589" s="42">
        <v>251276</v>
      </c>
      <c r="M589" s="42">
        <v>0</v>
      </c>
      <c r="O589" s="42">
        <v>1047712</v>
      </c>
      <c r="Q589" s="42">
        <v>508725</v>
      </c>
      <c r="S589" s="42">
        <v>483372</v>
      </c>
      <c r="U589" s="42">
        <v>42621</v>
      </c>
      <c r="W589" s="42">
        <v>1325286</v>
      </c>
      <c r="Y589" s="42">
        <v>401584</v>
      </c>
      <c r="AA589" s="42">
        <v>68702</v>
      </c>
      <c r="AC589" s="42">
        <v>1480165</v>
      </c>
      <c r="AE589" s="42">
        <v>800771</v>
      </c>
      <c r="AG589" s="42">
        <v>197301</v>
      </c>
      <c r="AI589" s="9" t="s">
        <v>774</v>
      </c>
      <c r="AJ589" s="9"/>
      <c r="AK589" s="9" t="s">
        <v>28</v>
      </c>
      <c r="AL589" s="9"/>
      <c r="AM589" s="42">
        <v>830181</v>
      </c>
      <c r="AO589" s="42">
        <v>3264</v>
      </c>
      <c r="AQ589" s="42">
        <v>695074</v>
      </c>
      <c r="AS589" s="42">
        <v>1380677</v>
      </c>
      <c r="AW589" s="42">
        <v>0</v>
      </c>
      <c r="AY589" s="42">
        <f t="shared" si="59"/>
        <v>19892544</v>
      </c>
      <c r="BA589" s="42">
        <f>+'St of Act - GA Rev'!AI589-'St of Activities - GA Exp'!AY589</f>
        <v>-3101174</v>
      </c>
      <c r="BC589" s="42">
        <v>33791730</v>
      </c>
      <c r="BE589" s="42">
        <f t="shared" si="60"/>
        <v>30690556</v>
      </c>
      <c r="BG589" s="42">
        <f>+'St of Net Pos - GA'!AE589-'St of Activities - GA Exp'!BE589</f>
        <v>0</v>
      </c>
    </row>
    <row r="590" spans="1:59">
      <c r="A590" s="9" t="s">
        <v>454</v>
      </c>
      <c r="B590" s="9"/>
      <c r="C590" s="9" t="s">
        <v>55</v>
      </c>
      <c r="D590" s="9"/>
      <c r="E590" s="23">
        <v>49148</v>
      </c>
      <c r="G590" s="42">
        <v>7700594</v>
      </c>
      <c r="I590" s="42">
        <v>2750477</v>
      </c>
      <c r="K590" s="42">
        <v>211571</v>
      </c>
      <c r="M590" s="42">
        <v>0</v>
      </c>
      <c r="O590" s="42">
        <v>29250</v>
      </c>
      <c r="Q590" s="42">
        <v>738624</v>
      </c>
      <c r="S590" s="42">
        <v>1303354</v>
      </c>
      <c r="U590" s="42">
        <v>49922</v>
      </c>
      <c r="W590" s="42">
        <v>1387580</v>
      </c>
      <c r="Y590" s="42">
        <v>463739</v>
      </c>
      <c r="AA590" s="42">
        <v>0</v>
      </c>
      <c r="AC590" s="42">
        <v>1796296</v>
      </c>
      <c r="AE590" s="42">
        <v>1108542</v>
      </c>
      <c r="AG590" s="42">
        <v>780</v>
      </c>
      <c r="AI590" s="9" t="s">
        <v>454</v>
      </c>
      <c r="AJ590" s="9"/>
      <c r="AK590" s="9" t="s">
        <v>55</v>
      </c>
      <c r="AL590" s="9"/>
      <c r="AM590" s="42">
        <v>912938</v>
      </c>
      <c r="AO590" s="42">
        <v>233252</v>
      </c>
      <c r="AQ590" s="42">
        <v>518484</v>
      </c>
      <c r="AS590" s="42">
        <v>411287</v>
      </c>
      <c r="AW590" s="42">
        <v>0</v>
      </c>
      <c r="AY590" s="42">
        <f t="shared" si="59"/>
        <v>19616690</v>
      </c>
      <c r="BA590" s="42">
        <f>+'St of Act - GA Rev'!AI590-'St of Activities - GA Exp'!AY590</f>
        <v>5723190</v>
      </c>
      <c r="BC590" s="42">
        <v>33506564</v>
      </c>
      <c r="BE590" s="42">
        <f t="shared" si="60"/>
        <v>39229754</v>
      </c>
      <c r="BG590" s="42">
        <f>+'St of Net Pos - GA'!AE590-'St of Activities - GA Exp'!BE590</f>
        <v>0</v>
      </c>
    </row>
    <row r="591" spans="1:59" ht="12" hidden="1" customHeight="1">
      <c r="A591" s="9" t="s">
        <v>702</v>
      </c>
      <c r="B591" s="9"/>
      <c r="C591" s="9" t="s">
        <v>69</v>
      </c>
      <c r="D591" s="9"/>
      <c r="E591" s="23">
        <v>50468</v>
      </c>
      <c r="G591" s="42">
        <v>0</v>
      </c>
      <c r="I591" s="42">
        <v>0</v>
      </c>
      <c r="K591" s="42">
        <v>0</v>
      </c>
      <c r="M591" s="42">
        <v>0</v>
      </c>
      <c r="O591" s="42">
        <v>0</v>
      </c>
      <c r="Q591" s="42">
        <v>0</v>
      </c>
      <c r="S591" s="42">
        <v>0</v>
      </c>
      <c r="U591" s="42">
        <v>0</v>
      </c>
      <c r="W591" s="42">
        <v>0</v>
      </c>
      <c r="Y591" s="42">
        <v>0</v>
      </c>
      <c r="AA591" s="42">
        <v>0</v>
      </c>
      <c r="AC591" s="42">
        <v>0</v>
      </c>
      <c r="AE591" s="42">
        <v>0</v>
      </c>
      <c r="AG591" s="42">
        <v>0</v>
      </c>
      <c r="AI591" s="9" t="s">
        <v>702</v>
      </c>
      <c r="AJ591" s="9"/>
      <c r="AK591" s="9" t="s">
        <v>69</v>
      </c>
      <c r="AL591" s="9"/>
      <c r="AM591" s="42">
        <v>0</v>
      </c>
      <c r="AO591" s="42">
        <v>0</v>
      </c>
      <c r="AQ591" s="42">
        <v>0</v>
      </c>
      <c r="AS591" s="42">
        <v>0</v>
      </c>
      <c r="AW591" s="42">
        <v>0</v>
      </c>
      <c r="AY591" s="42">
        <f t="shared" si="59"/>
        <v>0</v>
      </c>
      <c r="BA591" s="42">
        <f>+'St of Act - GA Rev'!AI591-'St of Activities - GA Exp'!AY591</f>
        <v>0</v>
      </c>
      <c r="BC591" s="42">
        <v>0</v>
      </c>
      <c r="BE591" s="42">
        <f t="shared" si="60"/>
        <v>0</v>
      </c>
      <c r="BG591" s="42">
        <f>+'St of Net Pos - GA'!AE591-'St of Activities - GA Exp'!BE591</f>
        <v>0</v>
      </c>
    </row>
    <row r="592" spans="1:59" ht="12" hidden="1" customHeight="1">
      <c r="A592" s="9" t="s">
        <v>797</v>
      </c>
      <c r="B592" s="9"/>
      <c r="C592" s="9" t="s">
        <v>447</v>
      </c>
      <c r="D592" s="9"/>
      <c r="E592" s="23">
        <v>49031</v>
      </c>
      <c r="G592" s="42">
        <v>0</v>
      </c>
      <c r="I592" s="42">
        <v>0</v>
      </c>
      <c r="K592" s="42">
        <v>0</v>
      </c>
      <c r="M592" s="42">
        <v>0</v>
      </c>
      <c r="O592" s="42">
        <v>0</v>
      </c>
      <c r="Q592" s="42">
        <v>0</v>
      </c>
      <c r="S592" s="42">
        <v>0</v>
      </c>
      <c r="U592" s="42">
        <v>0</v>
      </c>
      <c r="W592" s="42">
        <v>0</v>
      </c>
      <c r="Y592" s="42">
        <v>0</v>
      </c>
      <c r="AA592" s="42">
        <v>0</v>
      </c>
      <c r="AC592" s="42">
        <v>0</v>
      </c>
      <c r="AE592" s="42">
        <v>0</v>
      </c>
      <c r="AG592" s="42">
        <v>0</v>
      </c>
      <c r="AI592" s="9" t="s">
        <v>797</v>
      </c>
      <c r="AJ592" s="9"/>
      <c r="AK592" s="9" t="s">
        <v>447</v>
      </c>
      <c r="AL592" s="9"/>
      <c r="AM592" s="42">
        <v>0</v>
      </c>
      <c r="AO592" s="42">
        <v>0</v>
      </c>
      <c r="AQ592" s="42">
        <v>0</v>
      </c>
      <c r="AS592" s="42">
        <v>0</v>
      </c>
      <c r="AW592" s="42">
        <v>0</v>
      </c>
      <c r="AY592" s="42">
        <f t="shared" si="59"/>
        <v>0</v>
      </c>
      <c r="BA592" s="42">
        <f>+'St of Act - GA Rev'!AI592-'St of Activities - GA Exp'!AY592</f>
        <v>0</v>
      </c>
      <c r="BC592" s="42">
        <v>0</v>
      </c>
      <c r="BE592" s="42">
        <f t="shared" si="60"/>
        <v>0</v>
      </c>
      <c r="BG592" s="42">
        <f>+'St of Net Pos - GA'!AE592-'St of Activities - GA Exp'!BE592</f>
        <v>0</v>
      </c>
    </row>
    <row r="593" spans="1:59" hidden="1">
      <c r="A593" s="9" t="s">
        <v>641</v>
      </c>
      <c r="B593" s="9"/>
      <c r="C593" s="9" t="s">
        <v>14</v>
      </c>
      <c r="D593" s="9"/>
      <c r="E593" s="23">
        <v>45971</v>
      </c>
      <c r="G593" s="42">
        <v>0</v>
      </c>
      <c r="I593" s="42">
        <v>0</v>
      </c>
      <c r="K593" s="42">
        <v>0</v>
      </c>
      <c r="M593" s="42">
        <v>0</v>
      </c>
      <c r="O593" s="42">
        <v>0</v>
      </c>
      <c r="Q593" s="42">
        <v>0</v>
      </c>
      <c r="S593" s="42">
        <v>0</v>
      </c>
      <c r="U593" s="42">
        <v>0</v>
      </c>
      <c r="W593" s="42">
        <v>0</v>
      </c>
      <c r="Y593" s="42">
        <v>0</v>
      </c>
      <c r="AA593" s="42">
        <v>0</v>
      </c>
      <c r="AC593" s="42">
        <v>0</v>
      </c>
      <c r="AE593" s="42">
        <v>0</v>
      </c>
      <c r="AG593" s="42">
        <v>0</v>
      </c>
      <c r="AI593" s="9" t="s">
        <v>641</v>
      </c>
      <c r="AJ593" s="9"/>
      <c r="AK593" s="9" t="s">
        <v>14</v>
      </c>
      <c r="AL593" s="9"/>
      <c r="AM593" s="42">
        <v>0</v>
      </c>
      <c r="AO593" s="42">
        <v>0</v>
      </c>
      <c r="AQ593" s="42">
        <v>0</v>
      </c>
      <c r="AS593" s="42">
        <v>0</v>
      </c>
      <c r="AW593" s="42">
        <v>0</v>
      </c>
      <c r="AY593" s="42">
        <f t="shared" si="59"/>
        <v>0</v>
      </c>
      <c r="BA593" s="42">
        <f>+'St of Act - GA Rev'!AI593-'St of Activities - GA Exp'!AY593</f>
        <v>0</v>
      </c>
      <c r="BC593" s="42">
        <v>0</v>
      </c>
      <c r="BE593" s="42">
        <f t="shared" si="60"/>
        <v>0</v>
      </c>
      <c r="BG593" s="42">
        <f>+'St of Net Pos - GA'!AE593-'St of Activities - GA Exp'!BE593</f>
        <v>0</v>
      </c>
    </row>
    <row r="594" spans="1:59">
      <c r="A594" s="9" t="s">
        <v>528</v>
      </c>
      <c r="B594" s="9"/>
      <c r="C594" s="9" t="s">
        <v>64</v>
      </c>
      <c r="D594" s="9"/>
      <c r="E594" s="23">
        <v>50252</v>
      </c>
      <c r="G594" s="42">
        <v>4003106</v>
      </c>
      <c r="I594" s="42">
        <v>1072457</v>
      </c>
      <c r="K594" s="42">
        <v>0</v>
      </c>
      <c r="M594" s="42">
        <v>0</v>
      </c>
      <c r="O594" s="42">
        <v>399155</v>
      </c>
      <c r="Q594" s="42">
        <v>427292</v>
      </c>
      <c r="S594" s="42">
        <v>94301</v>
      </c>
      <c r="U594" s="42">
        <v>21368</v>
      </c>
      <c r="W594" s="42">
        <v>819883</v>
      </c>
      <c r="Y594" s="42">
        <v>330909</v>
      </c>
      <c r="AA594" s="42">
        <v>8549</v>
      </c>
      <c r="AC594" s="42">
        <v>1127357</v>
      </c>
      <c r="AE594" s="42">
        <v>288483</v>
      </c>
      <c r="AG594" s="42">
        <v>10940</v>
      </c>
      <c r="AI594" s="9" t="s">
        <v>528</v>
      </c>
      <c r="AJ594" s="9"/>
      <c r="AK594" s="9" t="s">
        <v>64</v>
      </c>
      <c r="AL594" s="9"/>
      <c r="AM594" s="42">
        <v>356860</v>
      </c>
      <c r="AO594" s="42">
        <v>0</v>
      </c>
      <c r="AQ594" s="42">
        <v>437743</v>
      </c>
      <c r="AS594" s="42">
        <v>446150</v>
      </c>
      <c r="AW594" s="42">
        <v>15713</v>
      </c>
      <c r="AY594" s="42">
        <f t="shared" si="59"/>
        <v>9860266</v>
      </c>
      <c r="BA594" s="42">
        <f>+'St of Act - GA Rev'!AI594-'St of Activities - GA Exp'!AY594</f>
        <v>17715784</v>
      </c>
      <c r="BC594" s="42">
        <v>3625483</v>
      </c>
      <c r="BE594" s="42">
        <f t="shared" si="60"/>
        <v>21341267</v>
      </c>
      <c r="BG594" s="42">
        <f>+'St of Net Pos - GA'!AE594-'St of Activities - GA Exp'!BE594</f>
        <v>0</v>
      </c>
    </row>
    <row r="595" spans="1:59">
      <c r="A595" s="9" t="s">
        <v>775</v>
      </c>
      <c r="B595" s="9"/>
      <c r="C595" s="9" t="s">
        <v>44</v>
      </c>
      <c r="D595" s="9"/>
      <c r="E595" s="23">
        <v>45658</v>
      </c>
      <c r="G595" s="42">
        <v>6870609</v>
      </c>
      <c r="I595" s="42">
        <v>1535194</v>
      </c>
      <c r="K595" s="42">
        <v>103221</v>
      </c>
      <c r="M595" s="42">
        <v>0</v>
      </c>
      <c r="O595" s="42">
        <v>0</v>
      </c>
      <c r="Q595" s="42">
        <v>701889</v>
      </c>
      <c r="S595" s="42">
        <v>670195</v>
      </c>
      <c r="U595" s="42">
        <v>65644</v>
      </c>
      <c r="W595" s="42">
        <v>1326600</v>
      </c>
      <c r="Y595" s="42">
        <v>380265</v>
      </c>
      <c r="AA595" s="42">
        <v>0</v>
      </c>
      <c r="AC595" s="42">
        <v>1181191</v>
      </c>
      <c r="AE595" s="42">
        <v>561785</v>
      </c>
      <c r="AG595" s="42">
        <v>232692</v>
      </c>
      <c r="AI595" s="9" t="s">
        <v>775</v>
      </c>
      <c r="AJ595" s="9"/>
      <c r="AK595" s="9" t="s">
        <v>44</v>
      </c>
      <c r="AL595" s="9"/>
      <c r="AM595" s="42">
        <v>0</v>
      </c>
      <c r="AO595" s="42">
        <v>544005</v>
      </c>
      <c r="AQ595" s="42">
        <v>395138</v>
      </c>
      <c r="AS595" s="42">
        <v>185498</v>
      </c>
      <c r="AW595" s="42">
        <v>163267</v>
      </c>
      <c r="AY595" s="42">
        <f t="shared" si="59"/>
        <v>14917193</v>
      </c>
      <c r="BA595" s="42">
        <f>+'St of Act - GA Rev'!AI595-'St of Activities - GA Exp'!AY595</f>
        <v>3389</v>
      </c>
      <c r="BC595" s="42">
        <v>8644538</v>
      </c>
      <c r="BE595" s="42">
        <f t="shared" si="60"/>
        <v>8647927</v>
      </c>
      <c r="BG595" s="42">
        <f>+'St of Net Pos - GA'!AE595-'St of Activities - GA Exp'!BE595</f>
        <v>0</v>
      </c>
    </row>
    <row r="596" spans="1:59">
      <c r="A596" s="9" t="s">
        <v>359</v>
      </c>
      <c r="B596" s="9"/>
      <c r="C596" s="9" t="s">
        <v>38</v>
      </c>
      <c r="D596" s="9"/>
      <c r="E596" s="23">
        <v>45021</v>
      </c>
      <c r="G596" s="42">
        <v>7021423</v>
      </c>
      <c r="I596" s="42">
        <v>2579428</v>
      </c>
      <c r="K596" s="42">
        <v>62256</v>
      </c>
      <c r="M596" s="42">
        <v>15023</v>
      </c>
      <c r="O596" s="42">
        <v>11116</v>
      </c>
      <c r="Q596" s="42">
        <v>582942</v>
      </c>
      <c r="S596" s="42">
        <v>1164633</v>
      </c>
      <c r="U596" s="42">
        <v>170974</v>
      </c>
      <c r="W596" s="42">
        <v>1307332</v>
      </c>
      <c r="Y596" s="42">
        <v>454120</v>
      </c>
      <c r="AA596" s="42">
        <v>0</v>
      </c>
      <c r="AC596" s="42">
        <v>1854381</v>
      </c>
      <c r="AE596" s="42">
        <v>1178454</v>
      </c>
      <c r="AG596" s="42">
        <v>22146</v>
      </c>
      <c r="AI596" s="9" t="s">
        <v>359</v>
      </c>
      <c r="AJ596" s="9"/>
      <c r="AK596" s="9" t="s">
        <v>38</v>
      </c>
      <c r="AL596" s="9"/>
      <c r="AM596" s="42">
        <v>901903</v>
      </c>
      <c r="AO596" s="42">
        <v>127126</v>
      </c>
      <c r="AQ596" s="42">
        <v>341020</v>
      </c>
      <c r="AS596" s="42">
        <v>267877</v>
      </c>
      <c r="AW596" s="42">
        <v>0</v>
      </c>
      <c r="AY596" s="42">
        <f t="shared" si="59"/>
        <v>18062154</v>
      </c>
      <c r="BA596" s="42">
        <f>+'St of Act - GA Rev'!AI596-'St of Activities - GA Exp'!AY596</f>
        <v>-1008459</v>
      </c>
      <c r="BC596" s="42">
        <v>46473822</v>
      </c>
      <c r="BE596" s="42">
        <f t="shared" si="60"/>
        <v>45465363</v>
      </c>
      <c r="BG596" s="42">
        <f>+'St of Net Pos - GA'!AE596-'St of Activities - GA Exp'!BE596</f>
        <v>0</v>
      </c>
    </row>
    <row r="597" spans="1:59" ht="12" customHeight="1">
      <c r="A597" s="9" t="s">
        <v>250</v>
      </c>
      <c r="B597" s="9"/>
      <c r="C597" s="9" t="s">
        <v>111</v>
      </c>
      <c r="D597" s="9"/>
      <c r="E597" s="23">
        <v>45039</v>
      </c>
      <c r="G597" s="42">
        <v>4703124</v>
      </c>
      <c r="I597" s="42">
        <v>1105297</v>
      </c>
      <c r="K597" s="42">
        <v>180020</v>
      </c>
      <c r="M597" s="42">
        <v>0</v>
      </c>
      <c r="O597" s="42">
        <v>50723</v>
      </c>
      <c r="Q597" s="42">
        <v>348544</v>
      </c>
      <c r="S597" s="42">
        <v>419347</v>
      </c>
      <c r="U597" s="42">
        <v>15327</v>
      </c>
      <c r="W597" s="42">
        <v>784642</v>
      </c>
      <c r="Y597" s="42">
        <v>250231</v>
      </c>
      <c r="AA597" s="42">
        <v>0</v>
      </c>
      <c r="AC597" s="42">
        <v>891974</v>
      </c>
      <c r="AE597" s="42">
        <v>203260</v>
      </c>
      <c r="AG597" s="42">
        <v>64419</v>
      </c>
      <c r="AI597" s="9" t="s">
        <v>250</v>
      </c>
      <c r="AJ597" s="9"/>
      <c r="AK597" s="9" t="s">
        <v>111</v>
      </c>
      <c r="AL597" s="9"/>
      <c r="AM597" s="42">
        <v>414058</v>
      </c>
      <c r="AO597" s="42">
        <v>4805</v>
      </c>
      <c r="AQ597" s="42">
        <v>292120</v>
      </c>
      <c r="AS597" s="42">
        <v>53456</v>
      </c>
      <c r="AW597" s="42">
        <v>0</v>
      </c>
      <c r="AY597" s="42">
        <f t="shared" si="59"/>
        <v>9781347</v>
      </c>
      <c r="BA597" s="42">
        <f>+'St of Act - GA Rev'!AI597-'St of Activities - GA Exp'!AY597</f>
        <v>-769868</v>
      </c>
      <c r="BC597" s="42">
        <v>7784781</v>
      </c>
      <c r="BE597" s="42">
        <f t="shared" si="60"/>
        <v>7014913</v>
      </c>
      <c r="BG597" s="42">
        <f>+'St of Net Pos - GA'!AE597-'St of Activities - GA Exp'!BE597</f>
        <v>0</v>
      </c>
    </row>
    <row r="598" spans="1:59">
      <c r="A598" s="9" t="s">
        <v>405</v>
      </c>
      <c r="B598" s="9"/>
      <c r="C598" s="9" t="s">
        <v>45</v>
      </c>
      <c r="D598" s="9"/>
      <c r="E598" s="23">
        <v>48389</v>
      </c>
      <c r="G598" s="42">
        <v>10295183</v>
      </c>
      <c r="I598" s="42">
        <v>2078575</v>
      </c>
      <c r="K598" s="42">
        <v>347833</v>
      </c>
      <c r="M598" s="42">
        <v>0</v>
      </c>
      <c r="O598" s="42">
        <v>11461</v>
      </c>
      <c r="Q598" s="42">
        <v>1238784</v>
      </c>
      <c r="S598" s="42">
        <v>1356599</v>
      </c>
      <c r="U598" s="42">
        <v>42776</v>
      </c>
      <c r="W598" s="42">
        <v>1617748</v>
      </c>
      <c r="Y598" s="42">
        <v>469610</v>
      </c>
      <c r="AA598" s="42">
        <v>9910</v>
      </c>
      <c r="AC598" s="42">
        <v>2009878</v>
      </c>
      <c r="AE598" s="42">
        <v>1370393</v>
      </c>
      <c r="AG598" s="42">
        <v>237712</v>
      </c>
      <c r="AI598" s="9" t="s">
        <v>405</v>
      </c>
      <c r="AJ598" s="9"/>
      <c r="AK598" s="9" t="s">
        <v>45</v>
      </c>
      <c r="AL598" s="9"/>
      <c r="AM598" s="42">
        <v>860183</v>
      </c>
      <c r="AO598" s="42">
        <v>60465</v>
      </c>
      <c r="AQ598" s="42">
        <v>698367</v>
      </c>
      <c r="AS598" s="42">
        <v>351529</v>
      </c>
      <c r="AW598" s="42">
        <v>0</v>
      </c>
      <c r="AY598" s="42">
        <f t="shared" si="59"/>
        <v>23057006</v>
      </c>
      <c r="BA598" s="42">
        <f>+'St of Act - GA Rev'!AI598-'St of Activities - GA Exp'!AY598</f>
        <v>-1330933</v>
      </c>
      <c r="BC598" s="42">
        <v>36265521</v>
      </c>
      <c r="BE598" s="42">
        <f t="shared" si="60"/>
        <v>34934588</v>
      </c>
      <c r="BG598" s="42">
        <f>+'St of Net Pos - GA'!AE598-'St of Activities - GA Exp'!BE598</f>
        <v>0</v>
      </c>
    </row>
    <row r="599" spans="1:59">
      <c r="A599" s="9" t="s">
        <v>701</v>
      </c>
      <c r="B599" s="9"/>
      <c r="C599" s="9" t="s">
        <v>50</v>
      </c>
      <c r="D599" s="9"/>
      <c r="E599" s="23">
        <v>45054</v>
      </c>
      <c r="G599" s="42">
        <v>15516602</v>
      </c>
      <c r="I599" s="42">
        <v>5911638</v>
      </c>
      <c r="K599" s="42">
        <v>183118</v>
      </c>
      <c r="M599" s="42">
        <v>0</v>
      </c>
      <c r="O599" s="42">
        <v>2627303</v>
      </c>
      <c r="Q599" s="42">
        <v>2689178</v>
      </c>
      <c r="S599" s="42">
        <v>2334754</v>
      </c>
      <c r="U599" s="42">
        <v>31782</v>
      </c>
      <c r="W599" s="42">
        <v>2785430</v>
      </c>
      <c r="Y599" s="42">
        <v>703497</v>
      </c>
      <c r="AA599" s="42">
        <v>452132</v>
      </c>
      <c r="AC599" s="42">
        <v>3323683</v>
      </c>
      <c r="AE599" s="42">
        <v>2912173</v>
      </c>
      <c r="AG599" s="42">
        <v>232124</v>
      </c>
      <c r="AI599" s="9" t="s">
        <v>701</v>
      </c>
      <c r="AJ599" s="9"/>
      <c r="AK599" s="9" t="s">
        <v>50</v>
      </c>
      <c r="AL599" s="9"/>
      <c r="AM599" s="42">
        <v>1889284</v>
      </c>
      <c r="AO599" s="42">
        <v>80764</v>
      </c>
      <c r="AQ599" s="42">
        <v>894830</v>
      </c>
      <c r="AS599" s="42">
        <v>90037</v>
      </c>
      <c r="AW599" s="42">
        <v>0</v>
      </c>
      <c r="AY599" s="42">
        <f t="shared" si="59"/>
        <v>42658329</v>
      </c>
      <c r="BA599" s="42">
        <f>+'St of Act - GA Rev'!AI599-'St of Activities - GA Exp'!AY599</f>
        <v>-2432216</v>
      </c>
      <c r="BC599" s="42">
        <v>26700007</v>
      </c>
      <c r="BE599" s="42">
        <f t="shared" si="60"/>
        <v>24267791</v>
      </c>
      <c r="BG599" s="42">
        <f>+'St of Net Pos - GA'!AE599-'St of Activities - GA Exp'!BE599</f>
        <v>0</v>
      </c>
    </row>
    <row r="600" spans="1:59">
      <c r="A600" s="9" t="s">
        <v>239</v>
      </c>
      <c r="B600" s="9"/>
      <c r="C600" s="9" t="s">
        <v>112</v>
      </c>
      <c r="D600" s="9"/>
      <c r="E600" s="23">
        <v>46359</v>
      </c>
      <c r="G600" s="42">
        <v>32478701</v>
      </c>
      <c r="I600" s="42">
        <v>14727415</v>
      </c>
      <c r="K600" s="42">
        <v>319423</v>
      </c>
      <c r="M600" s="42">
        <v>0</v>
      </c>
      <c r="O600" s="42">
        <v>0</v>
      </c>
      <c r="Q600" s="42">
        <v>4946280</v>
      </c>
      <c r="S600" s="42">
        <v>1865305</v>
      </c>
      <c r="U600" s="42">
        <v>107856</v>
      </c>
      <c r="W600" s="42">
        <v>5244448</v>
      </c>
      <c r="Y600" s="42">
        <v>1741569</v>
      </c>
      <c r="AA600" s="42">
        <v>51946</v>
      </c>
      <c r="AC600" s="42">
        <v>5159932</v>
      </c>
      <c r="AE600" s="42">
        <v>4602735</v>
      </c>
      <c r="AG600" s="42">
        <v>419740</v>
      </c>
      <c r="AI600" s="9" t="s">
        <v>239</v>
      </c>
      <c r="AJ600" s="9"/>
      <c r="AK600" s="9" t="s">
        <v>112</v>
      </c>
      <c r="AL600" s="9"/>
      <c r="AM600" s="42">
        <v>0</v>
      </c>
      <c r="AO600" s="42">
        <v>2758490</v>
      </c>
      <c r="AQ600" s="42">
        <v>1650510</v>
      </c>
      <c r="AS600" s="42">
        <v>1625068</v>
      </c>
      <c r="AW600" s="42">
        <v>0</v>
      </c>
      <c r="AY600" s="42">
        <f t="shared" si="59"/>
        <v>77699418</v>
      </c>
      <c r="BA600" s="42">
        <f>+'St of Act - GA Rev'!AI600-'St of Activities - GA Exp'!AY600</f>
        <v>4287160</v>
      </c>
      <c r="BC600" s="42">
        <v>20832713</v>
      </c>
      <c r="BE600" s="42">
        <f t="shared" si="60"/>
        <v>25119873</v>
      </c>
      <c r="BG600" s="42">
        <f>+'St of Net Pos - GA'!AE600-'St of Activities - GA Exp'!BE600</f>
        <v>0</v>
      </c>
    </row>
    <row r="601" spans="1:59">
      <c r="A601" s="9" t="s">
        <v>314</v>
      </c>
      <c r="B601" s="9"/>
      <c r="C601" s="9" t="s">
        <v>30</v>
      </c>
      <c r="D601" s="9"/>
      <c r="E601" s="23">
        <v>47225</v>
      </c>
      <c r="G601" s="42">
        <v>10677700</v>
      </c>
      <c r="I601" s="42">
        <v>3822518</v>
      </c>
      <c r="K601" s="42">
        <v>347411</v>
      </c>
      <c r="M601" s="42">
        <v>0</v>
      </c>
      <c r="O601" s="42">
        <f>54238+495618</f>
        <v>549856</v>
      </c>
      <c r="Q601" s="42">
        <v>1779194</v>
      </c>
      <c r="S601" s="42">
        <v>889090</v>
      </c>
      <c r="U601" s="42">
        <v>64690</v>
      </c>
      <c r="W601" s="42">
        <v>1821255</v>
      </c>
      <c r="Y601" s="42">
        <v>619927</v>
      </c>
      <c r="AA601" s="42">
        <v>302471</v>
      </c>
      <c r="AC601" s="42">
        <v>2370163</v>
      </c>
      <c r="AE601" s="42">
        <v>1959575</v>
      </c>
      <c r="AG601" s="42">
        <v>23062</v>
      </c>
      <c r="AI601" s="9" t="s">
        <v>314</v>
      </c>
      <c r="AJ601" s="9"/>
      <c r="AK601" s="9" t="s">
        <v>30</v>
      </c>
      <c r="AL601" s="9"/>
      <c r="AM601" s="42">
        <v>398563</v>
      </c>
      <c r="AO601" s="42">
        <v>552263</v>
      </c>
      <c r="AQ601" s="42">
        <v>806416</v>
      </c>
      <c r="AS601" s="42">
        <v>93215</v>
      </c>
      <c r="AW601" s="42">
        <v>0</v>
      </c>
      <c r="AY601" s="42">
        <f>SUM(G601:AX601)</f>
        <v>27077369</v>
      </c>
      <c r="BA601" s="42">
        <f>+'St of Act - GA Rev'!AI601-'St of Activities - GA Exp'!AY601</f>
        <v>3071087</v>
      </c>
      <c r="BC601" s="42">
        <v>20271132</v>
      </c>
      <c r="BE601" s="42">
        <f>+BA601+BC601</f>
        <v>23342219</v>
      </c>
      <c r="BG601" s="42">
        <f>+'St of Net Pos - GA'!AE601-'St of Activities - GA Exp'!BE601</f>
        <v>0</v>
      </c>
    </row>
    <row r="602" spans="1:59">
      <c r="A602" s="9" t="s">
        <v>352</v>
      </c>
      <c r="B602" s="9"/>
      <c r="C602" s="9" t="s">
        <v>36</v>
      </c>
      <c r="D602" s="9"/>
      <c r="E602" s="23">
        <v>47696</v>
      </c>
      <c r="G602" s="42">
        <v>11383125</v>
      </c>
      <c r="I602" s="42">
        <v>3639029</v>
      </c>
      <c r="K602" s="42">
        <v>311567</v>
      </c>
      <c r="M602" s="42">
        <v>0</v>
      </c>
      <c r="O602" s="42">
        <f>6646+1495</f>
        <v>8141</v>
      </c>
      <c r="Q602" s="42">
        <v>834173</v>
      </c>
      <c r="S602" s="42">
        <v>1261676</v>
      </c>
      <c r="U602" s="42">
        <v>33718</v>
      </c>
      <c r="W602" s="42">
        <v>1948610</v>
      </c>
      <c r="Y602" s="42">
        <v>577290</v>
      </c>
      <c r="AA602" s="42">
        <v>11883</v>
      </c>
      <c r="AC602" s="42">
        <v>2099095</v>
      </c>
      <c r="AE602" s="42">
        <v>1775922</v>
      </c>
      <c r="AG602" s="42">
        <v>67427</v>
      </c>
      <c r="AI602" s="9" t="s">
        <v>352</v>
      </c>
      <c r="AJ602" s="9"/>
      <c r="AK602" s="9" t="s">
        <v>36</v>
      </c>
      <c r="AL602" s="9"/>
      <c r="AM602" s="42">
        <v>1071737</v>
      </c>
      <c r="AO602" s="42">
        <v>63656</v>
      </c>
      <c r="AQ602" s="42">
        <v>664573</v>
      </c>
      <c r="AS602" s="42">
        <v>420796</v>
      </c>
      <c r="AW602" s="42">
        <v>0</v>
      </c>
      <c r="AY602" s="42">
        <f t="shared" ref="AY602:AY632" si="63">SUM(G602:AX602)</f>
        <v>26172418</v>
      </c>
      <c r="BA602" s="42">
        <f>+'St of Act - GA Rev'!AI602-'St of Activities - GA Exp'!AY602</f>
        <v>-771949</v>
      </c>
      <c r="BC602" s="42">
        <v>21486494</v>
      </c>
      <c r="BE602" s="42">
        <f t="shared" ref="BE602:BE632" si="64">+BA602+BC602</f>
        <v>20714545</v>
      </c>
      <c r="BG602" s="42">
        <f>+'St of Net Pos - GA'!AE602-'St of Activities - GA Exp'!BE602</f>
        <v>0</v>
      </c>
    </row>
    <row r="603" spans="1:59" hidden="1">
      <c r="A603" s="8" t="s">
        <v>908</v>
      </c>
      <c r="B603" s="9"/>
      <c r="C603" s="9" t="s">
        <v>227</v>
      </c>
      <c r="D603" s="9"/>
      <c r="E603" s="23">
        <v>46219</v>
      </c>
      <c r="G603" s="42">
        <v>0</v>
      </c>
      <c r="I603" s="42">
        <v>0</v>
      </c>
      <c r="K603" s="42">
        <v>0</v>
      </c>
      <c r="M603" s="42">
        <v>0</v>
      </c>
      <c r="O603" s="42">
        <v>0</v>
      </c>
      <c r="Q603" s="42">
        <v>0</v>
      </c>
      <c r="S603" s="42">
        <v>0</v>
      </c>
      <c r="U603" s="42">
        <v>0</v>
      </c>
      <c r="W603" s="42">
        <v>0</v>
      </c>
      <c r="Y603" s="42">
        <v>0</v>
      </c>
      <c r="AA603" s="42">
        <v>0</v>
      </c>
      <c r="AC603" s="42">
        <v>0</v>
      </c>
      <c r="AE603" s="42">
        <v>0</v>
      </c>
      <c r="AG603" s="42">
        <v>0</v>
      </c>
      <c r="AI603" s="8" t="s">
        <v>908</v>
      </c>
      <c r="AJ603" s="9"/>
      <c r="AK603" s="9" t="s">
        <v>227</v>
      </c>
      <c r="AL603" s="9"/>
      <c r="AM603" s="42">
        <v>0</v>
      </c>
      <c r="AO603" s="42">
        <v>0</v>
      </c>
      <c r="AQ603" s="42">
        <v>0</v>
      </c>
      <c r="AS603" s="42">
        <v>0</v>
      </c>
      <c r="AW603" s="42">
        <v>0</v>
      </c>
      <c r="AY603" s="42">
        <f t="shared" si="63"/>
        <v>0</v>
      </c>
      <c r="BA603" s="42">
        <f>+'St of Act - GA Rev'!AI603-'St of Activities - GA Exp'!AY603</f>
        <v>0</v>
      </c>
      <c r="BC603" s="42">
        <v>0</v>
      </c>
      <c r="BE603" s="42">
        <f t="shared" si="64"/>
        <v>0</v>
      </c>
      <c r="BG603" s="42">
        <f>+'St of Net Pos - GA'!AE603-'St of Activities - GA Exp'!BE603</f>
        <v>0</v>
      </c>
    </row>
    <row r="604" spans="1:59">
      <c r="A604" s="9" t="s">
        <v>444</v>
      </c>
      <c r="B604" s="9"/>
      <c r="C604" s="9" t="s">
        <v>51</v>
      </c>
      <c r="D604" s="9"/>
      <c r="E604" s="23">
        <v>48884</v>
      </c>
      <c r="G604" s="42">
        <v>8133837</v>
      </c>
      <c r="I604" s="42">
        <f>2070817+11018</f>
        <v>2081835</v>
      </c>
      <c r="K604" s="42">
        <v>145569</v>
      </c>
      <c r="M604" s="42">
        <v>0</v>
      </c>
      <c r="O604" s="42">
        <v>93207</v>
      </c>
      <c r="Q604" s="42">
        <v>422121</v>
      </c>
      <c r="S604" s="42">
        <v>869895</v>
      </c>
      <c r="U604" s="42">
        <v>17225</v>
      </c>
      <c r="W604" s="42">
        <v>1339548</v>
      </c>
      <c r="Y604" s="42">
        <v>427375</v>
      </c>
      <c r="AA604" s="42">
        <v>0</v>
      </c>
      <c r="AC604" s="42">
        <v>1821849</v>
      </c>
      <c r="AE604" s="42">
        <v>1084591</v>
      </c>
      <c r="AG604" s="42">
        <v>46500</v>
      </c>
      <c r="AI604" s="9" t="s">
        <v>444</v>
      </c>
      <c r="AJ604" s="9"/>
      <c r="AK604" s="9" t="s">
        <v>51</v>
      </c>
      <c r="AL604" s="9"/>
      <c r="AM604" s="42">
        <v>804317</v>
      </c>
      <c r="AO604" s="42">
        <v>12821</v>
      </c>
      <c r="AQ604" s="42">
        <v>229848</v>
      </c>
      <c r="AS604" s="42">
        <v>875693</v>
      </c>
      <c r="AW604" s="42">
        <v>0</v>
      </c>
      <c r="AY604" s="42">
        <f t="shared" si="63"/>
        <v>18406231</v>
      </c>
      <c r="BA604" s="42">
        <f>+'St of Act - GA Rev'!AI604-'St of Activities - GA Exp'!AY604</f>
        <v>-350427</v>
      </c>
      <c r="BC604" s="42">
        <v>9109557</v>
      </c>
      <c r="BE604" s="42">
        <f t="shared" si="64"/>
        <v>8759130</v>
      </c>
      <c r="BG604" s="42">
        <f>+'St of Net Pos - GA'!AE604-'St of Activities - GA Exp'!BE604</f>
        <v>0</v>
      </c>
    </row>
    <row r="605" spans="1:59">
      <c r="A605" s="9" t="s">
        <v>219</v>
      </c>
      <c r="B605" s="9"/>
      <c r="C605" s="9" t="s">
        <v>77</v>
      </c>
      <c r="D605" s="9"/>
      <c r="E605" s="23">
        <v>46060</v>
      </c>
      <c r="G605" s="42">
        <v>15183324</v>
      </c>
      <c r="I605" s="42">
        <v>3168562</v>
      </c>
      <c r="K605" s="42">
        <v>236356</v>
      </c>
      <c r="M605" s="42">
        <v>0</v>
      </c>
      <c r="O605" s="42">
        <v>0</v>
      </c>
      <c r="Q605" s="42">
        <v>1281375</v>
      </c>
      <c r="S605" s="42">
        <v>733687</v>
      </c>
      <c r="U605" s="42">
        <v>20703</v>
      </c>
      <c r="W605" s="42">
        <v>2085421</v>
      </c>
      <c r="Y605" s="42">
        <v>541757</v>
      </c>
      <c r="AA605" s="42">
        <v>0</v>
      </c>
      <c r="AC605" s="42">
        <v>2656532</v>
      </c>
      <c r="AE605" s="42">
        <v>2115404</v>
      </c>
      <c r="AG605" s="42">
        <v>453459</v>
      </c>
      <c r="AI605" s="9" t="s">
        <v>219</v>
      </c>
      <c r="AJ605" s="9"/>
      <c r="AK605" s="9" t="s">
        <v>77</v>
      </c>
      <c r="AL605" s="9"/>
      <c r="AM605" s="42">
        <v>0</v>
      </c>
      <c r="AO605" s="42">
        <v>17161</v>
      </c>
      <c r="AQ605" s="42">
        <v>844706</v>
      </c>
      <c r="AS605" s="42">
        <v>230059</v>
      </c>
      <c r="AW605" s="42">
        <v>0</v>
      </c>
      <c r="AY605" s="42">
        <f t="shared" si="63"/>
        <v>29568506</v>
      </c>
      <c r="BA605" s="42">
        <f>+'St of Act - GA Rev'!AI605-'St of Activities - GA Exp'!AY605</f>
        <v>-1016551</v>
      </c>
      <c r="BC605" s="42">
        <v>43868950</v>
      </c>
      <c r="BE605" s="42">
        <f t="shared" si="64"/>
        <v>42852399</v>
      </c>
      <c r="BG605" s="42">
        <f>+'St of Net Pos - GA'!AE605-'St of Activities - GA Exp'!BE605</f>
        <v>0</v>
      </c>
    </row>
    <row r="606" spans="1:59">
      <c r="A606" s="9" t="s">
        <v>455</v>
      </c>
      <c r="B606" s="9"/>
      <c r="C606" s="9" t="s">
        <v>55</v>
      </c>
      <c r="D606" s="9"/>
      <c r="E606" s="23">
        <v>49155</v>
      </c>
      <c r="G606" s="42">
        <v>3640916</v>
      </c>
      <c r="I606" s="42">
        <v>1534991</v>
      </c>
      <c r="K606" s="42">
        <v>0</v>
      </c>
      <c r="M606" s="42">
        <v>0</v>
      </c>
      <c r="O606" s="42">
        <v>687992</v>
      </c>
      <c r="Q606" s="42">
        <v>382387</v>
      </c>
      <c r="S606" s="42">
        <v>445336</v>
      </c>
      <c r="U606" s="42">
        <v>18087</v>
      </c>
      <c r="W606" s="42">
        <v>855916</v>
      </c>
      <c r="Y606" s="42">
        <v>239456</v>
      </c>
      <c r="AA606" s="42">
        <v>0</v>
      </c>
      <c r="AC606" s="42">
        <v>975667</v>
      </c>
      <c r="AE606" s="42">
        <v>817271</v>
      </c>
      <c r="AG606" s="42">
        <v>116504</v>
      </c>
      <c r="AI606" s="9" t="s">
        <v>455</v>
      </c>
      <c r="AJ606" s="9"/>
      <c r="AK606" s="9" t="s">
        <v>55</v>
      </c>
      <c r="AL606" s="9"/>
      <c r="AM606" s="42">
        <v>0</v>
      </c>
      <c r="AO606" s="42">
        <v>494291</v>
      </c>
      <c r="AQ606" s="42">
        <v>185119</v>
      </c>
      <c r="AS606" s="42">
        <v>36640</v>
      </c>
      <c r="AW606" s="42">
        <v>52000</v>
      </c>
      <c r="AY606" s="42">
        <f t="shared" si="63"/>
        <v>10482573</v>
      </c>
      <c r="BA606" s="42">
        <f>+'St of Act - GA Rev'!AI606-'St of Activities - GA Exp'!AY606</f>
        <v>-1527180</v>
      </c>
      <c r="BC606" s="42">
        <v>19292546</v>
      </c>
      <c r="BE606" s="42">
        <f t="shared" si="64"/>
        <v>17765366</v>
      </c>
      <c r="BG606" s="42">
        <f>+'St of Net Pos - GA'!AE606-'St of Activities - GA Exp'!BE606</f>
        <v>0</v>
      </c>
    </row>
    <row r="607" spans="1:59">
      <c r="A607" s="9" t="s">
        <v>357</v>
      </c>
      <c r="B607" s="9"/>
      <c r="C607" s="9" t="s">
        <v>37</v>
      </c>
      <c r="D607" s="9"/>
      <c r="E607" s="23">
        <v>47746</v>
      </c>
      <c r="G607" s="42">
        <v>5967362</v>
      </c>
      <c r="I607" s="42">
        <v>1567087</v>
      </c>
      <c r="K607" s="42">
        <v>208328</v>
      </c>
      <c r="M607" s="42">
        <v>0</v>
      </c>
      <c r="O607" s="42">
        <v>173402</v>
      </c>
      <c r="Q607" s="42">
        <v>189069</v>
      </c>
      <c r="S607" s="42">
        <v>742811</v>
      </c>
      <c r="U607" s="42">
        <v>104097</v>
      </c>
      <c r="W607" s="42">
        <v>958139</v>
      </c>
      <c r="Y607" s="42">
        <v>419814</v>
      </c>
      <c r="AA607" s="42">
        <v>27485</v>
      </c>
      <c r="AC607" s="42">
        <v>985862</v>
      </c>
      <c r="AE607" s="42">
        <v>781059</v>
      </c>
      <c r="AG607" s="42">
        <v>30227</v>
      </c>
      <c r="AI607" s="9" t="s">
        <v>357</v>
      </c>
      <c r="AJ607" s="9"/>
      <c r="AK607" s="9" t="s">
        <v>37</v>
      </c>
      <c r="AL607" s="9"/>
      <c r="AM607" s="42">
        <v>495310</v>
      </c>
      <c r="AO607" s="42">
        <v>222206</v>
      </c>
      <c r="AQ607" s="42">
        <v>502743</v>
      </c>
      <c r="AS607" s="42">
        <v>81658</v>
      </c>
      <c r="AW607" s="42">
        <v>0</v>
      </c>
      <c r="AY607" s="42">
        <f t="shared" si="63"/>
        <v>13456659</v>
      </c>
      <c r="BA607" s="42">
        <f>+'St of Act - GA Rev'!AI607-'St of Activities - GA Exp'!AY607</f>
        <v>-609039</v>
      </c>
      <c r="BC607" s="42">
        <v>15433722</v>
      </c>
      <c r="BE607" s="42">
        <f t="shared" si="64"/>
        <v>14824683</v>
      </c>
      <c r="BG607" s="42">
        <f>+'St of Net Pos - GA'!AE607-'St of Activities - GA Exp'!BE607</f>
        <v>0</v>
      </c>
    </row>
    <row r="608" spans="1:59">
      <c r="A608" s="9" t="s">
        <v>357</v>
      </c>
      <c r="B608" s="9"/>
      <c r="C608" s="9" t="s">
        <v>45</v>
      </c>
      <c r="D608" s="9"/>
      <c r="E608" s="23">
        <v>48397</v>
      </c>
      <c r="G608" s="42">
        <v>3312328</v>
      </c>
      <c r="I608" s="42">
        <v>939079</v>
      </c>
      <c r="K608" s="42">
        <v>119425</v>
      </c>
      <c r="M608" s="42">
        <v>17693</v>
      </c>
      <c r="O608" s="42">
        <v>74802</v>
      </c>
      <c r="Q608" s="42">
        <v>344598</v>
      </c>
      <c r="S608" s="42">
        <v>351441</v>
      </c>
      <c r="U608" s="42">
        <v>49319</v>
      </c>
      <c r="W608" s="42">
        <v>563640</v>
      </c>
      <c r="Y608" s="42">
        <v>357702</v>
      </c>
      <c r="AA608" s="42">
        <v>168799</v>
      </c>
      <c r="AC608" s="42">
        <v>686288</v>
      </c>
      <c r="AE608" s="42">
        <v>456552</v>
      </c>
      <c r="AG608" s="42">
        <v>24018</v>
      </c>
      <c r="AI608" s="9" t="s">
        <v>357</v>
      </c>
      <c r="AJ608" s="9"/>
      <c r="AK608" s="9" t="s">
        <v>45</v>
      </c>
      <c r="AL608" s="9"/>
      <c r="AM608" s="42">
        <v>253140</v>
      </c>
      <c r="AO608" s="42">
        <v>6006</v>
      </c>
      <c r="AQ608" s="42">
        <v>428918</v>
      </c>
      <c r="AS608" s="42">
        <v>459301</v>
      </c>
      <c r="AW608" s="42">
        <v>0</v>
      </c>
      <c r="AY608" s="42">
        <f t="shared" si="63"/>
        <v>8613049</v>
      </c>
      <c r="BA608" s="42">
        <f>+'St of Act - GA Rev'!AI608-'St of Activities - GA Exp'!AY608</f>
        <v>-603069</v>
      </c>
      <c r="BC608" s="42">
        <v>18361332</v>
      </c>
      <c r="BE608" s="42">
        <f t="shared" si="64"/>
        <v>17758263</v>
      </c>
      <c r="BG608" s="42">
        <f>+'St of Net Pos - GA'!AE608-'St of Activities - GA Exp'!BE608</f>
        <v>0</v>
      </c>
    </row>
    <row r="609" spans="1:59">
      <c r="A609" s="9" t="s">
        <v>307</v>
      </c>
      <c r="B609" s="9"/>
      <c r="C609" s="9" t="s">
        <v>27</v>
      </c>
      <c r="D609" s="9"/>
      <c r="E609" s="23">
        <v>45047</v>
      </c>
      <c r="G609" s="42">
        <v>65111562</v>
      </c>
      <c r="I609" s="42">
        <v>19263846</v>
      </c>
      <c r="K609" s="42">
        <v>374107</v>
      </c>
      <c r="M609" s="42">
        <v>0</v>
      </c>
      <c r="O609" s="42">
        <v>703618</v>
      </c>
      <c r="Q609" s="42">
        <v>11905444</v>
      </c>
      <c r="S609" s="42">
        <v>8150793</v>
      </c>
      <c r="U609" s="42">
        <v>1095184</v>
      </c>
      <c r="W609" s="42">
        <v>11536433</v>
      </c>
      <c r="Y609" s="42">
        <v>2969256</v>
      </c>
      <c r="AA609" s="42">
        <v>749427</v>
      </c>
      <c r="AC609" s="42">
        <v>11913251</v>
      </c>
      <c r="AE609" s="42">
        <v>7540459</v>
      </c>
      <c r="AG609" s="42">
        <v>3095770</v>
      </c>
      <c r="AI609" s="9" t="s">
        <v>307</v>
      </c>
      <c r="AJ609" s="9"/>
      <c r="AK609" s="9" t="s">
        <v>27</v>
      </c>
      <c r="AL609" s="9"/>
      <c r="AM609" s="42">
        <v>4422324</v>
      </c>
      <c r="AO609" s="42">
        <v>1104465</v>
      </c>
      <c r="AQ609" s="42">
        <v>3035404</v>
      </c>
      <c r="AS609" s="42">
        <v>4518402</v>
      </c>
      <c r="AW609" s="42">
        <v>0</v>
      </c>
      <c r="AY609" s="42">
        <f t="shared" si="63"/>
        <v>157489745</v>
      </c>
      <c r="BA609" s="42">
        <f>+'St of Act - GA Rev'!AI609-'St of Activities - GA Exp'!AY609</f>
        <v>25114419</v>
      </c>
      <c r="BC609" s="42">
        <v>85015493</v>
      </c>
      <c r="BE609" s="42">
        <f t="shared" si="64"/>
        <v>110129912</v>
      </c>
      <c r="BG609" s="42">
        <f>+'St of Net Pos - GA'!AE609-'St of Activities - GA Exp'!BE609</f>
        <v>0</v>
      </c>
    </row>
    <row r="610" spans="1:59" ht="12" customHeight="1">
      <c r="A610" s="9" t="s">
        <v>452</v>
      </c>
      <c r="B610" s="9"/>
      <c r="C610" s="9" t="s">
        <v>54</v>
      </c>
      <c r="D610" s="9"/>
      <c r="E610" s="23">
        <v>49106</v>
      </c>
      <c r="G610" s="42">
        <v>7405790</v>
      </c>
      <c r="I610" s="42">
        <v>2217760</v>
      </c>
      <c r="K610" s="42">
        <v>55540</v>
      </c>
      <c r="M610" s="42">
        <v>0</v>
      </c>
      <c r="O610" s="42">
        <v>17921</v>
      </c>
      <c r="Q610" s="42">
        <v>259152</v>
      </c>
      <c r="S610" s="42">
        <v>490904</v>
      </c>
      <c r="U610" s="42">
        <v>165222</v>
      </c>
      <c r="W610" s="42">
        <v>1072576</v>
      </c>
      <c r="Y610" s="42">
        <v>479932</v>
      </c>
      <c r="AA610" s="42">
        <v>68077</v>
      </c>
      <c r="AC610" s="42">
        <v>1281855</v>
      </c>
      <c r="AE610" s="42">
        <v>1200452</v>
      </c>
      <c r="AG610" s="42">
        <v>490952</v>
      </c>
      <c r="AI610" s="9" t="s">
        <v>452</v>
      </c>
      <c r="AJ610" s="9"/>
      <c r="AK610" s="9" t="s">
        <v>54</v>
      </c>
      <c r="AL610" s="9"/>
      <c r="AM610" s="42">
        <v>0</v>
      </c>
      <c r="AO610" s="42">
        <v>724883</v>
      </c>
      <c r="AQ610" s="42">
        <v>427743</v>
      </c>
      <c r="AS610" s="42">
        <v>192396</v>
      </c>
      <c r="AW610" s="42">
        <v>0</v>
      </c>
      <c r="AY610" s="42">
        <f t="shared" si="63"/>
        <v>16551155</v>
      </c>
      <c r="BA610" s="42">
        <f>+'St of Act - GA Rev'!AI610-'St of Activities - GA Exp'!AY610</f>
        <v>2104730</v>
      </c>
      <c r="BC610" s="42">
        <v>12944276</v>
      </c>
      <c r="BE610" s="42">
        <f t="shared" si="64"/>
        <v>15049006</v>
      </c>
      <c r="BG610" s="42">
        <f>+'St of Net Pos - GA'!AE610-'St of Activities - GA Exp'!BE610</f>
        <v>0</v>
      </c>
    </row>
    <row r="611" spans="1:59">
      <c r="A611" s="9" t="s">
        <v>279</v>
      </c>
      <c r="B611" s="9"/>
      <c r="C611" s="9" t="s">
        <v>20</v>
      </c>
      <c r="D611" s="9"/>
      <c r="E611" s="23">
        <v>45062</v>
      </c>
      <c r="G611" s="42">
        <v>23734781</v>
      </c>
      <c r="I611" s="42">
        <v>7324149</v>
      </c>
      <c r="K611" s="42">
        <v>189647</v>
      </c>
      <c r="M611" s="42">
        <v>96247</v>
      </c>
      <c r="O611" s="42">
        <v>2047292</v>
      </c>
      <c r="Q611" s="42">
        <v>3977719</v>
      </c>
      <c r="S611" s="42">
        <v>1697184</v>
      </c>
      <c r="U611" s="42">
        <v>36145</v>
      </c>
      <c r="W611" s="42">
        <v>2841239</v>
      </c>
      <c r="Y611" s="42">
        <v>1292707</v>
      </c>
      <c r="AA611" s="42">
        <v>464546</v>
      </c>
      <c r="AC611" s="42">
        <v>4259499</v>
      </c>
      <c r="AE611" s="42">
        <v>4574030</v>
      </c>
      <c r="AG611" s="42">
        <v>322186</v>
      </c>
      <c r="AI611" s="9" t="s">
        <v>279</v>
      </c>
      <c r="AJ611" s="9"/>
      <c r="AK611" s="9" t="s">
        <v>20</v>
      </c>
      <c r="AL611" s="9"/>
      <c r="AM611" s="42">
        <v>1203488</v>
      </c>
      <c r="AO611" s="42">
        <v>1059550</v>
      </c>
      <c r="AQ611" s="42">
        <v>1614625</v>
      </c>
      <c r="AS611" s="42">
        <v>5247443</v>
      </c>
      <c r="AW611" s="42">
        <v>0</v>
      </c>
      <c r="AY611" s="42">
        <f t="shared" si="63"/>
        <v>61982477</v>
      </c>
      <c r="BA611" s="42">
        <f>+'St of Act - GA Rev'!AI611-'St of Activities - GA Exp'!AY611</f>
        <v>452468</v>
      </c>
      <c r="BC611" s="42">
        <v>52624580</v>
      </c>
      <c r="BE611" s="42">
        <f t="shared" si="64"/>
        <v>53077048</v>
      </c>
      <c r="BG611" s="42">
        <f>+'St of Net Pos - GA'!AE611-'St of Activities - GA Exp'!BE611</f>
        <v>0</v>
      </c>
    </row>
    <row r="612" spans="1:59">
      <c r="A612" s="9" t="s">
        <v>483</v>
      </c>
      <c r="B612" s="9"/>
      <c r="C612" s="9" t="s">
        <v>59</v>
      </c>
      <c r="D612" s="9"/>
      <c r="E612" s="23">
        <v>49668</v>
      </c>
      <c r="G612" s="42">
        <v>7983475</v>
      </c>
      <c r="I612" s="42">
        <v>1378818</v>
      </c>
      <c r="K612" s="42">
        <v>5458</v>
      </c>
      <c r="M612" s="42">
        <v>0</v>
      </c>
      <c r="O612" s="42">
        <v>6902</v>
      </c>
      <c r="Q612" s="42">
        <v>730952</v>
      </c>
      <c r="S612" s="42">
        <v>797274</v>
      </c>
      <c r="U612" s="42">
        <v>68809</v>
      </c>
      <c r="W612" s="42">
        <v>993271</v>
      </c>
      <c r="Y612" s="42">
        <v>462568</v>
      </c>
      <c r="AA612" s="42">
        <v>0</v>
      </c>
      <c r="AC612" s="42">
        <v>1345629</v>
      </c>
      <c r="AE612" s="42">
        <v>511463</v>
      </c>
      <c r="AG612" s="42">
        <v>50938</v>
      </c>
      <c r="AI612" s="9" t="s">
        <v>483</v>
      </c>
      <c r="AJ612" s="9"/>
      <c r="AK612" s="9" t="s">
        <v>59</v>
      </c>
      <c r="AL612" s="9"/>
      <c r="AM612" s="42">
        <v>534565</v>
      </c>
      <c r="AO612" s="42">
        <v>221858</v>
      </c>
      <c r="AQ612" s="42">
        <v>726153</v>
      </c>
      <c r="AS612" s="42">
        <v>483202</v>
      </c>
      <c r="AW612" s="42">
        <v>0</v>
      </c>
      <c r="AY612" s="42">
        <f t="shared" si="63"/>
        <v>16301335</v>
      </c>
      <c r="BA612" s="42">
        <f>+'St of Act - GA Rev'!AI612-'St of Activities - GA Exp'!AY612</f>
        <v>-1274688</v>
      </c>
      <c r="BC612" s="42">
        <v>29085840</v>
      </c>
      <c r="BE612" s="42">
        <f t="shared" si="64"/>
        <v>27811152</v>
      </c>
      <c r="BG612" s="42">
        <f>+'St of Net Pos - GA'!AE612-'St of Activities - GA Exp'!BE612</f>
        <v>0</v>
      </c>
    </row>
    <row r="613" spans="1:59">
      <c r="A613" s="9" t="s">
        <v>308</v>
      </c>
      <c r="B613" s="9"/>
      <c r="C613" s="9" t="s">
        <v>27</v>
      </c>
      <c r="D613" s="9"/>
      <c r="E613" s="23">
        <v>45070</v>
      </c>
      <c r="G613" s="42">
        <v>18825423</v>
      </c>
      <c r="I613" s="42">
        <v>6380916</v>
      </c>
      <c r="K613" s="42">
        <v>339364</v>
      </c>
      <c r="M613" s="42">
        <v>0</v>
      </c>
      <c r="O613" s="42">
        <v>185081</v>
      </c>
      <c r="Q613" s="42">
        <v>2265854</v>
      </c>
      <c r="S613" s="42">
        <v>1421016</v>
      </c>
      <c r="U613" s="42">
        <v>108207</v>
      </c>
      <c r="W613" s="42">
        <v>2823368</v>
      </c>
      <c r="Y613" s="42">
        <v>0</v>
      </c>
      <c r="AA613" s="42">
        <v>1042871</v>
      </c>
      <c r="AC613" s="42">
        <v>3242987</v>
      </c>
      <c r="AE613" s="42">
        <v>1624707</v>
      </c>
      <c r="AG613" s="42">
        <v>900373</v>
      </c>
      <c r="AI613" s="9" t="s">
        <v>308</v>
      </c>
      <c r="AJ613" s="9"/>
      <c r="AK613" s="9" t="s">
        <v>27</v>
      </c>
      <c r="AL613" s="9"/>
      <c r="AM613" s="42">
        <v>1396323</v>
      </c>
      <c r="AO613" s="42">
        <v>368168</v>
      </c>
      <c r="AQ613" s="42">
        <v>758358</v>
      </c>
      <c r="AS613" s="42">
        <v>1586316</v>
      </c>
      <c r="AW613" s="42">
        <v>0</v>
      </c>
      <c r="AY613" s="42">
        <f t="shared" si="63"/>
        <v>43269332</v>
      </c>
      <c r="BA613" s="42">
        <f>+'St of Act - GA Rev'!AI613-'St of Activities - GA Exp'!AY613</f>
        <v>-6016181</v>
      </c>
      <c r="BC613" s="42">
        <v>76971905</v>
      </c>
      <c r="BE613" s="42">
        <f t="shared" si="64"/>
        <v>70955724</v>
      </c>
      <c r="BG613" s="42">
        <f>+'St of Net Pos - GA'!AE613-'St of Activities - GA Exp'!BE613</f>
        <v>0</v>
      </c>
    </row>
    <row r="614" spans="1:59" ht="12" hidden="1" customHeight="1">
      <c r="A614" s="9" t="s">
        <v>617</v>
      </c>
      <c r="B614" s="9"/>
      <c r="C614" s="9" t="s">
        <v>41</v>
      </c>
      <c r="D614" s="9"/>
      <c r="E614" s="23">
        <v>45088</v>
      </c>
      <c r="G614" s="42">
        <v>0</v>
      </c>
      <c r="I614" s="42">
        <v>0</v>
      </c>
      <c r="K614" s="42">
        <v>0</v>
      </c>
      <c r="M614" s="42">
        <v>0</v>
      </c>
      <c r="O614" s="42">
        <v>0</v>
      </c>
      <c r="Q614" s="42">
        <v>0</v>
      </c>
      <c r="S614" s="42">
        <v>0</v>
      </c>
      <c r="U614" s="42">
        <v>0</v>
      </c>
      <c r="W614" s="42">
        <v>0</v>
      </c>
      <c r="Y614" s="42">
        <v>0</v>
      </c>
      <c r="AA614" s="42">
        <v>0</v>
      </c>
      <c r="AC614" s="42">
        <v>0</v>
      </c>
      <c r="AE614" s="42">
        <v>0</v>
      </c>
      <c r="AG614" s="42">
        <v>0</v>
      </c>
      <c r="AI614" s="9" t="s">
        <v>617</v>
      </c>
      <c r="AJ614" s="9"/>
      <c r="AK614" s="9" t="s">
        <v>41</v>
      </c>
      <c r="AL614" s="9"/>
      <c r="AM614" s="42">
        <v>0</v>
      </c>
      <c r="AO614" s="42">
        <v>0</v>
      </c>
      <c r="AQ614" s="42">
        <v>0</v>
      </c>
      <c r="AS614" s="42">
        <v>0</v>
      </c>
      <c r="AW614" s="42">
        <v>0</v>
      </c>
      <c r="AY614" s="42">
        <f t="shared" si="63"/>
        <v>0</v>
      </c>
      <c r="BA614" s="42">
        <f>+'St of Act - GA Rev'!AI614-'St of Activities - GA Exp'!AY614</f>
        <v>0</v>
      </c>
      <c r="BC614" s="42">
        <v>0</v>
      </c>
      <c r="BE614" s="42">
        <f t="shared" si="64"/>
        <v>0</v>
      </c>
      <c r="BG614" s="42">
        <f>+'St of Net Pos - GA'!AE614-'St of Activities - GA Exp'!BE614</f>
        <v>0</v>
      </c>
    </row>
    <row r="615" spans="1:59">
      <c r="A615" s="9" t="s">
        <v>358</v>
      </c>
      <c r="B615" s="9"/>
      <c r="C615" s="9" t="s">
        <v>37</v>
      </c>
      <c r="D615" s="9"/>
      <c r="E615" s="23">
        <v>45096</v>
      </c>
      <c r="G615" s="42">
        <v>7225289</v>
      </c>
      <c r="I615" s="42">
        <v>1487600</v>
      </c>
      <c r="K615" s="42">
        <v>214336</v>
      </c>
      <c r="M615" s="42">
        <v>0</v>
      </c>
      <c r="O615" s="42">
        <v>2038855</v>
      </c>
      <c r="Q615" s="42">
        <v>680675</v>
      </c>
      <c r="S615" s="42">
        <v>521977</v>
      </c>
      <c r="U615" s="42">
        <v>506828</v>
      </c>
      <c r="W615" s="42">
        <v>1905876</v>
      </c>
      <c r="Y615" s="42">
        <v>394172</v>
      </c>
      <c r="AA615" s="42">
        <v>38939</v>
      </c>
      <c r="AC615" s="42">
        <v>1274301</v>
      </c>
      <c r="AE615" s="42">
        <v>837911</v>
      </c>
      <c r="AG615" s="42">
        <v>4459</v>
      </c>
      <c r="AI615" s="9" t="s">
        <v>358</v>
      </c>
      <c r="AJ615" s="9"/>
      <c r="AK615" s="9" t="s">
        <v>37</v>
      </c>
      <c r="AL615" s="9"/>
      <c r="AM615" s="42">
        <v>967336</v>
      </c>
      <c r="AO615" s="42">
        <v>210113</v>
      </c>
      <c r="AQ615" s="42">
        <v>589487</v>
      </c>
      <c r="AS615" s="42">
        <v>1091503</v>
      </c>
      <c r="AW615" s="42">
        <v>0</v>
      </c>
      <c r="AY615" s="42">
        <f t="shared" si="63"/>
        <v>19989657</v>
      </c>
      <c r="BA615" s="42">
        <f>+'St of Act - GA Rev'!AI615-'St of Activities - GA Exp'!AY615</f>
        <v>355512</v>
      </c>
      <c r="BC615" s="42">
        <v>35365751</v>
      </c>
      <c r="BE615" s="42">
        <f t="shared" si="64"/>
        <v>35721263</v>
      </c>
      <c r="BG615" s="42">
        <f>+'St of Net Pos - GA'!AE615-'St of Activities - GA Exp'!BE615</f>
        <v>0</v>
      </c>
    </row>
    <row r="616" spans="1:59" hidden="1">
      <c r="A616" s="9" t="s">
        <v>881</v>
      </c>
      <c r="B616" s="9"/>
      <c r="C616" s="9" t="s">
        <v>112</v>
      </c>
      <c r="D616" s="9"/>
      <c r="E616" s="23">
        <v>46367</v>
      </c>
      <c r="G616" s="42">
        <v>0</v>
      </c>
      <c r="I616" s="42">
        <v>0</v>
      </c>
      <c r="K616" s="42">
        <v>0</v>
      </c>
      <c r="M616" s="42">
        <v>0</v>
      </c>
      <c r="O616" s="42">
        <v>0</v>
      </c>
      <c r="Q616" s="42">
        <v>0</v>
      </c>
      <c r="S616" s="42">
        <v>0</v>
      </c>
      <c r="U616" s="42">
        <v>0</v>
      </c>
      <c r="W616" s="42">
        <v>0</v>
      </c>
      <c r="Y616" s="42">
        <v>0</v>
      </c>
      <c r="AA616" s="42">
        <v>0</v>
      </c>
      <c r="AC616" s="42">
        <v>0</v>
      </c>
      <c r="AE616" s="42">
        <v>0</v>
      </c>
      <c r="AG616" s="42">
        <v>0</v>
      </c>
      <c r="AI616" s="9" t="s">
        <v>881</v>
      </c>
      <c r="AJ616" s="9"/>
      <c r="AK616" s="9" t="s">
        <v>112</v>
      </c>
      <c r="AL616" s="9"/>
      <c r="AM616" s="42">
        <v>0</v>
      </c>
      <c r="AO616" s="42">
        <v>0</v>
      </c>
      <c r="AQ616" s="42">
        <v>0</v>
      </c>
      <c r="AS616" s="42">
        <v>0</v>
      </c>
      <c r="AW616" s="42">
        <v>0</v>
      </c>
      <c r="AY616" s="42">
        <f t="shared" si="63"/>
        <v>0</v>
      </c>
      <c r="BA616" s="42">
        <f>+'St of Act - GA Rev'!AI616-'St of Activities - GA Exp'!AY616</f>
        <v>0</v>
      </c>
      <c r="BC616" s="42">
        <v>0</v>
      </c>
      <c r="BE616" s="42">
        <f t="shared" si="64"/>
        <v>0</v>
      </c>
      <c r="BG616" s="42">
        <f>+'St of Net Pos - GA'!AE616-'St of Activities - GA Exp'!BE616</f>
        <v>0</v>
      </c>
    </row>
    <row r="617" spans="1:59">
      <c r="A617" s="9" t="s">
        <v>363</v>
      </c>
      <c r="B617" s="9"/>
      <c r="C617" s="9" t="s">
        <v>41</v>
      </c>
      <c r="D617" s="9"/>
      <c r="E617" s="23">
        <v>45104</v>
      </c>
      <c r="G617" s="42">
        <v>45234013</v>
      </c>
      <c r="I617" s="42">
        <v>3597350</v>
      </c>
      <c r="K617" s="42">
        <v>62190</v>
      </c>
      <c r="M617" s="42">
        <v>581890</v>
      </c>
      <c r="O617" s="42">
        <f>6298+470101</f>
        <v>476399</v>
      </c>
      <c r="Q617" s="42">
        <v>6718646</v>
      </c>
      <c r="S617" s="42">
        <v>3243149</v>
      </c>
      <c r="U617" s="42">
        <v>198363</v>
      </c>
      <c r="W617" s="42">
        <v>7780585</v>
      </c>
      <c r="Y617" s="42">
        <v>1724346</v>
      </c>
      <c r="AA617" s="42">
        <v>634278</v>
      </c>
      <c r="AC617" s="42">
        <v>13332991</v>
      </c>
      <c r="AE617" s="42">
        <v>7980648</v>
      </c>
      <c r="AG617" s="42">
        <v>2428023</v>
      </c>
      <c r="AI617" s="9" t="s">
        <v>363</v>
      </c>
      <c r="AJ617" s="9"/>
      <c r="AK617" s="9" t="s">
        <v>41</v>
      </c>
      <c r="AL617" s="9"/>
      <c r="AM617" s="42">
        <v>2101183</v>
      </c>
      <c r="AO617" s="42">
        <v>1087905</v>
      </c>
      <c r="AQ617" s="42">
        <v>1968807</v>
      </c>
      <c r="AS617" s="42">
        <v>1430605</v>
      </c>
      <c r="AW617" s="42">
        <v>0</v>
      </c>
      <c r="AY617" s="42">
        <f t="shared" si="63"/>
        <v>100581371</v>
      </c>
      <c r="BA617" s="42">
        <f>+'St of Act - GA Rev'!AI617-'St of Activities - GA Exp'!AY617</f>
        <v>-6614568</v>
      </c>
      <c r="BC617" s="42">
        <v>9396446</v>
      </c>
      <c r="BE617" s="42">
        <f t="shared" si="64"/>
        <v>2781878</v>
      </c>
      <c r="BG617" s="42">
        <f>+'St of Net Pos - GA'!AE617-'St of Activities - GA Exp'!BE617</f>
        <v>0</v>
      </c>
    </row>
    <row r="618" spans="1:59">
      <c r="A618" s="9" t="s">
        <v>243</v>
      </c>
      <c r="B618" s="9"/>
      <c r="C618" s="9" t="s">
        <v>18</v>
      </c>
      <c r="D618" s="9"/>
      <c r="E618" s="23">
        <v>45112</v>
      </c>
      <c r="G618" s="42">
        <v>12212144</v>
      </c>
      <c r="I618" s="42">
        <v>3022947</v>
      </c>
      <c r="K618" s="42">
        <v>257416</v>
      </c>
      <c r="M618" s="42">
        <v>0</v>
      </c>
      <c r="O618" s="42">
        <v>939543</v>
      </c>
      <c r="Q618" s="42">
        <v>1478317</v>
      </c>
      <c r="S618" s="42">
        <v>1672169</v>
      </c>
      <c r="U618" s="42">
        <v>127055</v>
      </c>
      <c r="W618" s="42">
        <v>1583238</v>
      </c>
      <c r="Y618" s="42">
        <v>649644</v>
      </c>
      <c r="AA618" s="42">
        <v>175884</v>
      </c>
      <c r="AC618" s="42">
        <v>1941393</v>
      </c>
      <c r="AE618" s="42">
        <v>1525068</v>
      </c>
      <c r="AG618" s="42">
        <v>58995</v>
      </c>
      <c r="AI618" s="9" t="s">
        <v>243</v>
      </c>
      <c r="AJ618" s="9"/>
      <c r="AK618" s="9" t="s">
        <v>18</v>
      </c>
      <c r="AL618" s="9"/>
      <c r="AM618" s="42">
        <v>0</v>
      </c>
      <c r="AO618" s="42">
        <v>1377455</v>
      </c>
      <c r="AQ618" s="42">
        <v>590015</v>
      </c>
      <c r="AS618" s="42">
        <v>369583</v>
      </c>
      <c r="AW618" s="42">
        <v>0</v>
      </c>
      <c r="AY618" s="42">
        <f t="shared" si="63"/>
        <v>27980866</v>
      </c>
      <c r="BA618" s="42">
        <f>+'St of Act - GA Rev'!AI618-'St of Activities - GA Exp'!AY618</f>
        <v>-93155</v>
      </c>
      <c r="BC618" s="42">
        <v>16282376</v>
      </c>
      <c r="BE618" s="42">
        <f t="shared" si="64"/>
        <v>16189221</v>
      </c>
      <c r="BG618" s="42">
        <f>+'St of Net Pos - GA'!AE618-'St of Activities - GA Exp'!BE618</f>
        <v>0</v>
      </c>
    </row>
    <row r="619" spans="1:59">
      <c r="A619" s="9" t="s">
        <v>776</v>
      </c>
      <c r="B619" s="9"/>
      <c r="C619" s="9" t="s">
        <v>56</v>
      </c>
      <c r="D619" s="9"/>
      <c r="E619" s="23">
        <v>45666</v>
      </c>
      <c r="G619" s="42">
        <v>3386507</v>
      </c>
      <c r="I619" s="42">
        <v>1760499</v>
      </c>
      <c r="K619" s="42">
        <v>99216</v>
      </c>
      <c r="M619" s="42">
        <v>0</v>
      </c>
      <c r="O619" s="42">
        <v>16591</v>
      </c>
      <c r="Q619" s="42">
        <v>475498</v>
      </c>
      <c r="S619" s="42">
        <v>500140</v>
      </c>
      <c r="U619" s="42">
        <v>34097</v>
      </c>
      <c r="W619" s="42">
        <v>689754</v>
      </c>
      <c r="Y619" s="42">
        <v>220475</v>
      </c>
      <c r="AA619" s="42">
        <v>10541</v>
      </c>
      <c r="AC619" s="42">
        <v>857362</v>
      </c>
      <c r="AE619" s="42">
        <v>331634</v>
      </c>
      <c r="AG619" s="42">
        <v>18190</v>
      </c>
      <c r="AI619" s="9" t="s">
        <v>776</v>
      </c>
      <c r="AJ619" s="9"/>
      <c r="AK619" s="9" t="s">
        <v>56</v>
      </c>
      <c r="AL619" s="9"/>
      <c r="AM619" s="42">
        <v>348926</v>
      </c>
      <c r="AO619" s="42">
        <v>0</v>
      </c>
      <c r="AQ619" s="42">
        <v>246134</v>
      </c>
      <c r="AS619" s="42">
        <v>28494</v>
      </c>
      <c r="AW619" s="42">
        <v>0</v>
      </c>
      <c r="AY619" s="42">
        <f t="shared" si="63"/>
        <v>9024058</v>
      </c>
      <c r="BA619" s="42">
        <f>+'St of Act - GA Rev'!AI619-'St of Activities - GA Exp'!AY619</f>
        <v>-85934</v>
      </c>
      <c r="BC619" s="42">
        <v>17981105</v>
      </c>
      <c r="BE619" s="42">
        <f t="shared" si="64"/>
        <v>17895171</v>
      </c>
      <c r="BG619" s="42">
        <f>+'St of Net Pos - GA'!AE619-'St of Activities - GA Exp'!BE619</f>
        <v>0</v>
      </c>
    </row>
    <row r="620" spans="1:59">
      <c r="A620" s="9" t="s">
        <v>330</v>
      </c>
      <c r="B620" s="9"/>
      <c r="C620" s="9" t="s">
        <v>32</v>
      </c>
      <c r="D620" s="9"/>
      <c r="E620" s="23">
        <v>44081</v>
      </c>
      <c r="G620" s="42">
        <v>17852294</v>
      </c>
      <c r="I620" s="42">
        <v>8823178</v>
      </c>
      <c r="K620" s="42">
        <v>163970</v>
      </c>
      <c r="M620" s="42">
        <v>0</v>
      </c>
      <c r="O620" s="42">
        <v>0</v>
      </c>
      <c r="Q620" s="42">
        <v>2322130</v>
      </c>
      <c r="S620" s="42">
        <v>1623955</v>
      </c>
      <c r="U620" s="42">
        <v>164139</v>
      </c>
      <c r="W620" s="42">
        <v>3312749</v>
      </c>
      <c r="Y620" s="42">
        <v>1308959</v>
      </c>
      <c r="AA620" s="42">
        <v>206456</v>
      </c>
      <c r="AC620" s="42">
        <v>3007406</v>
      </c>
      <c r="AE620" s="42">
        <v>2255257</v>
      </c>
      <c r="AG620" s="42">
        <v>556719</v>
      </c>
      <c r="AI620" s="9" t="s">
        <v>330</v>
      </c>
      <c r="AJ620" s="9"/>
      <c r="AK620" s="9" t="s">
        <v>32</v>
      </c>
      <c r="AL620" s="9"/>
      <c r="AM620" s="42">
        <v>0</v>
      </c>
      <c r="AO620" s="42">
        <v>2217635</v>
      </c>
      <c r="AQ620" s="42">
        <v>735163</v>
      </c>
      <c r="AS620" s="42">
        <v>151400</v>
      </c>
      <c r="AW620" s="42">
        <v>0</v>
      </c>
      <c r="AY620" s="42">
        <f t="shared" si="63"/>
        <v>44701410</v>
      </c>
      <c r="BA620" s="42">
        <f>+'St of Act - GA Rev'!AI620-'St of Activities - GA Exp'!AY620</f>
        <v>1320066</v>
      </c>
      <c r="BC620" s="42">
        <v>20248639</v>
      </c>
      <c r="BE620" s="42">
        <f t="shared" si="64"/>
        <v>21568705</v>
      </c>
      <c r="BG620" s="42">
        <f>+'St of Net Pos - GA'!AE620-'St of Activities - GA Exp'!BE620</f>
        <v>0</v>
      </c>
    </row>
    <row r="621" spans="1:59">
      <c r="A621" s="9" t="s">
        <v>546</v>
      </c>
      <c r="B621" s="9"/>
      <c r="C621" s="9" t="s">
        <v>70</v>
      </c>
      <c r="D621" s="9"/>
      <c r="E621" s="23">
        <v>50518</v>
      </c>
      <c r="G621" s="42">
        <v>3541978</v>
      </c>
      <c r="I621" s="42">
        <v>642663</v>
      </c>
      <c r="K621" s="42">
        <v>208366</v>
      </c>
      <c r="M621" s="42">
        <v>0</v>
      </c>
      <c r="O621" s="42">
        <v>64590</v>
      </c>
      <c r="Q621" s="42">
        <v>409774</v>
      </c>
      <c r="S621" s="42">
        <v>422105</v>
      </c>
      <c r="U621" s="42">
        <v>16202</v>
      </c>
      <c r="W621" s="42">
        <v>549186</v>
      </c>
      <c r="Y621" s="42">
        <v>362204</v>
      </c>
      <c r="AA621" s="42">
        <v>0</v>
      </c>
      <c r="AC621" s="42">
        <v>603299</v>
      </c>
      <c r="AE621" s="42">
        <v>451426</v>
      </c>
      <c r="AG621" s="42">
        <v>30072</v>
      </c>
      <c r="AI621" s="9" t="s">
        <v>546</v>
      </c>
      <c r="AJ621" s="9"/>
      <c r="AK621" s="9" t="s">
        <v>70</v>
      </c>
      <c r="AL621" s="9"/>
      <c r="AM621" s="42">
        <v>258805</v>
      </c>
      <c r="AO621" s="42">
        <v>0</v>
      </c>
      <c r="AQ621" s="42">
        <v>277902</v>
      </c>
      <c r="AS621" s="42">
        <v>403901</v>
      </c>
      <c r="AW621" s="42">
        <v>200</v>
      </c>
      <c r="AY621" s="42">
        <f t="shared" si="63"/>
        <v>8242673</v>
      </c>
      <c r="BA621" s="42">
        <f>+'St of Act - GA Rev'!AI621-'St of Activities - GA Exp'!AY621</f>
        <v>462739</v>
      </c>
      <c r="BC621" s="42">
        <v>10698259</v>
      </c>
      <c r="BE621" s="42">
        <f t="shared" si="64"/>
        <v>11160998</v>
      </c>
      <c r="BG621" s="42">
        <f>+'St of Net Pos - GA'!AE621-'St of Activities - GA Exp'!BE621</f>
        <v>0</v>
      </c>
    </row>
    <row r="622" spans="1:59">
      <c r="A622" s="9" t="s">
        <v>475</v>
      </c>
      <c r="B622" s="9"/>
      <c r="C622" s="9" t="s">
        <v>79</v>
      </c>
      <c r="D622" s="9"/>
      <c r="E622" s="23">
        <v>49577</v>
      </c>
      <c r="G622" s="42">
        <v>5323120</v>
      </c>
      <c r="I622" s="42">
        <v>1303635</v>
      </c>
      <c r="K622" s="42">
        <v>9851</v>
      </c>
      <c r="M622" s="42">
        <v>0</v>
      </c>
      <c r="O622" s="42">
        <v>4302</v>
      </c>
      <c r="Q622" s="42">
        <v>741629</v>
      </c>
      <c r="S622" s="42">
        <v>296868</v>
      </c>
      <c r="U622" s="42">
        <v>76651</v>
      </c>
      <c r="W622" s="42">
        <v>1282150</v>
      </c>
      <c r="Y622" s="42">
        <v>354053</v>
      </c>
      <c r="AA622" s="42">
        <v>0</v>
      </c>
      <c r="AC622" s="42">
        <v>805493</v>
      </c>
      <c r="AE622" s="42">
        <v>621637</v>
      </c>
      <c r="AG622" s="42">
        <v>0</v>
      </c>
      <c r="AI622" s="9" t="s">
        <v>475</v>
      </c>
      <c r="AJ622" s="9"/>
      <c r="AK622" s="9" t="s">
        <v>79</v>
      </c>
      <c r="AL622" s="9"/>
      <c r="AM622" s="42">
        <v>372651</v>
      </c>
      <c r="AO622" s="42">
        <v>62368</v>
      </c>
      <c r="AQ622" s="42">
        <v>434186</v>
      </c>
      <c r="AS622" s="42">
        <v>453848</v>
      </c>
      <c r="AW622" s="42">
        <v>0</v>
      </c>
      <c r="AY622" s="42">
        <f t="shared" si="63"/>
        <v>12142442</v>
      </c>
      <c r="BA622" s="42">
        <f>+'St of Act - GA Rev'!AI622-'St of Activities - GA Exp'!AY622</f>
        <v>6633021</v>
      </c>
      <c r="BC622" s="42">
        <v>7068206</v>
      </c>
      <c r="BE622" s="42">
        <f t="shared" si="64"/>
        <v>13701227</v>
      </c>
      <c r="BG622" s="42">
        <f>+'St of Net Pos - GA'!AE622-'St of Activities - GA Exp'!BE622</f>
        <v>0</v>
      </c>
    </row>
    <row r="623" spans="1:59">
      <c r="A623" s="9" t="s">
        <v>513</v>
      </c>
      <c r="B623" s="9"/>
      <c r="C623" s="9" t="s">
        <v>63</v>
      </c>
      <c r="D623" s="9"/>
      <c r="E623" s="23">
        <v>49973</v>
      </c>
      <c r="G623" s="42">
        <v>11343933</v>
      </c>
      <c r="I623" s="42">
        <v>3604145</v>
      </c>
      <c r="K623" s="42">
        <v>342459</v>
      </c>
      <c r="M623" s="42">
        <v>0</v>
      </c>
      <c r="O623" s="42">
        <v>56211</v>
      </c>
      <c r="Q623" s="42">
        <v>1319014</v>
      </c>
      <c r="S623" s="42">
        <v>405010</v>
      </c>
      <c r="U623" s="42">
        <v>28899</v>
      </c>
      <c r="W623" s="42">
        <v>2042217</v>
      </c>
      <c r="Y623" s="42">
        <v>696836</v>
      </c>
      <c r="AA623" s="42">
        <v>7080</v>
      </c>
      <c r="AC623" s="42">
        <v>1876583</v>
      </c>
      <c r="AE623" s="42">
        <v>1833357</v>
      </c>
      <c r="AG623" s="42">
        <v>252017</v>
      </c>
      <c r="AI623" s="9" t="s">
        <v>513</v>
      </c>
      <c r="AJ623" s="9"/>
      <c r="AK623" s="9" t="s">
        <v>63</v>
      </c>
      <c r="AL623" s="9"/>
      <c r="AM623" s="42">
        <v>816600</v>
      </c>
      <c r="AO623" s="42">
        <v>1202</v>
      </c>
      <c r="AQ623" s="42">
        <v>666776</v>
      </c>
      <c r="AS623" s="42">
        <v>282822</v>
      </c>
      <c r="AW623" s="42">
        <v>0</v>
      </c>
      <c r="AY623" s="42">
        <f t="shared" si="63"/>
        <v>25575161</v>
      </c>
      <c r="BA623" s="42">
        <f>+'St of Act - GA Rev'!AI623-'St of Activities - GA Exp'!AY623</f>
        <v>-714243</v>
      </c>
      <c r="BC623" s="42">
        <v>11448804</v>
      </c>
      <c r="BE623" s="42">
        <f t="shared" si="64"/>
        <v>10734561</v>
      </c>
      <c r="BG623" s="42">
        <f>+'St of Net Pos - GA'!AE623-'St of Activities - GA Exp'!BE623</f>
        <v>0</v>
      </c>
    </row>
    <row r="624" spans="1:59">
      <c r="A624" s="9" t="s">
        <v>618</v>
      </c>
      <c r="B624" s="9"/>
      <c r="C624" s="9" t="s">
        <v>71</v>
      </c>
      <c r="D624" s="9"/>
      <c r="E624" s="23">
        <v>45120</v>
      </c>
      <c r="G624" s="42">
        <v>17895955</v>
      </c>
      <c r="I624" s="42">
        <v>5059465</v>
      </c>
      <c r="K624" s="42">
        <v>469588</v>
      </c>
      <c r="M624" s="42">
        <v>0</v>
      </c>
      <c r="O624" s="42">
        <f>26716+2603668</f>
        <v>2630384</v>
      </c>
      <c r="Q624" s="42">
        <v>1997500</v>
      </c>
      <c r="S624" s="42">
        <v>2121988</v>
      </c>
      <c r="U624" s="42">
        <v>177106</v>
      </c>
      <c r="W624" s="42">
        <v>2757385</v>
      </c>
      <c r="Y624" s="42">
        <v>893539</v>
      </c>
      <c r="AA624" s="42">
        <v>168057</v>
      </c>
      <c r="AC624" s="42">
        <v>4268094</v>
      </c>
      <c r="AE624" s="42">
        <v>2089921</v>
      </c>
      <c r="AG624" s="42">
        <v>682057</v>
      </c>
      <c r="AI624" s="9" t="s">
        <v>618</v>
      </c>
      <c r="AJ624" s="9"/>
      <c r="AK624" s="9" t="s">
        <v>71</v>
      </c>
      <c r="AL624" s="9"/>
      <c r="AM624" s="42">
        <v>0</v>
      </c>
      <c r="AO624" s="42">
        <v>749859</v>
      </c>
      <c r="AQ624" s="42">
        <v>650860</v>
      </c>
      <c r="AS624" s="42">
        <f>90356+871000</f>
        <v>961356</v>
      </c>
      <c r="AW624" s="42">
        <v>0</v>
      </c>
      <c r="AY624" s="42">
        <f t="shared" si="63"/>
        <v>43573114</v>
      </c>
      <c r="BA624" s="42">
        <f>+'St of Act - GA Rev'!AI624-'St of Activities - GA Exp'!AY624</f>
        <v>2584622</v>
      </c>
      <c r="BC624" s="42">
        <v>39823990</v>
      </c>
      <c r="BE624" s="42">
        <f t="shared" si="64"/>
        <v>42408612</v>
      </c>
      <c r="BG624" s="42">
        <f>+'St of Net Pos - GA'!AE624-'St of Activities - GA Exp'!BE624</f>
        <v>0</v>
      </c>
    </row>
    <row r="625" spans="1:59" ht="12" customHeight="1">
      <c r="A625" s="9" t="s">
        <v>309</v>
      </c>
      <c r="B625" s="9"/>
      <c r="C625" s="9" t="s">
        <v>27</v>
      </c>
      <c r="D625" s="9"/>
      <c r="E625" s="23">
        <v>45138</v>
      </c>
      <c r="G625" s="42">
        <v>59983167</v>
      </c>
      <c r="I625" s="42">
        <v>13505383</v>
      </c>
      <c r="K625" s="42">
        <v>1011980</v>
      </c>
      <c r="M625" s="42">
        <v>0</v>
      </c>
      <c r="O625" s="42">
        <v>22828</v>
      </c>
      <c r="Q625" s="42">
        <v>6723710</v>
      </c>
      <c r="S625" s="42">
        <v>10760491</v>
      </c>
      <c r="U625" s="42">
        <v>36938</v>
      </c>
      <c r="W625" s="42">
        <v>8432818</v>
      </c>
      <c r="Y625" s="42">
        <v>0</v>
      </c>
      <c r="AA625" s="42">
        <v>3101183</v>
      </c>
      <c r="AC625" s="42">
        <v>12076687</v>
      </c>
      <c r="AE625" s="42">
        <v>4509730</v>
      </c>
      <c r="AG625" s="42">
        <v>1401754</v>
      </c>
      <c r="AI625" s="9" t="s">
        <v>309</v>
      </c>
      <c r="AJ625" s="9"/>
      <c r="AK625" s="9" t="s">
        <v>27</v>
      </c>
      <c r="AL625" s="9"/>
      <c r="AM625" s="42">
        <v>2899772</v>
      </c>
      <c r="AO625" s="42">
        <v>2007388</v>
      </c>
      <c r="AQ625" s="42">
        <v>2703946</v>
      </c>
      <c r="AS625" s="42">
        <v>2339784</v>
      </c>
      <c r="AW625" s="42">
        <v>0</v>
      </c>
      <c r="AY625" s="42">
        <f t="shared" si="63"/>
        <v>131517559</v>
      </c>
      <c r="BA625" s="42">
        <f>+'St of Act - GA Rev'!AI625-'St of Activities - GA Exp'!AY625</f>
        <v>5198301</v>
      </c>
      <c r="BC625" s="42">
        <v>85912650</v>
      </c>
      <c r="BE625" s="42">
        <f t="shared" si="64"/>
        <v>91110951</v>
      </c>
      <c r="BG625" s="42">
        <f>+'St of Net Pos - GA'!AE625-'St of Activities - GA Exp'!BE625</f>
        <v>0</v>
      </c>
    </row>
    <row r="626" spans="1:59">
      <c r="A626" s="9" t="s">
        <v>258</v>
      </c>
      <c r="B626" s="9"/>
      <c r="C626" s="9" t="s">
        <v>110</v>
      </c>
      <c r="D626" s="9"/>
      <c r="E626" s="23">
        <v>46524</v>
      </c>
      <c r="G626" s="42">
        <v>4454933</v>
      </c>
      <c r="I626" s="42">
        <v>1442598</v>
      </c>
      <c r="K626" s="42">
        <v>41260</v>
      </c>
      <c r="M626" s="42">
        <v>0</v>
      </c>
      <c r="O626" s="42">
        <v>649305</v>
      </c>
      <c r="Q626" s="42">
        <v>906857</v>
      </c>
      <c r="S626" s="42">
        <v>616924</v>
      </c>
      <c r="U626" s="42">
        <v>7357</v>
      </c>
      <c r="W626" s="42">
        <v>892102</v>
      </c>
      <c r="Y626" s="42">
        <v>399463</v>
      </c>
      <c r="AA626" s="42">
        <v>12365</v>
      </c>
      <c r="AC626" s="42">
        <v>727544</v>
      </c>
      <c r="AE626" s="42">
        <v>686564</v>
      </c>
      <c r="AG626" s="42">
        <v>41746</v>
      </c>
      <c r="AI626" s="9" t="s">
        <v>258</v>
      </c>
      <c r="AJ626" s="9"/>
      <c r="AK626" s="9" t="s">
        <v>110</v>
      </c>
      <c r="AL626" s="9"/>
      <c r="AM626" s="42">
        <v>522958</v>
      </c>
      <c r="AO626" s="42">
        <v>600</v>
      </c>
      <c r="AQ626" s="42">
        <v>332808</v>
      </c>
      <c r="AS626" s="42">
        <v>251900</v>
      </c>
      <c r="AW626" s="42">
        <v>0</v>
      </c>
      <c r="AY626" s="42">
        <f t="shared" si="63"/>
        <v>11987284</v>
      </c>
      <c r="BA626" s="42">
        <f>+'St of Act - GA Rev'!AI626-'St of Activities - GA Exp'!AY626</f>
        <v>-358072</v>
      </c>
      <c r="BC626" s="42">
        <v>4194946</v>
      </c>
      <c r="BE626" s="42">
        <f t="shared" si="64"/>
        <v>3836874</v>
      </c>
      <c r="BG626" s="42">
        <f>+'St of Net Pos - GA'!AE626-'St of Activities - GA Exp'!BE626</f>
        <v>0</v>
      </c>
    </row>
    <row r="627" spans="1:59" ht="12" customHeight="1">
      <c r="A627" s="9" t="s">
        <v>331</v>
      </c>
      <c r="B627" s="9"/>
      <c r="C627" s="9" t="s">
        <v>32</v>
      </c>
      <c r="D627" s="9"/>
      <c r="E627" s="23">
        <v>45146</v>
      </c>
      <c r="G627" s="42">
        <v>12157412</v>
      </c>
      <c r="I627" s="42">
        <v>2349366</v>
      </c>
      <c r="K627" s="42">
        <v>58738</v>
      </c>
      <c r="M627" s="42">
        <v>0</v>
      </c>
      <c r="O627" s="42">
        <v>76966</v>
      </c>
      <c r="Q627" s="42">
        <v>1530196</v>
      </c>
      <c r="S627" s="42">
        <v>1309230</v>
      </c>
      <c r="U627" s="42">
        <v>140402</v>
      </c>
      <c r="W627" s="42">
        <v>1826783</v>
      </c>
      <c r="Y627" s="42">
        <v>870407</v>
      </c>
      <c r="AA627" s="42">
        <v>1134</v>
      </c>
      <c r="AC627" s="42">
        <v>1884279</v>
      </c>
      <c r="AE627" s="42">
        <v>496867</v>
      </c>
      <c r="AG627" s="42">
        <v>140075</v>
      </c>
      <c r="AI627" s="9" t="s">
        <v>331</v>
      </c>
      <c r="AJ627" s="9"/>
      <c r="AK627" s="9" t="s">
        <v>32</v>
      </c>
      <c r="AL627" s="9"/>
      <c r="AM627" s="42">
        <v>0</v>
      </c>
      <c r="AO627" s="42">
        <v>292941</v>
      </c>
      <c r="AQ627" s="42">
        <v>852196</v>
      </c>
      <c r="AS627" s="42">
        <v>1958943</v>
      </c>
      <c r="AW627" s="42">
        <v>0</v>
      </c>
      <c r="AY627" s="42">
        <f t="shared" si="63"/>
        <v>25945935</v>
      </c>
      <c r="BA627" s="42">
        <f>+'St of Act - GA Rev'!AI627-'St of Activities - GA Exp'!AY627</f>
        <v>1043345</v>
      </c>
      <c r="BC627" s="42">
        <v>17473386</v>
      </c>
      <c r="BE627" s="42">
        <f t="shared" si="64"/>
        <v>18516731</v>
      </c>
      <c r="BG627" s="42">
        <f>+'St of Net Pos - GA'!AE627-'St of Activities - GA Exp'!BE627</f>
        <v>0</v>
      </c>
    </row>
    <row r="628" spans="1:59">
      <c r="A628" s="8" t="s">
        <v>872</v>
      </c>
      <c r="B628" s="8"/>
      <c r="C628" s="8" t="s">
        <v>113</v>
      </c>
      <c r="D628" s="8"/>
      <c r="E628" s="23">
        <v>45153</v>
      </c>
      <c r="G628" s="42">
        <v>20469322</v>
      </c>
      <c r="I628" s="42">
        <v>6293428</v>
      </c>
      <c r="K628" s="42">
        <v>473007</v>
      </c>
      <c r="M628" s="42">
        <v>0</v>
      </c>
      <c r="O628" s="42">
        <v>798146</v>
      </c>
      <c r="Q628" s="42">
        <v>2670524</v>
      </c>
      <c r="S628" s="42">
        <v>2829681</v>
      </c>
      <c r="U628" s="42">
        <v>28679</v>
      </c>
      <c r="W628" s="42">
        <v>3544180</v>
      </c>
      <c r="Y628" s="42">
        <v>493191</v>
      </c>
      <c r="AA628" s="42">
        <v>570310</v>
      </c>
      <c r="AC628" s="42">
        <v>2676323</v>
      </c>
      <c r="AE628" s="42">
        <v>2376437</v>
      </c>
      <c r="AG628" s="42">
        <v>175603</v>
      </c>
      <c r="AI628" s="8" t="s">
        <v>872</v>
      </c>
      <c r="AJ628" s="8"/>
      <c r="AK628" s="8" t="s">
        <v>113</v>
      </c>
      <c r="AL628" s="9"/>
      <c r="AM628" s="42">
        <v>1568121</v>
      </c>
      <c r="AO628" s="42">
        <v>449788</v>
      </c>
      <c r="AQ628" s="42">
        <v>652959</v>
      </c>
      <c r="AS628" s="42">
        <v>3081811</v>
      </c>
      <c r="AW628" s="42">
        <v>0</v>
      </c>
      <c r="AY628" s="42">
        <f t="shared" ref="AY628" si="65">SUM(G628:AX628)</f>
        <v>49151510</v>
      </c>
      <c r="BA628" s="42">
        <f>+'St of Act - GA Rev'!AI628-'St of Activities - GA Exp'!AY628</f>
        <v>7651680</v>
      </c>
      <c r="BC628" s="42">
        <v>37667837</v>
      </c>
      <c r="BE628" s="42">
        <f t="shared" ref="BE628" si="66">+BA628+BC628</f>
        <v>45319517</v>
      </c>
      <c r="BG628" s="42">
        <f>+'St of Net Pos - GA'!AE628-'St of Activities - GA Exp'!BE628</f>
        <v>0</v>
      </c>
    </row>
    <row r="629" spans="1:59">
      <c r="A629" s="9" t="s">
        <v>777</v>
      </c>
      <c r="B629" s="9"/>
      <c r="C629" s="9" t="s">
        <v>113</v>
      </c>
      <c r="D629" s="9"/>
      <c r="E629" s="23">
        <v>45674</v>
      </c>
      <c r="G629" s="42">
        <v>3582186</v>
      </c>
      <c r="I629" s="42">
        <v>1159718</v>
      </c>
      <c r="K629" s="42">
        <v>0</v>
      </c>
      <c r="M629" s="42">
        <v>0</v>
      </c>
      <c r="O629" s="42">
        <v>284229</v>
      </c>
      <c r="Q629" s="42">
        <v>496303</v>
      </c>
      <c r="S629" s="42">
        <v>200776</v>
      </c>
      <c r="U629" s="42">
        <v>37963</v>
      </c>
      <c r="W629" s="42">
        <v>783237</v>
      </c>
      <c r="Y629" s="42">
        <v>327804</v>
      </c>
      <c r="AA629" s="42">
        <v>75624</v>
      </c>
      <c r="AC629" s="42">
        <v>592071</v>
      </c>
      <c r="AE629" s="42">
        <v>215248</v>
      </c>
      <c r="AG629" s="42">
        <v>41262</v>
      </c>
      <c r="AI629" s="9" t="s">
        <v>777</v>
      </c>
      <c r="AJ629" s="9"/>
      <c r="AK629" s="9" t="s">
        <v>113</v>
      </c>
      <c r="AL629" s="9"/>
      <c r="AM629" s="42">
        <v>0</v>
      </c>
      <c r="AO629" s="42">
        <v>260177</v>
      </c>
      <c r="AQ629" s="42">
        <v>248131</v>
      </c>
      <c r="AS629" s="42">
        <v>158250</v>
      </c>
      <c r="AW629" s="42">
        <v>0</v>
      </c>
      <c r="AY629" s="42">
        <f t="shared" si="63"/>
        <v>8462979</v>
      </c>
      <c r="BA629" s="42">
        <f>+'St of Act - GA Rev'!AI629-'St of Activities - GA Exp'!AY629</f>
        <v>-101573</v>
      </c>
      <c r="BC629" s="42">
        <v>3850894</v>
      </c>
      <c r="BE629" s="42">
        <f t="shared" si="64"/>
        <v>3749321</v>
      </c>
      <c r="BG629" s="42">
        <f>+'St of Net Pos - GA'!AE629-'St of Activities - GA Exp'!BE629</f>
        <v>0</v>
      </c>
    </row>
    <row r="630" spans="1:59">
      <c r="A630" s="9" t="s">
        <v>406</v>
      </c>
      <c r="B630" s="9"/>
      <c r="C630" s="9" t="s">
        <v>45</v>
      </c>
      <c r="D630" s="9"/>
      <c r="E630" s="23">
        <v>45161</v>
      </c>
      <c r="G630" s="42">
        <v>61000666</v>
      </c>
      <c r="I630" s="42">
        <v>13982750</v>
      </c>
      <c r="K630" s="42">
        <v>2582027</v>
      </c>
      <c r="M630" s="42">
        <v>905807</v>
      </c>
      <c r="O630" s="42">
        <v>478832</v>
      </c>
      <c r="Q630" s="42">
        <v>6015558</v>
      </c>
      <c r="S630" s="42">
        <v>9275666</v>
      </c>
      <c r="U630" s="42">
        <v>251888</v>
      </c>
      <c r="W630" s="42">
        <v>6414445</v>
      </c>
      <c r="Y630" s="42">
        <v>1219484</v>
      </c>
      <c r="AA630" s="42">
        <v>766927</v>
      </c>
      <c r="AC630" s="42">
        <v>10455832</v>
      </c>
      <c r="AE630" s="42">
        <v>6399072</v>
      </c>
      <c r="AG630" s="42">
        <v>1065803</v>
      </c>
      <c r="AI630" s="9" t="s">
        <v>406</v>
      </c>
      <c r="AJ630" s="9"/>
      <c r="AK630" s="9" t="s">
        <v>45</v>
      </c>
      <c r="AL630" s="9"/>
      <c r="AM630" s="42">
        <v>3500149</v>
      </c>
      <c r="AO630" s="42">
        <v>2611446</v>
      </c>
      <c r="AQ630" s="42">
        <v>967876</v>
      </c>
      <c r="AS630" s="42">
        <v>2079721</v>
      </c>
      <c r="AW630" s="42">
        <v>0</v>
      </c>
      <c r="AY630" s="42">
        <f t="shared" si="63"/>
        <v>129973949</v>
      </c>
      <c r="BA630" s="42">
        <f>+'St of Act - GA Rev'!AI630-'St of Activities - GA Exp'!AY630</f>
        <v>-499668</v>
      </c>
      <c r="BC630" s="42">
        <v>132105123</v>
      </c>
      <c r="BE630" s="42">
        <f t="shared" si="64"/>
        <v>131605455</v>
      </c>
      <c r="BG630" s="42">
        <f>+'St of Net Pos - GA'!AE630-'St of Activities - GA Exp'!BE630</f>
        <v>0</v>
      </c>
    </row>
    <row r="631" spans="1:59">
      <c r="A631" s="9" t="s">
        <v>474</v>
      </c>
      <c r="B631" s="9"/>
      <c r="C631" s="9" t="s">
        <v>58</v>
      </c>
      <c r="D631" s="9"/>
      <c r="E631" s="23">
        <v>49544</v>
      </c>
      <c r="G631" s="42">
        <v>6785176</v>
      </c>
      <c r="I631" s="42">
        <v>1382883</v>
      </c>
      <c r="K631" s="42">
        <v>8437</v>
      </c>
      <c r="M631" s="42">
        <v>13152</v>
      </c>
      <c r="O631" s="42">
        <f>70917+62754</f>
        <v>133671</v>
      </c>
      <c r="Q631" s="42">
        <v>743041</v>
      </c>
      <c r="S631" s="42">
        <v>512395</v>
      </c>
      <c r="U631" s="42">
        <v>236354</v>
      </c>
      <c r="W631" s="42">
        <v>792617</v>
      </c>
      <c r="Y631" s="42">
        <v>385715</v>
      </c>
      <c r="AA631" s="42">
        <v>0</v>
      </c>
      <c r="AC631" s="42">
        <v>1273167</v>
      </c>
      <c r="AE631" s="42">
        <v>932120</v>
      </c>
      <c r="AG631" s="42">
        <v>208767</v>
      </c>
      <c r="AI631" s="9" t="s">
        <v>474</v>
      </c>
      <c r="AJ631" s="9"/>
      <c r="AK631" s="9" t="s">
        <v>58</v>
      </c>
      <c r="AL631" s="9"/>
      <c r="AM631" s="42">
        <v>0</v>
      </c>
      <c r="AO631" s="42">
        <v>550336</v>
      </c>
      <c r="AQ631" s="42">
        <v>404786</v>
      </c>
      <c r="AS631" s="42">
        <v>193252</v>
      </c>
      <c r="AW631" s="42">
        <v>0</v>
      </c>
      <c r="AY631" s="42">
        <f t="shared" si="63"/>
        <v>14555869</v>
      </c>
      <c r="BA631" s="42">
        <f>+'St of Act - GA Rev'!AI631-'St of Activities - GA Exp'!AY631</f>
        <v>-1022639</v>
      </c>
      <c r="BC631" s="42">
        <v>12932728</v>
      </c>
      <c r="BE631" s="42">
        <f t="shared" si="64"/>
        <v>11910089</v>
      </c>
      <c r="BG631" s="42">
        <f>+'St of Net Pos - GA'!AE631-'St of Activities - GA Exp'!BE631</f>
        <v>0</v>
      </c>
    </row>
    <row r="632" spans="1:59">
      <c r="A632" s="9" t="s">
        <v>445</v>
      </c>
      <c r="B632" s="9"/>
      <c r="C632" s="9" t="s">
        <v>51</v>
      </c>
      <c r="D632" s="9"/>
      <c r="E632" s="23">
        <v>45179</v>
      </c>
      <c r="G632" s="42">
        <v>19725508</v>
      </c>
      <c r="I632" s="42">
        <v>7990895</v>
      </c>
      <c r="K632" s="42">
        <v>454358</v>
      </c>
      <c r="M632" s="42">
        <v>0</v>
      </c>
      <c r="O632" s="42">
        <v>142599</v>
      </c>
      <c r="Q632" s="42">
        <v>2439807</v>
      </c>
      <c r="S632" s="42">
        <v>3520571</v>
      </c>
      <c r="U632" s="42">
        <v>73605</v>
      </c>
      <c r="W632" s="42">
        <v>2220828</v>
      </c>
      <c r="Y632" s="42">
        <v>649307</v>
      </c>
      <c r="AA632" s="42">
        <v>0</v>
      </c>
      <c r="AC632" s="42">
        <v>3926368</v>
      </c>
      <c r="AE632" s="42">
        <v>1466313</v>
      </c>
      <c r="AG632" s="42">
        <v>335716</v>
      </c>
      <c r="AI632" s="9" t="s">
        <v>445</v>
      </c>
      <c r="AJ632" s="9"/>
      <c r="AK632" s="9" t="s">
        <v>51</v>
      </c>
      <c r="AL632" s="9"/>
      <c r="AM632" s="42">
        <v>2145255</v>
      </c>
      <c r="AO632" s="42">
        <f>63673+836143</f>
        <v>899816</v>
      </c>
      <c r="AQ632" s="42">
        <v>714645</v>
      </c>
      <c r="AS632" s="42">
        <v>2044567</v>
      </c>
      <c r="AW632" s="42">
        <v>0</v>
      </c>
      <c r="AY632" s="42">
        <f t="shared" si="63"/>
        <v>48750158</v>
      </c>
      <c r="BA632" s="42">
        <f>+'St of Act - GA Rev'!AI632-'St of Activities - GA Exp'!AY632</f>
        <v>-4973563</v>
      </c>
      <c r="BC632" s="42">
        <v>68910870</v>
      </c>
      <c r="BE632" s="42">
        <f t="shared" si="64"/>
        <v>63937307</v>
      </c>
      <c r="BG632" s="42">
        <f>+'St of Net Pos - GA'!AE632-'St of Activities - GA Exp'!BE632</f>
        <v>0</v>
      </c>
    </row>
    <row r="633" spans="1:59">
      <c r="A633" s="9"/>
      <c r="B633" s="9"/>
      <c r="C633" s="9"/>
      <c r="D633" s="9"/>
    </row>
    <row r="640" spans="1:59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</row>
  </sheetData>
  <mergeCells count="3">
    <mergeCell ref="A1:L1"/>
    <mergeCell ref="A640:Q640"/>
    <mergeCell ref="AI1:AT1"/>
  </mergeCells>
  <phoneticPr fontId="3" type="noConversion"/>
  <pageMargins left="0.75" right="0.5" top="0.5" bottom="0.5" header="0.25" footer="0.25"/>
  <pageSetup scale="76" firstPageNumber="44" fitToWidth="4" fitToHeight="18" pageOrder="overThenDown" orientation="portrait" useFirstPageNumber="1" r:id="rId1"/>
  <headerFooter scaleWithDoc="0" alignWithMargins="0"/>
  <rowBreaks count="2" manualBreakCount="2">
    <brk id="100" max="56" man="1"/>
    <brk id="191" max="5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33"/>
  <sheetViews>
    <sheetView zoomScaleNormal="100" zoomScaleSheetLayoutView="100" workbookViewId="0">
      <pane xSplit="4" ySplit="11" topLeftCell="F12" activePane="bottomRight" state="frozen"/>
      <selection activeCell="K503" sqref="K503"/>
      <selection pane="topRight" activeCell="K503" sqref="K503"/>
      <selection pane="bottomLeft" activeCell="K503" sqref="K503"/>
      <selection pane="bottomRight" activeCell="B14" sqref="B14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1.7109375" style="42" customWidth="1"/>
    <col min="8" max="8" width="1.7109375" style="42" customWidth="1"/>
    <col min="9" max="9" width="11.7109375" style="42" customWidth="1"/>
    <col min="10" max="10" width="1.7109375" style="42" customWidth="1"/>
    <col min="11" max="11" width="11.7109375" style="42" customWidth="1"/>
    <col min="12" max="12" width="1.7109375" style="42" customWidth="1"/>
    <col min="13" max="13" width="11.7109375" style="42" customWidth="1"/>
    <col min="14" max="14" width="1.7109375" style="42" customWidth="1"/>
    <col min="15" max="15" width="10.140625" style="42" customWidth="1"/>
    <col min="16" max="16" width="1.7109375" style="42" customWidth="1"/>
    <col min="17" max="17" width="10.140625" style="42" hidden="1" customWidth="1"/>
    <col min="18" max="18" width="1.7109375" style="42" hidden="1" customWidth="1"/>
    <col min="19" max="19" width="10.140625" style="42" hidden="1" customWidth="1"/>
    <col min="20" max="20" width="1.7109375" style="42" hidden="1" customWidth="1"/>
    <col min="21" max="21" width="11.7109375" style="42" customWidth="1"/>
    <col min="22" max="22" width="1.7109375" style="42" customWidth="1"/>
    <col min="23" max="23" width="11.7109375" style="42" customWidth="1"/>
    <col min="24" max="24" width="1.7109375" style="42" customWidth="1"/>
    <col min="25" max="25" width="11.7109375" style="42" customWidth="1"/>
    <col min="26" max="26" width="1.7109375" style="42" customWidth="1"/>
    <col min="27" max="27" width="11.7109375" style="42" customWidth="1"/>
    <col min="28" max="28" width="1.7109375" style="42" customWidth="1"/>
    <col min="29" max="29" width="11.7109375" style="42" customWidth="1"/>
    <col min="30" max="30" width="1.7109375" style="42" customWidth="1"/>
    <col min="31" max="31" width="11.7109375" style="42" customWidth="1"/>
    <col min="32" max="32" width="1.7109375" style="42" customWidth="1"/>
    <col min="33" max="33" width="11.7109375" style="42" customWidth="1"/>
    <col min="34" max="34" width="1.7109375" style="42" customWidth="1"/>
    <col min="35" max="35" width="11.7109375" style="42" customWidth="1"/>
    <col min="36" max="36" width="1.7109375" style="42" customWidth="1"/>
    <col min="37" max="37" width="11.7109375" style="42" customWidth="1"/>
    <col min="38" max="38" width="2.28515625" style="42" customWidth="1"/>
    <col min="39" max="16384" width="9.140625" style="42"/>
  </cols>
  <sheetData>
    <row r="1" spans="1:38">
      <c r="A1" s="20" t="s">
        <v>116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8">
      <c r="A2" s="20" t="s">
        <v>886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</row>
    <row r="3" spans="1:38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8">
      <c r="A4" s="11" t="s">
        <v>167</v>
      </c>
      <c r="B4" s="11"/>
      <c r="C4" s="11"/>
      <c r="D4" s="11"/>
      <c r="E4" s="11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J4" s="7"/>
    </row>
    <row r="5" spans="1:38">
      <c r="A5" s="11"/>
      <c r="B5" s="11"/>
      <c r="C5" s="11"/>
      <c r="D5" s="11"/>
      <c r="E5" s="11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J5" s="7"/>
    </row>
    <row r="6" spans="1:38">
      <c r="A6" s="38" t="s">
        <v>721</v>
      </c>
      <c r="B6" s="11"/>
      <c r="C6" s="11"/>
      <c r="D6" s="11"/>
      <c r="E6" s="11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J6" s="7"/>
    </row>
    <row r="7" spans="1:38">
      <c r="A7" s="11"/>
      <c r="S7" s="47" t="s">
        <v>92</v>
      </c>
    </row>
    <row r="8" spans="1:38" s="11" customFormat="1">
      <c r="A8" s="38"/>
      <c r="B8" s="7"/>
      <c r="C8" s="7"/>
      <c r="D8" s="7"/>
      <c r="E8" s="7"/>
      <c r="F8" s="49"/>
      <c r="G8" s="74" t="s">
        <v>87</v>
      </c>
      <c r="H8" s="74"/>
      <c r="I8" s="74"/>
      <c r="J8" s="74"/>
      <c r="K8" s="74"/>
      <c r="L8" s="49"/>
      <c r="M8" s="49"/>
      <c r="N8" s="49"/>
      <c r="O8" s="49"/>
      <c r="P8" s="49"/>
      <c r="Q8" s="48" t="s">
        <v>92</v>
      </c>
      <c r="R8" s="7"/>
      <c r="S8" s="48" t="s">
        <v>593</v>
      </c>
      <c r="T8" s="49"/>
      <c r="U8" s="48" t="s">
        <v>92</v>
      </c>
      <c r="V8" s="49"/>
      <c r="W8" s="49"/>
      <c r="X8" s="49"/>
      <c r="Y8" s="74" t="s">
        <v>837</v>
      </c>
      <c r="Z8" s="74"/>
      <c r="AA8" s="74"/>
      <c r="AB8" s="74"/>
      <c r="AC8" s="74"/>
      <c r="AD8" s="74"/>
      <c r="AE8" s="74"/>
      <c r="AF8" s="74"/>
      <c r="AG8" s="74"/>
    </row>
    <row r="9" spans="1:38">
      <c r="A9" s="11"/>
      <c r="B9" s="11"/>
      <c r="C9" s="11"/>
      <c r="D9" s="11"/>
      <c r="E9" s="11"/>
      <c r="F9" s="50"/>
      <c r="G9" s="50"/>
      <c r="H9" s="50"/>
      <c r="I9" s="50"/>
      <c r="J9" s="50"/>
      <c r="K9" s="50"/>
      <c r="L9" s="50"/>
      <c r="M9" s="50"/>
      <c r="N9" s="50"/>
      <c r="O9" s="50" t="s">
        <v>89</v>
      </c>
      <c r="P9" s="50"/>
      <c r="Q9" s="50"/>
      <c r="R9" s="50"/>
      <c r="S9" s="50"/>
      <c r="T9" s="50"/>
      <c r="U9" s="50"/>
      <c r="V9" s="50"/>
      <c r="W9" s="50" t="s">
        <v>89</v>
      </c>
      <c r="X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7"/>
      <c r="AK9" s="47" t="s">
        <v>131</v>
      </c>
      <c r="AL9" s="47"/>
    </row>
    <row r="10" spans="1:38">
      <c r="A10" s="50"/>
      <c r="B10" s="50"/>
      <c r="C10" s="50"/>
      <c r="D10" s="50"/>
      <c r="E10" s="50"/>
      <c r="F10" s="50"/>
      <c r="G10" s="50" t="s">
        <v>88</v>
      </c>
      <c r="H10" s="50"/>
      <c r="I10" s="50" t="s">
        <v>101</v>
      </c>
      <c r="J10" s="50"/>
      <c r="K10" s="50" t="s">
        <v>82</v>
      </c>
      <c r="L10" s="50"/>
      <c r="M10" s="50" t="s">
        <v>3</v>
      </c>
      <c r="N10" s="50"/>
      <c r="O10" s="50" t="s">
        <v>887</v>
      </c>
      <c r="P10" s="50"/>
      <c r="Q10" s="50"/>
      <c r="R10" s="50"/>
      <c r="S10" s="50" t="s">
        <v>89</v>
      </c>
      <c r="T10" s="50"/>
      <c r="U10" s="50" t="s">
        <v>3</v>
      </c>
      <c r="V10" s="50"/>
      <c r="W10" s="50" t="s">
        <v>889</v>
      </c>
      <c r="X10" s="50"/>
      <c r="Y10" s="50" t="s">
        <v>725</v>
      </c>
      <c r="Z10" s="50"/>
      <c r="AA10" s="50" t="s">
        <v>101</v>
      </c>
      <c r="AB10" s="50"/>
      <c r="AC10" s="50" t="s">
        <v>726</v>
      </c>
      <c r="AD10" s="50"/>
      <c r="AE10" s="50" t="s">
        <v>727</v>
      </c>
      <c r="AF10" s="50"/>
      <c r="AG10" s="50" t="s">
        <v>728</v>
      </c>
      <c r="AH10" s="50"/>
      <c r="AI10" s="50" t="s">
        <v>3</v>
      </c>
      <c r="AJ10" s="7"/>
      <c r="AK10" s="47" t="s">
        <v>132</v>
      </c>
      <c r="AL10" s="47"/>
    </row>
    <row r="11" spans="1:38" s="7" customFormat="1">
      <c r="A11" s="48" t="s">
        <v>198</v>
      </c>
      <c r="B11" s="47"/>
      <c r="C11" s="48" t="s">
        <v>4</v>
      </c>
      <c r="D11" s="47"/>
      <c r="E11" s="48" t="s">
        <v>197</v>
      </c>
      <c r="F11" s="50"/>
      <c r="G11" s="48" t="s">
        <v>91</v>
      </c>
      <c r="H11" s="50"/>
      <c r="I11" s="48" t="s">
        <v>87</v>
      </c>
      <c r="J11" s="50"/>
      <c r="K11" s="48" t="s">
        <v>87</v>
      </c>
      <c r="L11" s="50"/>
      <c r="M11" s="48" t="s">
        <v>87</v>
      </c>
      <c r="N11" s="50"/>
      <c r="O11" s="48" t="s">
        <v>888</v>
      </c>
      <c r="P11" s="50"/>
      <c r="Q11" s="48" t="s">
        <v>92</v>
      </c>
      <c r="R11" s="50"/>
      <c r="S11" s="48" t="s">
        <v>8</v>
      </c>
      <c r="T11" s="50"/>
      <c r="U11" s="48" t="s">
        <v>92</v>
      </c>
      <c r="V11" s="50"/>
      <c r="W11" s="48" t="s">
        <v>888</v>
      </c>
      <c r="X11" s="50"/>
      <c r="Y11" s="48" t="s">
        <v>93</v>
      </c>
      <c r="Z11" s="50"/>
      <c r="AA11" s="48" t="s">
        <v>93</v>
      </c>
      <c r="AB11" s="50"/>
      <c r="AC11" s="48" t="s">
        <v>93</v>
      </c>
      <c r="AD11" s="50"/>
      <c r="AE11" s="48" t="s">
        <v>93</v>
      </c>
      <c r="AF11" s="50"/>
      <c r="AG11" s="48" t="s">
        <v>93</v>
      </c>
      <c r="AH11" s="50"/>
      <c r="AI11" s="48" t="s">
        <v>93</v>
      </c>
      <c r="AK11" s="48" t="s">
        <v>133</v>
      </c>
      <c r="AL11" s="50"/>
    </row>
    <row r="12" spans="1:38">
      <c r="A12" s="9"/>
      <c r="B12" s="9"/>
      <c r="C12" s="9"/>
      <c r="D12" s="9"/>
      <c r="E12" s="9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7"/>
    </row>
    <row r="13" spans="1:38" hidden="1">
      <c r="A13" s="9" t="s">
        <v>851</v>
      </c>
      <c r="B13" s="9"/>
      <c r="C13" s="9" t="s">
        <v>337</v>
      </c>
      <c r="D13" s="9"/>
      <c r="E13" s="23">
        <v>45187</v>
      </c>
      <c r="G13" s="42">
        <v>0</v>
      </c>
      <c r="I13" s="42">
        <v>0</v>
      </c>
      <c r="K13" s="2">
        <f t="shared" ref="K13" si="0">+M13-I13-G13</f>
        <v>0</v>
      </c>
      <c r="M13" s="42">
        <v>0</v>
      </c>
      <c r="O13" s="42">
        <v>0</v>
      </c>
      <c r="Q13" s="2">
        <f t="shared" ref="Q13" si="1">+U13-S13</f>
        <v>0</v>
      </c>
      <c r="S13" s="42">
        <v>0</v>
      </c>
      <c r="U13" s="42">
        <v>0</v>
      </c>
      <c r="W13" s="42">
        <v>0</v>
      </c>
      <c r="Y13" s="42">
        <v>0</v>
      </c>
      <c r="AA13" s="42">
        <v>0</v>
      </c>
      <c r="AC13" s="42">
        <v>0</v>
      </c>
      <c r="AE13" s="42">
        <v>0</v>
      </c>
      <c r="AG13" s="42">
        <v>0</v>
      </c>
      <c r="AI13" s="10">
        <f t="shared" ref="AI13" si="2">+AC13+AA13++Y13+AE13+AG13</f>
        <v>0</v>
      </c>
      <c r="AK13" s="42">
        <f>+G13+I13+K13+O13-U13-W13-AC13-AA13-Y13-AE13-AG13</f>
        <v>0</v>
      </c>
    </row>
    <row r="14" spans="1:38" s="24" customFormat="1">
      <c r="A14" s="51" t="s">
        <v>782</v>
      </c>
      <c r="B14" s="51"/>
      <c r="C14" s="51" t="s">
        <v>199</v>
      </c>
      <c r="D14" s="51"/>
      <c r="E14" s="51">
        <v>61903</v>
      </c>
      <c r="F14" s="52"/>
      <c r="G14" s="24">
        <v>10042857</v>
      </c>
      <c r="I14" s="24">
        <v>7336</v>
      </c>
      <c r="K14" s="60">
        <f>+M14-I14-G14</f>
        <v>7972685</v>
      </c>
      <c r="M14" s="24">
        <v>18022878</v>
      </c>
      <c r="O14" s="24">
        <v>0</v>
      </c>
      <c r="Q14" s="60">
        <f>+U14-S14</f>
        <v>9990023</v>
      </c>
      <c r="S14" s="24">
        <v>0</v>
      </c>
      <c r="U14" s="24">
        <v>9990023</v>
      </c>
      <c r="W14" s="24">
        <v>0</v>
      </c>
      <c r="Y14" s="24">
        <v>7336</v>
      </c>
      <c r="AA14" s="24">
        <v>0</v>
      </c>
      <c r="AC14" s="24">
        <v>131918</v>
      </c>
      <c r="AE14" s="24">
        <v>323827</v>
      </c>
      <c r="AG14" s="24">
        <v>7569774</v>
      </c>
      <c r="AI14" s="61">
        <f>+AC14+AA14++Y14+AE14+AG14</f>
        <v>8032855</v>
      </c>
      <c r="AK14" s="24">
        <f>+G14+I14+K14+O14-U14-W14-AC14-AA14-Y14-AE14-AG14</f>
        <v>0</v>
      </c>
    </row>
    <row r="15" spans="1:38">
      <c r="A15" s="9" t="s">
        <v>582</v>
      </c>
      <c r="B15" s="9"/>
      <c r="C15" s="9" t="s">
        <v>58</v>
      </c>
      <c r="D15" s="9"/>
      <c r="E15" s="23">
        <v>49494</v>
      </c>
      <c r="G15" s="42">
        <v>4423757</v>
      </c>
      <c r="I15" s="42">
        <v>48205</v>
      </c>
      <c r="K15" s="2">
        <f t="shared" ref="K15:K85" si="3">+M15-I15-G15</f>
        <v>2246468</v>
      </c>
      <c r="M15" s="42">
        <v>6718430</v>
      </c>
      <c r="O15" s="42">
        <v>0</v>
      </c>
      <c r="Q15" s="2">
        <f t="shared" ref="Q15:Q83" si="4">+U15-S15</f>
        <v>1061561</v>
      </c>
      <c r="S15" s="42">
        <v>0</v>
      </c>
      <c r="U15" s="42">
        <v>1061561</v>
      </c>
      <c r="W15" s="42">
        <v>1889767</v>
      </c>
      <c r="Y15" s="42">
        <v>0</v>
      </c>
      <c r="AA15" s="42">
        <v>48205</v>
      </c>
      <c r="AC15" s="42">
        <v>103919</v>
      </c>
      <c r="AE15" s="42">
        <v>168225</v>
      </c>
      <c r="AG15" s="42">
        <v>3446753</v>
      </c>
      <c r="AI15" s="10">
        <f t="shared" ref="AI15:AI83" si="5">+AC15+AA15++Y15+AE15+AG15</f>
        <v>3767102</v>
      </c>
      <c r="AK15" s="42">
        <f t="shared" ref="AK15:AK78" si="6">+G15+I15+K15+O15-U15-W15-AC15-AA15-Y15-AE15-AG15</f>
        <v>0</v>
      </c>
    </row>
    <row r="16" spans="1:38">
      <c r="A16" s="9" t="s">
        <v>502</v>
      </c>
      <c r="B16" s="9"/>
      <c r="C16" s="9" t="s">
        <v>63</v>
      </c>
      <c r="D16" s="9"/>
      <c r="E16" s="23">
        <v>43489</v>
      </c>
      <c r="G16" s="42">
        <f>12534258+10013</f>
        <v>12544271</v>
      </c>
      <c r="I16" s="42">
        <v>0</v>
      </c>
      <c r="K16" s="2">
        <f t="shared" si="3"/>
        <v>140094376</v>
      </c>
      <c r="M16" s="42">
        <v>152638647</v>
      </c>
      <c r="O16" s="42">
        <v>0</v>
      </c>
      <c r="Q16" s="2">
        <f t="shared" si="4"/>
        <v>23514850</v>
      </c>
      <c r="S16" s="42">
        <v>0</v>
      </c>
      <c r="U16" s="42">
        <v>23514850</v>
      </c>
      <c r="W16" s="42">
        <v>130959143</v>
      </c>
      <c r="Y16" s="42">
        <v>143627</v>
      </c>
      <c r="AA16" s="42">
        <v>0</v>
      </c>
      <c r="AC16" s="42">
        <v>21036</v>
      </c>
      <c r="AE16" s="42">
        <v>1639217</v>
      </c>
      <c r="AG16" s="42">
        <v>-3639226</v>
      </c>
      <c r="AI16" s="10">
        <f t="shared" si="5"/>
        <v>-1835346</v>
      </c>
      <c r="AK16" s="42">
        <f t="shared" si="6"/>
        <v>0</v>
      </c>
    </row>
    <row r="17" spans="1:37" hidden="1">
      <c r="A17" s="9" t="s">
        <v>612</v>
      </c>
      <c r="B17" s="9"/>
      <c r="C17" s="9" t="s">
        <v>13</v>
      </c>
      <c r="D17" s="9"/>
      <c r="E17" s="23">
        <v>45906</v>
      </c>
      <c r="G17" s="42">
        <v>0</v>
      </c>
      <c r="I17" s="42">
        <v>0</v>
      </c>
      <c r="K17" s="2">
        <f t="shared" si="3"/>
        <v>0</v>
      </c>
      <c r="M17" s="42">
        <v>0</v>
      </c>
      <c r="O17" s="42">
        <v>0</v>
      </c>
      <c r="Q17" s="2">
        <f t="shared" si="4"/>
        <v>0</v>
      </c>
      <c r="S17" s="42">
        <v>0</v>
      </c>
      <c r="U17" s="42">
        <v>0</v>
      </c>
      <c r="W17" s="42">
        <v>0</v>
      </c>
      <c r="Y17" s="42">
        <v>0</v>
      </c>
      <c r="AA17" s="42">
        <v>0</v>
      </c>
      <c r="AC17" s="42">
        <v>0</v>
      </c>
      <c r="AE17" s="42">
        <v>0</v>
      </c>
      <c r="AG17" s="42">
        <v>0</v>
      </c>
      <c r="AI17" s="10">
        <f t="shared" si="5"/>
        <v>0</v>
      </c>
      <c r="AK17" s="42">
        <f t="shared" si="6"/>
        <v>0</v>
      </c>
    </row>
    <row r="18" spans="1:37" hidden="1">
      <c r="A18" s="9" t="s">
        <v>852</v>
      </c>
      <c r="B18" s="9"/>
      <c r="C18" s="9" t="s">
        <v>10</v>
      </c>
      <c r="D18" s="9"/>
      <c r="E18" s="23">
        <v>45757</v>
      </c>
      <c r="F18" s="50"/>
      <c r="G18" s="42">
        <v>0</v>
      </c>
      <c r="I18" s="42">
        <v>0</v>
      </c>
      <c r="K18" s="2">
        <f t="shared" ref="K18" si="7">+M18-I18-G18</f>
        <v>0</v>
      </c>
      <c r="M18" s="42">
        <v>0</v>
      </c>
      <c r="O18" s="42">
        <v>0</v>
      </c>
      <c r="Q18" s="2">
        <f t="shared" ref="Q18" si="8">+U18-S18</f>
        <v>0</v>
      </c>
      <c r="S18" s="42">
        <v>0</v>
      </c>
      <c r="U18" s="42">
        <v>0</v>
      </c>
      <c r="W18" s="42">
        <v>0</v>
      </c>
      <c r="Y18" s="42">
        <v>0</v>
      </c>
      <c r="AA18" s="42">
        <v>0</v>
      </c>
      <c r="AC18" s="42">
        <v>0</v>
      </c>
      <c r="AE18" s="42">
        <v>0</v>
      </c>
      <c r="AG18" s="42">
        <v>0</v>
      </c>
      <c r="AI18" s="10">
        <f t="shared" ref="AI18" si="9">+AC18+AA18++Y18+AE18+AG18</f>
        <v>0</v>
      </c>
      <c r="AK18" s="42">
        <f t="shared" si="6"/>
        <v>0</v>
      </c>
    </row>
    <row r="19" spans="1:37">
      <c r="A19" s="9" t="s">
        <v>489</v>
      </c>
      <c r="B19" s="9"/>
      <c r="C19" s="9" t="s">
        <v>62</v>
      </c>
      <c r="D19" s="9"/>
      <c r="E19" s="23">
        <v>43497</v>
      </c>
      <c r="G19" s="42">
        <f>5119968+458214</f>
        <v>5578182</v>
      </c>
      <c r="I19" s="42">
        <v>0</v>
      </c>
      <c r="K19" s="2">
        <f t="shared" si="3"/>
        <v>8348098</v>
      </c>
      <c r="M19" s="42">
        <v>13926280</v>
      </c>
      <c r="O19" s="42">
        <v>0</v>
      </c>
      <c r="Q19" s="2">
        <f t="shared" si="4"/>
        <v>4196233</v>
      </c>
      <c r="S19" s="42">
        <v>0</v>
      </c>
      <c r="U19" s="42">
        <f>12165233-7969000</f>
        <v>4196233</v>
      </c>
      <c r="W19" s="42">
        <v>7969000</v>
      </c>
      <c r="Y19" s="42">
        <v>63077</v>
      </c>
      <c r="AA19" s="42">
        <v>458214</v>
      </c>
      <c r="AC19" s="42">
        <v>744580</v>
      </c>
      <c r="AE19" s="42">
        <v>272579</v>
      </c>
      <c r="AG19" s="42">
        <v>222597</v>
      </c>
      <c r="AI19" s="10">
        <f t="shared" si="5"/>
        <v>1761047</v>
      </c>
      <c r="AK19" s="42">
        <f t="shared" si="6"/>
        <v>0</v>
      </c>
    </row>
    <row r="20" spans="1:37">
      <c r="A20" s="9" t="s">
        <v>290</v>
      </c>
      <c r="B20" s="9"/>
      <c r="C20" s="9" t="s">
        <v>25</v>
      </c>
      <c r="D20" s="9"/>
      <c r="E20" s="23">
        <v>46847</v>
      </c>
      <c r="G20" s="42">
        <v>5531794</v>
      </c>
      <c r="I20" s="42">
        <v>0</v>
      </c>
      <c r="K20" s="2">
        <f t="shared" si="3"/>
        <v>4004179</v>
      </c>
      <c r="M20" s="42">
        <v>9535973</v>
      </c>
      <c r="O20" s="42">
        <v>0</v>
      </c>
      <c r="Q20" s="2">
        <f t="shared" si="4"/>
        <v>1480007</v>
      </c>
      <c r="S20" s="42">
        <v>0</v>
      </c>
      <c r="U20" s="42">
        <v>1480007</v>
      </c>
      <c r="W20" s="42">
        <v>2999511</v>
      </c>
      <c r="Y20" s="42">
        <v>0</v>
      </c>
      <c r="AA20" s="42">
        <v>0</v>
      </c>
      <c r="AC20" s="42">
        <v>0</v>
      </c>
      <c r="AE20" s="42">
        <v>256981</v>
      </c>
      <c r="AG20" s="42">
        <v>4799474</v>
      </c>
      <c r="AI20" s="10">
        <f t="shared" si="5"/>
        <v>5056455</v>
      </c>
      <c r="AK20" s="42">
        <f t="shared" si="6"/>
        <v>0</v>
      </c>
    </row>
    <row r="21" spans="1:37">
      <c r="A21" s="9" t="s">
        <v>743</v>
      </c>
      <c r="B21" s="9"/>
      <c r="C21" s="9" t="s">
        <v>44</v>
      </c>
      <c r="D21" s="9"/>
      <c r="E21" s="23">
        <v>45195</v>
      </c>
      <c r="F21" s="50"/>
      <c r="G21" s="42">
        <f>3900043+2992016</f>
        <v>6892059</v>
      </c>
      <c r="I21" s="42">
        <v>507956</v>
      </c>
      <c r="K21" s="2">
        <f t="shared" si="3"/>
        <v>17819277</v>
      </c>
      <c r="M21" s="42">
        <v>25219292</v>
      </c>
      <c r="O21" s="42">
        <v>0</v>
      </c>
      <c r="Q21" s="2">
        <f t="shared" si="4"/>
        <v>4692818</v>
      </c>
      <c r="S21" s="42">
        <v>0</v>
      </c>
      <c r="U21" s="42">
        <v>4692818</v>
      </c>
      <c r="W21" s="42">
        <v>15797628</v>
      </c>
      <c r="Y21" s="42">
        <v>0</v>
      </c>
      <c r="AA21" s="42">
        <v>511042</v>
      </c>
      <c r="AC21" s="42">
        <v>0</v>
      </c>
      <c r="AE21" s="42">
        <v>2970218</v>
      </c>
      <c r="AG21" s="42">
        <v>1247586</v>
      </c>
      <c r="AI21" s="10">
        <f t="shared" si="5"/>
        <v>4728846</v>
      </c>
      <c r="AK21" s="42">
        <f t="shared" si="6"/>
        <v>0</v>
      </c>
    </row>
    <row r="22" spans="1:37">
      <c r="A22" s="9" t="s">
        <v>798</v>
      </c>
      <c r="B22" s="9"/>
      <c r="C22" s="9" t="s">
        <v>61</v>
      </c>
      <c r="D22" s="9"/>
      <c r="E22" s="23">
        <v>49759</v>
      </c>
      <c r="G22" s="42">
        <v>3450723</v>
      </c>
      <c r="I22" s="42">
        <v>70953</v>
      </c>
      <c r="K22" s="2">
        <f t="shared" si="3"/>
        <v>3634635</v>
      </c>
      <c r="M22" s="42">
        <v>7156311</v>
      </c>
      <c r="O22" s="42">
        <v>0</v>
      </c>
      <c r="Q22" s="2">
        <f t="shared" si="4"/>
        <v>1027708</v>
      </c>
      <c r="S22" s="42">
        <v>0</v>
      </c>
      <c r="U22" s="42">
        <f>3540946-2513238</f>
        <v>1027708</v>
      </c>
      <c r="W22" s="42">
        <v>2513238</v>
      </c>
      <c r="Y22" s="42">
        <v>0</v>
      </c>
      <c r="AA22" s="42">
        <v>70953</v>
      </c>
      <c r="AC22" s="42">
        <v>0</v>
      </c>
      <c r="AE22" s="42">
        <v>67919</v>
      </c>
      <c r="AG22" s="42">
        <v>3476493</v>
      </c>
      <c r="AI22" s="10">
        <f t="shared" si="5"/>
        <v>3615365</v>
      </c>
      <c r="AK22" s="42">
        <f t="shared" si="6"/>
        <v>0</v>
      </c>
    </row>
    <row r="23" spans="1:37" hidden="1">
      <c r="A23" s="9" t="s">
        <v>686</v>
      </c>
      <c r="B23" s="9"/>
      <c r="C23" s="9" t="s">
        <v>598</v>
      </c>
      <c r="D23" s="9"/>
      <c r="E23" s="23">
        <v>46623</v>
      </c>
      <c r="G23" s="42">
        <v>0</v>
      </c>
      <c r="I23" s="42">
        <v>0</v>
      </c>
      <c r="K23" s="2">
        <f t="shared" si="3"/>
        <v>0</v>
      </c>
      <c r="M23" s="42">
        <v>0</v>
      </c>
      <c r="O23" s="42">
        <v>0</v>
      </c>
      <c r="Q23" s="2">
        <f t="shared" si="4"/>
        <v>0</v>
      </c>
      <c r="S23" s="42">
        <v>0</v>
      </c>
      <c r="U23" s="42">
        <v>0</v>
      </c>
      <c r="W23" s="42">
        <v>0</v>
      </c>
      <c r="Y23" s="42">
        <v>0</v>
      </c>
      <c r="AA23" s="42">
        <v>0</v>
      </c>
      <c r="AC23" s="42">
        <v>0</v>
      </c>
      <c r="AE23" s="42">
        <v>0</v>
      </c>
      <c r="AG23" s="42">
        <v>0</v>
      </c>
      <c r="AI23" s="10">
        <f t="shared" si="5"/>
        <v>0</v>
      </c>
      <c r="AK23" s="42">
        <f t="shared" si="6"/>
        <v>0</v>
      </c>
    </row>
    <row r="24" spans="1:37">
      <c r="A24" s="9" t="s">
        <v>387</v>
      </c>
      <c r="B24" s="9"/>
      <c r="C24" s="9" t="s">
        <v>114</v>
      </c>
      <c r="D24" s="9"/>
      <c r="E24" s="23">
        <v>48207</v>
      </c>
      <c r="G24" s="42">
        <v>5831225</v>
      </c>
      <c r="I24" s="42">
        <v>0</v>
      </c>
      <c r="K24" s="2">
        <f t="shared" si="3"/>
        <v>21655893</v>
      </c>
      <c r="M24" s="42">
        <v>27487118</v>
      </c>
      <c r="O24" s="42">
        <v>0</v>
      </c>
      <c r="Q24" s="2">
        <f t="shared" si="4"/>
        <v>4933982</v>
      </c>
      <c r="S24" s="42">
        <v>0</v>
      </c>
      <c r="U24" s="42">
        <v>4933982</v>
      </c>
      <c r="W24" s="42">
        <v>20492304</v>
      </c>
      <c r="Y24" s="42">
        <v>61405</v>
      </c>
      <c r="AA24" s="42">
        <v>0</v>
      </c>
      <c r="AC24" s="42">
        <v>0</v>
      </c>
      <c r="AE24" s="42">
        <f>82735+326921+100+1497+1482736+105438</f>
        <v>1999427</v>
      </c>
      <c r="AG24" s="42">
        <v>0</v>
      </c>
      <c r="AI24" s="10">
        <f t="shared" si="5"/>
        <v>2060832</v>
      </c>
      <c r="AK24" s="42">
        <f t="shared" si="6"/>
        <v>0</v>
      </c>
    </row>
    <row r="25" spans="1:37" hidden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2">
        <f t="shared" ref="K25" si="10">+M25-I25-G25</f>
        <v>0</v>
      </c>
      <c r="M25" s="42">
        <v>0</v>
      </c>
      <c r="O25" s="42">
        <v>0</v>
      </c>
      <c r="Q25" s="2">
        <f t="shared" ref="Q25" si="11">+U25-S25</f>
        <v>0</v>
      </c>
      <c r="S25" s="42">
        <v>0</v>
      </c>
      <c r="U25" s="42">
        <v>0</v>
      </c>
      <c r="W25" s="42">
        <v>0</v>
      </c>
      <c r="Y25" s="42">
        <v>0</v>
      </c>
      <c r="AA25" s="42">
        <v>0</v>
      </c>
      <c r="AC25" s="42">
        <v>0</v>
      </c>
      <c r="AE25" s="42">
        <v>0</v>
      </c>
      <c r="AG25" s="42">
        <v>0</v>
      </c>
      <c r="AI25" s="10">
        <f t="shared" ref="AI25" si="12">+AC25+AA25++Y25+AE25+AG25</f>
        <v>0</v>
      </c>
      <c r="AK25" s="42">
        <f t="shared" si="6"/>
        <v>0</v>
      </c>
    </row>
    <row r="26" spans="1:37">
      <c r="A26" s="9" t="s">
        <v>332</v>
      </c>
      <c r="B26" s="9"/>
      <c r="C26" s="9" t="s">
        <v>33</v>
      </c>
      <c r="D26" s="9"/>
      <c r="E26" s="23">
        <v>47415</v>
      </c>
      <c r="G26" s="42">
        <v>4181596</v>
      </c>
      <c r="I26" s="42">
        <v>3565</v>
      </c>
      <c r="K26" s="2">
        <f t="shared" si="3"/>
        <v>2550326</v>
      </c>
      <c r="M26" s="42">
        <v>6735487</v>
      </c>
      <c r="O26" s="42">
        <v>0</v>
      </c>
      <c r="Q26" s="2">
        <f t="shared" si="4"/>
        <v>565405</v>
      </c>
      <c r="S26" s="42">
        <v>0</v>
      </c>
      <c r="U26" s="42">
        <v>565405</v>
      </c>
      <c r="W26" s="42">
        <v>1965958</v>
      </c>
      <c r="Y26" s="42">
        <v>12438</v>
      </c>
      <c r="AA26" s="42">
        <v>3565</v>
      </c>
      <c r="AC26" s="42">
        <v>0</v>
      </c>
      <c r="AE26" s="42">
        <v>1527690</v>
      </c>
      <c r="AG26" s="42">
        <v>2660431</v>
      </c>
      <c r="AI26" s="10">
        <f t="shared" si="5"/>
        <v>4204124</v>
      </c>
      <c r="AK26" s="42">
        <f t="shared" si="6"/>
        <v>0</v>
      </c>
    </row>
    <row r="27" spans="1:37" hidden="1">
      <c r="A27" s="9" t="s">
        <v>665</v>
      </c>
      <c r="B27" s="9"/>
      <c r="C27" s="9" t="s">
        <v>21</v>
      </c>
      <c r="D27" s="9"/>
      <c r="E27" s="23">
        <v>46631</v>
      </c>
      <c r="G27" s="42">
        <v>0</v>
      </c>
      <c r="I27" s="42">
        <v>0</v>
      </c>
      <c r="K27" s="2">
        <f t="shared" si="3"/>
        <v>0</v>
      </c>
      <c r="M27" s="42">
        <v>0</v>
      </c>
      <c r="O27" s="42">
        <v>0</v>
      </c>
      <c r="Q27" s="2">
        <f t="shared" si="4"/>
        <v>0</v>
      </c>
      <c r="S27" s="42">
        <v>0</v>
      </c>
      <c r="U27" s="42">
        <v>0</v>
      </c>
      <c r="W27" s="42">
        <v>0</v>
      </c>
      <c r="Y27" s="42">
        <v>0</v>
      </c>
      <c r="AA27" s="42">
        <v>0</v>
      </c>
      <c r="AC27" s="42">
        <v>0</v>
      </c>
      <c r="AE27" s="42">
        <v>0</v>
      </c>
      <c r="AG27" s="42">
        <v>0</v>
      </c>
      <c r="AI27" s="10">
        <f t="shared" si="5"/>
        <v>0</v>
      </c>
      <c r="AK27" s="42">
        <f t="shared" si="6"/>
        <v>0</v>
      </c>
    </row>
    <row r="28" spans="1:37">
      <c r="A28" s="9" t="s">
        <v>854</v>
      </c>
      <c r="B28" s="9"/>
      <c r="C28" s="9" t="s">
        <v>28</v>
      </c>
      <c r="D28" s="9"/>
      <c r="E28" s="23">
        <v>47043</v>
      </c>
      <c r="G28" s="42">
        <f>840521+3009605</f>
        <v>3850126</v>
      </c>
      <c r="I28" s="42">
        <v>0</v>
      </c>
      <c r="K28" s="2">
        <f t="shared" si="3"/>
        <v>5436516</v>
      </c>
      <c r="M28" s="42">
        <v>9286642</v>
      </c>
      <c r="O28" s="42">
        <v>0</v>
      </c>
      <c r="Q28" s="2">
        <f t="shared" si="4"/>
        <v>1359846</v>
      </c>
      <c r="S28" s="42">
        <v>0</v>
      </c>
      <c r="U28" s="42">
        <f>6450508-5090662</f>
        <v>1359846</v>
      </c>
      <c r="W28" s="42">
        <v>5090662</v>
      </c>
      <c r="Y28" s="42">
        <v>0</v>
      </c>
      <c r="AA28" s="42">
        <v>0</v>
      </c>
      <c r="AC28" s="42">
        <v>0</v>
      </c>
      <c r="AE28" s="42">
        <v>1244667</v>
      </c>
      <c r="AG28" s="42">
        <v>1591467</v>
      </c>
      <c r="AI28" s="10">
        <f t="shared" si="5"/>
        <v>2836134</v>
      </c>
      <c r="AK28" s="42">
        <f t="shared" si="6"/>
        <v>0</v>
      </c>
    </row>
    <row r="29" spans="1:37">
      <c r="A29" s="9" t="s">
        <v>333</v>
      </c>
      <c r="B29" s="9"/>
      <c r="C29" s="9" t="s">
        <v>33</v>
      </c>
      <c r="D29" s="9"/>
      <c r="E29" s="23">
        <v>47423</v>
      </c>
      <c r="G29" s="42">
        <v>1288646</v>
      </c>
      <c r="I29" s="42">
        <v>426275</v>
      </c>
      <c r="K29" s="2">
        <f t="shared" si="3"/>
        <v>1794712</v>
      </c>
      <c r="M29" s="42">
        <v>3509633</v>
      </c>
      <c r="O29" s="42">
        <v>0</v>
      </c>
      <c r="Q29" s="2">
        <f t="shared" si="4"/>
        <v>709067</v>
      </c>
      <c r="S29" s="42">
        <v>0</v>
      </c>
      <c r="U29" s="42">
        <v>709067</v>
      </c>
      <c r="W29" s="42">
        <v>1184954</v>
      </c>
      <c r="Y29" s="42">
        <v>37363</v>
      </c>
      <c r="AA29" s="42">
        <v>426275</v>
      </c>
      <c r="AC29" s="42">
        <v>2062</v>
      </c>
      <c r="AE29" s="42">
        <v>536733</v>
      </c>
      <c r="AG29" s="42">
        <v>613179</v>
      </c>
      <c r="AI29" s="10">
        <f t="shared" si="5"/>
        <v>1615612</v>
      </c>
      <c r="AK29" s="42">
        <f t="shared" si="6"/>
        <v>0</v>
      </c>
    </row>
    <row r="30" spans="1:37">
      <c r="A30" s="9" t="s">
        <v>202</v>
      </c>
      <c r="B30" s="9"/>
      <c r="C30" s="9" t="s">
        <v>11</v>
      </c>
      <c r="D30" s="9"/>
      <c r="E30" s="23">
        <v>43505</v>
      </c>
      <c r="G30" s="42">
        <v>4715918</v>
      </c>
      <c r="I30" s="42">
        <v>0</v>
      </c>
      <c r="K30" s="2">
        <f t="shared" si="3"/>
        <v>14942040</v>
      </c>
      <c r="M30" s="42">
        <v>19657958</v>
      </c>
      <c r="O30" s="42">
        <v>0</v>
      </c>
      <c r="Q30" s="2">
        <f t="shared" si="4"/>
        <v>3434254</v>
      </c>
      <c r="S30" s="42">
        <v>0</v>
      </c>
      <c r="U30" s="42">
        <f>15334257-11900003</f>
        <v>3434254</v>
      </c>
      <c r="W30" s="42">
        <v>11900003</v>
      </c>
      <c r="Y30" s="42">
        <v>14656</v>
      </c>
      <c r="AA30" s="42">
        <v>0</v>
      </c>
      <c r="AC30" s="42">
        <v>0</v>
      </c>
      <c r="AE30" s="42">
        <v>298184</v>
      </c>
      <c r="AG30" s="42">
        <v>4010861</v>
      </c>
      <c r="AI30" s="10">
        <f t="shared" si="5"/>
        <v>4323701</v>
      </c>
      <c r="AK30" s="42">
        <f t="shared" si="6"/>
        <v>0</v>
      </c>
    </row>
    <row r="31" spans="1:37">
      <c r="A31" s="9" t="s">
        <v>664</v>
      </c>
      <c r="B31" s="9"/>
      <c r="C31" s="9" t="s">
        <v>12</v>
      </c>
      <c r="D31" s="9"/>
      <c r="E31" s="23">
        <v>43513</v>
      </c>
      <c r="G31" s="42">
        <v>1729175</v>
      </c>
      <c r="I31" s="42">
        <v>0</v>
      </c>
      <c r="K31" s="2">
        <f t="shared" si="3"/>
        <v>10849950</v>
      </c>
      <c r="M31" s="42">
        <v>12579125</v>
      </c>
      <c r="O31" s="42">
        <v>0</v>
      </c>
      <c r="Q31" s="2">
        <f t="shared" si="4"/>
        <v>3064324</v>
      </c>
      <c r="S31" s="42">
        <v>0</v>
      </c>
      <c r="U31" s="42">
        <f>11851292-8786968</f>
        <v>3064324</v>
      </c>
      <c r="W31" s="42">
        <v>8786968</v>
      </c>
      <c r="Y31" s="42">
        <v>75571</v>
      </c>
      <c r="AA31" s="42">
        <v>11000</v>
      </c>
      <c r="AC31" s="42">
        <v>0</v>
      </c>
      <c r="AE31" s="42">
        <v>110455</v>
      </c>
      <c r="AG31" s="42">
        <v>530807</v>
      </c>
      <c r="AI31" s="10">
        <f t="shared" si="5"/>
        <v>727833</v>
      </c>
      <c r="AK31" s="42">
        <f t="shared" si="6"/>
        <v>0</v>
      </c>
    </row>
    <row r="32" spans="1:37">
      <c r="A32" s="9" t="s">
        <v>209</v>
      </c>
      <c r="B32" s="9"/>
      <c r="C32" s="9" t="s">
        <v>13</v>
      </c>
      <c r="D32" s="9"/>
      <c r="E32" s="23">
        <v>43521</v>
      </c>
      <c r="G32" s="42">
        <v>7834460</v>
      </c>
      <c r="I32" s="42">
        <v>0</v>
      </c>
      <c r="K32" s="2">
        <f t="shared" si="3"/>
        <v>15361383</v>
      </c>
      <c r="M32" s="42">
        <v>23195843</v>
      </c>
      <c r="O32" s="42">
        <v>0</v>
      </c>
      <c r="Q32" s="2">
        <f t="shared" si="4"/>
        <v>3014705</v>
      </c>
      <c r="S32" s="42">
        <v>0</v>
      </c>
      <c r="U32" s="42">
        <v>3014705</v>
      </c>
      <c r="W32" s="42">
        <v>13086649</v>
      </c>
      <c r="Y32" s="42">
        <v>185532</v>
      </c>
      <c r="AA32" s="42">
        <v>0</v>
      </c>
      <c r="AC32" s="42">
        <v>38575</v>
      </c>
      <c r="AE32" s="42">
        <v>282817</v>
      </c>
      <c r="AG32" s="42">
        <v>6587565</v>
      </c>
      <c r="AI32" s="10">
        <f t="shared" si="5"/>
        <v>7094489</v>
      </c>
      <c r="AK32" s="42">
        <f t="shared" si="6"/>
        <v>0</v>
      </c>
    </row>
    <row r="33" spans="1:37">
      <c r="A33" s="9" t="s">
        <v>456</v>
      </c>
      <c r="B33" s="9"/>
      <c r="C33" s="9" t="s">
        <v>56</v>
      </c>
      <c r="D33" s="9"/>
      <c r="E33" s="23">
        <v>49171</v>
      </c>
      <c r="G33" s="42">
        <v>3818926</v>
      </c>
      <c r="I33" s="42">
        <v>0</v>
      </c>
      <c r="K33" s="2">
        <f t="shared" si="3"/>
        <v>24005342</v>
      </c>
      <c r="M33" s="42">
        <v>27824268</v>
      </c>
      <c r="O33" s="42">
        <v>0</v>
      </c>
      <c r="Q33" s="2">
        <f t="shared" si="4"/>
        <v>3220126</v>
      </c>
      <c r="S33" s="42">
        <v>0</v>
      </c>
      <c r="U33" s="42">
        <v>3220126</v>
      </c>
      <c r="W33" s="42">
        <v>22257728</v>
      </c>
      <c r="Y33" s="42">
        <v>0</v>
      </c>
      <c r="AA33" s="42">
        <v>0</v>
      </c>
      <c r="AC33" s="42">
        <v>11000</v>
      </c>
      <c r="AE33" s="42">
        <v>1525592</v>
      </c>
      <c r="AG33" s="42">
        <v>809822</v>
      </c>
      <c r="AI33" s="10">
        <f t="shared" si="5"/>
        <v>2346414</v>
      </c>
      <c r="AK33" s="42">
        <f t="shared" si="6"/>
        <v>0</v>
      </c>
    </row>
    <row r="34" spans="1:37">
      <c r="A34" s="9" t="s">
        <v>398</v>
      </c>
      <c r="B34" s="9"/>
      <c r="C34" s="9" t="s">
        <v>45</v>
      </c>
      <c r="D34" s="9"/>
      <c r="E34" s="23">
        <v>48298</v>
      </c>
      <c r="G34" s="42">
        <v>6432444</v>
      </c>
      <c r="I34" s="42">
        <v>0</v>
      </c>
      <c r="K34" s="2">
        <f t="shared" si="3"/>
        <v>18174204</v>
      </c>
      <c r="M34" s="42">
        <v>24606648</v>
      </c>
      <c r="O34" s="42">
        <v>0</v>
      </c>
      <c r="Q34" s="2">
        <f t="shared" si="4"/>
        <v>5120626</v>
      </c>
      <c r="S34" s="42">
        <v>0</v>
      </c>
      <c r="U34" s="42">
        <v>5120626</v>
      </c>
      <c r="W34" s="42">
        <v>17987985</v>
      </c>
      <c r="Y34" s="42">
        <v>41579</v>
      </c>
      <c r="AA34" s="42">
        <v>0</v>
      </c>
      <c r="AC34" s="42">
        <v>450000</v>
      </c>
      <c r="AE34" s="42">
        <v>1006458</v>
      </c>
      <c r="AG34" s="42">
        <v>0</v>
      </c>
      <c r="AI34" s="10">
        <f t="shared" si="5"/>
        <v>1498037</v>
      </c>
      <c r="AK34" s="42">
        <f t="shared" si="6"/>
        <v>0</v>
      </c>
    </row>
    <row r="35" spans="1:37">
      <c r="A35" s="9" t="s">
        <v>378</v>
      </c>
      <c r="B35" s="9"/>
      <c r="C35" s="9" t="s">
        <v>44</v>
      </c>
      <c r="D35" s="9"/>
      <c r="E35" s="23">
        <v>48124</v>
      </c>
      <c r="G35" s="42">
        <v>5469535</v>
      </c>
      <c r="I35" s="42">
        <v>113990</v>
      </c>
      <c r="K35" s="2">
        <f t="shared" si="3"/>
        <v>31229166</v>
      </c>
      <c r="M35" s="42">
        <v>36812691</v>
      </c>
      <c r="O35" s="42">
        <v>0</v>
      </c>
      <c r="Q35" s="2">
        <f t="shared" si="4"/>
        <v>4737783</v>
      </c>
      <c r="S35" s="42">
        <v>0</v>
      </c>
      <c r="U35" s="42">
        <v>4737783</v>
      </c>
      <c r="W35" s="42">
        <v>27295399</v>
      </c>
      <c r="Y35" s="42">
        <v>47316</v>
      </c>
      <c r="AA35" s="42">
        <v>0</v>
      </c>
      <c r="AC35" s="42">
        <v>113990</v>
      </c>
      <c r="AE35" s="42">
        <v>665041</v>
      </c>
      <c r="AG35" s="42">
        <v>3953162</v>
      </c>
      <c r="AI35" s="10">
        <f t="shared" si="5"/>
        <v>4779509</v>
      </c>
      <c r="AK35" s="42">
        <f t="shared" si="6"/>
        <v>0</v>
      </c>
    </row>
    <row r="36" spans="1:37">
      <c r="A36" s="9" t="s">
        <v>379</v>
      </c>
      <c r="B36" s="9"/>
      <c r="C36" s="9" t="s">
        <v>44</v>
      </c>
      <c r="D36" s="9"/>
      <c r="E36" s="23">
        <v>48116</v>
      </c>
      <c r="G36" s="42">
        <v>13264288</v>
      </c>
      <c r="I36" s="42">
        <v>0</v>
      </c>
      <c r="K36" s="2">
        <f t="shared" si="3"/>
        <v>24476327</v>
      </c>
      <c r="M36" s="42">
        <v>37740615</v>
      </c>
      <c r="O36" s="42">
        <v>0</v>
      </c>
      <c r="Q36" s="2">
        <f t="shared" si="4"/>
        <v>4142512</v>
      </c>
      <c r="S36" s="42">
        <v>0</v>
      </c>
      <c r="U36" s="42">
        <v>4142512</v>
      </c>
      <c r="W36" s="42">
        <v>21536904</v>
      </c>
      <c r="Y36" s="42">
        <v>0</v>
      </c>
      <c r="AA36" s="42">
        <v>0</v>
      </c>
      <c r="AC36" s="42">
        <v>0</v>
      </c>
      <c r="AE36" s="42">
        <v>128937</v>
      </c>
      <c r="AG36" s="42">
        <v>11932262</v>
      </c>
      <c r="AI36" s="10">
        <f t="shared" si="5"/>
        <v>12061199</v>
      </c>
      <c r="AK36" s="42">
        <f t="shared" si="6"/>
        <v>0</v>
      </c>
    </row>
    <row r="37" spans="1:37">
      <c r="A37" s="9" t="s">
        <v>281</v>
      </c>
      <c r="B37" s="9"/>
      <c r="C37" s="9" t="s">
        <v>22</v>
      </c>
      <c r="D37" s="9"/>
      <c r="E37" s="23">
        <v>46706</v>
      </c>
      <c r="G37" s="42">
        <v>4140575</v>
      </c>
      <c r="I37" s="42">
        <v>1056</v>
      </c>
      <c r="K37" s="2">
        <f t="shared" si="3"/>
        <v>2844744</v>
      </c>
      <c r="M37" s="42">
        <v>6986375</v>
      </c>
      <c r="O37" s="42">
        <v>0</v>
      </c>
      <c r="Q37" s="2">
        <f t="shared" si="4"/>
        <v>994584</v>
      </c>
      <c r="S37" s="42">
        <v>0</v>
      </c>
      <c r="U37" s="42">
        <v>994584</v>
      </c>
      <c r="W37" s="42">
        <v>2321685</v>
      </c>
      <c r="Y37" s="42">
        <v>25792</v>
      </c>
      <c r="AA37" s="42">
        <v>1056</v>
      </c>
      <c r="AC37" s="42">
        <v>303743</v>
      </c>
      <c r="AE37" s="42">
        <v>549907</v>
      </c>
      <c r="AG37" s="42">
        <v>2789608</v>
      </c>
      <c r="AI37" s="10">
        <f t="shared" si="5"/>
        <v>3670106</v>
      </c>
      <c r="AK37" s="42">
        <f t="shared" si="6"/>
        <v>0</v>
      </c>
    </row>
    <row r="38" spans="1:37">
      <c r="A38" s="9" t="s">
        <v>503</v>
      </c>
      <c r="B38" s="9"/>
      <c r="C38" s="9" t="s">
        <v>63</v>
      </c>
      <c r="D38" s="9"/>
      <c r="E38" s="23">
        <v>43539</v>
      </c>
      <c r="G38" s="42">
        <v>6169411</v>
      </c>
      <c r="I38" s="42">
        <v>0</v>
      </c>
      <c r="K38" s="2">
        <f t="shared" si="3"/>
        <v>14374132</v>
      </c>
      <c r="M38" s="42">
        <v>20543543</v>
      </c>
      <c r="O38" s="42">
        <v>0</v>
      </c>
      <c r="Q38" s="2">
        <f t="shared" si="4"/>
        <v>4220903</v>
      </c>
      <c r="S38" s="42">
        <v>0</v>
      </c>
      <c r="U38" s="42">
        <v>4220903</v>
      </c>
      <c r="W38" s="42">
        <v>13512216</v>
      </c>
      <c r="Y38" s="42">
        <v>0</v>
      </c>
      <c r="AA38" s="42">
        <v>0</v>
      </c>
      <c r="AC38" s="42">
        <v>0</v>
      </c>
      <c r="AE38" s="42">
        <f>31672+432486+2944+18464</f>
        <v>485566</v>
      </c>
      <c r="AG38" s="42">
        <v>2324858</v>
      </c>
      <c r="AI38" s="10">
        <f t="shared" si="5"/>
        <v>2810424</v>
      </c>
      <c r="AK38" s="42">
        <f t="shared" si="6"/>
        <v>0</v>
      </c>
    </row>
    <row r="39" spans="1:37">
      <c r="A39" s="9" t="s">
        <v>744</v>
      </c>
      <c r="B39" s="9"/>
      <c r="C39" s="9" t="s">
        <v>15</v>
      </c>
      <c r="D39" s="9"/>
      <c r="E39" s="23">
        <v>45203</v>
      </c>
      <c r="G39" s="42">
        <v>4119942</v>
      </c>
      <c r="I39" s="42">
        <v>0</v>
      </c>
      <c r="K39" s="2">
        <f t="shared" si="3"/>
        <v>4149898</v>
      </c>
      <c r="M39" s="42">
        <v>8269840</v>
      </c>
      <c r="O39" s="42">
        <v>0</v>
      </c>
      <c r="Q39" s="2">
        <f t="shared" si="4"/>
        <v>804297</v>
      </c>
      <c r="S39" s="42">
        <v>0</v>
      </c>
      <c r="U39" s="42">
        <v>804297</v>
      </c>
      <c r="W39" s="42">
        <v>3909140</v>
      </c>
      <c r="Y39" s="42">
        <f>21945+5913</f>
        <v>27858</v>
      </c>
      <c r="AA39" s="42">
        <v>0</v>
      </c>
      <c r="AC39" s="42">
        <v>0</v>
      </c>
      <c r="AE39" s="42">
        <v>296728</v>
      </c>
      <c r="AG39" s="42">
        <v>3231817</v>
      </c>
      <c r="AI39" s="10">
        <f t="shared" si="5"/>
        <v>3556403</v>
      </c>
      <c r="AK39" s="42">
        <f t="shared" si="6"/>
        <v>0</v>
      </c>
    </row>
    <row r="40" spans="1:37">
      <c r="A40" s="9" t="s">
        <v>235</v>
      </c>
      <c r="B40" s="9"/>
      <c r="C40" s="9" t="s">
        <v>112</v>
      </c>
      <c r="D40" s="9"/>
      <c r="E40" s="23">
        <v>46300</v>
      </c>
      <c r="G40" s="42">
        <v>140372</v>
      </c>
      <c r="I40" s="42">
        <v>78607</v>
      </c>
      <c r="K40" s="2">
        <f t="shared" si="3"/>
        <v>7283309</v>
      </c>
      <c r="M40" s="42">
        <v>7502288</v>
      </c>
      <c r="O40" s="42">
        <v>0</v>
      </c>
      <c r="Q40" s="2">
        <f t="shared" si="4"/>
        <v>2158977</v>
      </c>
      <c r="S40" s="42">
        <v>0</v>
      </c>
      <c r="U40" s="42">
        <v>2158977</v>
      </c>
      <c r="W40" s="42">
        <v>6230528</v>
      </c>
      <c r="Y40" s="42">
        <v>0</v>
      </c>
      <c r="AA40" s="42">
        <v>78607</v>
      </c>
      <c r="AC40" s="42">
        <v>50335</v>
      </c>
      <c r="AE40" s="42">
        <v>15360</v>
      </c>
      <c r="AG40" s="42">
        <v>-1031519</v>
      </c>
      <c r="AI40" s="10">
        <f t="shared" si="5"/>
        <v>-887217</v>
      </c>
      <c r="AK40" s="42">
        <f t="shared" si="6"/>
        <v>0</v>
      </c>
    </row>
    <row r="41" spans="1:37" hidden="1">
      <c r="A41" s="9" t="s">
        <v>666</v>
      </c>
      <c r="B41" s="9"/>
      <c r="C41" s="9" t="s">
        <v>10</v>
      </c>
      <c r="D41" s="9"/>
      <c r="E41" s="23">
        <v>45765</v>
      </c>
      <c r="G41" s="42">
        <v>0</v>
      </c>
      <c r="I41" s="42">
        <v>0</v>
      </c>
      <c r="K41" s="2">
        <f t="shared" si="3"/>
        <v>0</v>
      </c>
      <c r="M41" s="42">
        <v>0</v>
      </c>
      <c r="O41" s="42">
        <v>0</v>
      </c>
      <c r="Q41" s="2">
        <f t="shared" si="4"/>
        <v>0</v>
      </c>
      <c r="S41" s="42">
        <v>0</v>
      </c>
      <c r="U41" s="42">
        <v>0</v>
      </c>
      <c r="W41" s="42">
        <v>0</v>
      </c>
      <c r="Y41" s="42">
        <v>0</v>
      </c>
      <c r="AA41" s="42">
        <v>0</v>
      </c>
      <c r="AC41" s="42">
        <v>0</v>
      </c>
      <c r="AE41" s="42">
        <v>0</v>
      </c>
      <c r="AG41" s="42">
        <v>0</v>
      </c>
      <c r="AI41" s="10">
        <f t="shared" si="5"/>
        <v>0</v>
      </c>
      <c r="AK41" s="42">
        <f t="shared" si="6"/>
        <v>0</v>
      </c>
    </row>
    <row r="42" spans="1:37">
      <c r="A42" s="9" t="s">
        <v>629</v>
      </c>
      <c r="B42" s="9"/>
      <c r="C42" s="9" t="s">
        <v>20</v>
      </c>
      <c r="D42" s="9"/>
      <c r="E42" s="23">
        <v>43547</v>
      </c>
      <c r="G42" s="42">
        <v>10259941</v>
      </c>
      <c r="I42" s="42">
        <v>0</v>
      </c>
      <c r="K42" s="2">
        <f t="shared" si="3"/>
        <v>26248850</v>
      </c>
      <c r="M42" s="42">
        <v>36508791</v>
      </c>
      <c r="O42" s="42">
        <v>0</v>
      </c>
      <c r="Q42" s="2">
        <f t="shared" si="4"/>
        <v>3707755</v>
      </c>
      <c r="S42" s="42">
        <v>0</v>
      </c>
      <c r="U42" s="42">
        <v>3707755</v>
      </c>
      <c r="W42" s="42">
        <v>23363522</v>
      </c>
      <c r="Y42" s="42">
        <v>28018</v>
      </c>
      <c r="AA42" s="42">
        <v>60861</v>
      </c>
      <c r="AC42" s="42">
        <v>0</v>
      </c>
      <c r="AE42" s="42">
        <v>1166491</v>
      </c>
      <c r="AG42" s="42">
        <v>8182144</v>
      </c>
      <c r="AI42" s="10">
        <f t="shared" si="5"/>
        <v>9437514</v>
      </c>
      <c r="AK42" s="42">
        <f t="shared" si="6"/>
        <v>0</v>
      </c>
    </row>
    <row r="43" spans="1:37">
      <c r="A43" s="9" t="s">
        <v>259</v>
      </c>
      <c r="B43" s="9"/>
      <c r="C43" s="9" t="s">
        <v>20</v>
      </c>
      <c r="D43" s="9"/>
      <c r="E43" s="23">
        <v>43554</v>
      </c>
      <c r="G43" s="42">
        <f>20431598+134873</f>
        <v>20566471</v>
      </c>
      <c r="I43" s="42">
        <v>0</v>
      </c>
      <c r="K43" s="2">
        <f t="shared" si="3"/>
        <v>27101661</v>
      </c>
      <c r="M43" s="42">
        <v>47668132</v>
      </c>
      <c r="O43" s="42">
        <v>0</v>
      </c>
      <c r="Q43" s="2">
        <f t="shared" si="4"/>
        <v>2998192</v>
      </c>
      <c r="S43" s="42">
        <v>0</v>
      </c>
      <c r="U43" s="42">
        <v>2998192</v>
      </c>
      <c r="W43" s="42">
        <v>21977291</v>
      </c>
      <c r="Y43" s="42">
        <v>81213</v>
      </c>
      <c r="AA43" s="42">
        <v>134873</v>
      </c>
      <c r="AC43" s="42">
        <v>245081</v>
      </c>
      <c r="AE43" s="42">
        <v>0</v>
      </c>
      <c r="AG43" s="42">
        <v>22231482</v>
      </c>
      <c r="AI43" s="10">
        <f t="shared" si="5"/>
        <v>22692649</v>
      </c>
      <c r="AK43" s="42">
        <f t="shared" si="6"/>
        <v>0</v>
      </c>
    </row>
    <row r="44" spans="1:37">
      <c r="A44" s="9" t="s">
        <v>244</v>
      </c>
      <c r="B44" s="9"/>
      <c r="C44" s="9" t="s">
        <v>111</v>
      </c>
      <c r="D44" s="9"/>
      <c r="E44" s="23">
        <v>46425</v>
      </c>
      <c r="G44" s="42">
        <v>647768</v>
      </c>
      <c r="I44" s="42">
        <v>0</v>
      </c>
      <c r="K44" s="2">
        <f t="shared" si="3"/>
        <v>6559921</v>
      </c>
      <c r="M44" s="42">
        <v>7207689</v>
      </c>
      <c r="O44" s="42">
        <v>0</v>
      </c>
      <c r="Q44" s="2">
        <f t="shared" si="4"/>
        <v>1709741</v>
      </c>
      <c r="S44" s="42">
        <v>0</v>
      </c>
      <c r="U44" s="42">
        <v>1709741</v>
      </c>
      <c r="W44" s="42">
        <v>6247454</v>
      </c>
      <c r="Y44" s="42">
        <v>21686</v>
      </c>
      <c r="AA44" s="42">
        <v>0</v>
      </c>
      <c r="AC44" s="42">
        <v>0</v>
      </c>
      <c r="AE44" s="42">
        <v>60539</v>
      </c>
      <c r="AG44" s="42">
        <v>-831731</v>
      </c>
      <c r="AI44" s="10">
        <f t="shared" si="5"/>
        <v>-749506</v>
      </c>
      <c r="AK44" s="42">
        <f t="shared" si="6"/>
        <v>0</v>
      </c>
    </row>
    <row r="45" spans="1:37">
      <c r="A45" s="9" t="s">
        <v>315</v>
      </c>
      <c r="B45" s="9"/>
      <c r="C45" s="9" t="s">
        <v>113</v>
      </c>
      <c r="D45" s="9"/>
      <c r="E45" s="23">
        <v>47241</v>
      </c>
      <c r="G45" s="42">
        <v>18829299</v>
      </c>
      <c r="I45" s="42">
        <v>0</v>
      </c>
      <c r="K45" s="2">
        <f t="shared" si="3"/>
        <v>48206229</v>
      </c>
      <c r="M45" s="42">
        <v>67035528</v>
      </c>
      <c r="O45" s="42">
        <v>0</v>
      </c>
      <c r="Q45" s="2">
        <f t="shared" si="4"/>
        <v>8522435</v>
      </c>
      <c r="S45" s="42">
        <v>0</v>
      </c>
      <c r="U45" s="42">
        <v>8522435</v>
      </c>
      <c r="W45" s="42">
        <v>43451805</v>
      </c>
      <c r="Y45" s="42">
        <v>9366</v>
      </c>
      <c r="AA45" s="42">
        <v>0</v>
      </c>
      <c r="AC45" s="42">
        <v>0</v>
      </c>
      <c r="AE45" s="42">
        <f>480064+215318</f>
        <v>695382</v>
      </c>
      <c r="AG45" s="42">
        <v>14356540</v>
      </c>
      <c r="AI45" s="10">
        <f t="shared" si="5"/>
        <v>15061288</v>
      </c>
      <c r="AK45" s="42">
        <f t="shared" si="6"/>
        <v>0</v>
      </c>
    </row>
    <row r="46" spans="1:37">
      <c r="A46" s="9" t="s">
        <v>260</v>
      </c>
      <c r="B46" s="9"/>
      <c r="C46" s="9" t="s">
        <v>20</v>
      </c>
      <c r="D46" s="9"/>
      <c r="E46" s="23">
        <v>43562</v>
      </c>
      <c r="G46" s="42">
        <v>16189671</v>
      </c>
      <c r="I46" s="42">
        <v>0</v>
      </c>
      <c r="K46" s="2">
        <f t="shared" si="3"/>
        <v>31632020</v>
      </c>
      <c r="M46" s="42">
        <v>47821691</v>
      </c>
      <c r="O46" s="42">
        <v>0</v>
      </c>
      <c r="Q46" s="2">
        <f t="shared" si="4"/>
        <v>5394657</v>
      </c>
      <c r="S46" s="42">
        <v>0</v>
      </c>
      <c r="U46" s="42">
        <v>5394657</v>
      </c>
      <c r="W46" s="42">
        <v>25270564</v>
      </c>
      <c r="Y46" s="42">
        <v>449469</v>
      </c>
      <c r="AA46" s="42">
        <v>20379</v>
      </c>
      <c r="AC46" s="42">
        <v>17157</v>
      </c>
      <c r="AE46" s="42">
        <v>807488</v>
      </c>
      <c r="AG46" s="42">
        <v>15861977</v>
      </c>
      <c r="AI46" s="10">
        <f t="shared" si="5"/>
        <v>17156470</v>
      </c>
      <c r="AK46" s="42">
        <f t="shared" si="6"/>
        <v>0</v>
      </c>
    </row>
    <row r="47" spans="1:37">
      <c r="A47" s="9" t="s">
        <v>214</v>
      </c>
      <c r="B47" s="9"/>
      <c r="C47" s="9" t="s">
        <v>15</v>
      </c>
      <c r="D47" s="9"/>
      <c r="E47" s="23">
        <v>43570</v>
      </c>
      <c r="G47" s="42">
        <v>368527</v>
      </c>
      <c r="I47" s="42">
        <v>0</v>
      </c>
      <c r="K47" s="2">
        <f t="shared" si="3"/>
        <v>2974385</v>
      </c>
      <c r="M47" s="42">
        <v>3342912</v>
      </c>
      <c r="O47" s="42">
        <v>0</v>
      </c>
      <c r="Q47" s="2">
        <f t="shared" si="4"/>
        <v>1958606</v>
      </c>
      <c r="S47" s="42">
        <v>0</v>
      </c>
      <c r="U47" s="42">
        <v>1958606</v>
      </c>
      <c r="W47" s="42">
        <v>2740098</v>
      </c>
      <c r="Y47" s="42">
        <f>61230+2535</f>
        <v>63765</v>
      </c>
      <c r="AA47" s="42">
        <v>0</v>
      </c>
      <c r="AC47" s="42">
        <v>0</v>
      </c>
      <c r="AE47" s="42">
        <v>0</v>
      </c>
      <c r="AG47" s="42">
        <v>-1419557</v>
      </c>
      <c r="AI47" s="10">
        <f t="shared" si="5"/>
        <v>-1355792</v>
      </c>
      <c r="AK47" s="42">
        <f t="shared" si="6"/>
        <v>0</v>
      </c>
    </row>
    <row r="48" spans="1:37">
      <c r="A48" s="9" t="s">
        <v>729</v>
      </c>
      <c r="B48" s="9"/>
      <c r="C48" s="9" t="s">
        <v>113</v>
      </c>
      <c r="D48" s="9"/>
      <c r="E48" s="23">
        <v>47274</v>
      </c>
      <c r="G48" s="42">
        <v>3342846</v>
      </c>
      <c r="I48" s="42">
        <v>0</v>
      </c>
      <c r="K48" s="2">
        <f t="shared" si="3"/>
        <v>14497295</v>
      </c>
      <c r="M48" s="42">
        <v>17840141</v>
      </c>
      <c r="O48" s="42">
        <v>0</v>
      </c>
      <c r="Q48" s="2">
        <f t="shared" si="4"/>
        <v>2658349</v>
      </c>
      <c r="S48" s="42">
        <v>0</v>
      </c>
      <c r="U48" s="42">
        <v>2658349</v>
      </c>
      <c r="W48" s="42">
        <v>12940589</v>
      </c>
      <c r="Y48" s="42">
        <v>0</v>
      </c>
      <c r="AA48" s="42">
        <v>0</v>
      </c>
      <c r="AC48" s="42">
        <v>0</v>
      </c>
      <c r="AE48" s="42">
        <v>445204</v>
      </c>
      <c r="AG48" s="42">
        <v>1795999</v>
      </c>
      <c r="AI48" s="10">
        <f t="shared" si="5"/>
        <v>2241203</v>
      </c>
      <c r="AK48" s="42">
        <f t="shared" si="6"/>
        <v>0</v>
      </c>
    </row>
    <row r="49" spans="1:37" hidden="1">
      <c r="A49" s="9" t="s">
        <v>873</v>
      </c>
      <c r="B49" s="9"/>
      <c r="C49" s="9" t="s">
        <v>43</v>
      </c>
      <c r="D49" s="9"/>
      <c r="E49" s="23">
        <v>43588</v>
      </c>
      <c r="G49" s="42">
        <v>0</v>
      </c>
      <c r="I49" s="42">
        <v>0</v>
      </c>
      <c r="K49" s="2">
        <f t="shared" ref="K49:K50" si="13">+M49-I49-G49</f>
        <v>0</v>
      </c>
      <c r="M49" s="42">
        <v>0</v>
      </c>
      <c r="O49" s="42">
        <v>0</v>
      </c>
      <c r="Q49" s="2">
        <f t="shared" ref="Q49:Q50" si="14">+U49-S49</f>
        <v>0</v>
      </c>
      <c r="S49" s="42">
        <v>0</v>
      </c>
      <c r="U49" s="42">
        <v>0</v>
      </c>
      <c r="W49" s="42">
        <v>0</v>
      </c>
      <c r="Y49" s="42">
        <v>0</v>
      </c>
      <c r="AA49" s="42">
        <v>0</v>
      </c>
      <c r="AC49" s="42">
        <v>0</v>
      </c>
      <c r="AE49" s="42">
        <v>0</v>
      </c>
      <c r="AG49" s="42">
        <v>0</v>
      </c>
      <c r="AI49" s="10">
        <f t="shared" ref="AI49:AI50" si="15">+AC49+AA49++Y49+AE49+AG49</f>
        <v>0</v>
      </c>
      <c r="AK49" s="42">
        <f t="shared" si="6"/>
        <v>0</v>
      </c>
    </row>
    <row r="50" spans="1:37">
      <c r="A50" s="9" t="s">
        <v>353</v>
      </c>
      <c r="B50" s="9"/>
      <c r="C50" s="9" t="s">
        <v>37</v>
      </c>
      <c r="D50" s="9"/>
      <c r="E50" s="23">
        <v>43596</v>
      </c>
      <c r="G50" s="42">
        <v>5462376</v>
      </c>
      <c r="I50" s="42">
        <v>0</v>
      </c>
      <c r="K50" s="2">
        <f t="shared" si="13"/>
        <v>7895143</v>
      </c>
      <c r="M50" s="42">
        <v>13357519</v>
      </c>
      <c r="O50" s="42">
        <v>0</v>
      </c>
      <c r="Q50" s="2">
        <f t="shared" si="14"/>
        <v>2349429</v>
      </c>
      <c r="S50" s="42">
        <v>0</v>
      </c>
      <c r="U50" s="42">
        <v>2349429</v>
      </c>
      <c r="W50" s="42">
        <v>5755817</v>
      </c>
      <c r="Y50" s="42">
        <f>48149+71713</f>
        <v>119862</v>
      </c>
      <c r="AA50" s="42">
        <v>0</v>
      </c>
      <c r="AC50" s="42">
        <v>0</v>
      </c>
      <c r="AE50" s="42">
        <f>50453+166077+1667+20982+333582+250+627</f>
        <v>573638</v>
      </c>
      <c r="AG50" s="42">
        <v>4558773</v>
      </c>
      <c r="AI50" s="10">
        <f t="shared" si="15"/>
        <v>5252273</v>
      </c>
      <c r="AK50" s="42">
        <f t="shared" si="6"/>
        <v>0</v>
      </c>
    </row>
    <row r="51" spans="1:37">
      <c r="A51" s="9" t="s">
        <v>543</v>
      </c>
      <c r="B51" s="9"/>
      <c r="C51" s="9" t="s">
        <v>70</v>
      </c>
      <c r="D51" s="9"/>
      <c r="E51" s="23">
        <v>43604</v>
      </c>
      <c r="G51" s="42">
        <v>1402881</v>
      </c>
      <c r="I51" s="42">
        <v>5944</v>
      </c>
      <c r="K51" s="2">
        <f t="shared" ref="K51:K52" si="16">+M51-I51-G51</f>
        <v>4052647</v>
      </c>
      <c r="M51" s="42">
        <v>5461472</v>
      </c>
      <c r="O51" s="42">
        <v>0</v>
      </c>
      <c r="Q51" s="2">
        <f t="shared" si="4"/>
        <v>997553</v>
      </c>
      <c r="S51" s="42">
        <v>0</v>
      </c>
      <c r="U51" s="42">
        <v>997553</v>
      </c>
      <c r="W51" s="42">
        <v>3684690</v>
      </c>
      <c r="Y51" s="42">
        <v>26621</v>
      </c>
      <c r="AA51" s="42">
        <f>1842+5944</f>
        <v>7786</v>
      </c>
      <c r="AC51" s="42">
        <v>0</v>
      </c>
      <c r="AE51" s="42">
        <f>10211+108877+386868+16019+10+2388</f>
        <v>524373</v>
      </c>
      <c r="AG51" s="42">
        <v>220449</v>
      </c>
      <c r="AI51" s="10">
        <f t="shared" si="5"/>
        <v>779229</v>
      </c>
      <c r="AK51" s="42">
        <f t="shared" si="6"/>
        <v>0</v>
      </c>
    </row>
    <row r="52" spans="1:37" hidden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2">
        <f t="shared" si="16"/>
        <v>0</v>
      </c>
      <c r="M52" s="42">
        <v>0</v>
      </c>
      <c r="O52" s="42">
        <v>0</v>
      </c>
      <c r="Q52" s="2">
        <f t="shared" ref="Q52" si="17">+U52-S52</f>
        <v>0</v>
      </c>
      <c r="S52" s="42">
        <v>0</v>
      </c>
      <c r="U52" s="42">
        <v>0</v>
      </c>
      <c r="W52" s="42">
        <v>0</v>
      </c>
      <c r="Y52" s="42">
        <v>0</v>
      </c>
      <c r="AA52" s="42">
        <v>0</v>
      </c>
      <c r="AC52" s="42">
        <v>0</v>
      </c>
      <c r="AE52" s="42">
        <v>0</v>
      </c>
      <c r="AG52" s="42">
        <v>0</v>
      </c>
      <c r="AI52" s="10">
        <f t="shared" ref="AI52" si="18">+AC52+AA52++Y52+AE52+AG52</f>
        <v>0</v>
      </c>
      <c r="AK52" s="42">
        <f t="shared" si="6"/>
        <v>0</v>
      </c>
    </row>
    <row r="53" spans="1:37" hidden="1">
      <c r="A53" s="9" t="s">
        <v>857</v>
      </c>
      <c r="B53" s="9"/>
      <c r="C53" s="9" t="s">
        <v>53</v>
      </c>
      <c r="D53" s="9"/>
      <c r="E53" s="23">
        <v>48926</v>
      </c>
      <c r="G53" s="42">
        <v>0</v>
      </c>
      <c r="I53" s="42">
        <v>0</v>
      </c>
      <c r="K53" s="2">
        <f t="shared" si="3"/>
        <v>0</v>
      </c>
      <c r="M53" s="42">
        <v>0</v>
      </c>
      <c r="O53" s="42">
        <v>0</v>
      </c>
      <c r="Q53" s="2">
        <f t="shared" si="4"/>
        <v>0</v>
      </c>
      <c r="S53" s="42">
        <v>0</v>
      </c>
      <c r="U53" s="42">
        <v>0</v>
      </c>
      <c r="W53" s="42">
        <v>0</v>
      </c>
      <c r="Y53" s="42">
        <v>0</v>
      </c>
      <c r="AA53" s="42">
        <v>0</v>
      </c>
      <c r="AC53" s="42">
        <v>0</v>
      </c>
      <c r="AE53" s="42">
        <v>0</v>
      </c>
      <c r="AG53" s="42">
        <v>0</v>
      </c>
      <c r="AI53" s="10">
        <f t="shared" si="5"/>
        <v>0</v>
      </c>
      <c r="AK53" s="42">
        <f t="shared" si="6"/>
        <v>0</v>
      </c>
    </row>
    <row r="54" spans="1:37">
      <c r="A54" s="9" t="s">
        <v>261</v>
      </c>
      <c r="B54" s="9"/>
      <c r="C54" s="9" t="s">
        <v>20</v>
      </c>
      <c r="D54" s="9"/>
      <c r="E54" s="23">
        <v>43612</v>
      </c>
      <c r="G54" s="42">
        <v>2637578</v>
      </c>
      <c r="I54" s="42">
        <v>18432</v>
      </c>
      <c r="K54" s="2">
        <f t="shared" si="3"/>
        <v>56483139</v>
      </c>
      <c r="M54" s="42">
        <v>59139149</v>
      </c>
      <c r="O54" s="42">
        <v>0</v>
      </c>
      <c r="Q54" s="2">
        <f t="shared" si="4"/>
        <v>8648273</v>
      </c>
      <c r="S54" s="42">
        <v>0</v>
      </c>
      <c r="U54" s="42">
        <v>8648273</v>
      </c>
      <c r="W54" s="42">
        <v>48888923</v>
      </c>
      <c r="Y54" s="42">
        <v>185814</v>
      </c>
      <c r="AA54" s="42">
        <v>0</v>
      </c>
      <c r="AC54" s="42">
        <v>0</v>
      </c>
      <c r="AE54" s="42">
        <v>1416139</v>
      </c>
      <c r="AG54" s="42">
        <v>0</v>
      </c>
      <c r="AI54" s="10">
        <f t="shared" si="5"/>
        <v>1601953</v>
      </c>
      <c r="AK54" s="42">
        <f t="shared" si="6"/>
        <v>0</v>
      </c>
    </row>
    <row r="55" spans="1:37">
      <c r="A55" s="9" t="s">
        <v>634</v>
      </c>
      <c r="B55" s="9"/>
      <c r="C55" s="9" t="s">
        <v>30</v>
      </c>
      <c r="D55" s="9"/>
      <c r="E55" s="23">
        <v>47167</v>
      </c>
      <c r="G55" s="42">
        <v>1923105</v>
      </c>
      <c r="I55" s="42">
        <v>39468</v>
      </c>
      <c r="K55" s="2">
        <f t="shared" si="3"/>
        <v>4821297</v>
      </c>
      <c r="M55" s="42">
        <v>6783870</v>
      </c>
      <c r="O55" s="42">
        <v>0</v>
      </c>
      <c r="Q55" s="2">
        <f t="shared" si="4"/>
        <v>1290207</v>
      </c>
      <c r="S55" s="42">
        <v>0</v>
      </c>
      <c r="U55" s="42">
        <v>1290207</v>
      </c>
      <c r="W55" s="42">
        <v>3883175</v>
      </c>
      <c r="Y55" s="42">
        <v>2139</v>
      </c>
      <c r="AA55" s="42">
        <v>41614</v>
      </c>
      <c r="AC55" s="42">
        <v>260558</v>
      </c>
      <c r="AE55" s="42">
        <v>590741</v>
      </c>
      <c r="AG55" s="42">
        <v>715436</v>
      </c>
      <c r="AI55" s="10">
        <f t="shared" si="5"/>
        <v>1610488</v>
      </c>
      <c r="AK55" s="42">
        <f t="shared" si="6"/>
        <v>0</v>
      </c>
    </row>
    <row r="56" spans="1:37" hidden="1">
      <c r="A56" s="9" t="s">
        <v>283</v>
      </c>
      <c r="B56" s="9"/>
      <c r="C56" s="9" t="s">
        <v>24</v>
      </c>
      <c r="D56" s="9"/>
      <c r="E56" s="23">
        <v>46789</v>
      </c>
      <c r="G56" s="42">
        <v>0</v>
      </c>
      <c r="I56" s="42">
        <v>0</v>
      </c>
      <c r="K56" s="2">
        <f t="shared" si="3"/>
        <v>0</v>
      </c>
      <c r="M56" s="42">
        <v>0</v>
      </c>
      <c r="O56" s="42">
        <v>0</v>
      </c>
      <c r="Q56" s="2">
        <f t="shared" si="4"/>
        <v>0</v>
      </c>
      <c r="S56" s="42">
        <v>0</v>
      </c>
      <c r="U56" s="42">
        <v>0</v>
      </c>
      <c r="W56" s="42">
        <v>0</v>
      </c>
      <c r="Y56" s="42">
        <v>0</v>
      </c>
      <c r="AA56" s="42">
        <v>0</v>
      </c>
      <c r="AC56" s="42">
        <v>0</v>
      </c>
      <c r="AE56" s="42">
        <v>0</v>
      </c>
      <c r="AG56" s="42">
        <v>0</v>
      </c>
      <c r="AI56" s="10">
        <f t="shared" si="5"/>
        <v>0</v>
      </c>
      <c r="AK56" s="42">
        <f t="shared" si="6"/>
        <v>0</v>
      </c>
    </row>
    <row r="57" spans="1:37" hidden="1">
      <c r="A57" s="9" t="s">
        <v>786</v>
      </c>
      <c r="B57" s="9"/>
      <c r="C57" s="9" t="s">
        <v>25</v>
      </c>
      <c r="D57" s="9"/>
      <c r="E57" s="23">
        <v>46854</v>
      </c>
      <c r="G57" s="42">
        <v>0</v>
      </c>
      <c r="I57" s="42">
        <v>0</v>
      </c>
      <c r="K57" s="2">
        <f t="shared" si="3"/>
        <v>0</v>
      </c>
      <c r="M57" s="42">
        <v>0</v>
      </c>
      <c r="O57" s="42">
        <v>0</v>
      </c>
      <c r="Q57" s="2">
        <f t="shared" si="4"/>
        <v>0</v>
      </c>
      <c r="S57" s="42">
        <v>0</v>
      </c>
      <c r="U57" s="42">
        <v>0</v>
      </c>
      <c r="W57" s="42">
        <v>0</v>
      </c>
      <c r="Y57" s="42">
        <v>0</v>
      </c>
      <c r="AA57" s="42">
        <v>0</v>
      </c>
      <c r="AC57" s="42">
        <v>0</v>
      </c>
      <c r="AE57" s="42">
        <v>0</v>
      </c>
      <c r="AG57" s="42">
        <v>0</v>
      </c>
      <c r="AI57" s="10">
        <f t="shared" si="5"/>
        <v>0</v>
      </c>
      <c r="AK57" s="42">
        <f t="shared" si="6"/>
        <v>0</v>
      </c>
    </row>
    <row r="58" spans="1:37">
      <c r="A58" s="9" t="s">
        <v>420</v>
      </c>
      <c r="B58" s="9"/>
      <c r="C58" s="9" t="s">
        <v>48</v>
      </c>
      <c r="D58" s="9"/>
      <c r="E58" s="23">
        <v>48611</v>
      </c>
      <c r="G58" s="42">
        <v>1306844</v>
      </c>
      <c r="I58" s="42">
        <v>0</v>
      </c>
      <c r="K58" s="2">
        <f t="shared" ref="K58" si="19">+M58-I58-G58</f>
        <v>3909453</v>
      </c>
      <c r="M58" s="42">
        <v>5216297</v>
      </c>
      <c r="O58" s="42">
        <v>0</v>
      </c>
      <c r="Q58" s="2">
        <f t="shared" ref="Q58" si="20">+U58-S58</f>
        <v>670651</v>
      </c>
      <c r="S58" s="42">
        <v>0</v>
      </c>
      <c r="U58" s="42">
        <v>670651</v>
      </c>
      <c r="W58" s="42">
        <v>2979306</v>
      </c>
      <c r="Y58" s="42">
        <v>0</v>
      </c>
      <c r="AA58" s="42">
        <v>0</v>
      </c>
      <c r="AC58" s="42">
        <v>0</v>
      </c>
      <c r="AE58" s="42">
        <f>77192+46441</f>
        <v>123633</v>
      </c>
      <c r="AG58" s="42">
        <v>1442707</v>
      </c>
      <c r="AI58" s="10">
        <f t="shared" ref="AI58" si="21">+AC58+AA58++Y58+AE58+AG58</f>
        <v>1566340</v>
      </c>
      <c r="AK58" s="42">
        <f t="shared" si="6"/>
        <v>0</v>
      </c>
    </row>
    <row r="59" spans="1:37">
      <c r="A59" s="9" t="s">
        <v>236</v>
      </c>
      <c r="B59" s="9"/>
      <c r="C59" s="9" t="s">
        <v>112</v>
      </c>
      <c r="D59" s="9"/>
      <c r="E59" s="23">
        <v>46318</v>
      </c>
      <c r="G59" s="42">
        <v>2243855</v>
      </c>
      <c r="I59" s="42">
        <v>0</v>
      </c>
      <c r="K59" s="2">
        <f t="shared" si="3"/>
        <v>3273321</v>
      </c>
      <c r="M59" s="42">
        <v>5517176</v>
      </c>
      <c r="O59" s="42">
        <v>0</v>
      </c>
      <c r="Q59" s="2">
        <f t="shared" si="4"/>
        <v>1722788</v>
      </c>
      <c r="S59" s="42">
        <v>0</v>
      </c>
      <c r="U59" s="42">
        <v>1722788</v>
      </c>
      <c r="W59" s="42">
        <v>2781539</v>
      </c>
      <c r="Y59" s="42">
        <v>0</v>
      </c>
      <c r="AA59" s="42">
        <v>0</v>
      </c>
      <c r="AC59" s="42">
        <v>0</v>
      </c>
      <c r="AE59" s="42">
        <v>231904</v>
      </c>
      <c r="AG59" s="42">
        <v>780945</v>
      </c>
      <c r="AI59" s="10">
        <f t="shared" si="5"/>
        <v>1012849</v>
      </c>
      <c r="AK59" s="42">
        <f t="shared" si="6"/>
        <v>0</v>
      </c>
    </row>
    <row r="60" spans="1:37" hidden="1">
      <c r="A60" s="9" t="s">
        <v>667</v>
      </c>
      <c r="B60" s="9"/>
      <c r="C60" s="9" t="s">
        <v>60</v>
      </c>
      <c r="D60" s="9"/>
      <c r="E60" s="23">
        <v>49692</v>
      </c>
      <c r="G60" s="42">
        <v>0</v>
      </c>
      <c r="I60" s="42">
        <v>0</v>
      </c>
      <c r="K60" s="2">
        <f t="shared" si="3"/>
        <v>0</v>
      </c>
      <c r="M60" s="42">
        <v>0</v>
      </c>
      <c r="O60" s="42">
        <v>0</v>
      </c>
      <c r="Q60" s="2">
        <f t="shared" si="4"/>
        <v>0</v>
      </c>
      <c r="S60" s="42">
        <v>0</v>
      </c>
      <c r="U60" s="42">
        <v>0</v>
      </c>
      <c r="W60" s="42">
        <v>0</v>
      </c>
      <c r="Y60" s="42">
        <v>0</v>
      </c>
      <c r="AA60" s="42">
        <v>0</v>
      </c>
      <c r="AC60" s="42">
        <v>0</v>
      </c>
      <c r="AE60" s="42">
        <v>0</v>
      </c>
      <c r="AG60" s="42">
        <v>0</v>
      </c>
      <c r="AI60" s="10">
        <f t="shared" si="5"/>
        <v>0</v>
      </c>
      <c r="AK60" s="42">
        <f t="shared" si="6"/>
        <v>0</v>
      </c>
    </row>
    <row r="61" spans="1:37">
      <c r="A61" s="9" t="s">
        <v>297</v>
      </c>
      <c r="B61" s="9"/>
      <c r="C61" s="9" t="s">
        <v>27</v>
      </c>
      <c r="D61" s="9"/>
      <c r="E61" s="23">
        <v>43620</v>
      </c>
      <c r="G61" s="42">
        <v>21087190</v>
      </c>
      <c r="I61" s="42">
        <v>0</v>
      </c>
      <c r="K61" s="2">
        <f t="shared" si="3"/>
        <v>22778276</v>
      </c>
      <c r="M61" s="42">
        <v>43865466</v>
      </c>
      <c r="O61" s="42">
        <v>0</v>
      </c>
      <c r="Q61" s="2">
        <f t="shared" si="4"/>
        <v>3879528</v>
      </c>
      <c r="S61" s="42">
        <v>0</v>
      </c>
      <c r="U61" s="42">
        <v>3879528</v>
      </c>
      <c r="W61" s="42">
        <v>13443399</v>
      </c>
      <c r="Y61" s="42">
        <v>80515</v>
      </c>
      <c r="AA61" s="42">
        <v>0</v>
      </c>
      <c r="AC61" s="42">
        <v>0</v>
      </c>
      <c r="AE61" s="42">
        <v>177486</v>
      </c>
      <c r="AG61" s="42">
        <v>26284538</v>
      </c>
      <c r="AI61" s="10">
        <f t="shared" si="5"/>
        <v>26542539</v>
      </c>
      <c r="AK61" s="42">
        <f t="shared" si="6"/>
        <v>0</v>
      </c>
    </row>
    <row r="62" spans="1:37">
      <c r="A62" s="9" t="s">
        <v>630</v>
      </c>
      <c r="B62" s="9"/>
      <c r="C62" s="9" t="s">
        <v>23</v>
      </c>
      <c r="D62" s="9"/>
      <c r="E62" s="23">
        <v>46748</v>
      </c>
      <c r="G62" s="42">
        <v>7478942</v>
      </c>
      <c r="I62" s="42">
        <v>51002</v>
      </c>
      <c r="K62" s="2">
        <f t="shared" si="3"/>
        <v>19371734</v>
      </c>
      <c r="M62" s="42">
        <v>26901678</v>
      </c>
      <c r="O62" s="42">
        <v>0</v>
      </c>
      <c r="Q62" s="2">
        <f t="shared" si="4"/>
        <v>3311920</v>
      </c>
      <c r="S62" s="42">
        <v>0</v>
      </c>
      <c r="U62" s="42">
        <v>3311920</v>
      </c>
      <c r="W62" s="42">
        <v>13681409</v>
      </c>
      <c r="Y62" s="42">
        <v>51002</v>
      </c>
      <c r="AA62" s="42">
        <v>29</v>
      </c>
      <c r="AC62" s="42">
        <v>0</v>
      </c>
      <c r="AE62" s="42">
        <v>60222</v>
      </c>
      <c r="AG62" s="42">
        <v>9797096</v>
      </c>
      <c r="AI62" s="10">
        <f t="shared" si="5"/>
        <v>9908349</v>
      </c>
      <c r="AK62" s="42">
        <f t="shared" si="6"/>
        <v>0</v>
      </c>
    </row>
    <row r="63" spans="1:37">
      <c r="A63" s="9" t="s">
        <v>411</v>
      </c>
      <c r="B63" s="9"/>
      <c r="C63" s="9" t="s">
        <v>47</v>
      </c>
      <c r="D63" s="9"/>
      <c r="E63" s="23">
        <v>48462</v>
      </c>
      <c r="G63" s="42">
        <v>362117</v>
      </c>
      <c r="I63" s="42">
        <v>0</v>
      </c>
      <c r="K63" s="2">
        <f t="shared" si="3"/>
        <v>4065957</v>
      </c>
      <c r="M63" s="42">
        <v>4428074</v>
      </c>
      <c r="O63" s="42">
        <v>0</v>
      </c>
      <c r="Q63" s="2">
        <f t="shared" si="4"/>
        <v>1336862</v>
      </c>
      <c r="S63" s="42">
        <v>0</v>
      </c>
      <c r="U63" s="42">
        <v>1336862</v>
      </c>
      <c r="W63" s="42">
        <v>3474638</v>
      </c>
      <c r="Y63" s="42">
        <f>236+14047+2280</f>
        <v>16563</v>
      </c>
      <c r="AA63" s="42">
        <v>0</v>
      </c>
      <c r="AC63" s="42">
        <v>0</v>
      </c>
      <c r="AE63" s="42">
        <v>0</v>
      </c>
      <c r="AG63" s="42">
        <v>-399989</v>
      </c>
      <c r="AI63" s="10">
        <f t="shared" si="5"/>
        <v>-383426</v>
      </c>
      <c r="AK63" s="42">
        <f t="shared" si="6"/>
        <v>0</v>
      </c>
    </row>
    <row r="64" spans="1:37">
      <c r="A64" s="9" t="s">
        <v>240</v>
      </c>
      <c r="B64" s="9"/>
      <c r="C64" s="9" t="s">
        <v>18</v>
      </c>
      <c r="D64" s="9"/>
      <c r="E64" s="23">
        <v>46383</v>
      </c>
      <c r="G64" s="42">
        <v>4629652</v>
      </c>
      <c r="I64" s="42">
        <v>0</v>
      </c>
      <c r="K64" s="2">
        <f t="shared" si="3"/>
        <v>3541129</v>
      </c>
      <c r="M64" s="42">
        <v>8170781</v>
      </c>
      <c r="O64" s="42">
        <v>0</v>
      </c>
      <c r="Q64" s="2">
        <f t="shared" si="4"/>
        <v>4660791</v>
      </c>
      <c r="S64" s="42">
        <v>0</v>
      </c>
      <c r="U64" s="42">
        <v>4660791</v>
      </c>
      <c r="W64" s="42">
        <v>0</v>
      </c>
      <c r="Y64" s="42">
        <v>0</v>
      </c>
      <c r="AA64" s="42">
        <v>0</v>
      </c>
      <c r="AC64" s="42">
        <v>11000</v>
      </c>
      <c r="AE64" s="42">
        <v>2105434</v>
      </c>
      <c r="AG64" s="42">
        <v>1393556</v>
      </c>
      <c r="AI64" s="10">
        <f t="shared" si="5"/>
        <v>3509990</v>
      </c>
      <c r="AK64" s="42">
        <f t="shared" si="6"/>
        <v>0</v>
      </c>
    </row>
    <row r="65" spans="1:37">
      <c r="A65" s="9" t="s">
        <v>291</v>
      </c>
      <c r="B65" s="9"/>
      <c r="C65" s="9" t="s">
        <v>25</v>
      </c>
      <c r="D65" s="9"/>
      <c r="E65" s="23">
        <v>46862</v>
      </c>
      <c r="G65" s="42">
        <v>1632737</v>
      </c>
      <c r="I65" s="42">
        <v>0</v>
      </c>
      <c r="K65" s="2">
        <f t="shared" si="3"/>
        <v>8070017</v>
      </c>
      <c r="M65" s="42">
        <v>9702754</v>
      </c>
      <c r="O65" s="42">
        <v>0</v>
      </c>
      <c r="Q65" s="2">
        <f t="shared" si="4"/>
        <v>1934130</v>
      </c>
      <c r="S65" s="42">
        <v>0</v>
      </c>
      <c r="U65" s="42">
        <v>1934130</v>
      </c>
      <c r="W65" s="42">
        <v>6377109</v>
      </c>
      <c r="Y65" s="42">
        <v>9154</v>
      </c>
      <c r="AA65" s="42">
        <v>0</v>
      </c>
      <c r="AC65" s="42">
        <v>0</v>
      </c>
      <c r="AE65" s="42">
        <v>129412</v>
      </c>
      <c r="AG65" s="42">
        <v>1252949</v>
      </c>
      <c r="AI65" s="10">
        <f t="shared" si="5"/>
        <v>1391515</v>
      </c>
      <c r="AK65" s="42">
        <f t="shared" si="6"/>
        <v>0</v>
      </c>
    </row>
    <row r="66" spans="1:37">
      <c r="A66" s="9" t="s">
        <v>514</v>
      </c>
      <c r="B66" s="9"/>
      <c r="C66" s="9" t="s">
        <v>64</v>
      </c>
      <c r="D66" s="9"/>
      <c r="E66" s="23">
        <v>50096</v>
      </c>
      <c r="G66" s="42">
        <v>584270</v>
      </c>
      <c r="I66" s="42">
        <v>2716</v>
      </c>
      <c r="K66" s="2">
        <f t="shared" si="3"/>
        <v>1518608</v>
      </c>
      <c r="M66" s="42">
        <v>2105594</v>
      </c>
      <c r="O66" s="42">
        <v>0</v>
      </c>
      <c r="Q66" s="2">
        <f t="shared" si="4"/>
        <v>277836</v>
      </c>
      <c r="S66" s="42">
        <v>0</v>
      </c>
      <c r="U66" s="42">
        <v>277836</v>
      </c>
      <c r="W66" s="42">
        <v>1484675</v>
      </c>
      <c r="Y66" s="42">
        <v>8859</v>
      </c>
      <c r="AA66" s="42">
        <v>2716</v>
      </c>
      <c r="AC66" s="42">
        <v>0</v>
      </c>
      <c r="AE66" s="42">
        <f>2062+941+217629</f>
        <v>220632</v>
      </c>
      <c r="AG66" s="42">
        <v>110876</v>
      </c>
      <c r="AI66" s="10">
        <f t="shared" si="5"/>
        <v>343083</v>
      </c>
      <c r="AK66" s="42">
        <f t="shared" si="6"/>
        <v>0</v>
      </c>
    </row>
    <row r="67" spans="1:37">
      <c r="A67" s="9" t="s">
        <v>476</v>
      </c>
      <c r="B67" s="9"/>
      <c r="C67" s="9" t="s">
        <v>59</v>
      </c>
      <c r="D67" s="9"/>
      <c r="E67" s="23">
        <v>49593</v>
      </c>
      <c r="G67" s="42">
        <v>1666221</v>
      </c>
      <c r="I67" s="42">
        <v>27305</v>
      </c>
      <c r="K67" s="2">
        <f t="shared" ref="K67" si="22">+M67-I67-G67</f>
        <v>1528106</v>
      </c>
      <c r="M67" s="42">
        <v>3221632</v>
      </c>
      <c r="O67" s="42">
        <v>0</v>
      </c>
      <c r="Q67" s="2">
        <f t="shared" ref="Q67" si="23">+U67-S67</f>
        <v>813835</v>
      </c>
      <c r="S67" s="42">
        <v>0</v>
      </c>
      <c r="U67" s="42">
        <v>813835</v>
      </c>
      <c r="W67" s="42">
        <v>1369126</v>
      </c>
      <c r="Y67" s="42">
        <v>13947</v>
      </c>
      <c r="AA67" s="42">
        <v>24277</v>
      </c>
      <c r="AC67" s="42">
        <v>0</v>
      </c>
      <c r="AE67" s="42">
        <v>459867</v>
      </c>
      <c r="AG67" s="42">
        <v>540580</v>
      </c>
      <c r="AI67" s="10">
        <f t="shared" si="5"/>
        <v>1038671</v>
      </c>
      <c r="AK67" s="42">
        <f t="shared" si="6"/>
        <v>0</v>
      </c>
    </row>
    <row r="68" spans="1:37" hidden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2">
        <f t="shared" si="3"/>
        <v>0</v>
      </c>
      <c r="M68" s="42">
        <v>0</v>
      </c>
      <c r="O68" s="42">
        <v>0</v>
      </c>
      <c r="Q68" s="2">
        <f t="shared" si="4"/>
        <v>0</v>
      </c>
      <c r="S68" s="42">
        <v>0</v>
      </c>
      <c r="U68" s="42">
        <v>0</v>
      </c>
      <c r="W68" s="42">
        <v>0</v>
      </c>
      <c r="Y68" s="42">
        <v>0</v>
      </c>
      <c r="AA68" s="42">
        <v>0</v>
      </c>
      <c r="AC68" s="42">
        <v>0</v>
      </c>
      <c r="AE68" s="42">
        <v>0</v>
      </c>
      <c r="AG68" s="42">
        <v>0</v>
      </c>
      <c r="AI68" s="10">
        <f t="shared" si="5"/>
        <v>0</v>
      </c>
      <c r="AK68" s="42">
        <f t="shared" si="6"/>
        <v>0</v>
      </c>
    </row>
    <row r="69" spans="1:37">
      <c r="A69" s="9" t="s">
        <v>399</v>
      </c>
      <c r="B69" s="9"/>
      <c r="C69" s="9" t="s">
        <v>45</v>
      </c>
      <c r="D69" s="9"/>
      <c r="E69" s="23">
        <v>48306</v>
      </c>
      <c r="G69" s="42">
        <v>10915970</v>
      </c>
      <c r="I69" s="42">
        <v>0</v>
      </c>
      <c r="K69" s="2">
        <f t="shared" si="3"/>
        <v>30078761</v>
      </c>
      <c r="M69" s="42">
        <v>40994731</v>
      </c>
      <c r="O69" s="42">
        <v>0</v>
      </c>
      <c r="Q69" s="2">
        <f t="shared" si="4"/>
        <v>6108921</v>
      </c>
      <c r="S69" s="42">
        <v>0</v>
      </c>
      <c r="U69" s="42">
        <v>6108921</v>
      </c>
      <c r="W69" s="42">
        <v>29915144</v>
      </c>
      <c r="Y69" s="42">
        <v>66226</v>
      </c>
      <c r="AA69" s="42">
        <v>0</v>
      </c>
      <c r="AC69" s="42">
        <v>512352</v>
      </c>
      <c r="AE69" s="42">
        <v>2812782</v>
      </c>
      <c r="AG69" s="42">
        <v>1579306</v>
      </c>
      <c r="AI69" s="10">
        <f t="shared" si="5"/>
        <v>4970666</v>
      </c>
      <c r="AK69" s="42">
        <f t="shared" si="6"/>
        <v>0</v>
      </c>
    </row>
    <row r="70" spans="1:37" hidden="1">
      <c r="A70" s="9" t="s">
        <v>900</v>
      </c>
      <c r="B70" s="9"/>
      <c r="C70" s="9" t="s">
        <v>61</v>
      </c>
      <c r="D70" s="9"/>
      <c r="E70" s="23">
        <v>49767</v>
      </c>
      <c r="G70" s="42">
        <v>0</v>
      </c>
      <c r="I70" s="42">
        <v>0</v>
      </c>
      <c r="K70" s="2">
        <f t="shared" si="3"/>
        <v>0</v>
      </c>
      <c r="M70" s="42">
        <v>0</v>
      </c>
      <c r="O70" s="42">
        <v>0</v>
      </c>
      <c r="Q70" s="2">
        <f t="shared" si="4"/>
        <v>0</v>
      </c>
      <c r="S70" s="42">
        <v>0</v>
      </c>
      <c r="U70" s="42">
        <v>0</v>
      </c>
      <c r="W70" s="42">
        <v>0</v>
      </c>
      <c r="Y70" s="42">
        <v>0</v>
      </c>
      <c r="AA70" s="42">
        <v>0</v>
      </c>
      <c r="AC70" s="42">
        <v>0</v>
      </c>
      <c r="AE70" s="42">
        <v>0</v>
      </c>
      <c r="AG70" s="42">
        <v>0</v>
      </c>
      <c r="AI70" s="10">
        <f t="shared" si="5"/>
        <v>0</v>
      </c>
      <c r="AK70" s="42">
        <f t="shared" si="6"/>
        <v>0</v>
      </c>
    </row>
    <row r="71" spans="1:37">
      <c r="A71" s="9" t="s">
        <v>549</v>
      </c>
      <c r="B71" s="9"/>
      <c r="C71" s="9" t="s">
        <v>72</v>
      </c>
      <c r="D71" s="9"/>
      <c r="E71" s="23">
        <v>43638</v>
      </c>
      <c r="G71" s="42">
        <f>2959614+4000+2923517</f>
        <v>5887131</v>
      </c>
      <c r="I71" s="42">
        <v>0</v>
      </c>
      <c r="K71" s="2">
        <f t="shared" si="3"/>
        <v>17180572</v>
      </c>
      <c r="M71" s="42">
        <v>23067703</v>
      </c>
      <c r="O71" s="42">
        <v>0</v>
      </c>
      <c r="Q71" s="2">
        <f t="shared" si="4"/>
        <v>2751630</v>
      </c>
      <c r="S71" s="42">
        <v>0</v>
      </c>
      <c r="U71" s="42">
        <v>2751630</v>
      </c>
      <c r="W71" s="42">
        <v>12544534</v>
      </c>
      <c r="Y71" s="42">
        <v>210792</v>
      </c>
      <c r="AA71" s="42">
        <v>0</v>
      </c>
      <c r="AC71" s="42">
        <v>442689</v>
      </c>
      <c r="AE71" s="42">
        <v>2856696</v>
      </c>
      <c r="AG71" s="42">
        <v>4261362</v>
      </c>
      <c r="AI71" s="10">
        <f t="shared" si="5"/>
        <v>7771539</v>
      </c>
      <c r="AK71" s="42">
        <f t="shared" si="6"/>
        <v>0</v>
      </c>
    </row>
    <row r="72" spans="1:37" hidden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2">
        <f t="shared" si="3"/>
        <v>0</v>
      </c>
      <c r="M72" s="42">
        <v>0</v>
      </c>
      <c r="O72" s="42">
        <v>0</v>
      </c>
      <c r="Q72" s="2">
        <f t="shared" si="4"/>
        <v>0</v>
      </c>
      <c r="S72" s="42">
        <v>0</v>
      </c>
      <c r="U72" s="42">
        <v>0</v>
      </c>
      <c r="W72" s="42">
        <v>0</v>
      </c>
      <c r="Y72" s="42">
        <v>0</v>
      </c>
      <c r="AA72" s="42">
        <v>0</v>
      </c>
      <c r="AC72" s="42">
        <v>0</v>
      </c>
      <c r="AE72" s="42">
        <v>0</v>
      </c>
      <c r="AG72" s="42">
        <v>0</v>
      </c>
      <c r="AI72" s="10">
        <f t="shared" si="5"/>
        <v>0</v>
      </c>
      <c r="AK72" s="42">
        <f t="shared" si="6"/>
        <v>0</v>
      </c>
    </row>
    <row r="73" spans="1:37">
      <c r="A73" s="9" t="s">
        <v>779</v>
      </c>
      <c r="B73" s="9"/>
      <c r="C73" s="9" t="s">
        <v>20</v>
      </c>
      <c r="D73" s="9"/>
      <c r="E73" s="23">
        <v>43646</v>
      </c>
      <c r="G73" s="42">
        <v>10616756</v>
      </c>
      <c r="I73" s="42">
        <v>0</v>
      </c>
      <c r="K73" s="2">
        <f t="shared" si="3"/>
        <v>31377210</v>
      </c>
      <c r="M73" s="42">
        <v>41993966</v>
      </c>
      <c r="O73" s="42">
        <v>0</v>
      </c>
      <c r="Q73" s="2">
        <f t="shared" si="4"/>
        <v>6114996</v>
      </c>
      <c r="S73" s="42">
        <v>0</v>
      </c>
      <c r="U73" s="42">
        <v>6114996</v>
      </c>
      <c r="W73" s="42">
        <v>27061484</v>
      </c>
      <c r="Y73" s="42">
        <v>0</v>
      </c>
      <c r="AA73" s="42">
        <v>0</v>
      </c>
      <c r="AC73" s="42">
        <v>0</v>
      </c>
      <c r="AE73" s="42">
        <v>370909</v>
      </c>
      <c r="AG73" s="42">
        <v>8446577</v>
      </c>
      <c r="AI73" s="10">
        <f t="shared" si="5"/>
        <v>8817486</v>
      </c>
      <c r="AK73" s="42">
        <f t="shared" si="6"/>
        <v>0</v>
      </c>
    </row>
    <row r="74" spans="1:37">
      <c r="A74" s="9" t="s">
        <v>745</v>
      </c>
      <c r="B74" s="9"/>
      <c r="C74" s="9" t="s">
        <v>15</v>
      </c>
      <c r="D74" s="9"/>
      <c r="E74" s="23">
        <v>45237</v>
      </c>
      <c r="G74" s="42">
        <v>1272574</v>
      </c>
      <c r="I74" s="42">
        <v>0</v>
      </c>
      <c r="K74" s="2">
        <f t="shared" si="3"/>
        <v>1962995</v>
      </c>
      <c r="M74" s="42">
        <v>3235569</v>
      </c>
      <c r="O74" s="42">
        <v>0</v>
      </c>
      <c r="Q74" s="2">
        <f t="shared" si="4"/>
        <v>656037</v>
      </c>
      <c r="S74" s="42">
        <v>0</v>
      </c>
      <c r="U74" s="42">
        <v>656037</v>
      </c>
      <c r="W74" s="42">
        <v>1623791</v>
      </c>
      <c r="Y74" s="42">
        <f>11209+25003</f>
        <v>36212</v>
      </c>
      <c r="AA74" s="42">
        <v>0</v>
      </c>
      <c r="AC74" s="42">
        <v>0</v>
      </c>
      <c r="AE74" s="42">
        <f>72736+26180+67741+9182</f>
        <v>175839</v>
      </c>
      <c r="AG74" s="42">
        <v>743690</v>
      </c>
      <c r="AI74" s="10">
        <f t="shared" si="5"/>
        <v>955741</v>
      </c>
      <c r="AK74" s="42">
        <f t="shared" si="6"/>
        <v>0</v>
      </c>
    </row>
    <row r="75" spans="1:37" hidden="1">
      <c r="A75" s="9" t="s">
        <v>787</v>
      </c>
      <c r="B75" s="9"/>
      <c r="C75" s="9" t="s">
        <v>346</v>
      </c>
      <c r="D75" s="9"/>
      <c r="E75" s="23">
        <v>47613</v>
      </c>
      <c r="G75" s="42">
        <v>0</v>
      </c>
      <c r="I75" s="42">
        <v>0</v>
      </c>
      <c r="K75" s="2">
        <f t="shared" si="3"/>
        <v>0</v>
      </c>
      <c r="M75" s="42">
        <v>0</v>
      </c>
      <c r="O75" s="42">
        <v>0</v>
      </c>
      <c r="Q75" s="2">
        <f t="shared" si="4"/>
        <v>0</v>
      </c>
      <c r="S75" s="42">
        <v>0</v>
      </c>
      <c r="U75" s="42">
        <v>0</v>
      </c>
      <c r="W75" s="42">
        <v>0</v>
      </c>
      <c r="Y75" s="42">
        <v>0</v>
      </c>
      <c r="AA75" s="42">
        <v>0</v>
      </c>
      <c r="AC75" s="42">
        <v>0</v>
      </c>
      <c r="AE75" s="42">
        <v>0</v>
      </c>
      <c r="AG75" s="42">
        <v>0</v>
      </c>
      <c r="AI75" s="10">
        <f t="shared" si="5"/>
        <v>0</v>
      </c>
      <c r="AK75" s="42">
        <f t="shared" si="6"/>
        <v>0</v>
      </c>
    </row>
    <row r="76" spans="1:37">
      <c r="A76" s="9" t="s">
        <v>515</v>
      </c>
      <c r="B76" s="9"/>
      <c r="C76" s="9" t="s">
        <v>64</v>
      </c>
      <c r="D76" s="9"/>
      <c r="E76" s="23">
        <v>50112</v>
      </c>
      <c r="G76" s="42">
        <v>2055637</v>
      </c>
      <c r="I76" s="42">
        <v>0</v>
      </c>
      <c r="K76" s="2">
        <f t="shared" si="3"/>
        <v>2771592</v>
      </c>
      <c r="M76" s="42">
        <v>4827229</v>
      </c>
      <c r="O76" s="42">
        <v>0</v>
      </c>
      <c r="Q76" s="2">
        <f t="shared" si="4"/>
        <v>623352</v>
      </c>
      <c r="S76" s="42">
        <v>0</v>
      </c>
      <c r="U76" s="42">
        <v>623352</v>
      </c>
      <c r="W76" s="42">
        <v>2729626</v>
      </c>
      <c r="Y76" s="42">
        <v>8747</v>
      </c>
      <c r="AA76" s="42">
        <v>0</v>
      </c>
      <c r="AC76" s="42">
        <v>0</v>
      </c>
      <c r="AE76" s="42">
        <f>14183+238640+260488</f>
        <v>513311</v>
      </c>
      <c r="AG76" s="42">
        <v>952193</v>
      </c>
      <c r="AI76" s="10">
        <f t="shared" si="5"/>
        <v>1474251</v>
      </c>
      <c r="AK76" s="42">
        <f t="shared" si="6"/>
        <v>0</v>
      </c>
    </row>
    <row r="77" spans="1:37">
      <c r="A77" s="9" t="s">
        <v>668</v>
      </c>
      <c r="B77" s="9"/>
      <c r="C77" s="9" t="s">
        <v>64</v>
      </c>
      <c r="D77" s="9"/>
      <c r="E77" s="23">
        <v>50120</v>
      </c>
      <c r="G77" s="42">
        <v>35195</v>
      </c>
      <c r="I77" s="42">
        <v>0</v>
      </c>
      <c r="K77" s="2">
        <f t="shared" si="3"/>
        <v>3822437</v>
      </c>
      <c r="M77" s="42">
        <v>3857632</v>
      </c>
      <c r="O77" s="42">
        <v>0</v>
      </c>
      <c r="Q77" s="2">
        <f t="shared" si="4"/>
        <v>2128239</v>
      </c>
      <c r="S77" s="42">
        <v>0</v>
      </c>
      <c r="U77" s="42">
        <v>2128239</v>
      </c>
      <c r="W77" s="42">
        <v>3744501</v>
      </c>
      <c r="Y77" s="42">
        <v>0</v>
      </c>
      <c r="AA77" s="42">
        <v>0</v>
      </c>
      <c r="AC77" s="42">
        <v>0</v>
      </c>
      <c r="AE77" s="42">
        <v>0</v>
      </c>
      <c r="AG77" s="42">
        <v>-2015108</v>
      </c>
      <c r="AI77" s="10">
        <f t="shared" si="5"/>
        <v>-2015108</v>
      </c>
      <c r="AK77" s="42">
        <f t="shared" si="6"/>
        <v>0</v>
      </c>
    </row>
    <row r="78" spans="1:37">
      <c r="A78" s="9" t="s">
        <v>262</v>
      </c>
      <c r="B78" s="9"/>
      <c r="C78" s="9" t="s">
        <v>20</v>
      </c>
      <c r="D78" s="9"/>
      <c r="E78" s="23">
        <v>43653</v>
      </c>
      <c r="G78" s="42">
        <v>2610630</v>
      </c>
      <c r="I78" s="42">
        <v>15356</v>
      </c>
      <c r="K78" s="2">
        <f t="shared" si="3"/>
        <v>10876412</v>
      </c>
      <c r="M78" s="42">
        <v>13502398</v>
      </c>
      <c r="O78" s="42">
        <v>0</v>
      </c>
      <c r="Q78" s="2">
        <f t="shared" si="4"/>
        <v>1568601</v>
      </c>
      <c r="S78" s="42">
        <v>0</v>
      </c>
      <c r="U78" s="42">
        <v>1568601</v>
      </c>
      <c r="W78" s="42">
        <v>8222282</v>
      </c>
      <c r="Y78" s="42">
        <v>48423</v>
      </c>
      <c r="AA78" s="42">
        <v>0</v>
      </c>
      <c r="AC78" s="42">
        <v>0</v>
      </c>
      <c r="AE78" s="42">
        <v>2363695</v>
      </c>
      <c r="AG78" s="42">
        <v>1299397</v>
      </c>
      <c r="AI78" s="10">
        <f t="shared" si="5"/>
        <v>3711515</v>
      </c>
      <c r="AK78" s="42">
        <f t="shared" si="6"/>
        <v>0</v>
      </c>
    </row>
    <row r="79" spans="1:37">
      <c r="A79" s="9" t="s">
        <v>425</v>
      </c>
      <c r="B79" s="9"/>
      <c r="C79" s="9" t="s">
        <v>50</v>
      </c>
      <c r="D79" s="9"/>
      <c r="E79" s="23">
        <v>48678</v>
      </c>
      <c r="G79" s="42">
        <v>3856332</v>
      </c>
      <c r="I79" s="42">
        <v>0</v>
      </c>
      <c r="K79" s="2">
        <f t="shared" si="3"/>
        <v>5193455</v>
      </c>
      <c r="M79" s="42">
        <v>9049787</v>
      </c>
      <c r="O79" s="42">
        <v>0</v>
      </c>
      <c r="Q79" s="2">
        <f t="shared" si="4"/>
        <v>6403352</v>
      </c>
      <c r="S79" s="42">
        <v>0</v>
      </c>
      <c r="U79" s="42">
        <v>6403352</v>
      </c>
      <c r="W79" s="42">
        <v>0</v>
      </c>
      <c r="Y79" s="42">
        <v>56596</v>
      </c>
      <c r="AA79" s="42">
        <v>0</v>
      </c>
      <c r="AC79" s="42">
        <v>22788</v>
      </c>
      <c r="AE79" s="42">
        <v>884193</v>
      </c>
      <c r="AG79" s="42">
        <v>1682858</v>
      </c>
      <c r="AI79" s="10">
        <f t="shared" si="5"/>
        <v>2646435</v>
      </c>
      <c r="AK79" s="42">
        <f t="shared" ref="AK79:AK142" si="24">+G79+I79+K79+O79-U79-W79-AC79-AA79-Y79-AE79-AG79</f>
        <v>0</v>
      </c>
    </row>
    <row r="80" spans="1:37">
      <c r="A80" s="9" t="s">
        <v>226</v>
      </c>
      <c r="B80" s="9"/>
      <c r="C80" s="9" t="s">
        <v>16</v>
      </c>
      <c r="D80" s="9"/>
      <c r="E80" s="23">
        <v>46177</v>
      </c>
      <c r="G80" s="42">
        <v>2905978</v>
      </c>
      <c r="I80" s="42">
        <v>0</v>
      </c>
      <c r="K80" s="2">
        <f t="shared" si="3"/>
        <v>3007620</v>
      </c>
      <c r="M80" s="42">
        <v>5913598</v>
      </c>
      <c r="O80" s="42">
        <v>0</v>
      </c>
      <c r="Q80" s="2">
        <f t="shared" si="4"/>
        <v>545353</v>
      </c>
      <c r="S80" s="42">
        <v>0</v>
      </c>
      <c r="U80" s="42">
        <v>545353</v>
      </c>
      <c r="W80" s="42">
        <v>1967678</v>
      </c>
      <c r="Y80" s="42">
        <v>0</v>
      </c>
      <c r="AA80" s="42">
        <v>0</v>
      </c>
      <c r="AC80" s="42">
        <v>83556</v>
      </c>
      <c r="AE80" s="42">
        <v>63899</v>
      </c>
      <c r="AG80" s="42">
        <v>3253112</v>
      </c>
      <c r="AI80" s="10">
        <f t="shared" si="5"/>
        <v>3400567</v>
      </c>
      <c r="AK80" s="42">
        <f t="shared" si="24"/>
        <v>0</v>
      </c>
    </row>
    <row r="81" spans="1:37">
      <c r="A81" s="9" t="s">
        <v>412</v>
      </c>
      <c r="B81" s="9"/>
      <c r="C81" s="9" t="s">
        <v>47</v>
      </c>
      <c r="D81" s="9"/>
      <c r="E81" s="23">
        <v>43661</v>
      </c>
      <c r="G81" s="42">
        <v>4568566</v>
      </c>
      <c r="I81" s="42">
        <v>0</v>
      </c>
      <c r="K81" s="2">
        <f t="shared" si="3"/>
        <v>35241303</v>
      </c>
      <c r="M81" s="42">
        <v>39809869</v>
      </c>
      <c r="O81" s="42">
        <v>0</v>
      </c>
      <c r="Q81" s="2">
        <f t="shared" si="4"/>
        <v>39108189</v>
      </c>
      <c r="S81" s="42">
        <v>0</v>
      </c>
      <c r="U81" s="42">
        <v>39108189</v>
      </c>
      <c r="W81" s="42">
        <v>0</v>
      </c>
      <c r="Y81" s="42">
        <v>345704</v>
      </c>
      <c r="AA81" s="42">
        <v>0</v>
      </c>
      <c r="AC81" s="42">
        <v>9956</v>
      </c>
      <c r="AE81" s="42">
        <v>71945</v>
      </c>
      <c r="AG81" s="42">
        <v>274075</v>
      </c>
      <c r="AI81" s="10">
        <f t="shared" si="5"/>
        <v>701680</v>
      </c>
      <c r="AK81" s="42">
        <f t="shared" si="24"/>
        <v>0</v>
      </c>
    </row>
    <row r="82" spans="1:37" hidden="1">
      <c r="A82" s="9" t="s">
        <v>669</v>
      </c>
      <c r="B82" s="9"/>
      <c r="C82" s="9" t="s">
        <v>548</v>
      </c>
      <c r="D82" s="9"/>
      <c r="E82" s="23">
        <v>43679</v>
      </c>
      <c r="G82" s="42">
        <v>0</v>
      </c>
      <c r="I82" s="42">
        <v>0</v>
      </c>
      <c r="K82" s="2">
        <f t="shared" si="3"/>
        <v>0</v>
      </c>
      <c r="M82" s="42">
        <v>0</v>
      </c>
      <c r="O82" s="42">
        <v>0</v>
      </c>
      <c r="Q82" s="2">
        <f t="shared" si="4"/>
        <v>0</v>
      </c>
      <c r="S82" s="42">
        <v>0</v>
      </c>
      <c r="U82" s="42">
        <v>0</v>
      </c>
      <c r="W82" s="42">
        <v>0</v>
      </c>
      <c r="Y82" s="42">
        <v>0</v>
      </c>
      <c r="AA82" s="42">
        <v>0</v>
      </c>
      <c r="AC82" s="42">
        <v>0</v>
      </c>
      <c r="AE82" s="42">
        <v>0</v>
      </c>
      <c r="AG82" s="42">
        <v>0</v>
      </c>
      <c r="AI82" s="10">
        <f t="shared" si="5"/>
        <v>0</v>
      </c>
      <c r="AK82" s="42">
        <f t="shared" si="24"/>
        <v>0</v>
      </c>
    </row>
    <row r="83" spans="1:37">
      <c r="A83" s="9" t="s">
        <v>254</v>
      </c>
      <c r="B83" s="9"/>
      <c r="C83" s="9" t="s">
        <v>110</v>
      </c>
      <c r="D83" s="9"/>
      <c r="E83" s="23">
        <v>46508</v>
      </c>
      <c r="G83" s="42">
        <v>2883656</v>
      </c>
      <c r="I83" s="42">
        <v>0</v>
      </c>
      <c r="K83" s="2">
        <f t="shared" si="3"/>
        <v>2667519</v>
      </c>
      <c r="M83" s="42">
        <v>5551175</v>
      </c>
      <c r="O83" s="42">
        <v>0</v>
      </c>
      <c r="Q83" s="2">
        <f t="shared" si="4"/>
        <v>857233</v>
      </c>
      <c r="S83" s="42">
        <v>0</v>
      </c>
      <c r="U83" s="42">
        <v>857233</v>
      </c>
      <c r="W83" s="42">
        <v>1580096</v>
      </c>
      <c r="Y83" s="42">
        <v>12549</v>
      </c>
      <c r="AA83" s="42">
        <v>0</v>
      </c>
      <c r="AC83" s="42">
        <v>10000</v>
      </c>
      <c r="AE83" s="42">
        <f>39087+66709+274959+5652+2410</f>
        <v>388817</v>
      </c>
      <c r="AG83" s="42">
        <v>2702480</v>
      </c>
      <c r="AI83" s="10">
        <f t="shared" si="5"/>
        <v>3113846</v>
      </c>
      <c r="AK83" s="42">
        <f t="shared" si="24"/>
        <v>0</v>
      </c>
    </row>
    <row r="84" spans="1:37">
      <c r="A84" s="9" t="s">
        <v>205</v>
      </c>
      <c r="B84" s="9"/>
      <c r="C84" s="9" t="s">
        <v>12</v>
      </c>
      <c r="D84" s="9"/>
      <c r="E84" s="23">
        <v>45856</v>
      </c>
      <c r="G84" s="42">
        <v>5168365</v>
      </c>
      <c r="I84" s="42">
        <v>0</v>
      </c>
      <c r="K84" s="2">
        <f t="shared" si="3"/>
        <v>6446594</v>
      </c>
      <c r="M84" s="42">
        <v>11614959</v>
      </c>
      <c r="O84" s="42">
        <v>0</v>
      </c>
      <c r="Q84" s="2">
        <f t="shared" ref="Q84:Q147" si="25">+U84-S84</f>
        <v>2035881</v>
      </c>
      <c r="S84" s="42">
        <v>0</v>
      </c>
      <c r="U84" s="42">
        <v>2035881</v>
      </c>
      <c r="W84" s="42">
        <v>5504561</v>
      </c>
      <c r="Y84" s="42">
        <v>142099</v>
      </c>
      <c r="AA84" s="42">
        <v>0</v>
      </c>
      <c r="AC84" s="42">
        <v>462377</v>
      </c>
      <c r="AE84" s="42">
        <v>248250</v>
      </c>
      <c r="AG84" s="42">
        <v>3221791</v>
      </c>
      <c r="AI84" s="10">
        <f t="shared" ref="AI84:AI147" si="26">+AC84+AA84++Y84+AE84+AG84</f>
        <v>4074517</v>
      </c>
      <c r="AK84" s="42">
        <f t="shared" si="24"/>
        <v>0</v>
      </c>
    </row>
    <row r="85" spans="1:37">
      <c r="A85" s="9" t="s">
        <v>205</v>
      </c>
      <c r="B85" s="9"/>
      <c r="C85" s="9" t="s">
        <v>39</v>
      </c>
      <c r="D85" s="9"/>
      <c r="E85" s="23">
        <v>47787</v>
      </c>
      <c r="G85" s="42">
        <f>976900+112532</f>
        <v>1089432</v>
      </c>
      <c r="I85" s="42">
        <v>5959</v>
      </c>
      <c r="K85" s="2">
        <f t="shared" si="3"/>
        <v>7641111</v>
      </c>
      <c r="M85" s="42">
        <v>8736502</v>
      </c>
      <c r="O85" s="42">
        <v>0</v>
      </c>
      <c r="Q85" s="2">
        <f t="shared" si="25"/>
        <v>2377573</v>
      </c>
      <c r="S85" s="42">
        <v>0</v>
      </c>
      <c r="U85" s="42">
        <v>2377573</v>
      </c>
      <c r="W85" s="42">
        <v>7179823</v>
      </c>
      <c r="Y85" s="42">
        <f>51686+1084</f>
        <v>52770</v>
      </c>
      <c r="AA85" s="42">
        <v>5959</v>
      </c>
      <c r="AC85" s="42">
        <v>14257</v>
      </c>
      <c r="AE85" s="42">
        <v>0</v>
      </c>
      <c r="AG85" s="42">
        <v>-893880</v>
      </c>
      <c r="AI85" s="10">
        <f t="shared" si="26"/>
        <v>-820894</v>
      </c>
      <c r="AK85" s="42">
        <f t="shared" si="24"/>
        <v>0</v>
      </c>
    </row>
    <row r="86" spans="1:37">
      <c r="A86" s="9" t="s">
        <v>670</v>
      </c>
      <c r="B86" s="9"/>
      <c r="C86" s="9" t="s">
        <v>47</v>
      </c>
      <c r="D86" s="9"/>
      <c r="E86" s="23">
        <v>48470</v>
      </c>
      <c r="G86" s="42">
        <f>2096463+21052</f>
        <v>2117515</v>
      </c>
      <c r="I86" s="42">
        <v>0</v>
      </c>
      <c r="K86" s="2">
        <f t="shared" ref="K86:K149" si="27">+M86-I86-G86</f>
        <v>11607113</v>
      </c>
      <c r="M86" s="42">
        <v>13724628</v>
      </c>
      <c r="O86" s="42">
        <v>0</v>
      </c>
      <c r="Q86" s="2">
        <f t="shared" si="25"/>
        <v>12990955</v>
      </c>
      <c r="S86" s="42">
        <v>0</v>
      </c>
      <c r="U86" s="42">
        <v>12990955</v>
      </c>
      <c r="W86" s="42">
        <v>0</v>
      </c>
      <c r="Y86" s="42">
        <v>15455</v>
      </c>
      <c r="AA86" s="42">
        <v>0</v>
      </c>
      <c r="AC86" s="42">
        <v>242</v>
      </c>
      <c r="AE86" s="42">
        <v>669220</v>
      </c>
      <c r="AG86" s="42">
        <v>48756</v>
      </c>
      <c r="AI86" s="10">
        <f t="shared" si="26"/>
        <v>733673</v>
      </c>
      <c r="AK86" s="42">
        <f t="shared" si="24"/>
        <v>0</v>
      </c>
    </row>
    <row r="87" spans="1:37" hidden="1">
      <c r="A87" s="35" t="s">
        <v>788</v>
      </c>
      <c r="B87" s="9"/>
      <c r="C87" s="9" t="s">
        <v>111</v>
      </c>
      <c r="D87" s="9"/>
      <c r="E87" s="54" t="s">
        <v>871</v>
      </c>
      <c r="G87" s="42">
        <v>0</v>
      </c>
      <c r="I87" s="42">
        <v>0</v>
      </c>
      <c r="K87" s="2">
        <f t="shared" si="27"/>
        <v>0</v>
      </c>
      <c r="M87" s="42">
        <v>0</v>
      </c>
      <c r="O87" s="42">
        <v>0</v>
      </c>
      <c r="Q87" s="2">
        <f t="shared" si="25"/>
        <v>0</v>
      </c>
      <c r="S87" s="42">
        <v>0</v>
      </c>
      <c r="U87" s="42">
        <v>0</v>
      </c>
      <c r="W87" s="42">
        <v>0</v>
      </c>
      <c r="Y87" s="42">
        <v>0</v>
      </c>
      <c r="AA87" s="42">
        <v>0</v>
      </c>
      <c r="AC87" s="42">
        <v>0</v>
      </c>
      <c r="AE87" s="42">
        <v>0</v>
      </c>
      <c r="AG87" s="42">
        <v>0</v>
      </c>
      <c r="AI87" s="10">
        <f t="shared" si="26"/>
        <v>0</v>
      </c>
      <c r="AK87" s="42">
        <f t="shared" si="24"/>
        <v>0</v>
      </c>
    </row>
    <row r="88" spans="1:37">
      <c r="A88" s="9" t="s">
        <v>631</v>
      </c>
      <c r="B88" s="9"/>
      <c r="C88" s="9" t="s">
        <v>23</v>
      </c>
      <c r="D88" s="9"/>
      <c r="E88" s="23">
        <v>46755</v>
      </c>
      <c r="G88" s="42">
        <v>4358159</v>
      </c>
      <c r="I88" s="42">
        <v>0</v>
      </c>
      <c r="K88" s="2">
        <f t="shared" si="27"/>
        <v>12324522</v>
      </c>
      <c r="M88" s="42">
        <v>16682681</v>
      </c>
      <c r="O88" s="42">
        <v>0</v>
      </c>
      <c r="Q88" s="2">
        <f t="shared" si="25"/>
        <v>2336758</v>
      </c>
      <c r="S88" s="42">
        <v>0</v>
      </c>
      <c r="U88" s="42">
        <v>2336758</v>
      </c>
      <c r="W88" s="42">
        <v>8208308</v>
      </c>
      <c r="Y88" s="42">
        <f>6104+2925</f>
        <v>9029</v>
      </c>
      <c r="AA88" s="42">
        <v>0</v>
      </c>
      <c r="AC88" s="42">
        <v>0</v>
      </c>
      <c r="AE88" s="42">
        <f>55205+172766+52421+32024+13051</f>
        <v>325467</v>
      </c>
      <c r="AG88" s="42">
        <v>5803119</v>
      </c>
      <c r="AI88" s="10">
        <f t="shared" si="26"/>
        <v>6137615</v>
      </c>
      <c r="AK88" s="42">
        <f t="shared" si="24"/>
        <v>0</v>
      </c>
    </row>
    <row r="89" spans="1:37">
      <c r="A89" s="9" t="s">
        <v>255</v>
      </c>
      <c r="B89" s="9"/>
      <c r="C89" s="9" t="s">
        <v>110</v>
      </c>
      <c r="D89" s="9"/>
      <c r="E89" s="23">
        <v>43687</v>
      </c>
      <c r="G89" s="42">
        <f>4345847+1020952</f>
        <v>5366799</v>
      </c>
      <c r="I89" s="42">
        <v>5605</v>
      </c>
      <c r="K89" s="2">
        <f t="shared" si="27"/>
        <v>5218292</v>
      </c>
      <c r="M89" s="42">
        <v>10590696</v>
      </c>
      <c r="O89" s="42">
        <v>0</v>
      </c>
      <c r="Q89" s="2">
        <f t="shared" si="25"/>
        <v>1775947</v>
      </c>
      <c r="S89" s="42">
        <v>0</v>
      </c>
      <c r="U89" s="42">
        <v>1775947</v>
      </c>
      <c r="W89" s="42">
        <v>3573074</v>
      </c>
      <c r="Y89" s="42">
        <v>0</v>
      </c>
      <c r="AA89" s="42">
        <v>5605</v>
      </c>
      <c r="AC89" s="42">
        <v>0</v>
      </c>
      <c r="AE89" s="42">
        <v>355420</v>
      </c>
      <c r="AG89" s="42">
        <v>4880650</v>
      </c>
      <c r="AI89" s="10">
        <f t="shared" si="26"/>
        <v>5241675</v>
      </c>
      <c r="AK89" s="42">
        <f t="shared" si="24"/>
        <v>0</v>
      </c>
    </row>
    <row r="90" spans="1:37">
      <c r="A90" s="9" t="s">
        <v>746</v>
      </c>
      <c r="B90" s="9"/>
      <c r="C90" s="9" t="s">
        <v>52</v>
      </c>
      <c r="D90" s="9"/>
      <c r="E90" s="23">
        <v>45252</v>
      </c>
      <c r="G90" s="42">
        <v>798364</v>
      </c>
      <c r="I90" s="42">
        <v>28554</v>
      </c>
      <c r="K90" s="2">
        <f t="shared" si="27"/>
        <v>3653154</v>
      </c>
      <c r="M90" s="42">
        <v>4480072</v>
      </c>
      <c r="O90" s="42">
        <v>0</v>
      </c>
      <c r="Q90" s="2">
        <f t="shared" si="25"/>
        <v>933011</v>
      </c>
      <c r="S90" s="42">
        <v>0</v>
      </c>
      <c r="U90" s="42">
        <v>933011</v>
      </c>
      <c r="W90" s="42">
        <v>2741309</v>
      </c>
      <c r="Y90" s="42">
        <v>20095</v>
      </c>
      <c r="AA90" s="42">
        <v>28284</v>
      </c>
      <c r="AC90" s="42">
        <v>0</v>
      </c>
      <c r="AE90" s="42">
        <v>757373</v>
      </c>
      <c r="AG90" s="42">
        <v>0</v>
      </c>
      <c r="AI90" s="10">
        <f t="shared" si="26"/>
        <v>805752</v>
      </c>
      <c r="AK90" s="42">
        <f t="shared" si="24"/>
        <v>0</v>
      </c>
    </row>
    <row r="91" spans="1:37">
      <c r="A91" s="9" t="s">
        <v>317</v>
      </c>
      <c r="B91" s="9"/>
      <c r="C91" s="9" t="s">
        <v>31</v>
      </c>
      <c r="D91" s="9"/>
      <c r="E91" s="23">
        <v>43695</v>
      </c>
      <c r="G91" s="42">
        <f>1327466+22277</f>
        <v>1349743</v>
      </c>
      <c r="I91" s="42">
        <v>12869</v>
      </c>
      <c r="K91" s="2">
        <f t="shared" si="27"/>
        <v>7235994</v>
      </c>
      <c r="M91" s="42">
        <v>8598606</v>
      </c>
      <c r="O91" s="42">
        <v>0</v>
      </c>
      <c r="Q91" s="2">
        <f t="shared" si="25"/>
        <v>2512794</v>
      </c>
      <c r="S91" s="42">
        <v>0</v>
      </c>
      <c r="U91" s="42">
        <v>2512794</v>
      </c>
      <c r="W91" s="42">
        <v>5275114</v>
      </c>
      <c r="Y91" s="42">
        <f>53834+74633+12869</f>
        <v>141336</v>
      </c>
      <c r="AA91" s="42">
        <v>0</v>
      </c>
      <c r="AC91" s="42">
        <v>40474</v>
      </c>
      <c r="AE91" s="42">
        <f>404450+119020+33601</f>
        <v>557071</v>
      </c>
      <c r="AG91" s="42">
        <v>71817</v>
      </c>
      <c r="AI91" s="10">
        <f t="shared" si="26"/>
        <v>810698</v>
      </c>
      <c r="AK91" s="42">
        <f t="shared" si="24"/>
        <v>0</v>
      </c>
    </row>
    <row r="92" spans="1:37">
      <c r="A92" s="9" t="s">
        <v>642</v>
      </c>
      <c r="B92" s="9"/>
      <c r="C92" s="9" t="s">
        <v>45</v>
      </c>
      <c r="D92" s="9"/>
      <c r="E92" s="23">
        <v>43703</v>
      </c>
      <c r="G92" s="42">
        <v>234469</v>
      </c>
      <c r="I92" s="42">
        <v>80192</v>
      </c>
      <c r="K92" s="2">
        <f t="shared" si="27"/>
        <v>2792967</v>
      </c>
      <c r="M92" s="42">
        <v>3107628</v>
      </c>
      <c r="O92" s="42">
        <v>0</v>
      </c>
      <c r="Q92" s="2">
        <f t="shared" si="25"/>
        <v>1802087</v>
      </c>
      <c r="S92" s="42">
        <v>0</v>
      </c>
      <c r="U92" s="42">
        <v>1802087</v>
      </c>
      <c r="W92" s="42">
        <v>2668252</v>
      </c>
      <c r="Y92" s="42">
        <v>0</v>
      </c>
      <c r="AA92" s="42">
        <v>80609</v>
      </c>
      <c r="AC92" s="42">
        <v>0</v>
      </c>
      <c r="AE92" s="42">
        <v>0</v>
      </c>
      <c r="AG92" s="42">
        <v>-1443320</v>
      </c>
      <c r="AI92" s="10">
        <f t="shared" si="26"/>
        <v>-1362711</v>
      </c>
      <c r="AK92" s="42">
        <f t="shared" si="24"/>
        <v>0</v>
      </c>
    </row>
    <row r="93" spans="1:37">
      <c r="A93" s="9" t="s">
        <v>298</v>
      </c>
      <c r="B93" s="9"/>
      <c r="C93" s="9" t="s">
        <v>27</v>
      </c>
      <c r="D93" s="9"/>
      <c r="E93" s="23">
        <v>46946</v>
      </c>
      <c r="G93" s="42">
        <v>9358262</v>
      </c>
      <c r="I93" s="42">
        <v>0</v>
      </c>
      <c r="K93" s="2">
        <f t="shared" si="27"/>
        <v>19555746</v>
      </c>
      <c r="M93" s="42">
        <v>28914008</v>
      </c>
      <c r="O93" s="42">
        <v>0</v>
      </c>
      <c r="Q93" s="2">
        <f t="shared" si="25"/>
        <v>3585243</v>
      </c>
      <c r="S93" s="42">
        <v>0</v>
      </c>
      <c r="U93" s="42">
        <v>3585243</v>
      </c>
      <c r="W93" s="42">
        <v>13231837</v>
      </c>
      <c r="Y93" s="42">
        <v>0</v>
      </c>
      <c r="AA93" s="42">
        <v>0</v>
      </c>
      <c r="AC93" s="42">
        <v>0</v>
      </c>
      <c r="AE93" s="42">
        <f>176372+286732+5198+1200+1607442</f>
        <v>2076944</v>
      </c>
      <c r="AG93" s="42">
        <v>10019984</v>
      </c>
      <c r="AI93" s="10">
        <f t="shared" si="26"/>
        <v>12096928</v>
      </c>
      <c r="AK93" s="42">
        <f t="shared" si="24"/>
        <v>0</v>
      </c>
    </row>
    <row r="94" spans="1:37">
      <c r="A94" s="9" t="s">
        <v>400</v>
      </c>
      <c r="B94" s="9"/>
      <c r="C94" s="9" t="s">
        <v>45</v>
      </c>
      <c r="D94" s="9"/>
      <c r="E94" s="23">
        <v>48314</v>
      </c>
      <c r="G94" s="42">
        <v>5268254</v>
      </c>
      <c r="I94" s="42">
        <v>0</v>
      </c>
      <c r="K94" s="2">
        <f t="shared" si="27"/>
        <v>16337441</v>
      </c>
      <c r="M94" s="42">
        <v>21605695</v>
      </c>
      <c r="O94" s="42">
        <v>0</v>
      </c>
      <c r="Q94" s="2">
        <f t="shared" si="25"/>
        <v>2379422</v>
      </c>
      <c r="S94" s="42">
        <v>0</v>
      </c>
      <c r="U94" s="42">
        <v>2379422</v>
      </c>
      <c r="W94" s="42">
        <v>16185208</v>
      </c>
      <c r="Y94" s="42">
        <v>82454</v>
      </c>
      <c r="AA94" s="42">
        <v>0</v>
      </c>
      <c r="AC94" s="42">
        <v>25678</v>
      </c>
      <c r="AE94" s="42">
        <v>94169</v>
      </c>
      <c r="AG94" s="42">
        <v>2838764</v>
      </c>
      <c r="AI94" s="10">
        <f t="shared" si="26"/>
        <v>3041065</v>
      </c>
      <c r="AK94" s="42">
        <f t="shared" si="24"/>
        <v>0</v>
      </c>
    </row>
    <row r="95" spans="1:37">
      <c r="A95" s="9" t="s">
        <v>490</v>
      </c>
      <c r="B95" s="9"/>
      <c r="C95" s="9" t="s">
        <v>62</v>
      </c>
      <c r="D95" s="9"/>
      <c r="E95" s="23">
        <v>43711</v>
      </c>
      <c r="G95" s="42">
        <v>14377000</v>
      </c>
      <c r="I95" s="42">
        <v>0</v>
      </c>
      <c r="K95" s="2">
        <f>+M95-I95-G95</f>
        <v>33614000</v>
      </c>
      <c r="M95" s="42">
        <v>47991000</v>
      </c>
      <c r="O95" s="42">
        <v>0</v>
      </c>
      <c r="Q95" s="2">
        <f>+U95-S95</f>
        <v>15834000</v>
      </c>
      <c r="S95" s="42">
        <v>0</v>
      </c>
      <c r="U95" s="42">
        <v>15834000</v>
      </c>
      <c r="W95" s="42">
        <v>31172000</v>
      </c>
      <c r="Y95" s="42">
        <v>176000</v>
      </c>
      <c r="AA95" s="42">
        <v>0</v>
      </c>
      <c r="AC95" s="42">
        <v>0</v>
      </c>
      <c r="AE95" s="42">
        <v>809000</v>
      </c>
      <c r="AG95" s="42">
        <v>0</v>
      </c>
      <c r="AI95" s="10">
        <f>+AC95+AA95++Y95+AE95+AG95</f>
        <v>985000</v>
      </c>
      <c r="AK95" s="42">
        <f t="shared" si="24"/>
        <v>0</v>
      </c>
    </row>
    <row r="96" spans="1:37">
      <c r="A96" s="9" t="s">
        <v>491</v>
      </c>
      <c r="B96" s="9"/>
      <c r="C96" s="9" t="s">
        <v>62</v>
      </c>
      <c r="D96" s="9"/>
      <c r="E96" s="23">
        <v>49833</v>
      </c>
      <c r="G96" s="42">
        <v>2897665</v>
      </c>
      <c r="I96" s="42">
        <v>0</v>
      </c>
      <c r="K96" s="2">
        <f t="shared" si="27"/>
        <v>8381795</v>
      </c>
      <c r="M96" s="42">
        <v>11279460</v>
      </c>
      <c r="O96" s="42">
        <v>0</v>
      </c>
      <c r="Q96" s="2">
        <f t="shared" si="25"/>
        <v>2988731</v>
      </c>
      <c r="S96" s="42">
        <v>0</v>
      </c>
      <c r="U96" s="42">
        <v>2988731</v>
      </c>
      <c r="W96" s="42">
        <v>7937236</v>
      </c>
      <c r="Y96" s="42">
        <v>16305</v>
      </c>
      <c r="AA96" s="42">
        <v>0</v>
      </c>
      <c r="AC96" s="42">
        <v>0</v>
      </c>
      <c r="AE96" s="42">
        <f>58102+116435+6085+2900+14716</f>
        <v>198238</v>
      </c>
      <c r="AG96" s="42">
        <v>138950</v>
      </c>
      <c r="AI96" s="10">
        <f t="shared" si="26"/>
        <v>353493</v>
      </c>
      <c r="AK96" s="42">
        <f t="shared" si="24"/>
        <v>0</v>
      </c>
    </row>
    <row r="97" spans="1:37">
      <c r="A97" s="9" t="s">
        <v>643</v>
      </c>
      <c r="B97" s="9"/>
      <c r="C97" s="9" t="s">
        <v>30</v>
      </c>
      <c r="D97" s="9"/>
      <c r="E97" s="23">
        <v>47175</v>
      </c>
      <c r="G97" s="42">
        <v>519550</v>
      </c>
      <c r="I97" s="42">
        <v>0</v>
      </c>
      <c r="K97" s="2">
        <f t="shared" si="27"/>
        <v>6431551</v>
      </c>
      <c r="M97" s="42">
        <v>6951101</v>
      </c>
      <c r="O97" s="42">
        <v>0</v>
      </c>
      <c r="Q97" s="2">
        <f t="shared" si="25"/>
        <v>1441658</v>
      </c>
      <c r="S97" s="42">
        <v>0</v>
      </c>
      <c r="U97" s="42">
        <v>1441658</v>
      </c>
      <c r="W97" s="42">
        <v>5565533</v>
      </c>
      <c r="Y97" s="42">
        <v>56946</v>
      </c>
      <c r="AA97" s="42">
        <v>0</v>
      </c>
      <c r="AC97" s="42">
        <v>0</v>
      </c>
      <c r="AE97" s="42">
        <v>0</v>
      </c>
      <c r="AG97" s="42">
        <v>-113036</v>
      </c>
      <c r="AI97" s="10">
        <f t="shared" si="26"/>
        <v>-56090</v>
      </c>
      <c r="AK97" s="42">
        <f t="shared" si="24"/>
        <v>0</v>
      </c>
    </row>
    <row r="98" spans="1:37">
      <c r="A98" s="9" t="s">
        <v>438</v>
      </c>
      <c r="B98" s="9"/>
      <c r="C98" s="9" t="s">
        <v>78</v>
      </c>
      <c r="D98" s="9"/>
      <c r="E98" s="23">
        <v>48793</v>
      </c>
      <c r="G98" s="42">
        <v>70466</v>
      </c>
      <c r="I98" s="42">
        <v>0</v>
      </c>
      <c r="K98" s="2">
        <f t="shared" si="27"/>
        <v>2728212</v>
      </c>
      <c r="M98" s="42">
        <v>2798678</v>
      </c>
      <c r="O98" s="42">
        <v>0</v>
      </c>
      <c r="Q98" s="2">
        <f t="shared" si="25"/>
        <v>1155684</v>
      </c>
      <c r="S98" s="42">
        <v>0</v>
      </c>
      <c r="U98" s="42">
        <v>1155684</v>
      </c>
      <c r="W98" s="42">
        <v>2179775</v>
      </c>
      <c r="Y98" s="42">
        <v>0</v>
      </c>
      <c r="AA98" s="42">
        <v>0</v>
      </c>
      <c r="AC98" s="42">
        <v>0</v>
      </c>
      <c r="AE98" s="42">
        <f>27692+5674</f>
        <v>33366</v>
      </c>
      <c r="AG98" s="42">
        <v>-570147</v>
      </c>
      <c r="AI98" s="10">
        <f t="shared" si="26"/>
        <v>-536781</v>
      </c>
      <c r="AK98" s="42">
        <f t="shared" si="24"/>
        <v>0</v>
      </c>
    </row>
    <row r="99" spans="1:37" hidden="1">
      <c r="A99" s="9" t="s">
        <v>855</v>
      </c>
      <c r="B99" s="9"/>
      <c r="C99" s="9" t="s">
        <v>553</v>
      </c>
      <c r="D99" s="9"/>
      <c r="E99" s="23">
        <v>45260</v>
      </c>
      <c r="G99" s="42">
        <v>0</v>
      </c>
      <c r="I99" s="42">
        <v>0</v>
      </c>
      <c r="K99" s="2">
        <f t="shared" si="27"/>
        <v>0</v>
      </c>
      <c r="M99" s="42">
        <v>0</v>
      </c>
      <c r="O99" s="42">
        <v>0</v>
      </c>
      <c r="Q99" s="2">
        <f t="shared" si="25"/>
        <v>0</v>
      </c>
      <c r="S99" s="42">
        <v>0</v>
      </c>
      <c r="U99" s="42">
        <v>0</v>
      </c>
      <c r="W99" s="42">
        <v>0</v>
      </c>
      <c r="Y99" s="42">
        <v>0</v>
      </c>
      <c r="AA99" s="42">
        <v>0</v>
      </c>
      <c r="AC99" s="42">
        <v>0</v>
      </c>
      <c r="AE99" s="42">
        <v>0</v>
      </c>
      <c r="AG99" s="42">
        <v>0</v>
      </c>
      <c r="AI99" s="10">
        <f t="shared" si="26"/>
        <v>0</v>
      </c>
      <c r="AK99" s="42">
        <f t="shared" si="24"/>
        <v>0</v>
      </c>
    </row>
    <row r="100" spans="1:37" s="24" customFormat="1">
      <c r="A100" s="51" t="s">
        <v>539</v>
      </c>
      <c r="B100" s="51"/>
      <c r="C100" s="51" t="s">
        <v>69</v>
      </c>
      <c r="D100" s="51"/>
      <c r="E100" s="23">
        <v>50419</v>
      </c>
      <c r="G100" s="42">
        <v>555842</v>
      </c>
      <c r="H100" s="42"/>
      <c r="I100" s="42">
        <v>0</v>
      </c>
      <c r="J100" s="42"/>
      <c r="K100" s="2">
        <f t="shared" si="27"/>
        <v>4919737</v>
      </c>
      <c r="L100" s="42"/>
      <c r="M100" s="42">
        <v>5475579</v>
      </c>
      <c r="N100" s="42"/>
      <c r="O100" s="42">
        <v>0</v>
      </c>
      <c r="P100" s="42"/>
      <c r="Q100" s="2">
        <f t="shared" si="25"/>
        <v>1784263</v>
      </c>
      <c r="R100" s="42"/>
      <c r="S100" s="42">
        <v>0</v>
      </c>
      <c r="T100" s="42"/>
      <c r="U100" s="42">
        <v>1784263</v>
      </c>
      <c r="V100" s="42"/>
      <c r="W100" s="42">
        <v>3799750</v>
      </c>
      <c r="X100" s="42"/>
      <c r="Y100" s="42">
        <v>0</v>
      </c>
      <c r="Z100" s="42"/>
      <c r="AA100" s="42">
        <v>0</v>
      </c>
      <c r="AB100" s="42"/>
      <c r="AC100" s="42">
        <v>0</v>
      </c>
      <c r="AD100" s="42"/>
      <c r="AE100" s="42">
        <v>113497</v>
      </c>
      <c r="AF100" s="42"/>
      <c r="AG100" s="42">
        <v>-221931</v>
      </c>
      <c r="AH100" s="42"/>
      <c r="AI100" s="10">
        <f t="shared" si="26"/>
        <v>-108434</v>
      </c>
      <c r="AJ100" s="42"/>
      <c r="AK100" s="42">
        <f t="shared" si="24"/>
        <v>0</v>
      </c>
    </row>
    <row r="101" spans="1:37" s="24" customFormat="1">
      <c r="A101" s="51" t="s">
        <v>747</v>
      </c>
      <c r="B101" s="51"/>
      <c r="C101" s="51" t="s">
        <v>16</v>
      </c>
      <c r="D101" s="51"/>
      <c r="E101" s="51">
        <v>45278</v>
      </c>
      <c r="G101" s="24">
        <v>4708124</v>
      </c>
      <c r="I101" s="24">
        <v>0</v>
      </c>
      <c r="K101" s="60">
        <f t="shared" si="27"/>
        <v>6774530</v>
      </c>
      <c r="M101" s="24">
        <v>11482654</v>
      </c>
      <c r="O101" s="24">
        <v>0</v>
      </c>
      <c r="Q101" s="60">
        <f t="shared" si="25"/>
        <v>6814868</v>
      </c>
      <c r="S101" s="24">
        <v>0</v>
      </c>
      <c r="U101" s="24">
        <v>6814868</v>
      </c>
      <c r="W101" s="24">
        <v>0</v>
      </c>
      <c r="Y101" s="24">
        <v>60578</v>
      </c>
      <c r="AA101" s="24">
        <v>0</v>
      </c>
      <c r="AC101" s="24">
        <v>0</v>
      </c>
      <c r="AE101" s="24">
        <v>1842503</v>
      </c>
      <c r="AG101" s="24">
        <v>2764705</v>
      </c>
      <c r="AI101" s="61">
        <f t="shared" si="26"/>
        <v>4667786</v>
      </c>
      <c r="AK101" s="24">
        <f t="shared" si="24"/>
        <v>0</v>
      </c>
    </row>
    <row r="102" spans="1:37">
      <c r="A102" s="9" t="s">
        <v>644</v>
      </c>
      <c r="B102" s="9"/>
      <c r="C102" s="9" t="s">
        <v>113</v>
      </c>
      <c r="D102" s="9"/>
      <c r="E102" s="23">
        <v>47258</v>
      </c>
      <c r="G102" s="42">
        <v>2569928</v>
      </c>
      <c r="I102" s="42">
        <v>0</v>
      </c>
      <c r="K102" s="2">
        <f t="shared" si="27"/>
        <v>2294300</v>
      </c>
      <c r="M102" s="42">
        <v>4864228</v>
      </c>
      <c r="O102" s="42">
        <v>0</v>
      </c>
      <c r="Q102" s="2">
        <f t="shared" si="25"/>
        <v>617786</v>
      </c>
      <c r="S102" s="42">
        <v>0</v>
      </c>
      <c r="U102" s="42">
        <v>617786</v>
      </c>
      <c r="W102" s="42">
        <v>1726765</v>
      </c>
      <c r="Y102" s="42">
        <v>17087</v>
      </c>
      <c r="AA102" s="42">
        <v>0</v>
      </c>
      <c r="AC102" s="42">
        <v>0</v>
      </c>
      <c r="AE102" s="42">
        <v>121228</v>
      </c>
      <c r="AG102" s="42">
        <v>2381362</v>
      </c>
      <c r="AI102" s="10">
        <f t="shared" si="26"/>
        <v>2519677</v>
      </c>
      <c r="AK102" s="42">
        <f t="shared" si="24"/>
        <v>0</v>
      </c>
    </row>
    <row r="103" spans="1:37" hidden="1">
      <c r="A103" s="9" t="s">
        <v>613</v>
      </c>
      <c r="B103" s="9"/>
      <c r="C103" s="9" t="s">
        <v>419</v>
      </c>
      <c r="D103" s="9"/>
      <c r="E103" s="23">
        <v>43729</v>
      </c>
      <c r="G103" s="42">
        <v>0</v>
      </c>
      <c r="I103" s="42">
        <v>0</v>
      </c>
      <c r="K103" s="2">
        <f t="shared" si="27"/>
        <v>0</v>
      </c>
      <c r="M103" s="42">
        <v>0</v>
      </c>
      <c r="O103" s="42">
        <v>0</v>
      </c>
      <c r="Q103" s="2">
        <f t="shared" si="25"/>
        <v>0</v>
      </c>
      <c r="S103" s="42">
        <v>0</v>
      </c>
      <c r="U103" s="42">
        <v>0</v>
      </c>
      <c r="W103" s="42">
        <v>0</v>
      </c>
      <c r="Y103" s="42">
        <v>0</v>
      </c>
      <c r="AA103" s="42">
        <v>0</v>
      </c>
      <c r="AC103" s="42">
        <v>0</v>
      </c>
      <c r="AE103" s="42">
        <v>0</v>
      </c>
      <c r="AG103" s="42">
        <v>0</v>
      </c>
      <c r="AI103" s="10">
        <f t="shared" si="26"/>
        <v>0</v>
      </c>
      <c r="AK103" s="42">
        <f t="shared" si="24"/>
        <v>0</v>
      </c>
    </row>
    <row r="104" spans="1:37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v>0</v>
      </c>
      <c r="I104" s="42">
        <v>0</v>
      </c>
      <c r="K104" s="2">
        <f t="shared" si="27"/>
        <v>0</v>
      </c>
      <c r="M104" s="42">
        <v>0</v>
      </c>
      <c r="O104" s="42">
        <v>0</v>
      </c>
      <c r="Q104" s="2">
        <f t="shared" si="25"/>
        <v>0</v>
      </c>
      <c r="S104" s="42">
        <v>0</v>
      </c>
      <c r="U104" s="42">
        <v>0</v>
      </c>
      <c r="W104" s="42">
        <v>0</v>
      </c>
      <c r="Y104" s="42">
        <v>0</v>
      </c>
      <c r="AA104" s="42">
        <v>0</v>
      </c>
      <c r="AC104" s="42">
        <v>0</v>
      </c>
      <c r="AE104" s="42">
        <v>0</v>
      </c>
      <c r="AG104" s="42">
        <v>0</v>
      </c>
      <c r="AI104" s="10">
        <f t="shared" si="26"/>
        <v>0</v>
      </c>
      <c r="AK104" s="42">
        <f t="shared" si="24"/>
        <v>0</v>
      </c>
    </row>
    <row r="105" spans="1:37">
      <c r="A105" s="9" t="s">
        <v>645</v>
      </c>
      <c r="B105" s="9"/>
      <c r="C105" s="9" t="s">
        <v>50</v>
      </c>
      <c r="D105" s="9"/>
      <c r="E105" s="23">
        <v>43737</v>
      </c>
      <c r="G105" s="42">
        <v>16465517</v>
      </c>
      <c r="I105" s="42">
        <v>141886</v>
      </c>
      <c r="K105" s="2">
        <f t="shared" si="27"/>
        <v>51577297</v>
      </c>
      <c r="M105" s="42">
        <v>68184700</v>
      </c>
      <c r="O105" s="42">
        <v>0</v>
      </c>
      <c r="Q105" s="2">
        <f t="shared" si="25"/>
        <v>58334572</v>
      </c>
      <c r="S105" s="42">
        <v>0</v>
      </c>
      <c r="U105" s="42">
        <v>58334572</v>
      </c>
      <c r="W105" s="42">
        <v>0</v>
      </c>
      <c r="Y105" s="42">
        <v>0</v>
      </c>
      <c r="AA105" s="42">
        <v>0</v>
      </c>
      <c r="AC105" s="42">
        <v>0</v>
      </c>
      <c r="AE105" s="42">
        <v>6459943</v>
      </c>
      <c r="AG105" s="42">
        <v>3390185</v>
      </c>
      <c r="AI105" s="10">
        <f t="shared" si="26"/>
        <v>9850128</v>
      </c>
      <c r="AK105" s="42">
        <f t="shared" si="24"/>
        <v>0</v>
      </c>
    </row>
    <row r="106" spans="1:37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v>0</v>
      </c>
      <c r="I106" s="42">
        <v>0</v>
      </c>
      <c r="K106" s="2">
        <f t="shared" si="27"/>
        <v>0</v>
      </c>
      <c r="M106" s="42">
        <v>0</v>
      </c>
      <c r="O106" s="42">
        <v>0</v>
      </c>
      <c r="Q106" s="2">
        <f t="shared" si="25"/>
        <v>0</v>
      </c>
      <c r="S106" s="42">
        <v>0</v>
      </c>
      <c r="U106" s="42">
        <v>0</v>
      </c>
      <c r="W106" s="42">
        <v>0</v>
      </c>
      <c r="Y106" s="42">
        <v>0</v>
      </c>
      <c r="AA106" s="42">
        <v>0</v>
      </c>
      <c r="AC106" s="42">
        <v>0</v>
      </c>
      <c r="AE106" s="42">
        <v>0</v>
      </c>
      <c r="AG106" s="42">
        <v>0</v>
      </c>
      <c r="AI106" s="10">
        <f t="shared" si="26"/>
        <v>0</v>
      </c>
      <c r="AK106" s="42">
        <f t="shared" si="24"/>
        <v>0</v>
      </c>
    </row>
    <row r="107" spans="1:37">
      <c r="A107" s="9" t="s">
        <v>748</v>
      </c>
      <c r="B107" s="9"/>
      <c r="C107" s="9" t="s">
        <v>20</v>
      </c>
      <c r="D107" s="9"/>
      <c r="E107" s="23">
        <v>45286</v>
      </c>
      <c r="G107" s="42">
        <v>7796465</v>
      </c>
      <c r="I107" s="42">
        <v>0</v>
      </c>
      <c r="K107" s="2">
        <f t="shared" si="27"/>
        <v>21888179</v>
      </c>
      <c r="M107" s="42">
        <v>29684644</v>
      </c>
      <c r="O107" s="42">
        <v>0</v>
      </c>
      <c r="Q107" s="2">
        <f t="shared" si="25"/>
        <v>21857871</v>
      </c>
      <c r="S107" s="42">
        <v>0</v>
      </c>
      <c r="U107" s="42">
        <v>21857871</v>
      </c>
      <c r="W107" s="42">
        <v>0</v>
      </c>
      <c r="Y107" s="42">
        <v>0</v>
      </c>
      <c r="AA107" s="42">
        <v>0</v>
      </c>
      <c r="AC107" s="42">
        <v>0</v>
      </c>
      <c r="AE107" s="42">
        <v>194555</v>
      </c>
      <c r="AG107" s="42">
        <v>7632218</v>
      </c>
      <c r="AI107" s="10">
        <f t="shared" si="26"/>
        <v>7826773</v>
      </c>
      <c r="AK107" s="42">
        <f t="shared" si="24"/>
        <v>0</v>
      </c>
    </row>
    <row r="108" spans="1:37">
      <c r="A108" s="9" t="s">
        <v>516</v>
      </c>
      <c r="B108" s="9"/>
      <c r="C108" s="9" t="s">
        <v>64</v>
      </c>
      <c r="D108" s="9"/>
      <c r="E108" s="23">
        <v>50138</v>
      </c>
      <c r="G108" s="42">
        <v>910755</v>
      </c>
      <c r="I108" s="42">
        <v>0</v>
      </c>
      <c r="K108" s="2">
        <f t="shared" si="27"/>
        <v>6588813</v>
      </c>
      <c r="M108" s="42">
        <v>7499568</v>
      </c>
      <c r="O108" s="42">
        <v>0</v>
      </c>
      <c r="Q108" s="2">
        <f t="shared" si="25"/>
        <v>1541999</v>
      </c>
      <c r="S108" s="42">
        <v>0</v>
      </c>
      <c r="U108" s="42">
        <v>1541999</v>
      </c>
      <c r="W108" s="42">
        <v>6487041</v>
      </c>
      <c r="Y108" s="42">
        <f>10618+42243</f>
        <v>52861</v>
      </c>
      <c r="AA108" s="42">
        <v>0</v>
      </c>
      <c r="AC108" s="42">
        <v>0</v>
      </c>
      <c r="AE108" s="42">
        <f>7130+145466+318+36734+13004</f>
        <v>202652</v>
      </c>
      <c r="AG108" s="42">
        <v>-784985</v>
      </c>
      <c r="AI108" s="10">
        <f t="shared" si="26"/>
        <v>-529472</v>
      </c>
      <c r="AK108" s="42">
        <f t="shared" si="24"/>
        <v>0</v>
      </c>
    </row>
    <row r="109" spans="1:37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v>0</v>
      </c>
      <c r="I109" s="42">
        <v>0</v>
      </c>
      <c r="K109" s="2">
        <f t="shared" si="27"/>
        <v>0</v>
      </c>
      <c r="M109" s="42">
        <v>0</v>
      </c>
      <c r="O109" s="42">
        <v>0</v>
      </c>
      <c r="Q109" s="2">
        <f t="shared" si="25"/>
        <v>0</v>
      </c>
      <c r="S109" s="42">
        <v>0</v>
      </c>
      <c r="U109" s="42">
        <v>0</v>
      </c>
      <c r="W109" s="42">
        <v>0</v>
      </c>
      <c r="Y109" s="42">
        <v>0</v>
      </c>
      <c r="AA109" s="42">
        <v>0</v>
      </c>
      <c r="AC109" s="42">
        <v>0</v>
      </c>
      <c r="AE109" s="42">
        <v>0</v>
      </c>
      <c r="AG109" s="42">
        <v>0</v>
      </c>
      <c r="AI109" s="10">
        <f t="shared" si="26"/>
        <v>0</v>
      </c>
      <c r="AK109" s="42">
        <f t="shared" si="24"/>
        <v>0</v>
      </c>
    </row>
    <row r="110" spans="1:37">
      <c r="A110" s="9" t="s">
        <v>749</v>
      </c>
      <c r="B110" s="9"/>
      <c r="C110" s="9" t="s">
        <v>364</v>
      </c>
      <c r="D110" s="9"/>
      <c r="E110" s="23">
        <v>45294</v>
      </c>
      <c r="G110" s="42">
        <v>1746541</v>
      </c>
      <c r="I110" s="42">
        <v>123902</v>
      </c>
      <c r="K110" s="2">
        <f t="shared" si="27"/>
        <v>2364742</v>
      </c>
      <c r="M110" s="42">
        <v>4235185</v>
      </c>
      <c r="O110" s="42">
        <v>0</v>
      </c>
      <c r="Q110" s="2">
        <f t="shared" si="25"/>
        <v>1293910</v>
      </c>
      <c r="S110" s="42">
        <v>0</v>
      </c>
      <c r="U110" s="42">
        <v>1293910</v>
      </c>
      <c r="W110" s="42">
        <v>2179443</v>
      </c>
      <c r="Y110" s="42">
        <v>4188</v>
      </c>
      <c r="AA110" s="42">
        <v>123902</v>
      </c>
      <c r="AC110" s="42">
        <v>11000</v>
      </c>
      <c r="AE110" s="42">
        <v>467021</v>
      </c>
      <c r="AG110" s="42">
        <v>155721</v>
      </c>
      <c r="AI110" s="10">
        <f t="shared" si="26"/>
        <v>761832</v>
      </c>
      <c r="AK110" s="42">
        <f t="shared" si="24"/>
        <v>0</v>
      </c>
    </row>
    <row r="111" spans="1:37">
      <c r="A111" s="9" t="s">
        <v>470</v>
      </c>
      <c r="B111" s="9"/>
      <c r="C111" s="9" t="s">
        <v>58</v>
      </c>
      <c r="D111" s="9"/>
      <c r="E111" s="23">
        <v>43745</v>
      </c>
      <c r="G111" s="42">
        <v>2544456</v>
      </c>
      <c r="I111" s="42">
        <v>492</v>
      </c>
      <c r="K111" s="2">
        <f t="shared" si="27"/>
        <v>10449275</v>
      </c>
      <c r="M111" s="42">
        <v>12994223</v>
      </c>
      <c r="O111" s="42">
        <v>0</v>
      </c>
      <c r="Q111" s="2">
        <f t="shared" si="25"/>
        <v>2831879</v>
      </c>
      <c r="S111" s="42">
        <v>0</v>
      </c>
      <c r="U111" s="42">
        <v>2831879</v>
      </c>
      <c r="W111" s="42">
        <v>9419887</v>
      </c>
      <c r="Y111" s="42">
        <v>0</v>
      </c>
      <c r="AA111" s="42">
        <v>492</v>
      </c>
      <c r="AC111" s="42">
        <v>25693</v>
      </c>
      <c r="AE111" s="42">
        <f>26512+2525688+97536</f>
        <v>2649736</v>
      </c>
      <c r="AG111" s="42">
        <v>-1933464</v>
      </c>
      <c r="AI111" s="10">
        <f t="shared" si="26"/>
        <v>742457</v>
      </c>
      <c r="AK111" s="42">
        <f t="shared" si="24"/>
        <v>0</v>
      </c>
    </row>
    <row r="112" spans="1:37">
      <c r="A112" s="9" t="s">
        <v>547</v>
      </c>
      <c r="B112" s="9"/>
      <c r="C112" s="9" t="s">
        <v>71</v>
      </c>
      <c r="D112" s="9"/>
      <c r="E112" s="23">
        <v>50534</v>
      </c>
      <c r="G112" s="42">
        <v>6398655</v>
      </c>
      <c r="I112" s="42">
        <v>0</v>
      </c>
      <c r="K112" s="2">
        <f t="shared" si="27"/>
        <v>4439568</v>
      </c>
      <c r="M112" s="42">
        <v>10838223</v>
      </c>
      <c r="O112" s="42">
        <v>0</v>
      </c>
      <c r="Q112" s="2">
        <f t="shared" si="25"/>
        <v>1118210</v>
      </c>
      <c r="S112" s="42">
        <v>0</v>
      </c>
      <c r="U112" s="42">
        <v>1118210</v>
      </c>
      <c r="W112" s="42">
        <v>3474683</v>
      </c>
      <c r="Y112" s="42">
        <v>44938</v>
      </c>
      <c r="AA112" s="42">
        <v>0</v>
      </c>
      <c r="AC112" s="42">
        <v>0</v>
      </c>
      <c r="AE112" s="42">
        <f>67169+254123+700025+914</f>
        <v>1022231</v>
      </c>
      <c r="AG112" s="42">
        <v>5178161</v>
      </c>
      <c r="AI112" s="10">
        <f t="shared" si="26"/>
        <v>6245330</v>
      </c>
      <c r="AK112" s="42">
        <f t="shared" si="24"/>
        <v>0</v>
      </c>
    </row>
    <row r="113" spans="1:37">
      <c r="A113" s="9" t="s">
        <v>647</v>
      </c>
      <c r="B113" s="9"/>
      <c r="C113" s="9" t="s">
        <v>32</v>
      </c>
      <c r="D113" s="9"/>
      <c r="E113" s="23">
        <v>43752</v>
      </c>
      <c r="G113" s="42">
        <v>149334611</v>
      </c>
      <c r="I113" s="42">
        <v>0</v>
      </c>
      <c r="K113" s="2">
        <f t="shared" si="27"/>
        <v>310335069</v>
      </c>
      <c r="M113" s="42">
        <v>459669680</v>
      </c>
      <c r="O113" s="42">
        <v>0</v>
      </c>
      <c r="Q113" s="2">
        <f t="shared" si="25"/>
        <v>38814344</v>
      </c>
      <c r="S113" s="42">
        <v>0</v>
      </c>
      <c r="U113" s="42">
        <v>38814344</v>
      </c>
      <c r="W113" s="42">
        <v>262601722</v>
      </c>
      <c r="Y113" s="42">
        <v>974486</v>
      </c>
      <c r="AA113" s="42">
        <v>0</v>
      </c>
      <c r="AC113" s="42">
        <v>0</v>
      </c>
      <c r="AE113" s="42">
        <v>8521334</v>
      </c>
      <c r="AG113" s="42">
        <v>148757794</v>
      </c>
      <c r="AI113" s="10">
        <f t="shared" si="26"/>
        <v>158253614</v>
      </c>
      <c r="AK113" s="42">
        <f t="shared" si="24"/>
        <v>0</v>
      </c>
    </row>
    <row r="114" spans="1:37">
      <c r="A114" s="9" t="s">
        <v>449</v>
      </c>
      <c r="B114" s="9"/>
      <c r="C114" s="9" t="s">
        <v>54</v>
      </c>
      <c r="D114" s="9"/>
      <c r="E114" s="23">
        <v>43760</v>
      </c>
      <c r="G114" s="42">
        <v>15797702</v>
      </c>
      <c r="I114" s="42">
        <v>0</v>
      </c>
      <c r="K114" s="2">
        <f t="shared" si="27"/>
        <v>8507431</v>
      </c>
      <c r="M114" s="42">
        <v>24305133</v>
      </c>
      <c r="O114" s="42">
        <v>0</v>
      </c>
      <c r="Q114" s="2">
        <f t="shared" si="25"/>
        <v>2342325</v>
      </c>
      <c r="S114" s="42">
        <v>0</v>
      </c>
      <c r="U114" s="42">
        <v>2342325</v>
      </c>
      <c r="W114" s="42">
        <v>6654011</v>
      </c>
      <c r="Y114" s="42">
        <f>41878+66021</f>
        <v>107899</v>
      </c>
      <c r="AA114" s="42">
        <v>2286634</v>
      </c>
      <c r="AC114" s="42">
        <f>870337+100000+58000+98810</f>
        <v>1127147</v>
      </c>
      <c r="AE114" s="42">
        <f>37133+126636+180+900347</f>
        <v>1064296</v>
      </c>
      <c r="AG114" s="42">
        <v>10722821</v>
      </c>
      <c r="AI114" s="10">
        <f t="shared" si="26"/>
        <v>15308797</v>
      </c>
      <c r="AK114" s="42">
        <f t="shared" si="24"/>
        <v>0</v>
      </c>
    </row>
    <row r="115" spans="1:37">
      <c r="A115" s="9" t="s">
        <v>229</v>
      </c>
      <c r="B115" s="9"/>
      <c r="C115" s="9" t="s">
        <v>17</v>
      </c>
      <c r="D115" s="9"/>
      <c r="E115" s="23">
        <v>46284</v>
      </c>
      <c r="G115" s="42">
        <v>2117298</v>
      </c>
      <c r="I115" s="42">
        <v>28770</v>
      </c>
      <c r="K115" s="2">
        <f t="shared" si="27"/>
        <v>9685569</v>
      </c>
      <c r="M115" s="42">
        <v>11831637</v>
      </c>
      <c r="O115" s="42">
        <v>0</v>
      </c>
      <c r="Q115" s="2">
        <f t="shared" si="25"/>
        <v>2256287</v>
      </c>
      <c r="S115" s="42">
        <v>0</v>
      </c>
      <c r="U115" s="42">
        <v>2256287</v>
      </c>
      <c r="W115" s="42">
        <v>8230953</v>
      </c>
      <c r="Y115" s="42">
        <v>26371</v>
      </c>
      <c r="AA115" s="42">
        <v>28770</v>
      </c>
      <c r="AC115" s="42">
        <v>11000</v>
      </c>
      <c r="AE115" s="42">
        <v>471261</v>
      </c>
      <c r="AG115" s="42">
        <v>806995</v>
      </c>
      <c r="AI115" s="10">
        <f t="shared" si="26"/>
        <v>1344397</v>
      </c>
      <c r="AK115" s="42">
        <f t="shared" si="24"/>
        <v>0</v>
      </c>
    </row>
    <row r="116" spans="1:37">
      <c r="A116" s="9" t="s">
        <v>477</v>
      </c>
      <c r="B116" s="9"/>
      <c r="C116" s="9" t="s">
        <v>59</v>
      </c>
      <c r="D116" s="9"/>
      <c r="E116" s="23">
        <v>49601</v>
      </c>
      <c r="G116" s="42">
        <v>335082</v>
      </c>
      <c r="I116" s="42">
        <v>0</v>
      </c>
      <c r="K116" s="2">
        <f t="shared" si="27"/>
        <v>1179181</v>
      </c>
      <c r="M116" s="42">
        <v>1514263</v>
      </c>
      <c r="O116" s="42">
        <v>0</v>
      </c>
      <c r="Q116" s="2">
        <f t="shared" si="25"/>
        <v>549125</v>
      </c>
      <c r="S116" s="42">
        <v>0</v>
      </c>
      <c r="U116" s="42">
        <v>549125</v>
      </c>
      <c r="W116" s="42">
        <v>1056907</v>
      </c>
      <c r="Y116" s="42">
        <v>7850</v>
      </c>
      <c r="AA116" s="42">
        <v>0</v>
      </c>
      <c r="AC116" s="42">
        <v>0</v>
      </c>
      <c r="AE116" s="42">
        <v>115382</v>
      </c>
      <c r="AG116" s="42">
        <v>-215001</v>
      </c>
      <c r="AI116" s="10">
        <f t="shared" si="26"/>
        <v>-91769</v>
      </c>
      <c r="AK116" s="42">
        <f t="shared" si="24"/>
        <v>0</v>
      </c>
    </row>
    <row r="117" spans="1:37">
      <c r="A117" s="9" t="s">
        <v>529</v>
      </c>
      <c r="B117" s="9"/>
      <c r="C117" s="9" t="s">
        <v>65</v>
      </c>
      <c r="D117" s="9"/>
      <c r="E117" s="23">
        <v>43778</v>
      </c>
      <c r="G117" s="42">
        <v>3179958</v>
      </c>
      <c r="I117" s="42">
        <v>0</v>
      </c>
      <c r="K117" s="2">
        <f t="shared" si="27"/>
        <v>3757963</v>
      </c>
      <c r="M117" s="42">
        <v>6937921</v>
      </c>
      <c r="O117" s="42">
        <v>0</v>
      </c>
      <c r="Q117" s="2">
        <f t="shared" si="25"/>
        <v>1782649</v>
      </c>
      <c r="S117" s="42">
        <v>0</v>
      </c>
      <c r="U117" s="42">
        <v>1782649</v>
      </c>
      <c r="W117" s="42">
        <v>3143411</v>
      </c>
      <c r="Y117" s="42">
        <v>11948</v>
      </c>
      <c r="AA117" s="42">
        <v>0</v>
      </c>
      <c r="AC117" s="42">
        <v>0</v>
      </c>
      <c r="AE117" s="42">
        <f>112404+165598+8464+62006+207812</f>
        <v>556284</v>
      </c>
      <c r="AG117" s="42">
        <v>1443629</v>
      </c>
      <c r="AI117" s="10">
        <f t="shared" si="26"/>
        <v>2011861</v>
      </c>
      <c r="AK117" s="42">
        <f t="shared" si="24"/>
        <v>0</v>
      </c>
    </row>
    <row r="118" spans="1:37">
      <c r="A118" s="9" t="s">
        <v>465</v>
      </c>
      <c r="B118" s="9"/>
      <c r="C118" s="9" t="s">
        <v>109</v>
      </c>
      <c r="D118" s="9"/>
      <c r="E118" s="23">
        <v>49411</v>
      </c>
      <c r="G118" s="42">
        <f>6103565+189</f>
        <v>6103754</v>
      </c>
      <c r="I118" s="42">
        <v>0</v>
      </c>
      <c r="K118" s="2">
        <f t="shared" si="27"/>
        <v>4237430</v>
      </c>
      <c r="M118" s="42">
        <v>10341184</v>
      </c>
      <c r="O118" s="42">
        <v>0</v>
      </c>
      <c r="Q118" s="2">
        <f t="shared" si="25"/>
        <v>1248358</v>
      </c>
      <c r="S118" s="42">
        <v>0</v>
      </c>
      <c r="U118" s="42">
        <v>1248358</v>
      </c>
      <c r="W118" s="42">
        <v>2863647</v>
      </c>
      <c r="Y118" s="42">
        <f>13398+129079</f>
        <v>142477</v>
      </c>
      <c r="AA118" s="42">
        <v>0</v>
      </c>
      <c r="AC118" s="42">
        <v>7639</v>
      </c>
      <c r="AE118" s="42">
        <f>84541+286+19344</f>
        <v>104171</v>
      </c>
      <c r="AG118" s="42">
        <v>5974892</v>
      </c>
      <c r="AI118" s="10">
        <f t="shared" si="26"/>
        <v>6229179</v>
      </c>
      <c r="AK118" s="42">
        <f t="shared" si="24"/>
        <v>0</v>
      </c>
    </row>
    <row r="119" spans="1:37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v>0</v>
      </c>
      <c r="I119" s="42">
        <v>0</v>
      </c>
      <c r="K119" s="2">
        <f t="shared" si="27"/>
        <v>0</v>
      </c>
      <c r="M119" s="42">
        <v>0</v>
      </c>
      <c r="O119" s="42">
        <v>0</v>
      </c>
      <c r="Q119" s="2">
        <f t="shared" si="25"/>
        <v>0</v>
      </c>
      <c r="S119" s="42">
        <v>0</v>
      </c>
      <c r="U119" s="42">
        <v>0</v>
      </c>
      <c r="W119" s="42">
        <v>0</v>
      </c>
      <c r="Y119" s="42">
        <v>0</v>
      </c>
      <c r="AA119" s="42">
        <v>0</v>
      </c>
      <c r="AC119" s="42">
        <v>0</v>
      </c>
      <c r="AE119" s="42">
        <v>0</v>
      </c>
      <c r="AG119" s="42">
        <v>0</v>
      </c>
      <c r="AI119" s="10">
        <f t="shared" si="26"/>
        <v>0</v>
      </c>
      <c r="AK119" s="42">
        <f t="shared" si="24"/>
        <v>0</v>
      </c>
    </row>
    <row r="120" spans="1:37">
      <c r="A120" s="9" t="s">
        <v>648</v>
      </c>
      <c r="B120" s="9"/>
      <c r="C120" s="9" t="s">
        <v>112</v>
      </c>
      <c r="D120" s="9"/>
      <c r="E120" s="23">
        <v>46326</v>
      </c>
      <c r="G120" s="42">
        <v>219328</v>
      </c>
      <c r="I120" s="42">
        <v>0</v>
      </c>
      <c r="K120" s="2">
        <f t="shared" si="27"/>
        <v>7362292</v>
      </c>
      <c r="M120" s="42">
        <v>7581620</v>
      </c>
      <c r="O120" s="42">
        <v>0</v>
      </c>
      <c r="Q120" s="2">
        <f t="shared" si="25"/>
        <v>6331057</v>
      </c>
      <c r="S120" s="42">
        <v>0</v>
      </c>
      <c r="U120" s="42">
        <v>6331057</v>
      </c>
      <c r="W120" s="42">
        <v>0</v>
      </c>
      <c r="Y120" s="42">
        <v>0</v>
      </c>
      <c r="AA120" s="42">
        <v>0</v>
      </c>
      <c r="AC120" s="42">
        <v>161515</v>
      </c>
      <c r="AE120" s="42">
        <v>114486</v>
      </c>
      <c r="AG120" s="42">
        <v>974562</v>
      </c>
      <c r="AI120" s="10">
        <f t="shared" si="26"/>
        <v>1250563</v>
      </c>
      <c r="AK120" s="42">
        <f t="shared" si="24"/>
        <v>0</v>
      </c>
    </row>
    <row r="121" spans="1:37">
      <c r="A121" s="9" t="s">
        <v>646</v>
      </c>
      <c r="B121" s="9"/>
      <c r="C121" s="9" t="s">
        <v>20</v>
      </c>
      <c r="D121" s="9"/>
      <c r="E121" s="23">
        <v>43794</v>
      </c>
      <c r="G121" s="42">
        <v>21817630</v>
      </c>
      <c r="I121" s="42">
        <v>0</v>
      </c>
      <c r="K121" s="2">
        <f t="shared" si="27"/>
        <v>92095059</v>
      </c>
      <c r="M121" s="42">
        <v>113912689</v>
      </c>
      <c r="O121" s="42">
        <v>0</v>
      </c>
      <c r="Q121" s="2">
        <f t="shared" si="25"/>
        <v>71328705</v>
      </c>
      <c r="S121" s="42">
        <v>0</v>
      </c>
      <c r="U121" s="42">
        <v>71328705</v>
      </c>
      <c r="W121" s="42">
        <v>0</v>
      </c>
      <c r="Y121" s="42">
        <v>33381</v>
      </c>
      <c r="AA121" s="42">
        <v>0</v>
      </c>
      <c r="AC121" s="42">
        <v>169433</v>
      </c>
      <c r="AE121" s="42">
        <v>2855580</v>
      </c>
      <c r="AG121" s="42">
        <v>39525590</v>
      </c>
      <c r="AI121" s="10">
        <f t="shared" si="26"/>
        <v>42583984</v>
      </c>
      <c r="AK121" s="42">
        <f t="shared" si="24"/>
        <v>0</v>
      </c>
    </row>
    <row r="122" spans="1:37">
      <c r="A122" s="9" t="s">
        <v>263</v>
      </c>
      <c r="B122" s="9"/>
      <c r="C122" s="9" t="s">
        <v>20</v>
      </c>
      <c r="D122" s="9"/>
      <c r="E122" s="23">
        <v>43786</v>
      </c>
      <c r="G122" s="42">
        <v>53288623</v>
      </c>
      <c r="I122" s="42">
        <v>0</v>
      </c>
      <c r="K122" s="2">
        <f t="shared" si="27"/>
        <v>312462249</v>
      </c>
      <c r="M122" s="42">
        <v>365750872</v>
      </c>
      <c r="O122" s="42">
        <v>0</v>
      </c>
      <c r="Q122" s="2">
        <f t="shared" si="25"/>
        <v>55804880</v>
      </c>
      <c r="S122" s="42">
        <v>0</v>
      </c>
      <c r="U122" s="42">
        <v>55804880</v>
      </c>
      <c r="W122" s="42">
        <v>266409955</v>
      </c>
      <c r="Y122" s="42">
        <v>6535268</v>
      </c>
      <c r="AA122" s="42">
        <v>0</v>
      </c>
      <c r="AC122" s="42">
        <v>9185899</v>
      </c>
      <c r="AE122" s="42">
        <v>0</v>
      </c>
      <c r="AG122" s="42">
        <v>27814870</v>
      </c>
      <c r="AI122" s="10">
        <f t="shared" si="26"/>
        <v>43536037</v>
      </c>
      <c r="AK122" s="42">
        <f t="shared" si="24"/>
        <v>0</v>
      </c>
    </row>
    <row r="123" spans="1:37">
      <c r="A123" s="9" t="s">
        <v>241</v>
      </c>
      <c r="B123" s="9"/>
      <c r="C123" s="9" t="s">
        <v>18</v>
      </c>
      <c r="D123" s="9"/>
      <c r="E123" s="23">
        <v>46391</v>
      </c>
      <c r="G123" s="42">
        <v>3294676</v>
      </c>
      <c r="I123" s="42">
        <v>0</v>
      </c>
      <c r="K123" s="2">
        <f t="shared" si="27"/>
        <v>4872706</v>
      </c>
      <c r="M123" s="42">
        <v>8167382</v>
      </c>
      <c r="O123" s="42">
        <v>0</v>
      </c>
      <c r="Q123" s="2">
        <f t="shared" si="25"/>
        <v>5993263</v>
      </c>
      <c r="S123" s="42">
        <v>0</v>
      </c>
      <c r="U123" s="42">
        <v>5993263</v>
      </c>
      <c r="W123" s="42">
        <v>0</v>
      </c>
      <c r="Y123" s="42">
        <v>0</v>
      </c>
      <c r="AA123" s="42">
        <v>0</v>
      </c>
      <c r="AC123" s="42">
        <v>0</v>
      </c>
      <c r="AE123" s="42">
        <v>799590</v>
      </c>
      <c r="AG123" s="42">
        <v>1374529</v>
      </c>
      <c r="AI123" s="10">
        <f t="shared" si="26"/>
        <v>2174119</v>
      </c>
      <c r="AK123" s="42">
        <f t="shared" si="24"/>
        <v>0</v>
      </c>
    </row>
    <row r="124" spans="1:37">
      <c r="A124" s="9" t="s">
        <v>413</v>
      </c>
      <c r="B124" s="9"/>
      <c r="C124" s="9" t="s">
        <v>47</v>
      </c>
      <c r="D124" s="9"/>
      <c r="E124" s="23">
        <v>48488</v>
      </c>
      <c r="G124" s="42">
        <f>2645943+43720</f>
        <v>2689663</v>
      </c>
      <c r="I124" s="42">
        <v>0</v>
      </c>
      <c r="K124" s="2">
        <f t="shared" si="27"/>
        <v>15510540</v>
      </c>
      <c r="M124" s="42">
        <v>18200203</v>
      </c>
      <c r="O124" s="42">
        <v>0</v>
      </c>
      <c r="Q124" s="2">
        <f t="shared" si="25"/>
        <v>3365923</v>
      </c>
      <c r="S124" s="42">
        <v>0</v>
      </c>
      <c r="U124" s="42">
        <v>3365923</v>
      </c>
      <c r="W124" s="42">
        <v>13255390</v>
      </c>
      <c r="Y124" s="42">
        <f>36204+279706</f>
        <v>315910</v>
      </c>
      <c r="AA124" s="42">
        <v>0</v>
      </c>
      <c r="AC124" s="42">
        <v>283248</v>
      </c>
      <c r="AE124" s="42">
        <f>3320+111232+50+17071+566414</f>
        <v>698087</v>
      </c>
      <c r="AG124" s="42">
        <v>281645</v>
      </c>
      <c r="AI124" s="10">
        <f t="shared" si="26"/>
        <v>1578890</v>
      </c>
      <c r="AK124" s="42">
        <f t="shared" si="24"/>
        <v>0</v>
      </c>
    </row>
    <row r="125" spans="1:37">
      <c r="A125" s="9" t="s">
        <v>750</v>
      </c>
      <c r="B125" s="9"/>
      <c r="C125" s="9" t="s">
        <v>79</v>
      </c>
      <c r="D125" s="9"/>
      <c r="E125" s="23">
        <v>45302</v>
      </c>
      <c r="G125" s="42">
        <v>2854403</v>
      </c>
      <c r="I125" s="42">
        <v>0</v>
      </c>
      <c r="K125" s="2">
        <f t="shared" si="27"/>
        <v>7482054</v>
      </c>
      <c r="M125" s="42">
        <v>10336457</v>
      </c>
      <c r="O125" s="42">
        <v>0</v>
      </c>
      <c r="Q125" s="2">
        <f t="shared" si="25"/>
        <v>2170140</v>
      </c>
      <c r="S125" s="42">
        <v>0</v>
      </c>
      <c r="U125" s="42">
        <v>2170140</v>
      </c>
      <c r="W125" s="42">
        <v>5695848</v>
      </c>
      <c r="Y125" s="42">
        <v>77044</v>
      </c>
      <c r="AA125" s="42">
        <v>972375</v>
      </c>
      <c r="AC125" s="42">
        <v>0</v>
      </c>
      <c r="AE125" s="42">
        <f>65696+22235+211618+12982</f>
        <v>312531</v>
      </c>
      <c r="AG125" s="42">
        <v>1108519</v>
      </c>
      <c r="AI125" s="10">
        <f t="shared" si="26"/>
        <v>2470469</v>
      </c>
      <c r="AK125" s="42">
        <f t="shared" si="24"/>
        <v>0</v>
      </c>
    </row>
    <row r="126" spans="1:37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v>0</v>
      </c>
      <c r="I126" s="42">
        <v>0</v>
      </c>
      <c r="K126" s="2">
        <f t="shared" si="27"/>
        <v>0</v>
      </c>
      <c r="M126" s="42">
        <v>0</v>
      </c>
      <c r="O126" s="42">
        <v>0</v>
      </c>
      <c r="Q126" s="2">
        <f t="shared" si="25"/>
        <v>0</v>
      </c>
      <c r="S126" s="42">
        <v>0</v>
      </c>
      <c r="U126" s="42">
        <v>0</v>
      </c>
      <c r="W126" s="42">
        <v>0</v>
      </c>
      <c r="Y126" s="42">
        <v>0</v>
      </c>
      <c r="AA126" s="42">
        <v>0</v>
      </c>
      <c r="AC126" s="42">
        <v>0</v>
      </c>
      <c r="AE126" s="42">
        <v>0</v>
      </c>
      <c r="AG126" s="42">
        <v>0</v>
      </c>
      <c r="AI126" s="10">
        <f t="shared" si="26"/>
        <v>0</v>
      </c>
      <c r="AK126" s="42">
        <f t="shared" si="24"/>
        <v>0</v>
      </c>
    </row>
    <row r="127" spans="1:37" hidden="1">
      <c r="A127" s="9" t="s">
        <v>605</v>
      </c>
      <c r="B127" s="9"/>
      <c r="C127" s="9" t="s">
        <v>57</v>
      </c>
      <c r="D127" s="9"/>
      <c r="E127" s="23">
        <v>64964</v>
      </c>
      <c r="G127" s="42">
        <v>0</v>
      </c>
      <c r="I127" s="42">
        <v>0</v>
      </c>
      <c r="K127" s="2">
        <f t="shared" si="27"/>
        <v>0</v>
      </c>
      <c r="M127" s="42">
        <v>0</v>
      </c>
      <c r="O127" s="42">
        <v>0</v>
      </c>
      <c r="Q127" s="2">
        <f t="shared" si="25"/>
        <v>0</v>
      </c>
      <c r="S127" s="42">
        <v>0</v>
      </c>
      <c r="U127" s="42">
        <v>0</v>
      </c>
      <c r="W127" s="42">
        <v>0</v>
      </c>
      <c r="Y127" s="42">
        <v>0</v>
      </c>
      <c r="AA127" s="42">
        <v>0</v>
      </c>
      <c r="AC127" s="42">
        <v>0</v>
      </c>
      <c r="AE127" s="42">
        <v>0</v>
      </c>
      <c r="AG127" s="42">
        <v>0</v>
      </c>
      <c r="AI127" s="10">
        <f t="shared" si="26"/>
        <v>0</v>
      </c>
      <c r="AK127" s="42">
        <f t="shared" si="24"/>
        <v>0</v>
      </c>
    </row>
    <row r="128" spans="1:37">
      <c r="A128" s="9" t="s">
        <v>256</v>
      </c>
      <c r="B128" s="9"/>
      <c r="C128" s="9" t="s">
        <v>110</v>
      </c>
      <c r="D128" s="9"/>
      <c r="E128" s="23">
        <v>46516</v>
      </c>
      <c r="G128" s="42">
        <v>1133045</v>
      </c>
      <c r="I128" s="42">
        <v>0</v>
      </c>
      <c r="K128" s="2">
        <f t="shared" si="27"/>
        <v>3349491</v>
      </c>
      <c r="M128" s="42">
        <v>4482536</v>
      </c>
      <c r="O128" s="42">
        <v>0</v>
      </c>
      <c r="Q128" s="2">
        <f t="shared" si="25"/>
        <v>1172689</v>
      </c>
      <c r="S128" s="42">
        <v>0</v>
      </c>
      <c r="U128" s="42">
        <v>1172689</v>
      </c>
      <c r="W128" s="42">
        <v>1668216</v>
      </c>
      <c r="Y128" s="42">
        <v>21531</v>
      </c>
      <c r="AA128" s="42">
        <v>0</v>
      </c>
      <c r="AC128" s="42">
        <v>26464</v>
      </c>
      <c r="AE128" s="42">
        <f>4014+44768+531786+2904</f>
        <v>583472</v>
      </c>
      <c r="AG128" s="42">
        <v>1010164</v>
      </c>
      <c r="AI128" s="10">
        <f t="shared" si="26"/>
        <v>1641631</v>
      </c>
      <c r="AK128" s="42">
        <f t="shared" si="24"/>
        <v>0</v>
      </c>
    </row>
    <row r="129" spans="1:37">
      <c r="A129" s="9" t="s">
        <v>380</v>
      </c>
      <c r="B129" s="9"/>
      <c r="C129" s="9" t="s">
        <v>44</v>
      </c>
      <c r="D129" s="9"/>
      <c r="E129" s="23">
        <v>48140</v>
      </c>
      <c r="G129" s="42">
        <v>436505</v>
      </c>
      <c r="I129" s="42">
        <v>0</v>
      </c>
      <c r="K129" s="2">
        <f t="shared" si="27"/>
        <v>5878013</v>
      </c>
      <c r="M129" s="42">
        <v>6314518</v>
      </c>
      <c r="O129" s="42">
        <v>0</v>
      </c>
      <c r="Q129" s="2">
        <f t="shared" si="25"/>
        <v>1302750</v>
      </c>
      <c r="S129" s="42">
        <v>0</v>
      </c>
      <c r="U129" s="42">
        <v>1302750</v>
      </c>
      <c r="W129" s="42">
        <v>5278090</v>
      </c>
      <c r="Y129" s="42">
        <v>0</v>
      </c>
      <c r="AA129" s="42">
        <v>0</v>
      </c>
      <c r="AC129" s="42">
        <v>0</v>
      </c>
      <c r="AE129" s="42">
        <v>0</v>
      </c>
      <c r="AG129" s="42">
        <v>-266322</v>
      </c>
      <c r="AI129" s="10">
        <f t="shared" si="26"/>
        <v>-266322</v>
      </c>
      <c r="AK129" s="42">
        <f t="shared" si="24"/>
        <v>0</v>
      </c>
    </row>
    <row r="130" spans="1:37">
      <c r="A130" s="9" t="s">
        <v>751</v>
      </c>
      <c r="B130" s="9"/>
      <c r="C130" s="9" t="s">
        <v>111</v>
      </c>
      <c r="D130" s="9"/>
      <c r="E130" s="23">
        <v>45328</v>
      </c>
      <c r="G130" s="42">
        <f>2659513+26586</f>
        <v>2686099</v>
      </c>
      <c r="I130" s="42">
        <v>0</v>
      </c>
      <c r="K130" s="2">
        <f t="shared" si="27"/>
        <v>4376715</v>
      </c>
      <c r="M130" s="42">
        <v>7062814</v>
      </c>
      <c r="O130" s="42">
        <v>0</v>
      </c>
      <c r="Q130" s="2">
        <f t="shared" si="25"/>
        <v>847054</v>
      </c>
      <c r="S130" s="42">
        <v>0</v>
      </c>
      <c r="U130" s="42">
        <v>847054</v>
      </c>
      <c r="W130" s="42">
        <v>3565243</v>
      </c>
      <c r="Y130" s="42">
        <v>0</v>
      </c>
      <c r="AA130" s="42">
        <v>0</v>
      </c>
      <c r="AC130" s="42">
        <v>0</v>
      </c>
      <c r="AE130" s="42">
        <v>92792</v>
      </c>
      <c r="AG130" s="42">
        <v>2557725</v>
      </c>
      <c r="AI130" s="10">
        <f t="shared" si="26"/>
        <v>2650517</v>
      </c>
      <c r="AK130" s="42">
        <f t="shared" si="24"/>
        <v>0</v>
      </c>
    </row>
    <row r="131" spans="1:37">
      <c r="A131" s="9" t="s">
        <v>299</v>
      </c>
      <c r="B131" s="9"/>
      <c r="C131" s="9" t="s">
        <v>27</v>
      </c>
      <c r="D131" s="9"/>
      <c r="E131" s="23">
        <v>43802</v>
      </c>
      <c r="G131" s="42">
        <v>261141750</v>
      </c>
      <c r="I131" s="42">
        <v>0</v>
      </c>
      <c r="K131" s="2">
        <f t="shared" si="27"/>
        <v>374047089</v>
      </c>
      <c r="M131" s="42">
        <v>635188839</v>
      </c>
      <c r="O131" s="42">
        <v>0</v>
      </c>
      <c r="Q131" s="2">
        <f t="shared" si="25"/>
        <v>99092063</v>
      </c>
      <c r="S131" s="42">
        <v>0</v>
      </c>
      <c r="U131" s="42">
        <v>99092063</v>
      </c>
      <c r="W131" s="42">
        <v>309985373</v>
      </c>
      <c r="Y131" s="42">
        <v>264009</v>
      </c>
      <c r="AA131" s="42">
        <v>0</v>
      </c>
      <c r="AC131" s="42">
        <v>4330404</v>
      </c>
      <c r="AE131" s="42">
        <v>68224473</v>
      </c>
      <c r="AG131" s="42">
        <v>153292517</v>
      </c>
      <c r="AI131" s="10">
        <f t="shared" si="26"/>
        <v>226111403</v>
      </c>
      <c r="AK131" s="42">
        <f t="shared" si="24"/>
        <v>0</v>
      </c>
    </row>
    <row r="132" spans="1:37" hidden="1">
      <c r="A132" s="9" t="s">
        <v>606</v>
      </c>
      <c r="B132" s="9"/>
      <c r="C132" s="9" t="s">
        <v>464</v>
      </c>
      <c r="D132" s="9"/>
      <c r="E132" s="23">
        <v>49312</v>
      </c>
      <c r="G132" s="42">
        <v>0</v>
      </c>
      <c r="I132" s="42">
        <v>0</v>
      </c>
      <c r="K132" s="2">
        <f t="shared" si="27"/>
        <v>0</v>
      </c>
      <c r="M132" s="42">
        <v>0</v>
      </c>
      <c r="O132" s="42">
        <v>0</v>
      </c>
      <c r="Q132" s="2">
        <f t="shared" si="25"/>
        <v>0</v>
      </c>
      <c r="S132" s="42">
        <v>0</v>
      </c>
      <c r="U132" s="42">
        <v>0</v>
      </c>
      <c r="W132" s="42">
        <v>0</v>
      </c>
      <c r="Y132" s="42">
        <v>0</v>
      </c>
      <c r="AA132" s="42">
        <v>0</v>
      </c>
      <c r="AC132" s="42">
        <v>0</v>
      </c>
      <c r="AE132" s="42">
        <v>0</v>
      </c>
      <c r="AG132" s="42">
        <v>0</v>
      </c>
      <c r="AI132" s="10">
        <f t="shared" si="26"/>
        <v>0</v>
      </c>
      <c r="AK132" s="42">
        <f t="shared" si="24"/>
        <v>0</v>
      </c>
    </row>
    <row r="133" spans="1:37">
      <c r="A133" s="9" t="s">
        <v>206</v>
      </c>
      <c r="B133" s="9"/>
      <c r="C133" s="9" t="s">
        <v>12</v>
      </c>
      <c r="D133" s="9"/>
      <c r="E133" s="23">
        <v>43810</v>
      </c>
      <c r="G133" s="42">
        <v>2977212</v>
      </c>
      <c r="I133" s="42">
        <v>0</v>
      </c>
      <c r="K133" s="2">
        <f t="shared" si="27"/>
        <v>4134567</v>
      </c>
      <c r="M133" s="42">
        <v>7111779</v>
      </c>
      <c r="O133" s="42">
        <v>0</v>
      </c>
      <c r="Q133" s="2">
        <f t="shared" si="25"/>
        <v>1909263</v>
      </c>
      <c r="S133" s="42">
        <v>0</v>
      </c>
      <c r="U133" s="42">
        <v>1909263</v>
      </c>
      <c r="W133" s="42">
        <v>3239595</v>
      </c>
      <c r="Y133" s="42">
        <v>46277</v>
      </c>
      <c r="AA133" s="42">
        <v>0</v>
      </c>
      <c r="AC133" s="42">
        <v>0</v>
      </c>
      <c r="AE133" s="42">
        <v>111801</v>
      </c>
      <c r="AG133" s="42">
        <v>1804843</v>
      </c>
      <c r="AI133" s="10">
        <f t="shared" si="26"/>
        <v>1962921</v>
      </c>
      <c r="AK133" s="42">
        <f t="shared" si="24"/>
        <v>0</v>
      </c>
    </row>
    <row r="134" spans="1:37">
      <c r="A134" s="9" t="s">
        <v>340</v>
      </c>
      <c r="B134" s="9"/>
      <c r="C134" s="9" t="s">
        <v>341</v>
      </c>
      <c r="D134" s="9"/>
      <c r="E134" s="23">
        <v>47548</v>
      </c>
      <c r="G134" s="42">
        <v>541522</v>
      </c>
      <c r="I134" s="42">
        <v>0</v>
      </c>
      <c r="K134" s="2">
        <f t="shared" si="27"/>
        <v>2351964</v>
      </c>
      <c r="M134" s="42">
        <v>2893486</v>
      </c>
      <c r="O134" s="42">
        <v>0</v>
      </c>
      <c r="Q134" s="2">
        <f t="shared" si="25"/>
        <v>414753</v>
      </c>
      <c r="S134" s="42">
        <v>0</v>
      </c>
      <c r="U134" s="42">
        <v>414753</v>
      </c>
      <c r="W134" s="42">
        <v>1985585</v>
      </c>
      <c r="Y134" s="42">
        <v>23094</v>
      </c>
      <c r="AA134" s="42">
        <v>0</v>
      </c>
      <c r="AC134" s="42">
        <v>0</v>
      </c>
      <c r="AE134" s="42">
        <f>2523+7752</f>
        <v>10275</v>
      </c>
      <c r="AG134" s="42">
        <v>459779</v>
      </c>
      <c r="AI134" s="10">
        <f t="shared" si="26"/>
        <v>493148</v>
      </c>
      <c r="AK134" s="42">
        <f t="shared" si="24"/>
        <v>0</v>
      </c>
    </row>
    <row r="135" spans="1:37" hidden="1">
      <c r="A135" s="9" t="s">
        <v>671</v>
      </c>
      <c r="B135" s="9"/>
      <c r="C135" s="9" t="s">
        <v>464</v>
      </c>
      <c r="D135" s="9"/>
      <c r="E135" s="23">
        <v>49320</v>
      </c>
      <c r="G135" s="42">
        <v>0</v>
      </c>
      <c r="I135" s="42">
        <v>0</v>
      </c>
      <c r="K135" s="2">
        <f t="shared" si="27"/>
        <v>0</v>
      </c>
      <c r="M135" s="42">
        <v>0</v>
      </c>
      <c r="O135" s="42">
        <v>0</v>
      </c>
      <c r="Q135" s="2">
        <f t="shared" si="25"/>
        <v>0</v>
      </c>
      <c r="S135" s="42">
        <v>0</v>
      </c>
      <c r="U135" s="42">
        <v>0</v>
      </c>
      <c r="W135" s="42">
        <v>0</v>
      </c>
      <c r="Y135" s="42">
        <v>0</v>
      </c>
      <c r="AA135" s="42">
        <v>0</v>
      </c>
      <c r="AC135" s="42">
        <v>0</v>
      </c>
      <c r="AE135" s="42">
        <v>0</v>
      </c>
      <c r="AG135" s="42">
        <v>0</v>
      </c>
      <c r="AI135" s="10">
        <f t="shared" si="26"/>
        <v>0</v>
      </c>
      <c r="AK135" s="42">
        <f t="shared" si="24"/>
        <v>0</v>
      </c>
    </row>
    <row r="136" spans="1:37">
      <c r="A136" s="9" t="s">
        <v>504</v>
      </c>
      <c r="B136" s="9"/>
      <c r="C136" s="9" t="s">
        <v>63</v>
      </c>
      <c r="D136" s="9"/>
      <c r="E136" s="23">
        <v>49981</v>
      </c>
      <c r="G136" s="42">
        <v>12484505</v>
      </c>
      <c r="I136" s="42">
        <v>0</v>
      </c>
      <c r="K136" s="2">
        <f t="shared" si="27"/>
        <v>29762084</v>
      </c>
      <c r="M136" s="42">
        <v>42246589</v>
      </c>
      <c r="O136" s="42">
        <v>0</v>
      </c>
      <c r="Q136" s="2">
        <f t="shared" si="25"/>
        <v>4132723</v>
      </c>
      <c r="S136" s="42">
        <v>0</v>
      </c>
      <c r="U136" s="42">
        <v>4132723</v>
      </c>
      <c r="W136" s="42">
        <v>28381173</v>
      </c>
      <c r="Y136" s="42">
        <v>8286</v>
      </c>
      <c r="AA136" s="42">
        <v>0</v>
      </c>
      <c r="AC136" s="42">
        <v>0</v>
      </c>
      <c r="AE136" s="42">
        <v>478169</v>
      </c>
      <c r="AG136" s="42">
        <v>9246238</v>
      </c>
      <c r="AI136" s="10">
        <f t="shared" si="26"/>
        <v>9732693</v>
      </c>
      <c r="AK136" s="42">
        <f t="shared" si="24"/>
        <v>0</v>
      </c>
    </row>
    <row r="137" spans="1:37">
      <c r="A137" s="9" t="s">
        <v>334</v>
      </c>
      <c r="B137" s="9"/>
      <c r="C137" s="9" t="s">
        <v>33</v>
      </c>
      <c r="D137" s="9"/>
      <c r="E137" s="23">
        <v>47431</v>
      </c>
      <c r="G137" s="42">
        <v>844726</v>
      </c>
      <c r="I137" s="42">
        <v>0</v>
      </c>
      <c r="K137" s="2">
        <f t="shared" si="27"/>
        <v>2505976</v>
      </c>
      <c r="M137" s="42">
        <v>3350702</v>
      </c>
      <c r="O137" s="42">
        <v>0</v>
      </c>
      <c r="Q137" s="2">
        <f t="shared" si="25"/>
        <v>783468</v>
      </c>
      <c r="S137" s="42">
        <v>0</v>
      </c>
      <c r="U137" s="42">
        <v>783468</v>
      </c>
      <c r="W137" s="42">
        <v>1584421</v>
      </c>
      <c r="Y137" s="42">
        <v>1710</v>
      </c>
      <c r="AA137" s="42">
        <v>3977</v>
      </c>
      <c r="AC137" s="42">
        <v>0</v>
      </c>
      <c r="AE137" s="42">
        <v>65829</v>
      </c>
      <c r="AG137" s="42">
        <v>911297</v>
      </c>
      <c r="AI137" s="10">
        <f t="shared" si="26"/>
        <v>982813</v>
      </c>
      <c r="AK137" s="42">
        <f t="shared" si="24"/>
        <v>0</v>
      </c>
    </row>
    <row r="138" spans="1:37">
      <c r="A138" s="9" t="s">
        <v>251</v>
      </c>
      <c r="B138" s="9"/>
      <c r="C138" s="9" t="s">
        <v>19</v>
      </c>
      <c r="D138" s="9"/>
      <c r="E138" s="23">
        <v>43828</v>
      </c>
      <c r="G138" s="42">
        <v>2134516</v>
      </c>
      <c r="I138" s="42">
        <v>0</v>
      </c>
      <c r="K138" s="2">
        <f t="shared" si="27"/>
        <v>5352159</v>
      </c>
      <c r="M138" s="42">
        <v>7486675</v>
      </c>
      <c r="O138" s="42">
        <v>0</v>
      </c>
      <c r="Q138" s="2">
        <f t="shared" si="25"/>
        <v>1529145</v>
      </c>
      <c r="S138" s="42">
        <v>0</v>
      </c>
      <c r="U138" s="42">
        <v>1529145</v>
      </c>
      <c r="W138" s="42">
        <v>4611495</v>
      </c>
      <c r="Y138" s="42">
        <v>4249</v>
      </c>
      <c r="AA138" s="42">
        <v>0</v>
      </c>
      <c r="AC138" s="42">
        <v>0</v>
      </c>
      <c r="AE138" s="42">
        <v>582692</v>
      </c>
      <c r="AG138" s="42">
        <v>759094</v>
      </c>
      <c r="AI138" s="10">
        <f t="shared" si="26"/>
        <v>1346035</v>
      </c>
      <c r="AK138" s="42">
        <f t="shared" si="24"/>
        <v>0</v>
      </c>
    </row>
    <row r="139" spans="1:37">
      <c r="A139" s="9" t="s">
        <v>599</v>
      </c>
      <c r="B139" s="9"/>
      <c r="C139" s="9" t="s">
        <v>63</v>
      </c>
      <c r="D139" s="9"/>
      <c r="E139" s="23">
        <v>49999</v>
      </c>
      <c r="G139" s="42">
        <v>0</v>
      </c>
      <c r="I139" s="42">
        <v>0</v>
      </c>
      <c r="K139" s="2">
        <f t="shared" si="27"/>
        <v>10153736</v>
      </c>
      <c r="M139" s="42">
        <v>10153736</v>
      </c>
      <c r="O139" s="42">
        <v>0</v>
      </c>
      <c r="Q139" s="2">
        <f t="shared" si="25"/>
        <v>4390918</v>
      </c>
      <c r="S139" s="42">
        <v>0</v>
      </c>
      <c r="U139" s="42">
        <f>13770532-9379614</f>
        <v>4390918</v>
      </c>
      <c r="W139" s="42">
        <v>9379614</v>
      </c>
      <c r="Y139" s="42">
        <v>0</v>
      </c>
      <c r="AA139" s="42">
        <v>0</v>
      </c>
      <c r="AC139" s="42">
        <v>11000</v>
      </c>
      <c r="AE139" s="42">
        <v>61</v>
      </c>
      <c r="AG139" s="42">
        <v>-3627857</v>
      </c>
      <c r="AI139" s="10">
        <f t="shared" si="26"/>
        <v>-3616796</v>
      </c>
      <c r="AK139" s="42">
        <f t="shared" si="24"/>
        <v>0</v>
      </c>
    </row>
    <row r="140" spans="1:37">
      <c r="A140" s="9" t="s">
        <v>752</v>
      </c>
      <c r="B140" s="9"/>
      <c r="C140" s="9" t="s">
        <v>48</v>
      </c>
      <c r="D140" s="9"/>
      <c r="E140" s="23">
        <v>45336</v>
      </c>
      <c r="G140" s="42">
        <v>1687270</v>
      </c>
      <c r="I140" s="42">
        <v>0</v>
      </c>
      <c r="K140" s="2">
        <f t="shared" si="27"/>
        <v>2606108</v>
      </c>
      <c r="M140" s="42">
        <v>4293378</v>
      </c>
      <c r="O140" s="42">
        <v>0</v>
      </c>
      <c r="Q140" s="2">
        <f t="shared" si="25"/>
        <v>665286</v>
      </c>
      <c r="S140" s="42">
        <v>0</v>
      </c>
      <c r="U140" s="42">
        <v>665286</v>
      </c>
      <c r="W140" s="42">
        <v>1624533</v>
      </c>
      <c r="Y140" s="42">
        <v>5394</v>
      </c>
      <c r="AA140" s="42">
        <v>0</v>
      </c>
      <c r="AC140" s="42">
        <v>7635</v>
      </c>
      <c r="AE140" s="42">
        <f>2128+26382+13283</f>
        <v>41793</v>
      </c>
      <c r="AG140" s="42">
        <v>1948737</v>
      </c>
      <c r="AI140" s="10">
        <f t="shared" si="26"/>
        <v>2003559</v>
      </c>
      <c r="AK140" s="42">
        <f t="shared" si="24"/>
        <v>0</v>
      </c>
    </row>
    <row r="141" spans="1:37" hidden="1">
      <c r="A141" s="9" t="s">
        <v>825</v>
      </c>
      <c r="B141" s="9"/>
      <c r="C141" s="9" t="s">
        <v>110</v>
      </c>
      <c r="D141" s="9"/>
      <c r="E141" s="23">
        <v>45344</v>
      </c>
      <c r="G141" s="42">
        <v>0</v>
      </c>
      <c r="I141" s="42">
        <v>0</v>
      </c>
      <c r="K141" s="2">
        <f t="shared" si="27"/>
        <v>0</v>
      </c>
      <c r="M141" s="42">
        <v>0</v>
      </c>
      <c r="O141" s="42">
        <v>0</v>
      </c>
      <c r="Q141" s="2">
        <f t="shared" si="25"/>
        <v>0</v>
      </c>
      <c r="S141" s="42">
        <v>0</v>
      </c>
      <c r="U141" s="42">
        <v>0</v>
      </c>
      <c r="W141" s="42">
        <v>0</v>
      </c>
      <c r="Y141" s="42">
        <v>0</v>
      </c>
      <c r="AA141" s="42">
        <v>0</v>
      </c>
      <c r="AC141" s="42">
        <v>0</v>
      </c>
      <c r="AE141" s="42">
        <v>0</v>
      </c>
      <c r="AG141" s="42">
        <v>0</v>
      </c>
      <c r="AI141" s="10">
        <f t="shared" si="26"/>
        <v>0</v>
      </c>
      <c r="AK141" s="42">
        <f t="shared" si="24"/>
        <v>0</v>
      </c>
    </row>
    <row r="142" spans="1:37" ht="11.25" customHeight="1">
      <c r="A142" s="9" t="s">
        <v>245</v>
      </c>
      <c r="B142" s="9"/>
      <c r="C142" s="9" t="s">
        <v>111</v>
      </c>
      <c r="D142" s="9"/>
      <c r="E142" s="23">
        <v>46433</v>
      </c>
      <c r="G142" s="42">
        <v>1512717</v>
      </c>
      <c r="I142" s="42">
        <v>0</v>
      </c>
      <c r="K142" s="2">
        <f t="shared" si="27"/>
        <v>2626553</v>
      </c>
      <c r="M142" s="42">
        <v>4139270</v>
      </c>
      <c r="O142" s="42">
        <v>0</v>
      </c>
      <c r="Q142" s="2">
        <f t="shared" si="25"/>
        <v>1191377</v>
      </c>
      <c r="S142" s="42">
        <v>0</v>
      </c>
      <c r="U142" s="42">
        <v>1191377</v>
      </c>
      <c r="W142" s="42">
        <v>1918206</v>
      </c>
      <c r="Y142" s="42">
        <v>42258</v>
      </c>
      <c r="AA142" s="42">
        <v>0</v>
      </c>
      <c r="AC142" s="42">
        <v>0</v>
      </c>
      <c r="AE142" s="42">
        <v>152525</v>
      </c>
      <c r="AG142" s="42">
        <v>834904</v>
      </c>
      <c r="AI142" s="10">
        <f t="shared" si="26"/>
        <v>1029687</v>
      </c>
      <c r="AK142" s="42">
        <f t="shared" si="24"/>
        <v>0</v>
      </c>
    </row>
    <row r="143" spans="1:37">
      <c r="A143" s="9" t="s">
        <v>245</v>
      </c>
      <c r="B143" s="9"/>
      <c r="C143" s="9" t="s">
        <v>109</v>
      </c>
      <c r="D143" s="9"/>
      <c r="E143" s="23">
        <v>49429</v>
      </c>
      <c r="G143" s="42">
        <v>6138566</v>
      </c>
      <c r="I143" s="42">
        <v>0</v>
      </c>
      <c r="K143" s="2">
        <f t="shared" si="27"/>
        <v>2623518</v>
      </c>
      <c r="M143" s="42">
        <v>8762084</v>
      </c>
      <c r="O143" s="42">
        <v>0</v>
      </c>
      <c r="Q143" s="2">
        <f t="shared" si="25"/>
        <v>1013737</v>
      </c>
      <c r="S143" s="42">
        <v>0</v>
      </c>
      <c r="U143" s="42">
        <v>1013737</v>
      </c>
      <c r="W143" s="42">
        <v>2069362</v>
      </c>
      <c r="Y143" s="42">
        <f>8352+57177</f>
        <v>65529</v>
      </c>
      <c r="AA143" s="42">
        <v>0</v>
      </c>
      <c r="AC143" s="42">
        <v>18791</v>
      </c>
      <c r="AE143" s="42">
        <f>15996+75684+5878+230456+325+753</f>
        <v>329092</v>
      </c>
      <c r="AG143" s="42">
        <v>5265573</v>
      </c>
      <c r="AI143" s="10">
        <f t="shared" si="26"/>
        <v>5678985</v>
      </c>
      <c r="AK143" s="42">
        <f t="shared" ref="AK143:AK206" si="28">+G143+I143+K143+O143-U143-W143-AC143-AA143-Y143-AE143-AG143</f>
        <v>0</v>
      </c>
    </row>
    <row r="144" spans="1:37" hidden="1">
      <c r="A144" s="9" t="s">
        <v>650</v>
      </c>
      <c r="B144" s="9"/>
      <c r="C144" s="9" t="s">
        <v>67</v>
      </c>
      <c r="D144" s="9"/>
      <c r="E144" s="23">
        <v>50351</v>
      </c>
      <c r="G144" s="42">
        <v>0</v>
      </c>
      <c r="I144" s="42">
        <v>0</v>
      </c>
      <c r="K144" s="2">
        <f t="shared" si="27"/>
        <v>0</v>
      </c>
      <c r="M144" s="42">
        <v>0</v>
      </c>
      <c r="O144" s="42">
        <v>0</v>
      </c>
      <c r="Q144" s="2">
        <f t="shared" si="25"/>
        <v>0</v>
      </c>
      <c r="S144" s="42">
        <v>0</v>
      </c>
      <c r="U144" s="42">
        <v>0</v>
      </c>
      <c r="W144" s="42">
        <v>0</v>
      </c>
      <c r="Y144" s="42">
        <v>0</v>
      </c>
      <c r="AA144" s="42">
        <v>0</v>
      </c>
      <c r="AC144" s="42">
        <v>0</v>
      </c>
      <c r="AE144" s="42">
        <v>0</v>
      </c>
      <c r="AG144" s="42">
        <v>0</v>
      </c>
      <c r="AI144" s="10">
        <f t="shared" si="26"/>
        <v>0</v>
      </c>
      <c r="AK144" s="42">
        <f t="shared" si="28"/>
        <v>0</v>
      </c>
    </row>
    <row r="145" spans="1:37">
      <c r="A145" s="9" t="s">
        <v>712</v>
      </c>
      <c r="B145" s="9"/>
      <c r="C145" s="9" t="s">
        <v>56</v>
      </c>
      <c r="D145" s="9"/>
      <c r="E145" s="23">
        <v>49189</v>
      </c>
      <c r="G145" s="42">
        <v>2343887</v>
      </c>
      <c r="I145" s="42">
        <v>0</v>
      </c>
      <c r="K145" s="2">
        <f t="shared" si="27"/>
        <v>7659963</v>
      </c>
      <c r="M145" s="42">
        <v>10003850</v>
      </c>
      <c r="O145" s="42">
        <v>0</v>
      </c>
      <c r="Q145" s="2">
        <f t="shared" si="25"/>
        <v>9224068</v>
      </c>
      <c r="S145" s="42">
        <v>0</v>
      </c>
      <c r="U145" s="42">
        <v>9224068</v>
      </c>
      <c r="W145" s="42">
        <v>0</v>
      </c>
      <c r="Y145" s="42">
        <v>16170</v>
      </c>
      <c r="AA145" s="42">
        <v>0</v>
      </c>
      <c r="AC145" s="42">
        <v>0</v>
      </c>
      <c r="AE145" s="42">
        <v>222266</v>
      </c>
      <c r="AG145" s="42">
        <v>541346</v>
      </c>
      <c r="AI145" s="10">
        <f t="shared" si="26"/>
        <v>779782</v>
      </c>
      <c r="AK145" s="42">
        <f t="shared" si="28"/>
        <v>0</v>
      </c>
    </row>
    <row r="146" spans="1:37">
      <c r="A146" s="9" t="s">
        <v>753</v>
      </c>
      <c r="B146" s="9"/>
      <c r="C146" s="9" t="s">
        <v>448</v>
      </c>
      <c r="D146" s="9"/>
      <c r="E146" s="23">
        <v>45351</v>
      </c>
      <c r="G146" s="42">
        <v>554970</v>
      </c>
      <c r="I146" s="42">
        <v>0</v>
      </c>
      <c r="K146" s="2">
        <f t="shared" si="27"/>
        <v>2193474</v>
      </c>
      <c r="M146" s="42">
        <v>2748444</v>
      </c>
      <c r="O146" s="42">
        <v>0</v>
      </c>
      <c r="Q146" s="2">
        <f t="shared" si="25"/>
        <v>898447</v>
      </c>
      <c r="S146" s="42">
        <v>0</v>
      </c>
      <c r="U146" s="42">
        <v>898447</v>
      </c>
      <c r="W146" s="42">
        <v>1800058</v>
      </c>
      <c r="Y146" s="42">
        <v>113342</v>
      </c>
      <c r="AA146" s="42">
        <v>0</v>
      </c>
      <c r="AC146" s="42">
        <v>0</v>
      </c>
      <c r="AE146" s="42">
        <v>96713</v>
      </c>
      <c r="AG146" s="42">
        <v>-160116</v>
      </c>
      <c r="AI146" s="10">
        <f t="shared" si="26"/>
        <v>49939</v>
      </c>
      <c r="AK146" s="42">
        <f t="shared" si="28"/>
        <v>0</v>
      </c>
    </row>
    <row r="147" spans="1:37">
      <c r="A147" s="9" t="s">
        <v>651</v>
      </c>
      <c r="B147" s="9"/>
      <c r="C147" s="9" t="s">
        <v>63</v>
      </c>
      <c r="D147" s="9"/>
      <c r="E147" s="23">
        <v>43836</v>
      </c>
      <c r="G147" s="42">
        <v>4762144</v>
      </c>
      <c r="I147" s="42">
        <v>0</v>
      </c>
      <c r="K147" s="2">
        <f t="shared" si="27"/>
        <v>28077270</v>
      </c>
      <c r="M147" s="42">
        <v>32839414</v>
      </c>
      <c r="O147" s="42">
        <v>0</v>
      </c>
      <c r="Q147" s="2">
        <f t="shared" si="25"/>
        <v>5062333</v>
      </c>
      <c r="S147" s="42">
        <v>0</v>
      </c>
      <c r="U147" s="42">
        <v>5062333</v>
      </c>
      <c r="W147" s="42">
        <v>26608021</v>
      </c>
      <c r="Y147" s="42">
        <f>51260+25170+1369</f>
        <v>77799</v>
      </c>
      <c r="AA147" s="42">
        <v>0</v>
      </c>
      <c r="AC147" s="42">
        <f>13201+11000</f>
        <v>24201</v>
      </c>
      <c r="AE147" s="42">
        <f>130109+48876+4192+14150+88827+6089+47395</f>
        <v>339638</v>
      </c>
      <c r="AG147" s="42">
        <v>727422</v>
      </c>
      <c r="AI147" s="10">
        <f t="shared" si="26"/>
        <v>1169060</v>
      </c>
      <c r="AK147" s="42">
        <f t="shared" si="28"/>
        <v>0</v>
      </c>
    </row>
    <row r="148" spans="1:37">
      <c r="A148" s="9" t="s">
        <v>713</v>
      </c>
      <c r="B148" s="9"/>
      <c r="C148" s="9" t="s">
        <v>20</v>
      </c>
      <c r="D148" s="9"/>
      <c r="E148" s="23">
        <v>46557</v>
      </c>
      <c r="G148" s="42">
        <v>1599914</v>
      </c>
      <c r="I148" s="42">
        <v>51309</v>
      </c>
      <c r="K148" s="2">
        <f t="shared" si="27"/>
        <v>11778212</v>
      </c>
      <c r="M148" s="42">
        <v>13429435</v>
      </c>
      <c r="O148" s="42">
        <v>0</v>
      </c>
      <c r="Q148" s="2">
        <f t="shared" ref="Q148:Q212" si="29">+U148-S148</f>
        <v>1332220</v>
      </c>
      <c r="S148" s="42">
        <v>0</v>
      </c>
      <c r="U148" s="42">
        <v>1332220</v>
      </c>
      <c r="W148" s="42">
        <v>10289845</v>
      </c>
      <c r="Y148" s="42">
        <v>4554</v>
      </c>
      <c r="AA148" s="42">
        <v>51309</v>
      </c>
      <c r="AC148" s="42">
        <v>0</v>
      </c>
      <c r="AE148" s="42">
        <v>139135</v>
      </c>
      <c r="AG148" s="42">
        <v>1612372</v>
      </c>
      <c r="AI148" s="10">
        <f t="shared" ref="AI148:AI213" si="30">+AC148+AA148++Y148+AE148+AG148</f>
        <v>1807370</v>
      </c>
      <c r="AK148" s="42">
        <f t="shared" si="28"/>
        <v>0</v>
      </c>
    </row>
    <row r="149" spans="1:37">
      <c r="A149" s="9" t="s">
        <v>604</v>
      </c>
      <c r="B149" s="9"/>
      <c r="C149" s="9" t="s">
        <v>71</v>
      </c>
      <c r="D149" s="9"/>
      <c r="E149" s="23">
        <v>50542</v>
      </c>
      <c r="G149" s="42">
        <v>1225377</v>
      </c>
      <c r="I149" s="42">
        <v>0</v>
      </c>
      <c r="K149" s="2">
        <f t="shared" si="27"/>
        <v>2855865</v>
      </c>
      <c r="M149" s="42">
        <v>4081242</v>
      </c>
      <c r="O149" s="42">
        <v>0</v>
      </c>
      <c r="Q149" s="2">
        <f t="shared" si="29"/>
        <v>880593</v>
      </c>
      <c r="S149" s="42">
        <v>0</v>
      </c>
      <c r="U149" s="42">
        <v>880593</v>
      </c>
      <c r="W149" s="42">
        <v>2081617</v>
      </c>
      <c r="Y149" s="42">
        <v>0</v>
      </c>
      <c r="AA149" s="42">
        <v>0</v>
      </c>
      <c r="AC149" s="42">
        <v>0</v>
      </c>
      <c r="AE149" s="42">
        <f>262+71789+436697</f>
        <v>508748</v>
      </c>
      <c r="AG149" s="42">
        <v>610284</v>
      </c>
      <c r="AI149" s="10">
        <f t="shared" si="30"/>
        <v>1119032</v>
      </c>
      <c r="AK149" s="42">
        <f t="shared" si="28"/>
        <v>0</v>
      </c>
    </row>
    <row r="150" spans="1:37" hidden="1">
      <c r="A150" s="9" t="s">
        <v>735</v>
      </c>
      <c r="B150" s="9"/>
      <c r="C150" s="9" t="s">
        <v>53</v>
      </c>
      <c r="D150" s="9"/>
      <c r="E150" s="23">
        <v>48934</v>
      </c>
      <c r="G150" s="42">
        <v>0</v>
      </c>
      <c r="I150" s="42">
        <v>0</v>
      </c>
      <c r="K150" s="2">
        <f t="shared" ref="K150:K214" si="31">+M150-I150-G150</f>
        <v>0</v>
      </c>
      <c r="M150" s="42">
        <v>0</v>
      </c>
      <c r="O150" s="42">
        <v>0</v>
      </c>
      <c r="Q150" s="2">
        <f t="shared" si="29"/>
        <v>0</v>
      </c>
      <c r="S150" s="42">
        <v>0</v>
      </c>
      <c r="U150" s="42">
        <v>0</v>
      </c>
      <c r="W150" s="42">
        <v>0</v>
      </c>
      <c r="Y150" s="42">
        <v>0</v>
      </c>
      <c r="AA150" s="42">
        <v>0</v>
      </c>
      <c r="AC150" s="42">
        <v>0</v>
      </c>
      <c r="AE150" s="42">
        <v>0</v>
      </c>
      <c r="AG150" s="42">
        <v>0</v>
      </c>
      <c r="AI150" s="10">
        <f t="shared" si="30"/>
        <v>0</v>
      </c>
      <c r="AK150" s="42">
        <f t="shared" si="28"/>
        <v>0</v>
      </c>
    </row>
    <row r="151" spans="1:37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v>0</v>
      </c>
      <c r="I151" s="42">
        <v>0</v>
      </c>
      <c r="K151" s="2">
        <f t="shared" si="31"/>
        <v>0</v>
      </c>
      <c r="M151" s="42">
        <v>0</v>
      </c>
      <c r="O151" s="42">
        <v>0</v>
      </c>
      <c r="Q151" s="2">
        <f t="shared" si="29"/>
        <v>0</v>
      </c>
      <c r="S151" s="42">
        <v>0</v>
      </c>
      <c r="U151" s="42">
        <v>0</v>
      </c>
      <c r="W151" s="42">
        <v>0</v>
      </c>
      <c r="Y151" s="42">
        <v>0</v>
      </c>
      <c r="AA151" s="42">
        <v>0</v>
      </c>
      <c r="AC151" s="42">
        <v>0</v>
      </c>
      <c r="AE151" s="42">
        <v>0</v>
      </c>
      <c r="AG151" s="42">
        <v>0</v>
      </c>
      <c r="AI151" s="10">
        <f t="shared" si="30"/>
        <v>0</v>
      </c>
      <c r="AK151" s="42">
        <f t="shared" si="28"/>
        <v>0</v>
      </c>
    </row>
    <row r="152" spans="1:37">
      <c r="A152" s="9" t="s">
        <v>365</v>
      </c>
      <c r="B152" s="9"/>
      <c r="C152" s="9" t="s">
        <v>364</v>
      </c>
      <c r="D152" s="9"/>
      <c r="E152" s="23">
        <v>47928</v>
      </c>
      <c r="G152" s="42">
        <v>4424158</v>
      </c>
      <c r="I152" s="42">
        <v>0</v>
      </c>
      <c r="K152" s="2">
        <f t="shared" si="31"/>
        <v>1367718</v>
      </c>
      <c r="M152" s="42">
        <v>5791876</v>
      </c>
      <c r="O152" s="42">
        <v>0</v>
      </c>
      <c r="Q152" s="2">
        <f t="shared" si="29"/>
        <v>1388067</v>
      </c>
      <c r="S152" s="42">
        <v>0</v>
      </c>
      <c r="U152" s="42">
        <v>1388067</v>
      </c>
      <c r="W152" s="42">
        <v>1227262</v>
      </c>
      <c r="Y152" s="42">
        <v>6479</v>
      </c>
      <c r="AA152" s="42">
        <v>0</v>
      </c>
      <c r="AC152" s="42">
        <v>9541</v>
      </c>
      <c r="AE152" s="42">
        <v>741593</v>
      </c>
      <c r="AG152" s="42">
        <v>2418934</v>
      </c>
      <c r="AI152" s="10">
        <f t="shared" si="30"/>
        <v>3176547</v>
      </c>
      <c r="AK152" s="42">
        <f t="shared" si="28"/>
        <v>0</v>
      </c>
    </row>
    <row r="153" spans="1:37">
      <c r="A153" s="9" t="s">
        <v>426</v>
      </c>
      <c r="B153" s="9"/>
      <c r="C153" s="9" t="s">
        <v>50</v>
      </c>
      <c r="D153" s="9"/>
      <c r="E153" s="23">
        <v>43844</v>
      </c>
      <c r="G153" s="42">
        <v>12242569</v>
      </c>
      <c r="I153" s="42">
        <v>0</v>
      </c>
      <c r="K153" s="2">
        <f t="shared" si="31"/>
        <v>93968294</v>
      </c>
      <c r="M153" s="42">
        <v>106210863</v>
      </c>
      <c r="O153" s="42">
        <v>0</v>
      </c>
      <c r="Q153" s="2">
        <f t="shared" si="29"/>
        <v>15954839</v>
      </c>
      <c r="S153" s="42">
        <v>0</v>
      </c>
      <c r="U153" s="42">
        <v>15954839</v>
      </c>
      <c r="W153" s="42">
        <v>85976475</v>
      </c>
      <c r="Y153" s="42">
        <v>161798</v>
      </c>
      <c r="AA153" s="42">
        <v>0</v>
      </c>
      <c r="AC153" s="42">
        <v>0</v>
      </c>
      <c r="AE153" s="42">
        <v>4117751</v>
      </c>
      <c r="AG153" s="42">
        <v>0</v>
      </c>
      <c r="AI153" s="10">
        <f t="shared" si="30"/>
        <v>4279549</v>
      </c>
      <c r="AK153" s="42">
        <f t="shared" si="28"/>
        <v>0</v>
      </c>
    </row>
    <row r="154" spans="1:37">
      <c r="A154" s="9" t="s">
        <v>877</v>
      </c>
      <c r="B154" s="9"/>
      <c r="C154" s="9" t="s">
        <v>32</v>
      </c>
      <c r="D154" s="9"/>
      <c r="E154" s="23">
        <v>43851</v>
      </c>
      <c r="G154" s="42">
        <v>4923571</v>
      </c>
      <c r="I154" s="42">
        <v>50000</v>
      </c>
      <c r="K154" s="2">
        <f t="shared" si="31"/>
        <v>8290288</v>
      </c>
      <c r="M154" s="42">
        <v>13263859</v>
      </c>
      <c r="O154" s="42">
        <v>0</v>
      </c>
      <c r="Q154" s="2">
        <f t="shared" si="29"/>
        <v>6480522</v>
      </c>
      <c r="S154" s="42">
        <v>0</v>
      </c>
      <c r="U154" s="42">
        <v>6480522</v>
      </c>
      <c r="W154" s="42">
        <v>0</v>
      </c>
      <c r="Y154" s="42">
        <v>0</v>
      </c>
      <c r="AA154" s="42">
        <v>0</v>
      </c>
      <c r="AC154" s="42">
        <v>0</v>
      </c>
      <c r="AE154" s="42">
        <v>1648622</v>
      </c>
      <c r="AG154" s="42">
        <v>5134715</v>
      </c>
      <c r="AI154" s="10">
        <f t="shared" si="30"/>
        <v>6783337</v>
      </c>
      <c r="AK154" s="42">
        <f t="shared" si="28"/>
        <v>0</v>
      </c>
    </row>
    <row r="155" spans="1:37" hidden="1">
      <c r="A155" s="9" t="s">
        <v>653</v>
      </c>
      <c r="B155" s="9"/>
      <c r="C155" s="9" t="s">
        <v>22</v>
      </c>
      <c r="D155" s="9"/>
      <c r="E155" s="23">
        <v>43869</v>
      </c>
      <c r="G155" s="42">
        <v>0</v>
      </c>
      <c r="I155" s="42">
        <v>0</v>
      </c>
      <c r="K155" s="2">
        <f t="shared" si="31"/>
        <v>0</v>
      </c>
      <c r="M155" s="42">
        <v>0</v>
      </c>
      <c r="O155" s="42">
        <v>0</v>
      </c>
      <c r="Q155" s="2">
        <f t="shared" si="29"/>
        <v>0</v>
      </c>
      <c r="S155" s="42">
        <v>0</v>
      </c>
      <c r="U155" s="42">
        <v>0</v>
      </c>
      <c r="W155" s="42">
        <v>0</v>
      </c>
      <c r="Y155" s="42">
        <v>0</v>
      </c>
      <c r="AA155" s="42">
        <v>0</v>
      </c>
      <c r="AC155" s="42">
        <v>0</v>
      </c>
      <c r="AE155" s="42">
        <v>0</v>
      </c>
      <c r="AG155" s="42">
        <v>0</v>
      </c>
      <c r="AI155" s="10">
        <f t="shared" si="30"/>
        <v>0</v>
      </c>
      <c r="AK155" s="42">
        <f t="shared" si="28"/>
        <v>0</v>
      </c>
    </row>
    <row r="156" spans="1:37">
      <c r="A156" s="9" t="s">
        <v>736</v>
      </c>
      <c r="B156" s="9"/>
      <c r="C156" s="9" t="s">
        <v>23</v>
      </c>
      <c r="D156" s="9"/>
      <c r="E156" s="23">
        <v>43877</v>
      </c>
      <c r="G156" s="42">
        <v>7307694</v>
      </c>
      <c r="I156" s="42">
        <v>0</v>
      </c>
      <c r="K156" s="2">
        <f t="shared" si="31"/>
        <v>29514856</v>
      </c>
      <c r="M156" s="42">
        <v>36822550</v>
      </c>
      <c r="O156" s="42">
        <v>0</v>
      </c>
      <c r="Q156" s="2">
        <f t="shared" si="29"/>
        <v>5744501</v>
      </c>
      <c r="S156" s="42">
        <v>0</v>
      </c>
      <c r="U156" s="42">
        <v>5744501</v>
      </c>
      <c r="W156" s="42">
        <v>21516951</v>
      </c>
      <c r="Y156" s="42">
        <v>214383</v>
      </c>
      <c r="AA156" s="42">
        <v>0</v>
      </c>
      <c r="AC156" s="42">
        <v>0</v>
      </c>
      <c r="AE156" s="42">
        <v>90959</v>
      </c>
      <c r="AG156" s="42">
        <v>9255756</v>
      </c>
      <c r="AI156" s="10">
        <f t="shared" si="30"/>
        <v>9561098</v>
      </c>
      <c r="AK156" s="42">
        <f t="shared" si="28"/>
        <v>0</v>
      </c>
    </row>
    <row r="157" spans="1:37">
      <c r="A157" s="9" t="s">
        <v>200</v>
      </c>
      <c r="B157" s="9"/>
      <c r="C157" s="9" t="s">
        <v>10</v>
      </c>
      <c r="D157" s="9"/>
      <c r="E157" s="23">
        <v>43885</v>
      </c>
      <c r="G157" s="42">
        <v>378948</v>
      </c>
      <c r="I157" s="42">
        <v>0</v>
      </c>
      <c r="K157" s="2">
        <f t="shared" si="31"/>
        <v>4052894</v>
      </c>
      <c r="M157" s="42">
        <v>4431842</v>
      </c>
      <c r="O157" s="42">
        <v>0</v>
      </c>
      <c r="Q157" s="2">
        <f t="shared" si="29"/>
        <v>970502</v>
      </c>
      <c r="S157" s="42">
        <v>0</v>
      </c>
      <c r="U157" s="42">
        <v>970502</v>
      </c>
      <c r="W157" s="42">
        <v>3671991</v>
      </c>
      <c r="Y157" s="42">
        <v>18531</v>
      </c>
      <c r="AA157" s="42">
        <v>4651</v>
      </c>
      <c r="AC157" s="42">
        <v>0</v>
      </c>
      <c r="AE157" s="42">
        <v>115516</v>
      </c>
      <c r="AG157" s="42">
        <v>-349349</v>
      </c>
      <c r="AI157" s="10">
        <f t="shared" si="30"/>
        <v>-210651</v>
      </c>
      <c r="AK157" s="42">
        <f t="shared" si="28"/>
        <v>0</v>
      </c>
    </row>
    <row r="158" spans="1:37">
      <c r="A158" s="9" t="s">
        <v>530</v>
      </c>
      <c r="B158" s="9"/>
      <c r="C158" s="9" t="s">
        <v>65</v>
      </c>
      <c r="D158" s="9"/>
      <c r="E158" s="23">
        <v>43893</v>
      </c>
      <c r="G158" s="42">
        <v>9188237</v>
      </c>
      <c r="I158" s="42">
        <v>0</v>
      </c>
      <c r="K158" s="2">
        <f t="shared" si="31"/>
        <v>11758858</v>
      </c>
      <c r="M158" s="42">
        <v>20947095</v>
      </c>
      <c r="O158" s="42">
        <v>0</v>
      </c>
      <c r="Q158" s="2">
        <f t="shared" si="29"/>
        <v>13177640</v>
      </c>
      <c r="S158" s="42">
        <v>0</v>
      </c>
      <c r="U158" s="42">
        <v>13177640</v>
      </c>
      <c r="W158" s="42">
        <v>0</v>
      </c>
      <c r="Y158" s="42">
        <v>0</v>
      </c>
      <c r="AA158" s="42">
        <v>0</v>
      </c>
      <c r="AC158" s="42">
        <v>0</v>
      </c>
      <c r="AE158" s="42">
        <v>1868999</v>
      </c>
      <c r="AG158" s="42">
        <v>5900456</v>
      </c>
      <c r="AI158" s="10">
        <f t="shared" si="30"/>
        <v>7769455</v>
      </c>
      <c r="AK158" s="42">
        <f t="shared" si="28"/>
        <v>0</v>
      </c>
    </row>
    <row r="159" spans="1:37">
      <c r="A159" s="9" t="s">
        <v>300</v>
      </c>
      <c r="B159" s="9"/>
      <c r="C159" s="9" t="s">
        <v>27</v>
      </c>
      <c r="D159" s="9"/>
      <c r="E159" s="23">
        <v>47027</v>
      </c>
      <c r="G159" s="42">
        <v>38972069</v>
      </c>
      <c r="I159" s="42">
        <v>0</v>
      </c>
      <c r="K159" s="2">
        <f t="shared" si="31"/>
        <v>225163363</v>
      </c>
      <c r="M159" s="42">
        <v>264135432</v>
      </c>
      <c r="O159" s="42">
        <v>0</v>
      </c>
      <c r="Q159" s="2">
        <f t="shared" si="29"/>
        <v>19007535</v>
      </c>
      <c r="S159" s="42">
        <v>0</v>
      </c>
      <c r="U159" s="42">
        <v>19007535</v>
      </c>
      <c r="W159" s="42">
        <v>177909477</v>
      </c>
      <c r="Y159" s="42">
        <v>225829</v>
      </c>
      <c r="AA159" s="42">
        <v>0</v>
      </c>
      <c r="AC159" s="42">
        <v>0</v>
      </c>
      <c r="AE159" s="42">
        <f>29407489+1624811+288512+99499+496299+252587</f>
        <v>32169197</v>
      </c>
      <c r="AG159" s="42">
        <v>34823394</v>
      </c>
      <c r="AI159" s="10">
        <f t="shared" si="30"/>
        <v>67218420</v>
      </c>
      <c r="AK159" s="42">
        <f t="shared" si="28"/>
        <v>0</v>
      </c>
    </row>
    <row r="160" spans="1:37">
      <c r="A160" s="9" t="s">
        <v>264</v>
      </c>
      <c r="B160" s="9"/>
      <c r="C160" s="9" t="s">
        <v>20</v>
      </c>
      <c r="D160" s="9"/>
      <c r="E160" s="23">
        <v>43901</v>
      </c>
      <c r="G160" s="42">
        <f>18153983+7889</f>
        <v>18161872</v>
      </c>
      <c r="I160" s="42">
        <v>171765</v>
      </c>
      <c r="K160" s="2">
        <f t="shared" si="31"/>
        <v>14402578</v>
      </c>
      <c r="M160" s="42">
        <v>32736215</v>
      </c>
      <c r="O160" s="42">
        <v>0</v>
      </c>
      <c r="Q160" s="2">
        <f t="shared" si="29"/>
        <v>4040705</v>
      </c>
      <c r="S160" s="42">
        <v>0</v>
      </c>
      <c r="U160" s="42">
        <v>4040705</v>
      </c>
      <c r="W160" s="42">
        <v>7147515</v>
      </c>
      <c r="Y160" s="42">
        <v>171765</v>
      </c>
      <c r="AA160" s="42">
        <v>0</v>
      </c>
      <c r="AC160" s="42">
        <v>0</v>
      </c>
      <c r="AE160" s="42">
        <v>14670913</v>
      </c>
      <c r="AG160" s="42">
        <v>6705317</v>
      </c>
      <c r="AI160" s="10">
        <f t="shared" si="30"/>
        <v>21547995</v>
      </c>
      <c r="AK160" s="42">
        <f t="shared" si="28"/>
        <v>0</v>
      </c>
    </row>
    <row r="161" spans="1:37">
      <c r="A161" s="9" t="s">
        <v>242</v>
      </c>
      <c r="B161" s="9"/>
      <c r="C161" s="9" t="s">
        <v>18</v>
      </c>
      <c r="D161" s="9"/>
      <c r="E161" s="23">
        <v>46409</v>
      </c>
      <c r="G161" s="42">
        <v>3681579</v>
      </c>
      <c r="I161" s="42">
        <v>0</v>
      </c>
      <c r="K161" s="2">
        <f t="shared" si="31"/>
        <v>2867268</v>
      </c>
      <c r="M161" s="42">
        <v>6548847</v>
      </c>
      <c r="O161" s="42">
        <v>0</v>
      </c>
      <c r="Q161" s="2">
        <f t="shared" si="29"/>
        <v>1143675</v>
      </c>
      <c r="S161" s="42">
        <v>0</v>
      </c>
      <c r="U161" s="42">
        <v>1143675</v>
      </c>
      <c r="W161" s="42">
        <v>2620984</v>
      </c>
      <c r="Y161" s="42">
        <v>0</v>
      </c>
      <c r="AA161" s="42">
        <v>0</v>
      </c>
      <c r="AC161" s="42">
        <v>28228</v>
      </c>
      <c r="AE161" s="42">
        <v>91919</v>
      </c>
      <c r="AG161" s="42">
        <v>2664041</v>
      </c>
      <c r="AI161" s="10">
        <f t="shared" si="30"/>
        <v>2784188</v>
      </c>
      <c r="AK161" s="42">
        <f t="shared" si="28"/>
        <v>0</v>
      </c>
    </row>
    <row r="162" spans="1:37">
      <c r="A162" s="9" t="s">
        <v>318</v>
      </c>
      <c r="B162" s="9"/>
      <c r="C162" s="9" t="s">
        <v>31</v>
      </c>
      <c r="D162" s="9"/>
      <c r="E162" s="23">
        <v>69682</v>
      </c>
      <c r="G162" s="42">
        <v>3457484</v>
      </c>
      <c r="I162" s="42">
        <v>0</v>
      </c>
      <c r="K162" s="2">
        <f t="shared" si="31"/>
        <v>2920251</v>
      </c>
      <c r="M162" s="42">
        <v>6377735</v>
      </c>
      <c r="O162" s="42">
        <v>0</v>
      </c>
      <c r="Q162" s="2">
        <f t="shared" si="29"/>
        <v>3004818</v>
      </c>
      <c r="S162" s="42">
        <v>0</v>
      </c>
      <c r="U162" s="42">
        <v>3004818</v>
      </c>
      <c r="W162" s="42">
        <v>0</v>
      </c>
      <c r="Y162" s="42">
        <v>33442</v>
      </c>
      <c r="AA162" s="42">
        <v>0</v>
      </c>
      <c r="AC162" s="42">
        <v>0</v>
      </c>
      <c r="AE162" s="42">
        <v>1013448</v>
      </c>
      <c r="AG162" s="42">
        <v>2326027</v>
      </c>
      <c r="AI162" s="10">
        <f t="shared" si="30"/>
        <v>3372917</v>
      </c>
      <c r="AK162" s="42">
        <f t="shared" si="28"/>
        <v>0</v>
      </c>
    </row>
    <row r="163" spans="1:37">
      <c r="A163" s="9" t="s">
        <v>351</v>
      </c>
      <c r="B163" s="9"/>
      <c r="C163" s="9" t="s">
        <v>36</v>
      </c>
      <c r="D163" s="9"/>
      <c r="E163" s="23">
        <v>47688</v>
      </c>
      <c r="G163" s="42">
        <v>5154213</v>
      </c>
      <c r="I163" s="42">
        <v>0</v>
      </c>
      <c r="K163" s="2">
        <f t="shared" si="31"/>
        <v>7788166</v>
      </c>
      <c r="M163" s="42">
        <v>12942379</v>
      </c>
      <c r="O163" s="42">
        <v>0</v>
      </c>
      <c r="Q163" s="2">
        <f t="shared" si="29"/>
        <v>8928289</v>
      </c>
      <c r="S163" s="42">
        <v>0</v>
      </c>
      <c r="U163" s="42">
        <v>8928289</v>
      </c>
      <c r="W163" s="42">
        <v>0</v>
      </c>
      <c r="Y163" s="42">
        <v>23597</v>
      </c>
      <c r="AA163" s="42">
        <v>0</v>
      </c>
      <c r="AC163" s="42">
        <v>0</v>
      </c>
      <c r="AE163" s="42">
        <v>643053</v>
      </c>
      <c r="AG163" s="42">
        <v>3347440</v>
      </c>
      <c r="AI163" s="10">
        <f t="shared" si="30"/>
        <v>4014090</v>
      </c>
      <c r="AK163" s="42">
        <f t="shared" si="28"/>
        <v>0</v>
      </c>
    </row>
    <row r="164" spans="1:37" hidden="1">
      <c r="A164" s="9" t="s">
        <v>654</v>
      </c>
      <c r="B164" s="9"/>
      <c r="C164" s="9" t="s">
        <v>40</v>
      </c>
      <c r="D164" s="9"/>
      <c r="E164" s="23">
        <v>47845</v>
      </c>
      <c r="G164" s="42">
        <v>0</v>
      </c>
      <c r="I164" s="42">
        <v>0</v>
      </c>
      <c r="K164" s="2">
        <f t="shared" si="31"/>
        <v>0</v>
      </c>
      <c r="M164" s="42">
        <v>0</v>
      </c>
      <c r="O164" s="42">
        <v>0</v>
      </c>
      <c r="Q164" s="2">
        <f t="shared" si="29"/>
        <v>0</v>
      </c>
      <c r="S164" s="42">
        <v>0</v>
      </c>
      <c r="U164" s="42">
        <v>0</v>
      </c>
      <c r="W164" s="42">
        <v>0</v>
      </c>
      <c r="Y164" s="42">
        <v>0</v>
      </c>
      <c r="AA164" s="42">
        <v>0</v>
      </c>
      <c r="AC164" s="42">
        <v>0</v>
      </c>
      <c r="AE164" s="42">
        <v>0</v>
      </c>
      <c r="AG164" s="42">
        <v>0</v>
      </c>
      <c r="AI164" s="10">
        <f t="shared" si="30"/>
        <v>0</v>
      </c>
      <c r="AK164" s="42">
        <f t="shared" si="28"/>
        <v>0</v>
      </c>
    </row>
    <row r="165" spans="1:37">
      <c r="A165" s="9" t="s">
        <v>246</v>
      </c>
      <c r="B165" s="9"/>
      <c r="C165" s="9" t="s">
        <v>111</v>
      </c>
      <c r="D165" s="9"/>
      <c r="E165" s="23">
        <v>43919</v>
      </c>
      <c r="G165" s="42">
        <v>3782613</v>
      </c>
      <c r="I165" s="42">
        <v>0</v>
      </c>
      <c r="K165" s="2">
        <f t="shared" si="31"/>
        <v>4976763</v>
      </c>
      <c r="M165" s="42">
        <v>8759376</v>
      </c>
      <c r="O165" s="42">
        <v>0</v>
      </c>
      <c r="Q165" s="2">
        <f t="shared" si="29"/>
        <v>7047460</v>
      </c>
      <c r="S165" s="42">
        <v>0</v>
      </c>
      <c r="U165" s="42">
        <v>7047460</v>
      </c>
      <c r="W165" s="42">
        <v>0</v>
      </c>
      <c r="Y165" s="42">
        <v>0</v>
      </c>
      <c r="AA165" s="42">
        <v>0</v>
      </c>
      <c r="AC165" s="42">
        <v>0</v>
      </c>
      <c r="AE165" s="42">
        <v>1748167</v>
      </c>
      <c r="AG165" s="42">
        <v>-36251</v>
      </c>
      <c r="AI165" s="10">
        <f t="shared" si="30"/>
        <v>1711916</v>
      </c>
      <c r="AK165" s="42">
        <f t="shared" si="28"/>
        <v>0</v>
      </c>
    </row>
    <row r="166" spans="1:37">
      <c r="A166" s="9" t="s">
        <v>440</v>
      </c>
      <c r="B166" s="9"/>
      <c r="C166" s="9" t="s">
        <v>51</v>
      </c>
      <c r="D166" s="9"/>
      <c r="E166" s="23">
        <v>48835</v>
      </c>
      <c r="G166" s="42">
        <v>5188840</v>
      </c>
      <c r="I166" s="42">
        <v>2258</v>
      </c>
      <c r="K166" s="2">
        <f t="shared" si="31"/>
        <v>6787042</v>
      </c>
      <c r="M166" s="42">
        <v>11978140</v>
      </c>
      <c r="O166" s="42">
        <v>0</v>
      </c>
      <c r="Q166" s="2">
        <f t="shared" si="29"/>
        <v>2462752</v>
      </c>
      <c r="S166" s="42">
        <v>0</v>
      </c>
      <c r="U166" s="42">
        <v>2462752</v>
      </c>
      <c r="W166" s="42">
        <v>4708121</v>
      </c>
      <c r="Y166" s="42">
        <f>151507+27405+2258</f>
        <v>181170</v>
      </c>
      <c r="AA166" s="42">
        <v>0</v>
      </c>
      <c r="AC166" s="42">
        <v>0</v>
      </c>
      <c r="AE166" s="42">
        <f>132770+58763</f>
        <v>191533</v>
      </c>
      <c r="AG166" s="42">
        <v>4434564</v>
      </c>
      <c r="AI166" s="10">
        <f t="shared" si="30"/>
        <v>4807267</v>
      </c>
      <c r="AK166" s="42">
        <f t="shared" si="28"/>
        <v>0</v>
      </c>
    </row>
    <row r="167" spans="1:37">
      <c r="A167" s="9" t="s">
        <v>247</v>
      </c>
      <c r="B167" s="9"/>
      <c r="C167" s="9" t="s">
        <v>111</v>
      </c>
      <c r="D167" s="9"/>
      <c r="E167" s="23">
        <v>43927</v>
      </c>
      <c r="G167" s="42">
        <f>1382621+20652</f>
        <v>1403273</v>
      </c>
      <c r="I167" s="42">
        <v>0</v>
      </c>
      <c r="K167" s="2">
        <f t="shared" si="31"/>
        <v>2447240</v>
      </c>
      <c r="M167" s="42">
        <v>3850513</v>
      </c>
      <c r="O167" s="42">
        <v>0</v>
      </c>
      <c r="Q167" s="2">
        <f t="shared" si="29"/>
        <v>3393717</v>
      </c>
      <c r="S167" s="42">
        <v>0</v>
      </c>
      <c r="U167" s="42">
        <v>3393717</v>
      </c>
      <c r="W167" s="42">
        <v>0</v>
      </c>
      <c r="Y167" s="42">
        <v>0</v>
      </c>
      <c r="AA167" s="42">
        <v>0</v>
      </c>
      <c r="AC167" s="42">
        <v>0</v>
      </c>
      <c r="AE167" s="42">
        <v>434904</v>
      </c>
      <c r="AG167" s="42">
        <v>21892</v>
      </c>
      <c r="AI167" s="10">
        <f t="shared" si="30"/>
        <v>456796</v>
      </c>
      <c r="AK167" s="42">
        <f t="shared" si="28"/>
        <v>0</v>
      </c>
    </row>
    <row r="168" spans="1:37">
      <c r="A168" s="9" t="s">
        <v>217</v>
      </c>
      <c r="B168" s="9"/>
      <c r="C168" s="9" t="s">
        <v>77</v>
      </c>
      <c r="D168" s="9"/>
      <c r="E168" s="23">
        <v>46037</v>
      </c>
      <c r="G168" s="42">
        <v>2226801</v>
      </c>
      <c r="I168" s="42">
        <v>0</v>
      </c>
      <c r="K168" s="2">
        <f t="shared" si="31"/>
        <v>3651328</v>
      </c>
      <c r="M168" s="42">
        <v>5878129</v>
      </c>
      <c r="O168" s="42">
        <v>0</v>
      </c>
      <c r="Q168" s="2">
        <f t="shared" si="29"/>
        <v>1167951</v>
      </c>
      <c r="S168" s="42">
        <v>0</v>
      </c>
      <c r="U168" s="42">
        <v>1167951</v>
      </c>
      <c r="W168" s="42">
        <v>2723697</v>
      </c>
      <c r="Y168" s="42">
        <v>0</v>
      </c>
      <c r="AA168" s="42">
        <v>0</v>
      </c>
      <c r="AC168" s="42">
        <v>19715</v>
      </c>
      <c r="AE168" s="42">
        <v>66368</v>
      </c>
      <c r="AG168" s="42">
        <v>1900398</v>
      </c>
      <c r="AI168" s="10">
        <f t="shared" si="30"/>
        <v>1986481</v>
      </c>
      <c r="AK168" s="42">
        <f t="shared" si="28"/>
        <v>0</v>
      </c>
    </row>
    <row r="169" spans="1:37">
      <c r="A169" s="9" t="s">
        <v>217</v>
      </c>
      <c r="B169" s="9"/>
      <c r="C169" s="9" t="s">
        <v>417</v>
      </c>
      <c r="D169" s="9"/>
      <c r="E169" s="23">
        <v>48512</v>
      </c>
      <c r="G169" s="42">
        <v>940278</v>
      </c>
      <c r="I169" s="42">
        <v>52866</v>
      </c>
      <c r="K169" s="2">
        <f t="shared" si="31"/>
        <v>1546466</v>
      </c>
      <c r="M169" s="42">
        <v>2539610</v>
      </c>
      <c r="O169" s="42">
        <v>0</v>
      </c>
      <c r="Q169" s="2">
        <f t="shared" si="29"/>
        <v>988093</v>
      </c>
      <c r="S169" s="42">
        <v>0</v>
      </c>
      <c r="U169" s="42">
        <v>988093</v>
      </c>
      <c r="W169" s="42">
        <v>834270</v>
      </c>
      <c r="Y169" s="42">
        <v>0</v>
      </c>
      <c r="AA169" s="42">
        <v>52866</v>
      </c>
      <c r="AC169" s="42">
        <v>0</v>
      </c>
      <c r="AE169" s="42">
        <v>104492</v>
      </c>
      <c r="AG169" s="42">
        <v>559889</v>
      </c>
      <c r="AI169" s="10">
        <f t="shared" si="30"/>
        <v>717247</v>
      </c>
      <c r="AK169" s="42">
        <f t="shared" si="28"/>
        <v>0</v>
      </c>
    </row>
    <row r="170" spans="1:37" hidden="1">
      <c r="A170" s="9" t="s">
        <v>655</v>
      </c>
      <c r="B170" s="9"/>
      <c r="C170" s="9" t="s">
        <v>55</v>
      </c>
      <c r="D170" s="9"/>
      <c r="E170" s="23">
        <v>49122</v>
      </c>
      <c r="G170" s="42">
        <v>0</v>
      </c>
      <c r="I170" s="42">
        <v>0</v>
      </c>
      <c r="K170" s="2">
        <f t="shared" si="31"/>
        <v>0</v>
      </c>
      <c r="M170" s="42">
        <v>0</v>
      </c>
      <c r="O170" s="42">
        <v>0</v>
      </c>
      <c r="Q170" s="2">
        <f t="shared" si="29"/>
        <v>0</v>
      </c>
      <c r="S170" s="42">
        <v>0</v>
      </c>
      <c r="U170" s="42">
        <v>0</v>
      </c>
      <c r="W170" s="42">
        <v>0</v>
      </c>
      <c r="Y170" s="42">
        <v>0</v>
      </c>
      <c r="AA170" s="42">
        <v>0</v>
      </c>
      <c r="AC170" s="42">
        <v>0</v>
      </c>
      <c r="AE170" s="42">
        <v>0</v>
      </c>
      <c r="AG170" s="42">
        <v>0</v>
      </c>
      <c r="AI170" s="10">
        <f t="shared" si="30"/>
        <v>0</v>
      </c>
      <c r="AK170" s="42">
        <f t="shared" si="28"/>
        <v>0</v>
      </c>
    </row>
    <row r="171" spans="1:37">
      <c r="A171" s="9" t="s">
        <v>550</v>
      </c>
      <c r="B171" s="9"/>
      <c r="C171" s="9" t="s">
        <v>72</v>
      </c>
      <c r="D171" s="9"/>
      <c r="E171" s="23">
        <v>50674</v>
      </c>
      <c r="G171" s="42">
        <v>9331589</v>
      </c>
      <c r="I171" s="42">
        <v>0</v>
      </c>
      <c r="K171" s="2">
        <f t="shared" si="31"/>
        <v>5447038</v>
      </c>
      <c r="M171" s="42">
        <v>14778627</v>
      </c>
      <c r="O171" s="42">
        <v>0</v>
      </c>
      <c r="Q171" s="2">
        <f t="shared" si="29"/>
        <v>1640006</v>
      </c>
      <c r="S171" s="42">
        <v>0</v>
      </c>
      <c r="U171" s="42">
        <v>1640006</v>
      </c>
      <c r="W171" s="42">
        <v>3773153</v>
      </c>
      <c r="Y171" s="42">
        <v>142737</v>
      </c>
      <c r="AA171" s="42">
        <v>0</v>
      </c>
      <c r="AC171" s="42">
        <v>0</v>
      </c>
      <c r="AE171" s="42">
        <v>2096911</v>
      </c>
      <c r="AG171" s="42">
        <v>7125820</v>
      </c>
      <c r="AI171" s="10">
        <f t="shared" si="30"/>
        <v>9365468</v>
      </c>
      <c r="AK171" s="42">
        <f t="shared" si="28"/>
        <v>0</v>
      </c>
    </row>
    <row r="172" spans="1:37" hidden="1">
      <c r="A172" s="8" t="s">
        <v>858</v>
      </c>
      <c r="B172" s="9"/>
      <c r="C172" s="9" t="s">
        <v>57</v>
      </c>
      <c r="D172" s="9"/>
      <c r="E172" s="23">
        <v>43935</v>
      </c>
      <c r="G172" s="42">
        <v>0</v>
      </c>
      <c r="I172" s="42">
        <v>0</v>
      </c>
      <c r="K172" s="2">
        <f t="shared" si="31"/>
        <v>0</v>
      </c>
      <c r="M172" s="42">
        <v>0</v>
      </c>
      <c r="O172" s="42">
        <v>0</v>
      </c>
      <c r="Q172" s="2">
        <f t="shared" si="29"/>
        <v>0</v>
      </c>
      <c r="S172" s="42">
        <v>0</v>
      </c>
      <c r="U172" s="42">
        <v>0</v>
      </c>
      <c r="W172" s="42">
        <v>0</v>
      </c>
      <c r="Y172" s="42">
        <v>0</v>
      </c>
      <c r="AA172" s="42">
        <v>0</v>
      </c>
      <c r="AC172" s="42">
        <v>0</v>
      </c>
      <c r="AE172" s="42">
        <v>0</v>
      </c>
      <c r="AG172" s="42">
        <v>0</v>
      </c>
      <c r="AI172" s="10">
        <f t="shared" si="30"/>
        <v>0</v>
      </c>
      <c r="AK172" s="42">
        <f t="shared" si="28"/>
        <v>0</v>
      </c>
    </row>
    <row r="173" spans="1:37" hidden="1">
      <c r="A173" s="9" t="s">
        <v>656</v>
      </c>
      <c r="B173" s="9"/>
      <c r="C173" s="9" t="s">
        <v>548</v>
      </c>
      <c r="D173" s="9"/>
      <c r="E173" s="23">
        <v>50617</v>
      </c>
      <c r="G173" s="42">
        <v>0</v>
      </c>
      <c r="I173" s="42">
        <v>0</v>
      </c>
      <c r="K173" s="2">
        <f t="shared" si="31"/>
        <v>0</v>
      </c>
      <c r="M173" s="42">
        <v>0</v>
      </c>
      <c r="O173" s="42">
        <v>0</v>
      </c>
      <c r="Q173" s="2">
        <f t="shared" si="29"/>
        <v>0</v>
      </c>
      <c r="S173" s="42">
        <v>0</v>
      </c>
      <c r="U173" s="42">
        <v>0</v>
      </c>
      <c r="W173" s="42">
        <v>0</v>
      </c>
      <c r="Y173" s="42">
        <v>0</v>
      </c>
      <c r="AA173" s="42">
        <v>0</v>
      </c>
      <c r="AC173" s="42">
        <v>0</v>
      </c>
      <c r="AE173" s="42">
        <v>0</v>
      </c>
      <c r="AG173" s="42">
        <v>0</v>
      </c>
      <c r="AI173" s="10">
        <f t="shared" si="30"/>
        <v>0</v>
      </c>
      <c r="AK173" s="42">
        <f t="shared" si="28"/>
        <v>0</v>
      </c>
    </row>
    <row r="174" spans="1:37">
      <c r="A174" s="9" t="s">
        <v>657</v>
      </c>
      <c r="B174" s="9"/>
      <c r="C174" s="9" t="s">
        <v>220</v>
      </c>
      <c r="D174" s="9"/>
      <c r="E174" s="23">
        <v>46094</v>
      </c>
      <c r="G174" s="42">
        <v>6578649</v>
      </c>
      <c r="I174" s="42">
        <v>0</v>
      </c>
      <c r="K174" s="2">
        <f t="shared" si="31"/>
        <v>13558250</v>
      </c>
      <c r="M174" s="42">
        <v>20136899</v>
      </c>
      <c r="O174" s="42">
        <v>0</v>
      </c>
      <c r="Q174" s="2">
        <f t="shared" si="29"/>
        <v>3644082</v>
      </c>
      <c r="S174" s="42">
        <v>0</v>
      </c>
      <c r="U174" s="42">
        <v>3644082</v>
      </c>
      <c r="W174" s="42">
        <v>12743131</v>
      </c>
      <c r="Y174" s="42">
        <v>769</v>
      </c>
      <c r="AA174" s="42">
        <v>0</v>
      </c>
      <c r="AC174" s="42">
        <v>0</v>
      </c>
      <c r="AE174" s="42">
        <f>46402+208342+4353+45873+3830</f>
        <v>308800</v>
      </c>
      <c r="AG174" s="42">
        <v>3440117</v>
      </c>
      <c r="AI174" s="10">
        <f t="shared" si="30"/>
        <v>3749686</v>
      </c>
      <c r="AK174" s="42">
        <f t="shared" si="28"/>
        <v>0</v>
      </c>
    </row>
    <row r="175" spans="1:37">
      <c r="A175" s="9" t="s">
        <v>360</v>
      </c>
      <c r="B175" s="9"/>
      <c r="C175" s="9" t="s">
        <v>24</v>
      </c>
      <c r="D175" s="9"/>
      <c r="E175" s="23">
        <v>46789</v>
      </c>
      <c r="G175" s="42">
        <v>2237412</v>
      </c>
      <c r="I175" s="42">
        <v>0</v>
      </c>
      <c r="K175" s="2">
        <f t="shared" ref="K175" si="32">+M175-I175-G175</f>
        <v>6284317</v>
      </c>
      <c r="M175" s="42">
        <v>8521729</v>
      </c>
      <c r="O175" s="42">
        <v>0</v>
      </c>
      <c r="Q175" s="2">
        <f t="shared" ref="Q175" si="33">+U175-S175</f>
        <v>1549872</v>
      </c>
      <c r="S175" s="42">
        <v>0</v>
      </c>
      <c r="U175" s="42">
        <v>1549872</v>
      </c>
      <c r="W175" s="42">
        <v>5181403</v>
      </c>
      <c r="Y175" s="42">
        <f>20332+3348+2379</f>
        <v>26059</v>
      </c>
      <c r="AA175" s="42">
        <v>0</v>
      </c>
      <c r="AC175" s="42">
        <v>0</v>
      </c>
      <c r="AE175" s="42">
        <f>16005+183026+1463+1044715+176</f>
        <v>1245385</v>
      </c>
      <c r="AG175" s="42">
        <v>519010</v>
      </c>
      <c r="AI175" s="10">
        <f t="shared" ref="AI175" si="34">+AC175+AA175++Y175+AE175+AG175</f>
        <v>1790454</v>
      </c>
      <c r="AK175" s="42">
        <f t="shared" si="28"/>
        <v>0</v>
      </c>
    </row>
    <row r="176" spans="1:37">
      <c r="A176" s="9" t="s">
        <v>360</v>
      </c>
      <c r="B176" s="9"/>
      <c r="C176" s="9" t="s">
        <v>39</v>
      </c>
      <c r="D176" s="9"/>
      <c r="E176" s="23">
        <v>47795</v>
      </c>
      <c r="G176" s="42">
        <v>1522030</v>
      </c>
      <c r="I176" s="42">
        <v>0</v>
      </c>
      <c r="K176" s="2">
        <f t="shared" si="31"/>
        <v>8520582</v>
      </c>
      <c r="M176" s="42">
        <v>10042612</v>
      </c>
      <c r="O176" s="42">
        <v>0</v>
      </c>
      <c r="Q176" s="2">
        <f t="shared" si="29"/>
        <v>1634961</v>
      </c>
      <c r="S176" s="42">
        <v>0</v>
      </c>
      <c r="U176" s="42">
        <v>1634961</v>
      </c>
      <c r="W176" s="42">
        <v>7767898</v>
      </c>
      <c r="Y176" s="42">
        <v>85513</v>
      </c>
      <c r="AA176" s="42">
        <v>0</v>
      </c>
      <c r="AC176" s="42">
        <v>0</v>
      </c>
      <c r="AE176" s="42">
        <f>21637+269593+3803+36375+1450</f>
        <v>332858</v>
      </c>
      <c r="AG176" s="42">
        <v>221382</v>
      </c>
      <c r="AI176" s="10">
        <f t="shared" si="30"/>
        <v>639753</v>
      </c>
      <c r="AK176" s="42">
        <f t="shared" si="28"/>
        <v>0</v>
      </c>
    </row>
    <row r="177" spans="1:37" hidden="1">
      <c r="A177" s="9" t="s">
        <v>859</v>
      </c>
      <c r="B177" s="9"/>
      <c r="C177" s="9" t="s">
        <v>548</v>
      </c>
      <c r="D177" s="9"/>
      <c r="E177" s="23">
        <v>50625</v>
      </c>
      <c r="G177" s="42">
        <v>0</v>
      </c>
      <c r="I177" s="42">
        <v>0</v>
      </c>
      <c r="K177" s="2">
        <f t="shared" si="31"/>
        <v>0</v>
      </c>
      <c r="M177" s="42">
        <v>0</v>
      </c>
      <c r="O177" s="42">
        <v>0</v>
      </c>
      <c r="Q177" s="2">
        <f t="shared" si="29"/>
        <v>0</v>
      </c>
      <c r="S177" s="42">
        <v>0</v>
      </c>
      <c r="U177" s="42">
        <v>0</v>
      </c>
      <c r="W177" s="42">
        <v>0</v>
      </c>
      <c r="Y177" s="42">
        <v>0</v>
      </c>
      <c r="AA177" s="42">
        <v>0</v>
      </c>
      <c r="AC177" s="42">
        <v>0</v>
      </c>
      <c r="AE177" s="42">
        <v>0</v>
      </c>
      <c r="AG177" s="42">
        <v>0</v>
      </c>
      <c r="AI177" s="10">
        <f t="shared" si="30"/>
        <v>0</v>
      </c>
      <c r="AK177" s="42">
        <f t="shared" si="28"/>
        <v>0</v>
      </c>
    </row>
    <row r="178" spans="1:37">
      <c r="A178" s="9" t="s">
        <v>672</v>
      </c>
      <c r="B178" s="9"/>
      <c r="C178" s="9" t="s">
        <v>46</v>
      </c>
      <c r="D178" s="9"/>
      <c r="E178" s="23">
        <v>48413</v>
      </c>
      <c r="G178" s="42">
        <v>4838360</v>
      </c>
      <c r="I178" s="42">
        <v>0</v>
      </c>
      <c r="K178" s="2">
        <f t="shared" ref="K178" si="35">+M178-I178-G178</f>
        <v>4310866</v>
      </c>
      <c r="M178" s="42">
        <v>9149226</v>
      </c>
      <c r="O178" s="42">
        <v>0</v>
      </c>
      <c r="Q178" s="2">
        <f t="shared" ref="Q178" si="36">+U178-S178</f>
        <v>1382488</v>
      </c>
      <c r="S178" s="42">
        <v>0</v>
      </c>
      <c r="U178" s="42">
        <v>1382488</v>
      </c>
      <c r="W178" s="42">
        <v>2412275</v>
      </c>
      <c r="Y178" s="42">
        <v>45836</v>
      </c>
      <c r="AA178" s="42">
        <v>1648</v>
      </c>
      <c r="AC178" s="42">
        <v>76925</v>
      </c>
      <c r="AE178" s="42">
        <v>173630</v>
      </c>
      <c r="AG178" s="42">
        <v>5056424</v>
      </c>
      <c r="AI178" s="10">
        <f t="shared" ref="AI178" si="37">+AC178+AA178++Y178+AE178+AG178</f>
        <v>5354463</v>
      </c>
      <c r="AK178" s="42">
        <f t="shared" si="28"/>
        <v>0</v>
      </c>
    </row>
    <row r="179" spans="1:37" hidden="1">
      <c r="A179" s="9" t="s">
        <v>658</v>
      </c>
      <c r="B179" s="9"/>
      <c r="C179" s="9" t="s">
        <v>10</v>
      </c>
      <c r="D179" s="9"/>
      <c r="E179" s="23">
        <v>45773</v>
      </c>
      <c r="G179" s="42">
        <v>0</v>
      </c>
      <c r="I179" s="42">
        <v>0</v>
      </c>
      <c r="K179" s="2">
        <f t="shared" si="31"/>
        <v>0</v>
      </c>
      <c r="M179" s="42">
        <v>0</v>
      </c>
      <c r="O179" s="42">
        <v>0</v>
      </c>
      <c r="Q179" s="2">
        <f t="shared" si="29"/>
        <v>0</v>
      </c>
      <c r="S179" s="42">
        <v>0</v>
      </c>
      <c r="U179" s="42">
        <v>0</v>
      </c>
      <c r="W179" s="42">
        <v>0</v>
      </c>
      <c r="Y179" s="42">
        <v>0</v>
      </c>
      <c r="AA179" s="42">
        <v>0</v>
      </c>
      <c r="AC179" s="42">
        <v>0</v>
      </c>
      <c r="AE179" s="42">
        <v>0</v>
      </c>
      <c r="AG179" s="42">
        <v>0</v>
      </c>
      <c r="AI179" s="10">
        <f t="shared" si="30"/>
        <v>0</v>
      </c>
      <c r="AK179" s="42">
        <f t="shared" si="28"/>
        <v>0</v>
      </c>
    </row>
    <row r="180" spans="1:37" hidden="1">
      <c r="A180" s="9" t="s">
        <v>687</v>
      </c>
      <c r="B180" s="9"/>
      <c r="C180" s="9" t="s">
        <v>72</v>
      </c>
      <c r="D180" s="9"/>
      <c r="E180" s="23">
        <v>50682</v>
      </c>
      <c r="G180" s="42">
        <v>0</v>
      </c>
      <c r="I180" s="42">
        <v>0</v>
      </c>
      <c r="K180" s="2">
        <f t="shared" si="31"/>
        <v>0</v>
      </c>
      <c r="M180" s="42">
        <v>0</v>
      </c>
      <c r="O180" s="42">
        <v>0</v>
      </c>
      <c r="Q180" s="2">
        <f t="shared" si="29"/>
        <v>0</v>
      </c>
      <c r="S180" s="42">
        <v>0</v>
      </c>
      <c r="U180" s="42">
        <v>0</v>
      </c>
      <c r="W180" s="42">
        <v>0</v>
      </c>
      <c r="Y180" s="42">
        <v>0</v>
      </c>
      <c r="AA180" s="42">
        <v>0</v>
      </c>
      <c r="AC180" s="42">
        <v>0</v>
      </c>
      <c r="AE180" s="42">
        <v>0</v>
      </c>
      <c r="AG180" s="42">
        <v>0</v>
      </c>
      <c r="AI180" s="10">
        <f t="shared" si="30"/>
        <v>0</v>
      </c>
      <c r="AK180" s="42">
        <f t="shared" si="28"/>
        <v>0</v>
      </c>
    </row>
    <row r="181" spans="1:37">
      <c r="A181" s="9" t="s">
        <v>381</v>
      </c>
      <c r="B181" s="9"/>
      <c r="C181" s="9" t="s">
        <v>44</v>
      </c>
      <c r="D181" s="9"/>
      <c r="E181" s="23">
        <v>43943</v>
      </c>
      <c r="G181" s="42">
        <v>6389517</v>
      </c>
      <c r="I181" s="42">
        <v>0</v>
      </c>
      <c r="K181" s="2">
        <f t="shared" si="31"/>
        <v>34058455</v>
      </c>
      <c r="M181" s="42">
        <v>40447972</v>
      </c>
      <c r="O181" s="42">
        <v>0</v>
      </c>
      <c r="Q181" s="2">
        <f t="shared" si="29"/>
        <v>38671056</v>
      </c>
      <c r="S181" s="42">
        <v>0</v>
      </c>
      <c r="U181" s="42">
        <v>38671056</v>
      </c>
      <c r="W181" s="42">
        <v>0</v>
      </c>
      <c r="Y181" s="42">
        <v>5623</v>
      </c>
      <c r="AA181" s="42">
        <v>0</v>
      </c>
      <c r="AC181" s="42">
        <v>0</v>
      </c>
      <c r="AE181" s="42">
        <v>1572045</v>
      </c>
      <c r="AG181" s="42">
        <v>199248</v>
      </c>
      <c r="AI181" s="10">
        <f t="shared" si="30"/>
        <v>1776916</v>
      </c>
      <c r="AK181" s="42">
        <f t="shared" si="28"/>
        <v>0</v>
      </c>
    </row>
    <row r="182" spans="1:37">
      <c r="A182" s="9" t="s">
        <v>265</v>
      </c>
      <c r="B182" s="9"/>
      <c r="C182" s="9" t="s">
        <v>20</v>
      </c>
      <c r="D182" s="9"/>
      <c r="E182" s="23">
        <v>43950</v>
      </c>
      <c r="G182" s="42">
        <v>1683794</v>
      </c>
      <c r="I182" s="42">
        <v>0</v>
      </c>
      <c r="K182" s="2">
        <f t="shared" si="31"/>
        <v>40563918</v>
      </c>
      <c r="M182" s="42">
        <v>42247712</v>
      </c>
      <c r="O182" s="42">
        <v>0</v>
      </c>
      <c r="Q182" s="2">
        <f t="shared" si="29"/>
        <v>8596007</v>
      </c>
      <c r="S182" s="42">
        <v>0</v>
      </c>
      <c r="U182" s="42">
        <v>8596007</v>
      </c>
      <c r="W182" s="42">
        <v>34165982</v>
      </c>
      <c r="Y182" s="42">
        <v>107155</v>
      </c>
      <c r="AA182" s="42">
        <v>0</v>
      </c>
      <c r="AC182" s="42">
        <v>186738</v>
      </c>
      <c r="AE182" s="42">
        <v>57715</v>
      </c>
      <c r="AG182" s="42">
        <v>-865885</v>
      </c>
      <c r="AI182" s="10">
        <f t="shared" si="30"/>
        <v>-514277</v>
      </c>
      <c r="AK182" s="42">
        <f t="shared" si="28"/>
        <v>0</v>
      </c>
    </row>
    <row r="183" spans="1:37" hidden="1">
      <c r="A183" s="9" t="s">
        <v>614</v>
      </c>
      <c r="B183" s="9"/>
      <c r="C183" s="9" t="s">
        <v>28</v>
      </c>
      <c r="D183" s="9"/>
      <c r="E183" s="23">
        <v>47050</v>
      </c>
      <c r="G183" s="42">
        <v>0</v>
      </c>
      <c r="I183" s="42">
        <v>0</v>
      </c>
      <c r="K183" s="2">
        <f t="shared" si="31"/>
        <v>0</v>
      </c>
      <c r="M183" s="42">
        <v>0</v>
      </c>
      <c r="O183" s="42">
        <v>0</v>
      </c>
      <c r="Q183" s="2">
        <f t="shared" si="29"/>
        <v>0</v>
      </c>
      <c r="S183" s="42">
        <v>0</v>
      </c>
      <c r="U183" s="42">
        <v>0</v>
      </c>
      <c r="W183" s="42">
        <v>0</v>
      </c>
      <c r="Y183" s="42">
        <v>0</v>
      </c>
      <c r="AA183" s="42">
        <v>0</v>
      </c>
      <c r="AC183" s="42">
        <v>0</v>
      </c>
      <c r="AE183" s="42">
        <v>0</v>
      </c>
      <c r="AG183" s="42">
        <v>0</v>
      </c>
      <c r="AI183" s="10">
        <f t="shared" si="30"/>
        <v>0</v>
      </c>
      <c r="AK183" s="42">
        <f t="shared" si="28"/>
        <v>0</v>
      </c>
    </row>
    <row r="184" spans="1:37">
      <c r="A184" s="9" t="s">
        <v>535</v>
      </c>
      <c r="B184" s="9"/>
      <c r="C184" s="9" t="s">
        <v>66</v>
      </c>
      <c r="D184" s="9"/>
      <c r="E184" s="23">
        <v>50328</v>
      </c>
      <c r="G184" s="42">
        <v>3319352</v>
      </c>
      <c r="I184" s="42">
        <v>0</v>
      </c>
      <c r="K184" s="2">
        <f t="shared" si="31"/>
        <v>5707199</v>
      </c>
      <c r="M184" s="42">
        <v>9026551</v>
      </c>
      <c r="O184" s="42">
        <v>0</v>
      </c>
      <c r="Q184" s="2">
        <f t="shared" si="29"/>
        <v>1105702</v>
      </c>
      <c r="S184" s="42">
        <v>0</v>
      </c>
      <c r="U184" s="42">
        <v>1105702</v>
      </c>
      <c r="W184" s="42">
        <v>4383632</v>
      </c>
      <c r="Y184" s="42">
        <v>0</v>
      </c>
      <c r="AA184" s="42">
        <v>0</v>
      </c>
      <c r="AC184" s="42">
        <v>0</v>
      </c>
      <c r="AE184" s="42">
        <f>3189+40584+17550+217836+2197</f>
        <v>281356</v>
      </c>
      <c r="AG184" s="42">
        <v>3255861</v>
      </c>
      <c r="AI184" s="10">
        <f t="shared" si="30"/>
        <v>3537217</v>
      </c>
      <c r="AK184" s="42">
        <f t="shared" si="28"/>
        <v>0</v>
      </c>
    </row>
    <row r="185" spans="1:37">
      <c r="A185" s="9" t="s">
        <v>621</v>
      </c>
      <c r="B185" s="9"/>
      <c r="C185" s="9" t="s">
        <v>113</v>
      </c>
      <c r="D185" s="9"/>
      <c r="E185" s="23">
        <v>43968</v>
      </c>
      <c r="G185" s="42">
        <v>4563333</v>
      </c>
      <c r="I185" s="42">
        <v>0</v>
      </c>
      <c r="K185" s="2">
        <f t="shared" si="31"/>
        <v>17674327</v>
      </c>
      <c r="M185" s="42">
        <v>22237660</v>
      </c>
      <c r="O185" s="42">
        <v>0</v>
      </c>
      <c r="Q185" s="2">
        <f t="shared" si="29"/>
        <v>18409536</v>
      </c>
      <c r="S185" s="42">
        <v>0</v>
      </c>
      <c r="U185" s="42">
        <v>18409536</v>
      </c>
      <c r="W185" s="42">
        <v>0</v>
      </c>
      <c r="Y185" s="42">
        <v>0</v>
      </c>
      <c r="AA185" s="42">
        <v>0</v>
      </c>
      <c r="AC185" s="42">
        <v>606767</v>
      </c>
      <c r="AE185" s="42">
        <v>282913</v>
      </c>
      <c r="AG185" s="42">
        <v>2938444</v>
      </c>
      <c r="AI185" s="10">
        <f t="shared" si="30"/>
        <v>3828124</v>
      </c>
      <c r="AK185" s="42">
        <f t="shared" si="28"/>
        <v>0</v>
      </c>
    </row>
    <row r="186" spans="1:37">
      <c r="A186" s="9" t="s">
        <v>221</v>
      </c>
      <c r="B186" s="9"/>
      <c r="C186" s="9" t="s">
        <v>220</v>
      </c>
      <c r="D186" s="9"/>
      <c r="E186" s="23">
        <v>46102</v>
      </c>
      <c r="G186" s="42">
        <f>24322007+203843</f>
        <v>24525850</v>
      </c>
      <c r="I186" s="42">
        <v>0</v>
      </c>
      <c r="K186" s="2">
        <f t="shared" si="31"/>
        <v>52546403</v>
      </c>
      <c r="M186" s="42">
        <v>77072253</v>
      </c>
      <c r="O186" s="42">
        <v>0</v>
      </c>
      <c r="Q186" s="2">
        <f t="shared" si="29"/>
        <v>59123972</v>
      </c>
      <c r="S186" s="42">
        <v>0</v>
      </c>
      <c r="U186" s="42">
        <v>59123972</v>
      </c>
      <c r="W186" s="42">
        <v>0</v>
      </c>
      <c r="Y186" s="42">
        <v>0</v>
      </c>
      <c r="AA186" s="42">
        <v>0</v>
      </c>
      <c r="AC186" s="42">
        <v>0</v>
      </c>
      <c r="AE186" s="42">
        <v>4037450</v>
      </c>
      <c r="AG186" s="42">
        <v>13910831</v>
      </c>
      <c r="AI186" s="10">
        <f t="shared" si="30"/>
        <v>17948281</v>
      </c>
      <c r="AK186" s="42">
        <f t="shared" si="28"/>
        <v>0</v>
      </c>
    </row>
    <row r="187" spans="1:37">
      <c r="A187" s="9" t="s">
        <v>347</v>
      </c>
      <c r="B187" s="9"/>
      <c r="C187" s="9" t="s">
        <v>346</v>
      </c>
      <c r="D187" s="9"/>
      <c r="E187" s="23">
        <v>47621</v>
      </c>
      <c r="G187" s="42">
        <v>2155099</v>
      </c>
      <c r="I187" s="42">
        <v>0</v>
      </c>
      <c r="K187" s="2">
        <f t="shared" si="31"/>
        <v>1200761</v>
      </c>
      <c r="M187" s="42">
        <v>3355860</v>
      </c>
      <c r="O187" s="42">
        <v>0</v>
      </c>
      <c r="Q187" s="2">
        <f t="shared" si="29"/>
        <v>679857</v>
      </c>
      <c r="S187" s="42">
        <v>0</v>
      </c>
      <c r="U187" s="42">
        <v>679857</v>
      </c>
      <c r="W187" s="42">
        <v>1121603</v>
      </c>
      <c r="Y187" s="42">
        <v>0</v>
      </c>
      <c r="AA187" s="42">
        <v>0</v>
      </c>
      <c r="AC187" s="42">
        <v>0</v>
      </c>
      <c r="AE187" s="42">
        <v>92786</v>
      </c>
      <c r="AG187" s="42">
        <v>1461614</v>
      </c>
      <c r="AI187" s="10">
        <f t="shared" si="30"/>
        <v>1554400</v>
      </c>
      <c r="AK187" s="42">
        <f t="shared" si="28"/>
        <v>0</v>
      </c>
    </row>
    <row r="188" spans="1:37">
      <c r="A188" s="9" t="s">
        <v>292</v>
      </c>
      <c r="B188" s="9"/>
      <c r="C188" s="9" t="s">
        <v>25</v>
      </c>
      <c r="D188" s="9"/>
      <c r="E188" s="23">
        <v>46870</v>
      </c>
      <c r="G188" s="42">
        <v>6362934</v>
      </c>
      <c r="I188" s="42">
        <v>0</v>
      </c>
      <c r="K188" s="2">
        <f t="shared" si="31"/>
        <v>6941665</v>
      </c>
      <c r="M188" s="42">
        <v>13304599</v>
      </c>
      <c r="O188" s="42">
        <v>0</v>
      </c>
      <c r="Q188" s="2">
        <f t="shared" si="29"/>
        <v>2381453</v>
      </c>
      <c r="S188" s="42">
        <v>0</v>
      </c>
      <c r="U188" s="42">
        <v>2381453</v>
      </c>
      <c r="W188" s="42">
        <v>4723163</v>
      </c>
      <c r="Y188" s="42">
        <v>120123</v>
      </c>
      <c r="AA188" s="42">
        <v>0</v>
      </c>
      <c r="AC188" s="42">
        <v>0</v>
      </c>
      <c r="AE188" s="42">
        <f>167691+234074+827733</f>
        <v>1229498</v>
      </c>
      <c r="AG188" s="42">
        <v>4850362</v>
      </c>
      <c r="AI188" s="10">
        <f t="shared" si="30"/>
        <v>6199983</v>
      </c>
      <c r="AK188" s="42">
        <f t="shared" si="28"/>
        <v>0</v>
      </c>
    </row>
    <row r="189" spans="1:37" s="24" customFormat="1">
      <c r="A189" s="51" t="s">
        <v>366</v>
      </c>
      <c r="B189" s="51"/>
      <c r="C189" s="51" t="s">
        <v>364</v>
      </c>
      <c r="D189" s="51"/>
      <c r="E189" s="23">
        <v>47936</v>
      </c>
      <c r="G189" s="42">
        <v>4681027</v>
      </c>
      <c r="H189" s="42"/>
      <c r="I189" s="42">
        <v>43460</v>
      </c>
      <c r="J189" s="42"/>
      <c r="K189" s="2">
        <f t="shared" si="31"/>
        <v>3330879</v>
      </c>
      <c r="L189" s="42"/>
      <c r="M189" s="42">
        <v>8055366</v>
      </c>
      <c r="N189" s="42"/>
      <c r="O189" s="42">
        <v>0</v>
      </c>
      <c r="P189" s="42"/>
      <c r="Q189" s="2">
        <f t="shared" si="29"/>
        <v>2069950</v>
      </c>
      <c r="R189" s="42"/>
      <c r="S189" s="42">
        <v>0</v>
      </c>
      <c r="T189" s="42"/>
      <c r="U189" s="42">
        <v>2069950</v>
      </c>
      <c r="V189" s="42"/>
      <c r="W189" s="42">
        <v>3042709</v>
      </c>
      <c r="X189" s="42"/>
      <c r="Y189" s="42">
        <f>10638+5546</f>
        <v>16184</v>
      </c>
      <c r="Z189" s="42"/>
      <c r="AA189" s="42">
        <v>0</v>
      </c>
      <c r="AB189" s="42"/>
      <c r="AC189" s="42">
        <f>181097+242854+137327</f>
        <v>561278</v>
      </c>
      <c r="AD189" s="42"/>
      <c r="AE189" s="42">
        <f>39872+110676+108317+1000000</f>
        <v>1258865</v>
      </c>
      <c r="AF189" s="42"/>
      <c r="AG189" s="42">
        <v>1106380</v>
      </c>
      <c r="AH189" s="42"/>
      <c r="AI189" s="10">
        <f t="shared" si="30"/>
        <v>2942707</v>
      </c>
      <c r="AJ189" s="42"/>
      <c r="AK189" s="42">
        <f t="shared" si="28"/>
        <v>0</v>
      </c>
    </row>
    <row r="190" spans="1:37" hidden="1">
      <c r="A190" s="9" t="s">
        <v>615</v>
      </c>
      <c r="B190" s="9"/>
      <c r="C190" s="9" t="s">
        <v>61</v>
      </c>
      <c r="D190" s="9"/>
      <c r="E190" s="23">
        <v>49775</v>
      </c>
      <c r="G190" s="42">
        <v>0</v>
      </c>
      <c r="I190" s="42">
        <v>0</v>
      </c>
      <c r="K190" s="2">
        <f t="shared" si="31"/>
        <v>0</v>
      </c>
      <c r="M190" s="42">
        <v>0</v>
      </c>
      <c r="O190" s="42">
        <v>0</v>
      </c>
      <c r="Q190" s="2">
        <f t="shared" si="29"/>
        <v>0</v>
      </c>
      <c r="S190" s="42">
        <v>0</v>
      </c>
      <c r="U190" s="42">
        <v>0</v>
      </c>
      <c r="W190" s="42">
        <v>0</v>
      </c>
      <c r="Y190" s="42">
        <v>0</v>
      </c>
      <c r="AA190" s="42">
        <v>0</v>
      </c>
      <c r="AC190" s="42">
        <v>0</v>
      </c>
      <c r="AE190" s="42">
        <v>0</v>
      </c>
      <c r="AG190" s="42">
        <v>0</v>
      </c>
      <c r="AI190" s="10">
        <f t="shared" si="30"/>
        <v>0</v>
      </c>
      <c r="AK190" s="42">
        <f t="shared" si="28"/>
        <v>0</v>
      </c>
    </row>
    <row r="191" spans="1:37">
      <c r="A191" s="9" t="s">
        <v>492</v>
      </c>
      <c r="B191" s="9"/>
      <c r="C191" s="9" t="s">
        <v>62</v>
      </c>
      <c r="D191" s="9"/>
      <c r="E191" s="23">
        <v>49841</v>
      </c>
      <c r="G191" s="42">
        <v>2946583</v>
      </c>
      <c r="I191" s="42">
        <v>0</v>
      </c>
      <c r="K191" s="2">
        <f t="shared" si="31"/>
        <v>5351093</v>
      </c>
      <c r="M191" s="42">
        <v>8297676</v>
      </c>
      <c r="O191" s="42">
        <v>0</v>
      </c>
      <c r="Q191" s="2">
        <f t="shared" si="29"/>
        <v>1957858</v>
      </c>
      <c r="S191" s="42">
        <v>0</v>
      </c>
      <c r="U191" s="42">
        <v>1957858</v>
      </c>
      <c r="W191" s="42">
        <v>5266114</v>
      </c>
      <c r="Y191" s="42">
        <v>8240</v>
      </c>
      <c r="AA191" s="42">
        <v>0</v>
      </c>
      <c r="AC191" s="42">
        <v>0</v>
      </c>
      <c r="AE191" s="42">
        <f>269176+74239+9+1867364+12704</f>
        <v>2223492</v>
      </c>
      <c r="AG191" s="42">
        <v>-1158028</v>
      </c>
      <c r="AI191" s="10">
        <f t="shared" si="30"/>
        <v>1073704</v>
      </c>
      <c r="AK191" s="42">
        <f t="shared" si="28"/>
        <v>0</v>
      </c>
    </row>
    <row r="192" spans="1:37" hidden="1">
      <c r="A192" s="8" t="s">
        <v>878</v>
      </c>
      <c r="B192" s="9"/>
      <c r="C192" s="9" t="s">
        <v>41</v>
      </c>
      <c r="D192" s="9"/>
      <c r="E192" s="23">
        <v>45369</v>
      </c>
      <c r="G192" s="42">
        <v>0</v>
      </c>
      <c r="I192" s="42">
        <v>0</v>
      </c>
      <c r="K192" s="2">
        <f t="shared" si="31"/>
        <v>0</v>
      </c>
      <c r="M192" s="42">
        <v>0</v>
      </c>
      <c r="O192" s="42">
        <v>0</v>
      </c>
      <c r="Q192" s="2">
        <f t="shared" si="29"/>
        <v>0</v>
      </c>
      <c r="S192" s="42">
        <v>0</v>
      </c>
      <c r="U192" s="42">
        <v>0</v>
      </c>
      <c r="W192" s="42">
        <v>0</v>
      </c>
      <c r="Y192" s="42">
        <v>0</v>
      </c>
      <c r="AA192" s="42">
        <v>0</v>
      </c>
      <c r="AC192" s="42">
        <v>0</v>
      </c>
      <c r="AE192" s="42">
        <v>0</v>
      </c>
      <c r="AG192" s="42">
        <v>0</v>
      </c>
      <c r="AI192" s="10">
        <f t="shared" si="30"/>
        <v>0</v>
      </c>
      <c r="AK192" s="42">
        <f t="shared" si="28"/>
        <v>0</v>
      </c>
    </row>
    <row r="193" spans="1:37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v>15169643</v>
      </c>
      <c r="I193" s="24">
        <v>0</v>
      </c>
      <c r="K193" s="60">
        <f t="shared" si="31"/>
        <v>15584731</v>
      </c>
      <c r="M193" s="24">
        <v>30754374</v>
      </c>
      <c r="O193" s="24">
        <v>0</v>
      </c>
      <c r="Q193" s="60">
        <f t="shared" si="29"/>
        <v>1908717</v>
      </c>
      <c r="S193" s="24">
        <v>0</v>
      </c>
      <c r="U193" s="24">
        <v>1908717</v>
      </c>
      <c r="W193" s="24">
        <v>13269998</v>
      </c>
      <c r="Y193" s="24">
        <v>10457</v>
      </c>
      <c r="AA193" s="24">
        <v>0</v>
      </c>
      <c r="AC193" s="24">
        <v>0</v>
      </c>
      <c r="AE193" s="24">
        <f>55588+160358+7273</f>
        <v>223219</v>
      </c>
      <c r="AG193" s="24">
        <v>15341983</v>
      </c>
      <c r="AI193" s="61">
        <f t="shared" si="30"/>
        <v>15575659</v>
      </c>
      <c r="AK193" s="24">
        <f t="shared" si="28"/>
        <v>0</v>
      </c>
    </row>
    <row r="194" spans="1:37" hidden="1">
      <c r="A194" s="9" t="s">
        <v>739</v>
      </c>
      <c r="B194" s="9"/>
      <c r="C194" s="9" t="s">
        <v>28</v>
      </c>
      <c r="D194" s="9"/>
      <c r="E194" s="23">
        <v>47068</v>
      </c>
      <c r="G194" s="42">
        <v>0</v>
      </c>
      <c r="I194" s="42">
        <v>0</v>
      </c>
      <c r="K194" s="2">
        <f t="shared" si="31"/>
        <v>0</v>
      </c>
      <c r="M194" s="42">
        <v>0</v>
      </c>
      <c r="O194" s="42">
        <v>0</v>
      </c>
      <c r="Q194" s="2">
        <f t="shared" si="29"/>
        <v>0</v>
      </c>
      <c r="S194" s="42">
        <v>0</v>
      </c>
      <c r="U194" s="42">
        <v>0</v>
      </c>
      <c r="W194" s="42">
        <v>0</v>
      </c>
      <c r="Y194" s="42">
        <v>0</v>
      </c>
      <c r="AA194" s="42">
        <v>0</v>
      </c>
      <c r="AC194" s="42">
        <v>0</v>
      </c>
      <c r="AE194" s="42">
        <v>0</v>
      </c>
      <c r="AG194" s="42">
        <v>0</v>
      </c>
      <c r="AI194" s="10">
        <f t="shared" si="30"/>
        <v>0</v>
      </c>
      <c r="AK194" s="42">
        <f t="shared" si="28"/>
        <v>0</v>
      </c>
    </row>
    <row r="195" spans="1:37">
      <c r="A195" s="9" t="s">
        <v>218</v>
      </c>
      <c r="B195" s="9"/>
      <c r="C195" s="9" t="s">
        <v>77</v>
      </c>
      <c r="D195" s="9"/>
      <c r="E195" s="23">
        <v>46045</v>
      </c>
      <c r="G195" s="42">
        <v>1291804</v>
      </c>
      <c r="I195" s="42">
        <v>0</v>
      </c>
      <c r="K195" s="2">
        <f t="shared" si="31"/>
        <v>1980025</v>
      </c>
      <c r="M195" s="42">
        <v>3271829</v>
      </c>
      <c r="O195" s="42">
        <v>0</v>
      </c>
      <c r="Q195" s="2">
        <f t="shared" si="29"/>
        <v>825986</v>
      </c>
      <c r="S195" s="42">
        <v>0</v>
      </c>
      <c r="U195" s="42">
        <v>825986</v>
      </c>
      <c r="W195" s="42">
        <v>1428039</v>
      </c>
      <c r="Y195" s="42">
        <v>0</v>
      </c>
      <c r="AA195" s="42">
        <v>0</v>
      </c>
      <c r="AC195" s="42">
        <v>0</v>
      </c>
      <c r="AE195" s="42">
        <v>136735</v>
      </c>
      <c r="AG195" s="42">
        <v>881069</v>
      </c>
      <c r="AI195" s="10">
        <f t="shared" si="30"/>
        <v>1017804</v>
      </c>
      <c r="AK195" s="42">
        <f t="shared" si="28"/>
        <v>0</v>
      </c>
    </row>
    <row r="196" spans="1:37">
      <c r="A196" s="9" t="s">
        <v>737</v>
      </c>
      <c r="B196" s="9"/>
      <c r="C196" s="9" t="s">
        <v>13</v>
      </c>
      <c r="D196" s="9"/>
      <c r="E196" s="23">
        <v>45914</v>
      </c>
      <c r="G196" s="42">
        <v>3732961</v>
      </c>
      <c r="I196" s="42">
        <v>0</v>
      </c>
      <c r="K196" s="2">
        <f t="shared" si="31"/>
        <v>3126663</v>
      </c>
      <c r="M196" s="42">
        <v>6859624</v>
      </c>
      <c r="O196" s="42">
        <v>0</v>
      </c>
      <c r="Q196" s="2">
        <f t="shared" si="29"/>
        <v>1136047</v>
      </c>
      <c r="S196" s="42">
        <v>0</v>
      </c>
      <c r="U196" s="42">
        <v>1136047</v>
      </c>
      <c r="W196" s="42">
        <v>2627091</v>
      </c>
      <c r="Y196" s="42">
        <v>30375</v>
      </c>
      <c r="AA196" s="42">
        <v>0</v>
      </c>
      <c r="AC196" s="42">
        <v>11000</v>
      </c>
      <c r="AE196" s="42">
        <v>78946</v>
      </c>
      <c r="AG196" s="42">
        <v>2976165</v>
      </c>
      <c r="AI196" s="10">
        <f t="shared" si="30"/>
        <v>3096486</v>
      </c>
      <c r="AK196" s="42">
        <f t="shared" si="28"/>
        <v>0</v>
      </c>
    </row>
    <row r="197" spans="1:37">
      <c r="A197" s="9" t="s">
        <v>237</v>
      </c>
      <c r="B197" s="9"/>
      <c r="C197" s="9" t="s">
        <v>112</v>
      </c>
      <c r="D197" s="9"/>
      <c r="E197" s="23">
        <v>46334</v>
      </c>
      <c r="G197" s="42">
        <v>1942367</v>
      </c>
      <c r="I197" s="42">
        <v>0</v>
      </c>
      <c r="K197" s="2">
        <f t="shared" si="31"/>
        <v>1789634</v>
      </c>
      <c r="M197" s="42">
        <v>3732001</v>
      </c>
      <c r="O197" s="42">
        <v>0</v>
      </c>
      <c r="Q197" s="2">
        <f t="shared" si="29"/>
        <v>2281822</v>
      </c>
      <c r="S197" s="42">
        <v>0</v>
      </c>
      <c r="U197" s="42">
        <v>2281822</v>
      </c>
      <c r="W197" s="42">
        <v>0</v>
      </c>
      <c r="Y197" s="42">
        <v>28139</v>
      </c>
      <c r="AA197" s="42">
        <v>0</v>
      </c>
      <c r="AC197" s="42">
        <v>0</v>
      </c>
      <c r="AE197" s="42">
        <v>627787</v>
      </c>
      <c r="AG197" s="42">
        <v>794253</v>
      </c>
      <c r="AI197" s="10">
        <f t="shared" si="30"/>
        <v>1450179</v>
      </c>
      <c r="AK197" s="42">
        <f t="shared" si="28"/>
        <v>0</v>
      </c>
    </row>
    <row r="198" spans="1:37">
      <c r="A198" s="9" t="s">
        <v>714</v>
      </c>
      <c r="B198" s="9"/>
      <c r="C198" s="9" t="s">
        <v>56</v>
      </c>
      <c r="D198" s="9"/>
      <c r="E198" s="23">
        <v>49197</v>
      </c>
      <c r="G198" s="42">
        <v>1992513</v>
      </c>
      <c r="I198" s="42">
        <v>30914</v>
      </c>
      <c r="K198" s="2">
        <f t="shared" si="31"/>
        <v>9263649</v>
      </c>
      <c r="M198" s="42">
        <v>11287076</v>
      </c>
      <c r="O198" s="42">
        <v>0</v>
      </c>
      <c r="Q198" s="2">
        <f t="shared" si="29"/>
        <v>1740728</v>
      </c>
      <c r="S198" s="42">
        <v>0</v>
      </c>
      <c r="U198" s="42">
        <v>1740728</v>
      </c>
      <c r="W198" s="42">
        <v>8407376</v>
      </c>
      <c r="Y198" s="42">
        <v>0</v>
      </c>
      <c r="AA198" s="42">
        <v>30914</v>
      </c>
      <c r="AC198" s="42">
        <v>0</v>
      </c>
      <c r="AE198" s="42">
        <f>17375+335232+9274+45315</f>
        <v>407196</v>
      </c>
      <c r="AG198" s="42">
        <v>700862</v>
      </c>
      <c r="AI198" s="10">
        <f t="shared" si="30"/>
        <v>1138972</v>
      </c>
      <c r="AK198" s="42">
        <f t="shared" si="28"/>
        <v>0</v>
      </c>
    </row>
    <row r="199" spans="1:37">
      <c r="A199" s="9" t="s">
        <v>335</v>
      </c>
      <c r="B199" s="9"/>
      <c r="C199" s="9" t="s">
        <v>33</v>
      </c>
      <c r="D199" s="9"/>
      <c r="E199" s="23">
        <v>43984</v>
      </c>
      <c r="G199" s="42">
        <v>11658509</v>
      </c>
      <c r="I199" s="42">
        <v>0</v>
      </c>
      <c r="K199" s="2">
        <f t="shared" si="31"/>
        <v>26325020</v>
      </c>
      <c r="M199" s="42">
        <v>37983529</v>
      </c>
      <c r="O199" s="42">
        <v>0</v>
      </c>
      <c r="Q199" s="2">
        <f t="shared" si="29"/>
        <v>6208266</v>
      </c>
      <c r="S199" s="42">
        <v>0</v>
      </c>
      <c r="U199" s="42">
        <v>6208266</v>
      </c>
      <c r="W199" s="42">
        <v>22365118</v>
      </c>
      <c r="Y199" s="42">
        <f>40822+77624</f>
        <v>118446</v>
      </c>
      <c r="AA199" s="42">
        <v>0</v>
      </c>
      <c r="AC199" s="42">
        <v>0</v>
      </c>
      <c r="AE199" s="42">
        <f>400695+837033+2021+16914+211370+1628894+304916</f>
        <v>3401843</v>
      </c>
      <c r="AG199" s="42">
        <v>5889856</v>
      </c>
      <c r="AI199" s="10">
        <f t="shared" si="30"/>
        <v>9410145</v>
      </c>
      <c r="AK199" s="42">
        <f t="shared" si="28"/>
        <v>0</v>
      </c>
    </row>
    <row r="200" spans="1:37">
      <c r="A200" s="9" t="s">
        <v>320</v>
      </c>
      <c r="B200" s="9"/>
      <c r="C200" s="9" t="s">
        <v>32</v>
      </c>
      <c r="D200" s="9"/>
      <c r="E200" s="23">
        <v>47332</v>
      </c>
      <c r="G200" s="42">
        <v>3150366</v>
      </c>
      <c r="I200" s="42">
        <v>0</v>
      </c>
      <c r="K200" s="2">
        <f t="shared" si="31"/>
        <v>10554605</v>
      </c>
      <c r="M200" s="42">
        <v>13704971</v>
      </c>
      <c r="O200" s="42">
        <v>0</v>
      </c>
      <c r="Q200" s="2">
        <f t="shared" si="29"/>
        <v>9737526</v>
      </c>
      <c r="S200" s="42">
        <v>0</v>
      </c>
      <c r="U200" s="42">
        <v>9737526</v>
      </c>
      <c r="W200" s="42">
        <v>0</v>
      </c>
      <c r="Y200" s="42">
        <v>0</v>
      </c>
      <c r="AA200" s="42">
        <v>0</v>
      </c>
      <c r="AC200" s="42">
        <v>0</v>
      </c>
      <c r="AE200" s="42">
        <v>317098</v>
      </c>
      <c r="AG200" s="42">
        <v>3650347</v>
      </c>
      <c r="AI200" s="10">
        <f t="shared" si="30"/>
        <v>3967445</v>
      </c>
      <c r="AK200" s="42">
        <f t="shared" si="28"/>
        <v>0</v>
      </c>
    </row>
    <row r="201" spans="1:37">
      <c r="A201" s="9" t="s">
        <v>382</v>
      </c>
      <c r="B201" s="9"/>
      <c r="C201" s="9" t="s">
        <v>44</v>
      </c>
      <c r="D201" s="9"/>
      <c r="E201" s="23">
        <v>48157</v>
      </c>
      <c r="G201" s="42">
        <v>3173138</v>
      </c>
      <c r="I201" s="42">
        <v>0</v>
      </c>
      <c r="K201" s="2">
        <f t="shared" si="31"/>
        <v>8234214</v>
      </c>
      <c r="M201" s="42">
        <v>11407352</v>
      </c>
      <c r="O201" s="42">
        <v>0</v>
      </c>
      <c r="Q201" s="2">
        <f t="shared" si="29"/>
        <v>1953543</v>
      </c>
      <c r="S201" s="42">
        <v>0</v>
      </c>
      <c r="U201" s="42">
        <v>1953543</v>
      </c>
      <c r="W201" s="42">
        <v>7176630</v>
      </c>
      <c r="Y201" s="42">
        <v>20759</v>
      </c>
      <c r="AA201" s="42">
        <v>0</v>
      </c>
      <c r="AC201" s="42">
        <f>3925+91649</f>
        <v>95574</v>
      </c>
      <c r="AE201" s="42">
        <f>10277+123369+172337</f>
        <v>305983</v>
      </c>
      <c r="AG201" s="42">
        <v>1854863</v>
      </c>
      <c r="AI201" s="10">
        <f t="shared" si="30"/>
        <v>2277179</v>
      </c>
      <c r="AK201" s="42">
        <f t="shared" si="28"/>
        <v>0</v>
      </c>
    </row>
    <row r="202" spans="1:37">
      <c r="A202" s="9" t="s">
        <v>321</v>
      </c>
      <c r="B202" s="9"/>
      <c r="C202" s="9" t="s">
        <v>32</v>
      </c>
      <c r="D202" s="9"/>
      <c r="E202" s="23">
        <v>47340</v>
      </c>
      <c r="G202" s="42">
        <v>8962611</v>
      </c>
      <c r="I202" s="42">
        <v>250638</v>
      </c>
      <c r="K202" s="2">
        <f t="shared" si="31"/>
        <v>49434676</v>
      </c>
      <c r="M202" s="42">
        <v>58647925</v>
      </c>
      <c r="O202" s="42">
        <v>0</v>
      </c>
      <c r="Q202" s="2">
        <f t="shared" si="29"/>
        <v>40675210</v>
      </c>
      <c r="S202" s="42">
        <v>0</v>
      </c>
      <c r="U202" s="42">
        <v>40675210</v>
      </c>
      <c r="W202" s="42">
        <v>0</v>
      </c>
      <c r="Y202" s="42">
        <v>242597</v>
      </c>
      <c r="AA202" s="42">
        <v>250638</v>
      </c>
      <c r="AC202" s="42">
        <v>11000</v>
      </c>
      <c r="AE202" s="42">
        <v>564989</v>
      </c>
      <c r="AG202" s="42">
        <v>16903491</v>
      </c>
      <c r="AI202" s="10">
        <f t="shared" si="30"/>
        <v>17972715</v>
      </c>
      <c r="AK202" s="42">
        <f t="shared" si="28"/>
        <v>0</v>
      </c>
    </row>
    <row r="203" spans="1:37" hidden="1">
      <c r="A203" s="9" t="s">
        <v>611</v>
      </c>
      <c r="B203" s="9"/>
      <c r="C203" s="9" t="s">
        <v>70</v>
      </c>
      <c r="D203" s="9"/>
      <c r="E203" s="23">
        <v>50484</v>
      </c>
      <c r="G203" s="42">
        <v>0</v>
      </c>
      <c r="I203" s="42">
        <v>0</v>
      </c>
      <c r="K203" s="2">
        <f t="shared" si="31"/>
        <v>0</v>
      </c>
      <c r="M203" s="42">
        <v>0</v>
      </c>
      <c r="O203" s="42">
        <v>0</v>
      </c>
      <c r="Q203" s="2">
        <f t="shared" si="29"/>
        <v>0</v>
      </c>
      <c r="S203" s="42">
        <v>0</v>
      </c>
      <c r="U203" s="42">
        <v>0</v>
      </c>
      <c r="W203" s="42">
        <v>0</v>
      </c>
      <c r="Y203" s="42">
        <v>0</v>
      </c>
      <c r="AA203" s="42">
        <v>0</v>
      </c>
      <c r="AC203" s="42">
        <v>0</v>
      </c>
      <c r="AE203" s="42">
        <v>0</v>
      </c>
      <c r="AG203" s="42">
        <v>0</v>
      </c>
      <c r="AI203" s="10">
        <f t="shared" si="30"/>
        <v>0</v>
      </c>
      <c r="AK203" s="42">
        <f t="shared" si="28"/>
        <v>0</v>
      </c>
    </row>
    <row r="204" spans="1:37">
      <c r="A204" s="9" t="s">
        <v>486</v>
      </c>
      <c r="B204" s="9"/>
      <c r="C204" s="9" t="s">
        <v>61</v>
      </c>
      <c r="D204" s="9"/>
      <c r="E204" s="23">
        <v>49783</v>
      </c>
      <c r="G204" s="42">
        <v>3231863</v>
      </c>
      <c r="I204" s="42">
        <v>0</v>
      </c>
      <c r="K204" s="2">
        <f t="shared" si="31"/>
        <v>2537086</v>
      </c>
      <c r="M204" s="42">
        <v>5768949</v>
      </c>
      <c r="O204" s="42">
        <v>0</v>
      </c>
      <c r="Q204" s="2">
        <f t="shared" si="29"/>
        <v>825826</v>
      </c>
      <c r="S204" s="42">
        <v>0</v>
      </c>
      <c r="U204" s="42">
        <v>825826</v>
      </c>
      <c r="W204" s="42">
        <v>1683629</v>
      </c>
      <c r="Y204" s="42">
        <v>41885</v>
      </c>
      <c r="AA204" s="42">
        <v>0</v>
      </c>
      <c r="AC204" s="42">
        <v>0</v>
      </c>
      <c r="AE204" s="42">
        <v>179222</v>
      </c>
      <c r="AG204" s="42">
        <v>3038387</v>
      </c>
      <c r="AI204" s="10">
        <f t="shared" si="30"/>
        <v>3259494</v>
      </c>
      <c r="AK204" s="42">
        <f t="shared" si="28"/>
        <v>0</v>
      </c>
    </row>
    <row r="205" spans="1:37" hidden="1">
      <c r="A205" s="9" t="s">
        <v>758</v>
      </c>
      <c r="B205" s="9"/>
      <c r="C205" s="9" t="s">
        <v>419</v>
      </c>
      <c r="D205" s="9"/>
      <c r="E205" s="23">
        <v>48595</v>
      </c>
      <c r="G205" s="42">
        <v>0</v>
      </c>
      <c r="I205" s="42">
        <v>0</v>
      </c>
      <c r="K205" s="2">
        <f t="shared" si="31"/>
        <v>0</v>
      </c>
      <c r="M205" s="42">
        <v>0</v>
      </c>
      <c r="O205" s="42">
        <v>0</v>
      </c>
      <c r="Q205" s="2">
        <f t="shared" si="29"/>
        <v>0</v>
      </c>
      <c r="S205" s="42">
        <v>0</v>
      </c>
      <c r="U205" s="42">
        <v>0</v>
      </c>
      <c r="W205" s="42">
        <v>0</v>
      </c>
      <c r="Y205" s="42">
        <v>0</v>
      </c>
      <c r="AA205" s="42">
        <v>0</v>
      </c>
      <c r="AC205" s="42">
        <v>0</v>
      </c>
      <c r="AE205" s="42">
        <v>0</v>
      </c>
      <c r="AG205" s="42">
        <v>0</v>
      </c>
      <c r="AI205" s="10">
        <f t="shared" si="30"/>
        <v>0</v>
      </c>
      <c r="AK205" s="42">
        <f t="shared" si="28"/>
        <v>0</v>
      </c>
    </row>
    <row r="206" spans="1:37" hidden="1">
      <c r="A206" s="9" t="s">
        <v>741</v>
      </c>
      <c r="B206" s="9"/>
      <c r="C206" s="9" t="s">
        <v>60</v>
      </c>
      <c r="D206" s="9"/>
      <c r="E206" s="23">
        <v>43992</v>
      </c>
      <c r="G206" s="42">
        <v>0</v>
      </c>
      <c r="I206" s="42">
        <v>0</v>
      </c>
      <c r="K206" s="2">
        <f t="shared" si="31"/>
        <v>0</v>
      </c>
      <c r="M206" s="42">
        <v>0</v>
      </c>
      <c r="O206" s="42">
        <v>0</v>
      </c>
      <c r="Q206" s="2">
        <f t="shared" si="29"/>
        <v>0</v>
      </c>
      <c r="S206" s="42">
        <v>0</v>
      </c>
      <c r="U206" s="42">
        <v>0</v>
      </c>
      <c r="W206" s="42">
        <v>0</v>
      </c>
      <c r="Y206" s="42">
        <v>0</v>
      </c>
      <c r="AA206" s="42">
        <v>0</v>
      </c>
      <c r="AC206" s="42">
        <v>0</v>
      </c>
      <c r="AE206" s="42">
        <v>0</v>
      </c>
      <c r="AG206" s="42">
        <v>0</v>
      </c>
      <c r="AI206" s="10">
        <f t="shared" si="30"/>
        <v>0</v>
      </c>
      <c r="AK206" s="42">
        <f t="shared" si="28"/>
        <v>0</v>
      </c>
    </row>
    <row r="207" spans="1:37">
      <c r="A207" s="9" t="s">
        <v>540</v>
      </c>
      <c r="B207" s="9"/>
      <c r="C207" s="9" t="s">
        <v>69</v>
      </c>
      <c r="D207" s="9"/>
      <c r="E207" s="23">
        <v>44008</v>
      </c>
      <c r="G207" s="42">
        <v>3873417</v>
      </c>
      <c r="I207" s="42">
        <v>0</v>
      </c>
      <c r="K207" s="2">
        <f t="shared" si="31"/>
        <v>12654903</v>
      </c>
      <c r="M207" s="42">
        <v>16528320</v>
      </c>
      <c r="O207" s="42">
        <v>0</v>
      </c>
      <c r="Q207" s="2">
        <f t="shared" si="29"/>
        <v>2834576</v>
      </c>
      <c r="S207" s="42">
        <v>0</v>
      </c>
      <c r="U207" s="42">
        <v>2834576</v>
      </c>
      <c r="W207" s="42">
        <v>11030110</v>
      </c>
      <c r="Y207" s="42">
        <v>0</v>
      </c>
      <c r="AA207" s="42">
        <v>0</v>
      </c>
      <c r="AC207" s="42">
        <v>0</v>
      </c>
      <c r="AE207" s="42">
        <v>2320676</v>
      </c>
      <c r="AG207" s="42">
        <v>342958</v>
      </c>
      <c r="AI207" s="10">
        <f t="shared" si="30"/>
        <v>2663634</v>
      </c>
      <c r="AK207" s="42">
        <f t="shared" ref="AK207:AK270" si="38">+G207+I207+K207+O207-U207-W207-AC207-AA207-Y207-AE207-AG207</f>
        <v>0</v>
      </c>
    </row>
    <row r="208" spans="1:37">
      <c r="A208" s="9" t="s">
        <v>441</v>
      </c>
      <c r="B208" s="9"/>
      <c r="C208" s="9" t="s">
        <v>51</v>
      </c>
      <c r="D208" s="9"/>
      <c r="E208" s="23">
        <v>48843</v>
      </c>
      <c r="G208" s="42">
        <v>6856017</v>
      </c>
      <c r="I208" s="42">
        <v>481</v>
      </c>
      <c r="K208" s="2">
        <f t="shared" si="31"/>
        <v>8043586</v>
      </c>
      <c r="M208" s="42">
        <v>14900084</v>
      </c>
      <c r="O208" s="42">
        <v>0</v>
      </c>
      <c r="Q208" s="2">
        <f t="shared" si="29"/>
        <v>2820699</v>
      </c>
      <c r="S208" s="42">
        <v>0</v>
      </c>
      <c r="U208" s="42">
        <v>2820699</v>
      </c>
      <c r="W208" s="42">
        <v>5200125</v>
      </c>
      <c r="Y208" s="42">
        <v>97380</v>
      </c>
      <c r="AA208" s="42">
        <v>0</v>
      </c>
      <c r="AC208" s="42">
        <v>1172953</v>
      </c>
      <c r="AE208" s="42">
        <v>112610</v>
      </c>
      <c r="AG208" s="42">
        <v>5496317</v>
      </c>
      <c r="AI208" s="10">
        <f t="shared" si="30"/>
        <v>6879260</v>
      </c>
      <c r="AK208" s="42">
        <f t="shared" si="38"/>
        <v>0</v>
      </c>
    </row>
    <row r="209" spans="1:37" hidden="1">
      <c r="A209" s="9" t="s">
        <v>610</v>
      </c>
      <c r="B209" s="9"/>
      <c r="C209" s="9" t="s">
        <v>21</v>
      </c>
      <c r="D209" s="9"/>
      <c r="E209" s="23">
        <v>46649</v>
      </c>
      <c r="G209" s="42">
        <v>0</v>
      </c>
      <c r="I209" s="42">
        <v>0</v>
      </c>
      <c r="K209" s="2">
        <f t="shared" si="31"/>
        <v>0</v>
      </c>
      <c r="M209" s="42">
        <v>0</v>
      </c>
      <c r="O209" s="42">
        <v>0</v>
      </c>
      <c r="Q209" s="2">
        <f t="shared" si="29"/>
        <v>0</v>
      </c>
      <c r="S209" s="42">
        <v>0</v>
      </c>
      <c r="U209" s="42">
        <v>0</v>
      </c>
      <c r="W209" s="42">
        <v>0</v>
      </c>
      <c r="Y209" s="42">
        <v>0</v>
      </c>
      <c r="AA209" s="42">
        <v>0</v>
      </c>
      <c r="AC209" s="42">
        <v>0</v>
      </c>
      <c r="AE209" s="42">
        <v>0</v>
      </c>
      <c r="AG209" s="42">
        <v>0</v>
      </c>
      <c r="AI209" s="10">
        <f t="shared" si="30"/>
        <v>0</v>
      </c>
      <c r="AK209" s="42">
        <f t="shared" si="38"/>
        <v>0</v>
      </c>
    </row>
    <row r="210" spans="1:37" hidden="1">
      <c r="A210" s="9" t="s">
        <v>659</v>
      </c>
      <c r="B210" s="9"/>
      <c r="C210" s="9" t="s">
        <v>40</v>
      </c>
      <c r="D210" s="9"/>
      <c r="E210" s="23">
        <v>47852</v>
      </c>
      <c r="G210" s="42">
        <v>0</v>
      </c>
      <c r="I210" s="42">
        <v>0</v>
      </c>
      <c r="K210" s="2">
        <f t="shared" si="31"/>
        <v>0</v>
      </c>
      <c r="M210" s="42">
        <v>0</v>
      </c>
      <c r="O210" s="42">
        <v>0</v>
      </c>
      <c r="Q210" s="2">
        <f t="shared" si="29"/>
        <v>0</v>
      </c>
      <c r="S210" s="42">
        <v>0</v>
      </c>
      <c r="U210" s="42">
        <v>0</v>
      </c>
      <c r="W210" s="42">
        <v>0</v>
      </c>
      <c r="Y210" s="42">
        <v>0</v>
      </c>
      <c r="AA210" s="42">
        <v>0</v>
      </c>
      <c r="AC210" s="42">
        <v>0</v>
      </c>
      <c r="AE210" s="42">
        <v>0</v>
      </c>
      <c r="AG210" s="42">
        <v>0</v>
      </c>
      <c r="AI210" s="10">
        <f t="shared" si="30"/>
        <v>0</v>
      </c>
      <c r="AK210" s="42">
        <f t="shared" si="38"/>
        <v>0</v>
      </c>
    </row>
    <row r="211" spans="1:37">
      <c r="A211" s="9" t="s">
        <v>639</v>
      </c>
      <c r="B211" s="9"/>
      <c r="C211" s="9" t="s">
        <v>79</v>
      </c>
      <c r="D211" s="9"/>
      <c r="E211" s="23">
        <v>44016</v>
      </c>
      <c r="G211" s="42">
        <v>11820488</v>
      </c>
      <c r="I211" s="42">
        <v>0</v>
      </c>
      <c r="K211" s="2">
        <f t="shared" si="31"/>
        <v>14416372</v>
      </c>
      <c r="M211" s="42">
        <v>26236860</v>
      </c>
      <c r="O211" s="42">
        <v>0</v>
      </c>
      <c r="Q211" s="2">
        <f t="shared" si="29"/>
        <v>4408683</v>
      </c>
      <c r="S211" s="42">
        <v>0</v>
      </c>
      <c r="U211" s="42">
        <v>4408683</v>
      </c>
      <c r="W211" s="42">
        <v>10181080</v>
      </c>
      <c r="Y211" s="42">
        <v>0</v>
      </c>
      <c r="AA211" s="42">
        <v>0</v>
      </c>
      <c r="AC211" s="42">
        <v>4966336</v>
      </c>
      <c r="AE211" s="42">
        <v>6679442</v>
      </c>
      <c r="AG211" s="42">
        <v>1319</v>
      </c>
      <c r="AI211" s="10">
        <f t="shared" si="30"/>
        <v>11647097</v>
      </c>
      <c r="AK211" s="42">
        <f t="shared" si="38"/>
        <v>0</v>
      </c>
    </row>
    <row r="212" spans="1:37">
      <c r="A212" s="9" t="s">
        <v>544</v>
      </c>
      <c r="B212" s="9"/>
      <c r="C212" s="9" t="s">
        <v>70</v>
      </c>
      <c r="D212" s="9"/>
      <c r="E212" s="23">
        <v>50492</v>
      </c>
      <c r="G212" s="42">
        <v>1006807</v>
      </c>
      <c r="I212" s="42">
        <v>0</v>
      </c>
      <c r="K212" s="2">
        <f t="shared" si="31"/>
        <v>1311892</v>
      </c>
      <c r="M212" s="42">
        <v>2318699</v>
      </c>
      <c r="O212" s="42">
        <v>0</v>
      </c>
      <c r="Q212" s="2">
        <f t="shared" si="29"/>
        <v>688470</v>
      </c>
      <c r="S212" s="42">
        <v>0</v>
      </c>
      <c r="U212" s="42">
        <v>688470</v>
      </c>
      <c r="W212" s="42">
        <v>1233213</v>
      </c>
      <c r="Y212" s="42">
        <v>0</v>
      </c>
      <c r="AA212" s="42">
        <v>0</v>
      </c>
      <c r="AC212" s="42">
        <v>0</v>
      </c>
      <c r="AE212" s="42">
        <f>58+54116+4073+12257</f>
        <v>70504</v>
      </c>
      <c r="AG212" s="42">
        <v>326512</v>
      </c>
      <c r="AI212" s="10">
        <f t="shared" si="30"/>
        <v>397016</v>
      </c>
      <c r="AK212" s="42">
        <f t="shared" si="38"/>
        <v>0</v>
      </c>
    </row>
    <row r="213" spans="1:37">
      <c r="A213" s="9" t="s">
        <v>636</v>
      </c>
      <c r="B213" s="9"/>
      <c r="C213" s="9" t="s">
        <v>27</v>
      </c>
      <c r="D213" s="9"/>
      <c r="E213" s="23">
        <v>46961</v>
      </c>
      <c r="G213" s="42">
        <v>8263486</v>
      </c>
      <c r="I213" s="42">
        <v>1021342</v>
      </c>
      <c r="K213" s="2">
        <f t="shared" si="31"/>
        <v>82683097</v>
      </c>
      <c r="M213" s="42">
        <v>91967925</v>
      </c>
      <c r="O213" s="42">
        <v>0</v>
      </c>
      <c r="Q213" s="2">
        <v>11100181</v>
      </c>
      <c r="S213" s="42">
        <v>0</v>
      </c>
      <c r="U213" s="42">
        <v>11100181</v>
      </c>
      <c r="W213" s="42">
        <v>62529205</v>
      </c>
      <c r="Y213" s="42">
        <v>178360</v>
      </c>
      <c r="AA213" s="42">
        <v>21039</v>
      </c>
      <c r="AC213" s="42">
        <v>0</v>
      </c>
      <c r="AE213" s="42">
        <v>15434774</v>
      </c>
      <c r="AG213" s="42">
        <v>2704366</v>
      </c>
      <c r="AI213" s="10">
        <f t="shared" si="30"/>
        <v>18338539</v>
      </c>
      <c r="AK213" s="42">
        <f t="shared" si="38"/>
        <v>0</v>
      </c>
    </row>
    <row r="214" spans="1:37">
      <c r="A214" s="9" t="s">
        <v>257</v>
      </c>
      <c r="B214" s="9"/>
      <c r="C214" s="9" t="s">
        <v>110</v>
      </c>
      <c r="D214" s="9"/>
      <c r="E214" s="23">
        <v>44024</v>
      </c>
      <c r="G214" s="42">
        <v>1384517</v>
      </c>
      <c r="I214" s="42">
        <v>1726</v>
      </c>
      <c r="K214" s="2">
        <f t="shared" si="31"/>
        <v>5358965</v>
      </c>
      <c r="M214" s="42">
        <v>6745208</v>
      </c>
      <c r="O214" s="42">
        <v>0</v>
      </c>
      <c r="Q214" s="2">
        <v>1761267</v>
      </c>
      <c r="S214" s="42">
        <v>0</v>
      </c>
      <c r="U214" s="42">
        <v>1761267</v>
      </c>
      <c r="W214" s="42">
        <v>3582272</v>
      </c>
      <c r="Y214" s="42">
        <v>2582</v>
      </c>
      <c r="AA214" s="42">
        <v>0</v>
      </c>
      <c r="AC214" s="42">
        <v>0</v>
      </c>
      <c r="AE214" s="42">
        <v>220434</v>
      </c>
      <c r="AG214" s="42">
        <v>1178653</v>
      </c>
      <c r="AI214" s="10">
        <f t="shared" ref="AI214:AI218" si="39">+AC214+AA214++Y214+AE214+AG214</f>
        <v>1401669</v>
      </c>
      <c r="AK214" s="42">
        <f t="shared" si="38"/>
        <v>0</v>
      </c>
    </row>
    <row r="215" spans="1:37">
      <c r="A215" s="9" t="s">
        <v>637</v>
      </c>
      <c r="B215" s="9"/>
      <c r="C215" s="9" t="s">
        <v>29</v>
      </c>
      <c r="D215" s="9"/>
      <c r="E215" s="23">
        <v>65680</v>
      </c>
      <c r="G215" s="42">
        <v>6234382</v>
      </c>
      <c r="I215" s="42">
        <v>0</v>
      </c>
      <c r="K215" s="2">
        <f t="shared" ref="K215:K218" si="40">+M215-I215-G215</f>
        <v>10087696</v>
      </c>
      <c r="M215" s="42">
        <v>16322078</v>
      </c>
      <c r="O215" s="42">
        <v>0</v>
      </c>
      <c r="Q215" s="2">
        <v>2014758</v>
      </c>
      <c r="S215" s="42">
        <v>0</v>
      </c>
      <c r="U215" s="42">
        <v>2014758</v>
      </c>
      <c r="W215" s="42">
        <v>9182156</v>
      </c>
      <c r="Y215" s="42">
        <v>0</v>
      </c>
      <c r="AA215" s="42">
        <v>0</v>
      </c>
      <c r="AC215" s="42">
        <v>0</v>
      </c>
      <c r="AE215" s="42">
        <v>1493414</v>
      </c>
      <c r="AG215" s="42">
        <v>3631750</v>
      </c>
      <c r="AI215" s="10">
        <f t="shared" si="39"/>
        <v>5125164</v>
      </c>
      <c r="AK215" s="42">
        <f t="shared" si="38"/>
        <v>0</v>
      </c>
    </row>
    <row r="216" spans="1:37">
      <c r="A216" s="9" t="s">
        <v>311</v>
      </c>
      <c r="B216" s="9"/>
      <c r="C216" s="9" t="s">
        <v>29</v>
      </c>
      <c r="D216" s="9"/>
      <c r="E216" s="23">
        <v>44032</v>
      </c>
      <c r="G216" s="42">
        <v>1343830</v>
      </c>
      <c r="I216" s="42">
        <v>0</v>
      </c>
      <c r="K216" s="2">
        <f t="shared" si="40"/>
        <v>5501484</v>
      </c>
      <c r="M216" s="42">
        <v>6845314</v>
      </c>
      <c r="O216" s="42">
        <v>0</v>
      </c>
      <c r="Q216" s="2">
        <v>1527806</v>
      </c>
      <c r="S216" s="42">
        <v>0</v>
      </c>
      <c r="U216" s="42">
        <v>1527806</v>
      </c>
      <c r="W216" s="42">
        <v>5101467</v>
      </c>
      <c r="Y216" s="42">
        <v>142179</v>
      </c>
      <c r="AA216" s="42">
        <v>0</v>
      </c>
      <c r="AC216" s="42">
        <v>83011</v>
      </c>
      <c r="AE216" s="42">
        <v>33824</v>
      </c>
      <c r="AG216" s="42">
        <v>-42973</v>
      </c>
      <c r="AI216" s="10">
        <f t="shared" si="39"/>
        <v>216041</v>
      </c>
      <c r="AK216" s="42">
        <f t="shared" si="38"/>
        <v>0</v>
      </c>
    </row>
    <row r="217" spans="1:37">
      <c r="A217" s="9" t="s">
        <v>531</v>
      </c>
      <c r="B217" s="9"/>
      <c r="C217" s="9" t="s">
        <v>65</v>
      </c>
      <c r="D217" s="9"/>
      <c r="E217" s="23">
        <v>50278</v>
      </c>
      <c r="G217" s="42">
        <v>2468016</v>
      </c>
      <c r="I217" s="42">
        <v>0</v>
      </c>
      <c r="K217" s="2">
        <f t="shared" si="40"/>
        <v>5455955</v>
      </c>
      <c r="M217" s="42">
        <v>7923971</v>
      </c>
      <c r="O217" s="42">
        <v>0</v>
      </c>
      <c r="Q217" s="2">
        <v>1634942</v>
      </c>
      <c r="S217" s="42">
        <v>0</v>
      </c>
      <c r="U217" s="42">
        <v>1634942</v>
      </c>
      <c r="W217" s="42">
        <v>4955567</v>
      </c>
      <c r="Y217" s="42">
        <v>1320</v>
      </c>
      <c r="AA217" s="42">
        <v>0</v>
      </c>
      <c r="AC217" s="42">
        <v>0</v>
      </c>
      <c r="AE217" s="42">
        <v>639213</v>
      </c>
      <c r="AG217" s="42">
        <v>692929</v>
      </c>
      <c r="AI217" s="10">
        <f t="shared" si="39"/>
        <v>1333462</v>
      </c>
      <c r="AK217" s="42">
        <f t="shared" si="38"/>
        <v>0</v>
      </c>
    </row>
    <row r="218" spans="1:37">
      <c r="A218" s="9" t="s">
        <v>673</v>
      </c>
      <c r="B218" s="9"/>
      <c r="C218" s="9" t="s">
        <v>20</v>
      </c>
      <c r="D218" s="9"/>
      <c r="E218" s="23">
        <v>44040</v>
      </c>
      <c r="G218" s="42">
        <v>1944316</v>
      </c>
      <c r="I218" s="42">
        <v>0</v>
      </c>
      <c r="K218" s="2">
        <f t="shared" si="40"/>
        <v>20909670</v>
      </c>
      <c r="M218" s="42">
        <v>22853986</v>
      </c>
      <c r="O218" s="42">
        <v>0</v>
      </c>
      <c r="Q218" s="2">
        <v>4459059</v>
      </c>
      <c r="S218" s="42">
        <v>0</v>
      </c>
      <c r="U218" s="42">
        <v>4459059</v>
      </c>
      <c r="W218" s="42">
        <v>17378092</v>
      </c>
      <c r="Y218" s="42">
        <v>0</v>
      </c>
      <c r="AA218" s="42">
        <v>3199</v>
      </c>
      <c r="AC218" s="42">
        <v>0</v>
      </c>
      <c r="AE218" s="42">
        <v>507280</v>
      </c>
      <c r="AG218" s="42">
        <v>506356</v>
      </c>
      <c r="AI218" s="10">
        <f t="shared" si="39"/>
        <v>1016835</v>
      </c>
      <c r="AK218" s="42">
        <f t="shared" si="38"/>
        <v>0</v>
      </c>
    </row>
    <row r="219" spans="1:37">
      <c r="A219" s="9" t="s">
        <v>638</v>
      </c>
      <c r="B219" s="9"/>
      <c r="C219" s="9" t="s">
        <v>12</v>
      </c>
      <c r="D219" s="9"/>
      <c r="E219" s="23">
        <v>44057</v>
      </c>
      <c r="G219" s="42">
        <v>2792837</v>
      </c>
      <c r="I219" s="42">
        <v>0</v>
      </c>
      <c r="K219" s="2">
        <f t="shared" ref="K219:K280" si="41">+M219-I219-G219</f>
        <v>7634059</v>
      </c>
      <c r="M219" s="42">
        <v>10426896</v>
      </c>
      <c r="O219" s="42">
        <v>0</v>
      </c>
      <c r="Q219" s="2">
        <f t="shared" ref="Q219:Q229" si="42">+U219-S219</f>
        <v>2289317</v>
      </c>
      <c r="S219" s="42">
        <v>0</v>
      </c>
      <c r="U219" s="42">
        <v>2289317</v>
      </c>
      <c r="W219" s="42">
        <v>6228652</v>
      </c>
      <c r="Y219" s="42">
        <v>105115</v>
      </c>
      <c r="AA219" s="42">
        <v>0</v>
      </c>
      <c r="AC219" s="42">
        <v>0</v>
      </c>
      <c r="AE219" s="42">
        <v>1270640</v>
      </c>
      <c r="AG219" s="42">
        <v>533172</v>
      </c>
      <c r="AI219" s="10">
        <f t="shared" ref="AI219:AI278" si="43">+AC219+AA219++Y219+AE219+AG219</f>
        <v>1908927</v>
      </c>
      <c r="AK219" s="42">
        <f t="shared" si="38"/>
        <v>0</v>
      </c>
    </row>
    <row r="220" spans="1:37" hidden="1">
      <c r="A220" s="9" t="s">
        <v>826</v>
      </c>
      <c r="B220" s="9"/>
      <c r="C220" s="9" t="s">
        <v>53</v>
      </c>
      <c r="D220" s="9"/>
      <c r="E220" s="23">
        <v>48942</v>
      </c>
      <c r="G220" s="42">
        <v>0</v>
      </c>
      <c r="I220" s="42">
        <v>0</v>
      </c>
      <c r="K220" s="2">
        <f t="shared" si="41"/>
        <v>0</v>
      </c>
      <c r="M220" s="42">
        <v>0</v>
      </c>
      <c r="O220" s="42">
        <v>0</v>
      </c>
      <c r="Q220" s="2">
        <f t="shared" si="42"/>
        <v>0</v>
      </c>
      <c r="S220" s="42">
        <v>0</v>
      </c>
      <c r="U220" s="42">
        <v>0</v>
      </c>
      <c r="W220" s="42">
        <v>0</v>
      </c>
      <c r="Y220" s="42">
        <v>0</v>
      </c>
      <c r="AA220" s="42">
        <v>0</v>
      </c>
      <c r="AC220" s="42">
        <v>0</v>
      </c>
      <c r="AE220" s="42">
        <v>0</v>
      </c>
      <c r="AG220" s="42">
        <v>0</v>
      </c>
      <c r="AI220" s="10">
        <f t="shared" si="43"/>
        <v>0</v>
      </c>
      <c r="AK220" s="42">
        <f t="shared" si="38"/>
        <v>0</v>
      </c>
    </row>
    <row r="221" spans="1:37" hidden="1">
      <c r="A221" s="9" t="s">
        <v>660</v>
      </c>
      <c r="B221" s="9"/>
      <c r="C221" s="9" t="s">
        <v>77</v>
      </c>
      <c r="D221" s="9"/>
      <c r="E221" s="23">
        <v>45377</v>
      </c>
      <c r="G221" s="42">
        <v>0</v>
      </c>
      <c r="I221" s="42">
        <v>0</v>
      </c>
      <c r="K221" s="2">
        <f t="shared" si="41"/>
        <v>0</v>
      </c>
      <c r="M221" s="42">
        <v>0</v>
      </c>
      <c r="O221" s="42">
        <v>0</v>
      </c>
      <c r="Q221" s="2">
        <f t="shared" si="42"/>
        <v>0</v>
      </c>
      <c r="S221" s="42">
        <v>0</v>
      </c>
      <c r="U221" s="42">
        <v>0</v>
      </c>
      <c r="W221" s="42">
        <v>0</v>
      </c>
      <c r="Y221" s="42">
        <v>0</v>
      </c>
      <c r="AA221" s="42">
        <v>0</v>
      </c>
      <c r="AC221" s="42">
        <v>0</v>
      </c>
      <c r="AE221" s="42">
        <v>0</v>
      </c>
      <c r="AG221" s="42">
        <v>0</v>
      </c>
      <c r="AI221" s="10">
        <f t="shared" si="43"/>
        <v>0</v>
      </c>
      <c r="AK221" s="42">
        <f t="shared" si="38"/>
        <v>0</v>
      </c>
    </row>
    <row r="222" spans="1:37">
      <c r="A222" s="9" t="s">
        <v>742</v>
      </c>
      <c r="B222" s="9"/>
      <c r="C222" s="9" t="s">
        <v>79</v>
      </c>
      <c r="D222" s="9"/>
      <c r="E222" s="23">
        <v>45385</v>
      </c>
      <c r="G222" s="42">
        <v>1012132</v>
      </c>
      <c r="I222" s="42">
        <v>52124</v>
      </c>
      <c r="K222" s="2">
        <f t="shared" si="41"/>
        <v>2189536</v>
      </c>
      <c r="M222" s="42">
        <v>3253792</v>
      </c>
      <c r="O222" s="42">
        <v>0</v>
      </c>
      <c r="Q222" s="2">
        <f t="shared" si="42"/>
        <v>1073971</v>
      </c>
      <c r="S222" s="42">
        <v>0</v>
      </c>
      <c r="U222" s="42">
        <v>1073971</v>
      </c>
      <c r="W222" s="42">
        <v>1904868</v>
      </c>
      <c r="Y222" s="42">
        <v>10848</v>
      </c>
      <c r="AA222" s="42">
        <v>52124</v>
      </c>
      <c r="AC222" s="42">
        <v>0</v>
      </c>
      <c r="AE222" s="42">
        <f>1626+27442+929+960+180859+165</f>
        <v>211981</v>
      </c>
      <c r="AG222" s="42">
        <v>0</v>
      </c>
      <c r="AI222" s="10">
        <f t="shared" si="43"/>
        <v>274953</v>
      </c>
      <c r="AK222" s="42">
        <f t="shared" si="38"/>
        <v>0</v>
      </c>
    </row>
    <row r="223" spans="1:37">
      <c r="A223" s="9" t="s">
        <v>517</v>
      </c>
      <c r="B223" s="9"/>
      <c r="C223" s="9" t="s">
        <v>64</v>
      </c>
      <c r="D223" s="9"/>
      <c r="E223" s="23">
        <v>44065</v>
      </c>
      <c r="G223" s="42">
        <v>5882042</v>
      </c>
      <c r="I223" s="42">
        <v>0</v>
      </c>
      <c r="K223" s="2">
        <f t="shared" si="41"/>
        <v>5463650</v>
      </c>
      <c r="M223" s="42">
        <v>11345692</v>
      </c>
      <c r="O223" s="42">
        <v>0</v>
      </c>
      <c r="Q223" s="2">
        <f t="shared" si="42"/>
        <v>1638192</v>
      </c>
      <c r="S223" s="42">
        <v>0</v>
      </c>
      <c r="U223" s="42">
        <v>1638192</v>
      </c>
      <c r="W223" s="42">
        <v>5369416</v>
      </c>
      <c r="Y223" s="42">
        <v>3713</v>
      </c>
      <c r="AA223" s="42">
        <v>0</v>
      </c>
      <c r="AC223" s="42">
        <v>0</v>
      </c>
      <c r="AE223" s="42">
        <f>21335+359377+15183+324985</f>
        <v>720880</v>
      </c>
      <c r="AG223" s="42">
        <v>3613491</v>
      </c>
      <c r="AI223" s="10">
        <f t="shared" si="43"/>
        <v>4338084</v>
      </c>
      <c r="AK223" s="42">
        <f t="shared" si="38"/>
        <v>0</v>
      </c>
    </row>
    <row r="224" spans="1:37" hidden="1">
      <c r="A224" s="9" t="s">
        <v>784</v>
      </c>
      <c r="B224" s="9"/>
      <c r="C224" s="9" t="s">
        <v>28</v>
      </c>
      <c r="D224" s="9"/>
      <c r="E224" s="23">
        <v>47068</v>
      </c>
      <c r="G224" s="42">
        <v>0</v>
      </c>
      <c r="I224" s="42">
        <v>0</v>
      </c>
      <c r="K224" s="2">
        <f t="shared" si="41"/>
        <v>0</v>
      </c>
      <c r="M224" s="42">
        <v>0</v>
      </c>
      <c r="O224" s="42">
        <v>0</v>
      </c>
      <c r="Q224" s="2">
        <f t="shared" si="42"/>
        <v>0</v>
      </c>
      <c r="S224" s="42">
        <v>0</v>
      </c>
      <c r="U224" s="42">
        <v>0</v>
      </c>
      <c r="W224" s="42">
        <v>0</v>
      </c>
      <c r="Y224" s="42">
        <v>0</v>
      </c>
      <c r="AA224" s="42">
        <v>0</v>
      </c>
      <c r="AC224" s="42">
        <v>0</v>
      </c>
      <c r="AE224" s="42">
        <v>0</v>
      </c>
      <c r="AG224" s="42">
        <v>0</v>
      </c>
      <c r="AI224" s="10">
        <f t="shared" si="43"/>
        <v>0</v>
      </c>
      <c r="AK224" s="42">
        <f t="shared" si="38"/>
        <v>0</v>
      </c>
    </row>
    <row r="225" spans="1:37">
      <c r="A225" s="9" t="s">
        <v>238</v>
      </c>
      <c r="B225" s="9"/>
      <c r="C225" s="9" t="s">
        <v>112</v>
      </c>
      <c r="D225" s="9"/>
      <c r="E225" s="23">
        <v>46342</v>
      </c>
      <c r="G225" s="42">
        <v>2890885</v>
      </c>
      <c r="I225" s="42">
        <v>2132</v>
      </c>
      <c r="K225" s="2">
        <f t="shared" si="41"/>
        <v>6384114</v>
      </c>
      <c r="M225" s="42">
        <v>9277131</v>
      </c>
      <c r="O225" s="42">
        <v>0</v>
      </c>
      <c r="Q225" s="2">
        <f t="shared" si="42"/>
        <v>2693380</v>
      </c>
      <c r="S225" s="42">
        <v>0</v>
      </c>
      <c r="U225" s="42">
        <v>2693380</v>
      </c>
      <c r="W225" s="42">
        <v>3395456</v>
      </c>
      <c r="Y225" s="42">
        <v>0</v>
      </c>
      <c r="AA225" s="42">
        <v>2132</v>
      </c>
      <c r="AC225" s="42">
        <v>11000</v>
      </c>
      <c r="AE225" s="42">
        <v>53716</v>
      </c>
      <c r="AG225" s="42">
        <v>3121447</v>
      </c>
      <c r="AI225" s="10">
        <f t="shared" si="43"/>
        <v>3188295</v>
      </c>
      <c r="AK225" s="42">
        <f t="shared" si="38"/>
        <v>0</v>
      </c>
    </row>
    <row r="226" spans="1:37" hidden="1">
      <c r="A226" s="9" t="s">
        <v>785</v>
      </c>
      <c r="B226" s="9"/>
      <c r="C226" s="9" t="s">
        <v>227</v>
      </c>
      <c r="D226" s="9"/>
      <c r="E226" s="23">
        <v>46193</v>
      </c>
      <c r="G226" s="42">
        <v>0</v>
      </c>
      <c r="I226" s="42">
        <v>0</v>
      </c>
      <c r="K226" s="2">
        <f t="shared" si="41"/>
        <v>0</v>
      </c>
      <c r="M226" s="42">
        <v>0</v>
      </c>
      <c r="O226" s="42">
        <v>0</v>
      </c>
      <c r="Q226" s="2">
        <f t="shared" si="42"/>
        <v>0</v>
      </c>
      <c r="S226" s="42">
        <v>0</v>
      </c>
      <c r="U226" s="42">
        <v>0</v>
      </c>
      <c r="W226" s="42">
        <v>0</v>
      </c>
      <c r="Y226" s="42">
        <v>0</v>
      </c>
      <c r="AA226" s="42">
        <v>0</v>
      </c>
      <c r="AC226" s="42">
        <v>0</v>
      </c>
      <c r="AE226" s="42">
        <v>0</v>
      </c>
      <c r="AG226" s="42">
        <v>0</v>
      </c>
      <c r="AI226" s="10">
        <f t="shared" si="43"/>
        <v>0</v>
      </c>
      <c r="AK226" s="42">
        <f t="shared" si="38"/>
        <v>0</v>
      </c>
    </row>
    <row r="227" spans="1:37">
      <c r="A227" s="9" t="s">
        <v>207</v>
      </c>
      <c r="B227" s="9"/>
      <c r="C227" s="9" t="s">
        <v>12</v>
      </c>
      <c r="D227" s="9"/>
      <c r="E227" s="23">
        <v>45864</v>
      </c>
      <c r="G227" s="42">
        <v>1635944</v>
      </c>
      <c r="I227" s="42">
        <v>0</v>
      </c>
      <c r="K227" s="2">
        <f t="shared" si="41"/>
        <v>3834304</v>
      </c>
      <c r="M227" s="42">
        <v>5470248</v>
      </c>
      <c r="O227" s="42">
        <v>0</v>
      </c>
      <c r="Q227" s="2">
        <f t="shared" si="42"/>
        <v>1071433</v>
      </c>
      <c r="S227" s="42">
        <v>0</v>
      </c>
      <c r="U227" s="42">
        <v>1071433</v>
      </c>
      <c r="W227" s="42">
        <v>3289613</v>
      </c>
      <c r="Y227" s="42">
        <v>41119</v>
      </c>
      <c r="AA227" s="42">
        <v>0</v>
      </c>
      <c r="AC227" s="42">
        <v>101134</v>
      </c>
      <c r="AE227" s="42">
        <v>966949</v>
      </c>
      <c r="AG227" s="42">
        <v>0</v>
      </c>
      <c r="AI227" s="10">
        <f t="shared" si="43"/>
        <v>1109202</v>
      </c>
      <c r="AK227" s="42">
        <f t="shared" si="38"/>
        <v>0</v>
      </c>
    </row>
    <row r="228" spans="1:37">
      <c r="A228" s="9" t="s">
        <v>301</v>
      </c>
      <c r="B228" s="9"/>
      <c r="C228" s="9" t="s">
        <v>27</v>
      </c>
      <c r="D228" s="9"/>
      <c r="E228" s="23">
        <v>44073</v>
      </c>
      <c r="G228" s="42">
        <v>7429228</v>
      </c>
      <c r="I228" s="42">
        <v>68902</v>
      </c>
      <c r="K228" s="2">
        <f t="shared" si="41"/>
        <v>10607180</v>
      </c>
      <c r="M228" s="42">
        <v>18105310</v>
      </c>
      <c r="O228" s="42">
        <v>0</v>
      </c>
      <c r="Q228" s="2">
        <f t="shared" si="42"/>
        <v>2009845</v>
      </c>
      <c r="S228" s="42">
        <v>0</v>
      </c>
      <c r="U228" s="42">
        <v>2009845</v>
      </c>
      <c r="W228" s="42">
        <v>8524497</v>
      </c>
      <c r="Y228" s="42">
        <v>72029</v>
      </c>
      <c r="AA228" s="42">
        <v>68902</v>
      </c>
      <c r="AC228" s="42">
        <v>750000</v>
      </c>
      <c r="AE228" s="42">
        <v>416272</v>
      </c>
      <c r="AG228" s="42">
        <v>6263765</v>
      </c>
      <c r="AI228" s="10">
        <f t="shared" si="43"/>
        <v>7570968</v>
      </c>
      <c r="AK228" s="42">
        <f t="shared" si="38"/>
        <v>0</v>
      </c>
    </row>
    <row r="229" spans="1:37">
      <c r="A229" s="9" t="s">
        <v>661</v>
      </c>
      <c r="B229" s="9"/>
      <c r="C229" s="9" t="s">
        <v>42</v>
      </c>
      <c r="D229" s="9"/>
      <c r="E229" s="23">
        <v>45393</v>
      </c>
      <c r="G229" s="42">
        <v>1658614</v>
      </c>
      <c r="I229" s="42">
        <v>0</v>
      </c>
      <c r="K229" s="2">
        <f t="shared" si="41"/>
        <v>16525348</v>
      </c>
      <c r="M229" s="42">
        <v>18183962</v>
      </c>
      <c r="O229" s="42">
        <v>0</v>
      </c>
      <c r="Q229" s="2">
        <f t="shared" si="42"/>
        <v>2755435</v>
      </c>
      <c r="S229" s="42">
        <v>0</v>
      </c>
      <c r="U229" s="42">
        <v>2755435</v>
      </c>
      <c r="W229" s="42">
        <v>15105951</v>
      </c>
      <c r="Y229" s="42">
        <v>700000</v>
      </c>
      <c r="AA229" s="42">
        <v>0</v>
      </c>
      <c r="AC229" s="42">
        <v>0</v>
      </c>
      <c r="AE229" s="42">
        <v>0</v>
      </c>
      <c r="AG229" s="42">
        <v>-377424</v>
      </c>
      <c r="AI229" s="10">
        <f t="shared" si="43"/>
        <v>322576</v>
      </c>
      <c r="AK229" s="42">
        <f t="shared" si="38"/>
        <v>0</v>
      </c>
    </row>
    <row r="230" spans="1:37">
      <c r="A230" s="9" t="s">
        <v>478</v>
      </c>
      <c r="B230" s="9"/>
      <c r="C230" s="9" t="s">
        <v>59</v>
      </c>
      <c r="D230" s="9"/>
      <c r="E230" s="23">
        <v>49619</v>
      </c>
      <c r="G230" s="42">
        <v>1215694</v>
      </c>
      <c r="I230" s="42">
        <v>56962</v>
      </c>
      <c r="K230" s="2">
        <f t="shared" si="41"/>
        <v>1959912</v>
      </c>
      <c r="M230" s="42">
        <v>3232568</v>
      </c>
      <c r="O230" s="42">
        <v>0</v>
      </c>
      <c r="Q230" s="2">
        <f t="shared" ref="Q230:Q278" si="44">+U230-S230</f>
        <v>617631</v>
      </c>
      <c r="S230" s="42">
        <v>0</v>
      </c>
      <c r="U230" s="42">
        <v>617631</v>
      </c>
      <c r="W230" s="42">
        <v>1730282</v>
      </c>
      <c r="Y230" s="42">
        <v>0</v>
      </c>
      <c r="AA230" s="42">
        <v>56962</v>
      </c>
      <c r="AC230" s="42">
        <v>75030</v>
      </c>
      <c r="AE230" s="42">
        <v>349224</v>
      </c>
      <c r="AG230" s="42">
        <v>403439</v>
      </c>
      <c r="AI230" s="10">
        <f t="shared" si="43"/>
        <v>884655</v>
      </c>
      <c r="AK230" s="42">
        <f t="shared" si="38"/>
        <v>0</v>
      </c>
    </row>
    <row r="231" spans="1:37">
      <c r="A231" s="9" t="s">
        <v>478</v>
      </c>
      <c r="B231" s="9"/>
      <c r="C231" s="9" t="s">
        <v>63</v>
      </c>
      <c r="D231" s="9"/>
      <c r="E231" s="23">
        <v>50013</v>
      </c>
      <c r="G231" s="42">
        <v>1682023</v>
      </c>
      <c r="I231" s="42">
        <v>0</v>
      </c>
      <c r="K231" s="2">
        <f t="shared" si="41"/>
        <v>20517813</v>
      </c>
      <c r="M231" s="42">
        <v>22199836</v>
      </c>
      <c r="O231" s="42">
        <v>0</v>
      </c>
      <c r="Q231" s="2">
        <f t="shared" si="44"/>
        <v>8020056</v>
      </c>
      <c r="S231" s="42">
        <v>0</v>
      </c>
      <c r="U231" s="42">
        <f>27464594-19444538</f>
        <v>8020056</v>
      </c>
      <c r="W231" s="42">
        <v>19444538</v>
      </c>
      <c r="Y231" s="42">
        <v>0</v>
      </c>
      <c r="AA231" s="42">
        <v>0</v>
      </c>
      <c r="AC231" s="42">
        <v>0</v>
      </c>
      <c r="AE231" s="42">
        <v>14436</v>
      </c>
      <c r="AG231" s="42">
        <v>-5279194</v>
      </c>
      <c r="AI231" s="10">
        <f t="shared" si="43"/>
        <v>-5264758</v>
      </c>
      <c r="AK231" s="42">
        <f t="shared" si="38"/>
        <v>0</v>
      </c>
    </row>
    <row r="232" spans="1:37" hidden="1">
      <c r="A232" s="8" t="s">
        <v>845</v>
      </c>
      <c r="B232" s="9"/>
      <c r="C232" s="9" t="s">
        <v>71</v>
      </c>
      <c r="D232" s="9"/>
      <c r="E232" s="23">
        <v>50559</v>
      </c>
      <c r="G232" s="42">
        <v>0</v>
      </c>
      <c r="I232" s="42">
        <v>0</v>
      </c>
      <c r="K232" s="2">
        <f t="shared" si="41"/>
        <v>0</v>
      </c>
      <c r="M232" s="42">
        <v>0</v>
      </c>
      <c r="O232" s="42">
        <v>0</v>
      </c>
      <c r="Q232" s="2">
        <f t="shared" si="44"/>
        <v>0</v>
      </c>
      <c r="S232" s="42">
        <v>0</v>
      </c>
      <c r="U232" s="42">
        <v>0</v>
      </c>
      <c r="W232" s="42">
        <v>0</v>
      </c>
      <c r="Y232" s="42">
        <v>0</v>
      </c>
      <c r="AA232" s="42">
        <v>0</v>
      </c>
      <c r="AC232" s="42">
        <v>0</v>
      </c>
      <c r="AE232" s="42">
        <v>0</v>
      </c>
      <c r="AG232" s="42">
        <v>0</v>
      </c>
      <c r="AI232" s="10">
        <f t="shared" si="43"/>
        <v>0</v>
      </c>
      <c r="AK232" s="42">
        <f t="shared" si="38"/>
        <v>0</v>
      </c>
    </row>
    <row r="233" spans="1:37">
      <c r="A233" s="9" t="s">
        <v>316</v>
      </c>
      <c r="B233" s="9"/>
      <c r="C233" s="9" t="s">
        <v>113</v>
      </c>
      <c r="D233" s="9"/>
      <c r="E233" s="23">
        <v>47266</v>
      </c>
      <c r="G233" s="42">
        <v>7278665</v>
      </c>
      <c r="I233" s="42">
        <v>76238</v>
      </c>
      <c r="K233" s="2">
        <f t="shared" si="41"/>
        <v>4437208</v>
      </c>
      <c r="M233" s="42">
        <v>11792111</v>
      </c>
      <c r="O233" s="42">
        <v>0</v>
      </c>
      <c r="Q233" s="2">
        <f t="shared" si="44"/>
        <v>1277557</v>
      </c>
      <c r="S233" s="42">
        <v>0</v>
      </c>
      <c r="U233" s="42">
        <v>1277557</v>
      </c>
      <c r="W233" s="42">
        <v>3451939</v>
      </c>
      <c r="Y233" s="42">
        <v>0</v>
      </c>
      <c r="AA233" s="42">
        <v>0</v>
      </c>
      <c r="AC233" s="42">
        <v>0</v>
      </c>
      <c r="AE233" s="42">
        <v>733356</v>
      </c>
      <c r="AG233" s="42">
        <v>6329259</v>
      </c>
      <c r="AI233" s="10">
        <f t="shared" si="43"/>
        <v>7062615</v>
      </c>
      <c r="AK233" s="42">
        <f t="shared" si="38"/>
        <v>0</v>
      </c>
    </row>
    <row r="234" spans="1:37">
      <c r="A234" s="9" t="s">
        <v>754</v>
      </c>
      <c r="B234" s="9"/>
      <c r="C234" s="9" t="s">
        <v>346</v>
      </c>
      <c r="D234" s="9"/>
      <c r="E234" s="23">
        <v>45401</v>
      </c>
      <c r="G234" s="42">
        <v>6648678</v>
      </c>
      <c r="I234" s="42">
        <v>0</v>
      </c>
      <c r="K234" s="2">
        <f t="shared" si="41"/>
        <v>7636181</v>
      </c>
      <c r="M234" s="42">
        <v>14284859</v>
      </c>
      <c r="O234" s="42">
        <v>0</v>
      </c>
      <c r="Q234" s="2">
        <f t="shared" si="44"/>
        <v>1845386</v>
      </c>
      <c r="S234" s="42">
        <v>0</v>
      </c>
      <c r="U234" s="42">
        <v>1845386</v>
      </c>
      <c r="W234" s="42">
        <v>3072485</v>
      </c>
      <c r="Y234" s="42">
        <v>0</v>
      </c>
      <c r="AA234" s="42">
        <v>0</v>
      </c>
      <c r="AC234" s="42">
        <v>459378</v>
      </c>
      <c r="AE234" s="42">
        <v>1095478</v>
      </c>
      <c r="AG234" s="42">
        <v>7812132</v>
      </c>
      <c r="AI234" s="10">
        <f t="shared" si="43"/>
        <v>9366988</v>
      </c>
      <c r="AK234" s="42">
        <f t="shared" si="38"/>
        <v>0</v>
      </c>
    </row>
    <row r="235" spans="1:37">
      <c r="A235" s="9" t="s">
        <v>230</v>
      </c>
      <c r="B235" s="9"/>
      <c r="C235" s="9" t="s">
        <v>17</v>
      </c>
      <c r="D235" s="9"/>
      <c r="E235" s="23">
        <v>46235</v>
      </c>
      <c r="G235" s="42">
        <v>2124694</v>
      </c>
      <c r="I235" s="42">
        <v>0</v>
      </c>
      <c r="K235" s="2">
        <f t="shared" si="41"/>
        <v>7183540</v>
      </c>
      <c r="M235" s="42">
        <v>9308234</v>
      </c>
      <c r="O235" s="42">
        <v>0</v>
      </c>
      <c r="Q235" s="2">
        <f t="shared" si="44"/>
        <v>1614800</v>
      </c>
      <c r="S235" s="42">
        <v>0</v>
      </c>
      <c r="U235" s="42">
        <v>1614800</v>
      </c>
      <c r="W235" s="42">
        <v>6034569</v>
      </c>
      <c r="Y235" s="42">
        <v>33988</v>
      </c>
      <c r="AA235" s="42">
        <v>0</v>
      </c>
      <c r="AC235" s="42">
        <v>11000</v>
      </c>
      <c r="AE235" s="42">
        <f>5532+61642+731958</f>
        <v>799132</v>
      </c>
      <c r="AG235" s="42">
        <v>814745</v>
      </c>
      <c r="AI235" s="10">
        <f t="shared" si="43"/>
        <v>1658865</v>
      </c>
      <c r="AK235" s="42">
        <f t="shared" si="38"/>
        <v>0</v>
      </c>
    </row>
    <row r="236" spans="1:37">
      <c r="A236" s="9" t="s">
        <v>280</v>
      </c>
      <c r="B236" s="9"/>
      <c r="C236" s="9" t="s">
        <v>21</v>
      </c>
      <c r="D236" s="9"/>
      <c r="E236" s="23">
        <v>44099</v>
      </c>
      <c r="G236" s="42">
        <v>7662327</v>
      </c>
      <c r="I236" s="42">
        <v>7000</v>
      </c>
      <c r="K236" s="2">
        <f t="shared" si="41"/>
        <v>11731139</v>
      </c>
      <c r="M236" s="42">
        <v>19400466</v>
      </c>
      <c r="O236" s="42">
        <v>0</v>
      </c>
      <c r="Q236" s="2">
        <f t="shared" si="44"/>
        <v>2915625</v>
      </c>
      <c r="S236" s="42">
        <v>0</v>
      </c>
      <c r="U236" s="42">
        <v>2915625</v>
      </c>
      <c r="W236" s="42">
        <v>9254851</v>
      </c>
      <c r="Y236" s="42">
        <v>62891</v>
      </c>
      <c r="AA236" s="42">
        <v>0</v>
      </c>
      <c r="AC236" s="42">
        <v>407469</v>
      </c>
      <c r="AE236" s="42">
        <v>842984</v>
      </c>
      <c r="AG236" s="42">
        <v>5916646</v>
      </c>
      <c r="AI236" s="10">
        <f t="shared" si="43"/>
        <v>7229990</v>
      </c>
      <c r="AK236" s="42">
        <f t="shared" si="38"/>
        <v>0</v>
      </c>
    </row>
    <row r="237" spans="1:37">
      <c r="A237" s="9" t="s">
        <v>302</v>
      </c>
      <c r="B237" s="9"/>
      <c r="C237" s="9" t="s">
        <v>27</v>
      </c>
      <c r="D237" s="9"/>
      <c r="E237" s="23">
        <v>46979</v>
      </c>
      <c r="G237" s="42">
        <f>293042+80293</f>
        <v>373335</v>
      </c>
      <c r="I237" s="42">
        <v>0</v>
      </c>
      <c r="K237" s="2">
        <f t="shared" si="41"/>
        <v>22850973</v>
      </c>
      <c r="M237" s="42">
        <v>23224308</v>
      </c>
      <c r="O237" s="42">
        <v>0</v>
      </c>
      <c r="Q237" s="2">
        <f t="shared" si="44"/>
        <v>6786806</v>
      </c>
      <c r="S237" s="42">
        <v>0</v>
      </c>
      <c r="U237" s="42">
        <v>6786806</v>
      </c>
      <c r="W237" s="42">
        <v>18049257</v>
      </c>
      <c r="Y237" s="42">
        <v>10049</v>
      </c>
      <c r="AA237" s="42">
        <v>80293</v>
      </c>
      <c r="AC237" s="42">
        <v>0</v>
      </c>
      <c r="AE237" s="42">
        <v>0</v>
      </c>
      <c r="AG237" s="42">
        <v>-1702097</v>
      </c>
      <c r="AI237" s="10">
        <f t="shared" si="43"/>
        <v>-1611755</v>
      </c>
      <c r="AK237" s="42">
        <f t="shared" si="38"/>
        <v>0</v>
      </c>
    </row>
    <row r="238" spans="1:37" hidden="1">
      <c r="A238" s="8" t="s">
        <v>846</v>
      </c>
      <c r="B238" s="9"/>
      <c r="C238" s="9" t="s">
        <v>220</v>
      </c>
      <c r="D238" s="9"/>
      <c r="E238" s="23">
        <v>44107</v>
      </c>
      <c r="G238" s="42">
        <v>0</v>
      </c>
      <c r="I238" s="42">
        <v>0</v>
      </c>
      <c r="K238" s="2">
        <f t="shared" si="41"/>
        <v>0</v>
      </c>
      <c r="M238" s="42">
        <v>0</v>
      </c>
      <c r="O238" s="42">
        <v>0</v>
      </c>
      <c r="Q238" s="2">
        <f t="shared" si="44"/>
        <v>0</v>
      </c>
      <c r="S238" s="42">
        <v>0</v>
      </c>
      <c r="U238" s="42">
        <v>0</v>
      </c>
      <c r="W238" s="42">
        <v>0</v>
      </c>
      <c r="Y238" s="42">
        <v>0</v>
      </c>
      <c r="AA238" s="42">
        <v>0</v>
      </c>
      <c r="AC238" s="42">
        <v>0</v>
      </c>
      <c r="AE238" s="42">
        <v>0</v>
      </c>
      <c r="AG238" s="42">
        <v>0</v>
      </c>
      <c r="AI238" s="10">
        <f t="shared" si="43"/>
        <v>0</v>
      </c>
      <c r="AK238" s="42">
        <f t="shared" si="38"/>
        <v>0</v>
      </c>
    </row>
    <row r="239" spans="1:37">
      <c r="A239" s="8" t="s">
        <v>796</v>
      </c>
      <c r="B239" s="9"/>
      <c r="C239" s="9" t="s">
        <v>27</v>
      </c>
      <c r="D239" s="9"/>
      <c r="E239" s="23">
        <v>46953</v>
      </c>
      <c r="G239" s="42">
        <v>9909310</v>
      </c>
      <c r="I239" s="42">
        <v>0</v>
      </c>
      <c r="K239" s="2">
        <f t="shared" si="41"/>
        <v>5977583</v>
      </c>
      <c r="M239" s="42">
        <v>15886893</v>
      </c>
      <c r="O239" s="42">
        <v>0</v>
      </c>
      <c r="Q239" s="2">
        <f t="shared" si="44"/>
        <v>2037504</v>
      </c>
      <c r="S239" s="42">
        <v>0</v>
      </c>
      <c r="U239" s="42">
        <v>2037504</v>
      </c>
      <c r="W239" s="42">
        <v>4372602</v>
      </c>
      <c r="Y239" s="42">
        <v>20372</v>
      </c>
      <c r="AA239" s="42">
        <v>0</v>
      </c>
      <c r="AC239" s="42">
        <v>0</v>
      </c>
      <c r="AE239" s="42">
        <f>133371+33390</f>
        <v>166761</v>
      </c>
      <c r="AG239" s="42">
        <v>9289654</v>
      </c>
      <c r="AI239" s="10">
        <f t="shared" si="43"/>
        <v>9476787</v>
      </c>
      <c r="AK239" s="42">
        <f t="shared" si="38"/>
        <v>0</v>
      </c>
    </row>
    <row r="240" spans="1:37" hidden="1">
      <c r="A240" s="8" t="s">
        <v>338</v>
      </c>
      <c r="B240" s="9"/>
      <c r="C240" s="9" t="s">
        <v>337</v>
      </c>
      <c r="D240" s="9"/>
      <c r="E240" s="23">
        <v>47498</v>
      </c>
      <c r="G240" s="42">
        <v>0</v>
      </c>
      <c r="I240" s="42">
        <v>0</v>
      </c>
      <c r="K240" s="2">
        <f t="shared" si="41"/>
        <v>0</v>
      </c>
      <c r="M240" s="42">
        <v>0</v>
      </c>
      <c r="O240" s="42">
        <v>0</v>
      </c>
      <c r="Q240" s="2">
        <f t="shared" si="44"/>
        <v>0</v>
      </c>
      <c r="S240" s="42">
        <v>0</v>
      </c>
      <c r="U240" s="42">
        <v>0</v>
      </c>
      <c r="W240" s="42">
        <v>0</v>
      </c>
      <c r="Y240" s="42">
        <v>0</v>
      </c>
      <c r="AA240" s="42">
        <v>0</v>
      </c>
      <c r="AC240" s="42">
        <v>0</v>
      </c>
      <c r="AE240" s="42">
        <v>0</v>
      </c>
      <c r="AG240" s="42">
        <v>0</v>
      </c>
      <c r="AI240" s="10">
        <f t="shared" si="43"/>
        <v>0</v>
      </c>
      <c r="AK240" s="42">
        <f t="shared" si="38"/>
        <v>0</v>
      </c>
    </row>
    <row r="241" spans="1:37">
      <c r="A241" s="8" t="s">
        <v>487</v>
      </c>
      <c r="B241" s="9"/>
      <c r="C241" s="9" t="s">
        <v>61</v>
      </c>
      <c r="D241" s="9"/>
      <c r="E241" s="23">
        <v>49791</v>
      </c>
      <c r="G241" s="42">
        <v>2014691</v>
      </c>
      <c r="I241" s="42">
        <v>64358</v>
      </c>
      <c r="K241" s="2">
        <f t="shared" si="41"/>
        <v>1986546</v>
      </c>
      <c r="M241" s="42">
        <v>4065595</v>
      </c>
      <c r="O241" s="42">
        <v>0</v>
      </c>
      <c r="Q241" s="2">
        <f t="shared" si="44"/>
        <v>640051</v>
      </c>
      <c r="S241" s="42">
        <v>0</v>
      </c>
      <c r="U241" s="42">
        <v>640051</v>
      </c>
      <c r="W241" s="42">
        <v>1624409</v>
      </c>
      <c r="Y241" s="42">
        <v>0</v>
      </c>
      <c r="AA241" s="42">
        <v>64358</v>
      </c>
      <c r="AC241" s="42">
        <v>0</v>
      </c>
      <c r="AE241" s="42">
        <v>254901</v>
      </c>
      <c r="AG241" s="42">
        <v>1481876</v>
      </c>
      <c r="AI241" s="10">
        <f t="shared" si="43"/>
        <v>1801135</v>
      </c>
      <c r="AK241" s="42">
        <f t="shared" si="38"/>
        <v>0</v>
      </c>
    </row>
    <row r="242" spans="1:37" hidden="1">
      <c r="A242" s="8" t="s">
        <v>847</v>
      </c>
      <c r="B242" s="9"/>
      <c r="C242" s="9" t="s">
        <v>341</v>
      </c>
      <c r="D242" s="9"/>
      <c r="E242" s="23">
        <v>45245</v>
      </c>
      <c r="G242" s="42">
        <v>0</v>
      </c>
      <c r="I242" s="42">
        <v>0</v>
      </c>
      <c r="K242" s="2">
        <f t="shared" si="41"/>
        <v>0</v>
      </c>
      <c r="M242" s="42">
        <v>0</v>
      </c>
      <c r="O242" s="42">
        <v>0</v>
      </c>
      <c r="Q242" s="2">
        <f t="shared" si="44"/>
        <v>0</v>
      </c>
      <c r="S242" s="42">
        <v>0</v>
      </c>
      <c r="U242" s="42">
        <v>0</v>
      </c>
      <c r="W242" s="42">
        <v>0</v>
      </c>
      <c r="Y242" s="42">
        <v>0</v>
      </c>
      <c r="AA242" s="42">
        <v>0</v>
      </c>
      <c r="AC242" s="42">
        <v>0</v>
      </c>
      <c r="AE242" s="42">
        <v>0</v>
      </c>
      <c r="AG242" s="42">
        <v>0</v>
      </c>
      <c r="AI242" s="10">
        <f t="shared" si="43"/>
        <v>0</v>
      </c>
      <c r="AK242" s="42">
        <f t="shared" si="38"/>
        <v>0</v>
      </c>
    </row>
    <row r="243" spans="1:37">
      <c r="A243" s="9" t="s">
        <v>371</v>
      </c>
      <c r="B243" s="9"/>
      <c r="C243" s="9" t="s">
        <v>42</v>
      </c>
      <c r="D243" s="9"/>
      <c r="E243" s="23">
        <v>44115</v>
      </c>
      <c r="G243" s="42">
        <f>184274+1302250</f>
        <v>1486524</v>
      </c>
      <c r="I243" s="42">
        <v>0</v>
      </c>
      <c r="K243" s="2">
        <f t="shared" si="41"/>
        <v>7733127</v>
      </c>
      <c r="M243" s="42">
        <v>9219651</v>
      </c>
      <c r="O243" s="42">
        <v>0</v>
      </c>
      <c r="Q243" s="2">
        <f t="shared" si="44"/>
        <v>1621266</v>
      </c>
      <c r="S243" s="42">
        <v>0</v>
      </c>
      <c r="U243" s="42">
        <v>1621266</v>
      </c>
      <c r="W243" s="42">
        <v>7409266</v>
      </c>
      <c r="Y243" s="42">
        <v>58886</v>
      </c>
      <c r="AA243" s="42">
        <v>5881</v>
      </c>
      <c r="AC243" s="42">
        <v>0</v>
      </c>
      <c r="AE243" s="42">
        <v>124352</v>
      </c>
      <c r="AG243" s="42">
        <v>0</v>
      </c>
      <c r="AI243" s="10">
        <f t="shared" si="43"/>
        <v>189119</v>
      </c>
      <c r="AK243" s="42">
        <f t="shared" si="38"/>
        <v>0</v>
      </c>
    </row>
    <row r="244" spans="1:37" hidden="1">
      <c r="A244" s="9" t="s">
        <v>662</v>
      </c>
      <c r="B244" s="9"/>
      <c r="C244" s="9" t="s">
        <v>22</v>
      </c>
      <c r="D244" s="9"/>
      <c r="E244" s="23">
        <v>45419</v>
      </c>
      <c r="G244" s="42">
        <v>0</v>
      </c>
      <c r="I244" s="42">
        <v>0</v>
      </c>
      <c r="K244" s="2">
        <f t="shared" si="41"/>
        <v>0</v>
      </c>
      <c r="M244" s="42">
        <v>0</v>
      </c>
      <c r="O244" s="42">
        <v>0</v>
      </c>
      <c r="Q244" s="2">
        <f t="shared" si="44"/>
        <v>0</v>
      </c>
      <c r="S244" s="42">
        <v>0</v>
      </c>
      <c r="U244" s="42">
        <v>0</v>
      </c>
      <c r="W244" s="42">
        <v>0</v>
      </c>
      <c r="Y244" s="42">
        <v>0</v>
      </c>
      <c r="AA244" s="42">
        <v>0</v>
      </c>
      <c r="AC244" s="42">
        <v>0</v>
      </c>
      <c r="AE244" s="42">
        <v>0</v>
      </c>
      <c r="AG244" s="42">
        <v>0</v>
      </c>
      <c r="AI244" s="10">
        <f t="shared" si="43"/>
        <v>0</v>
      </c>
      <c r="AK244" s="42">
        <f t="shared" si="38"/>
        <v>0</v>
      </c>
    </row>
    <row r="245" spans="1:37">
      <c r="A245" s="9" t="s">
        <v>414</v>
      </c>
      <c r="B245" s="9"/>
      <c r="C245" s="9" t="s">
        <v>47</v>
      </c>
      <c r="D245" s="9"/>
      <c r="E245" s="23">
        <v>48496</v>
      </c>
      <c r="G245" s="42">
        <v>10121751</v>
      </c>
      <c r="I245" s="42">
        <v>0</v>
      </c>
      <c r="K245" s="2">
        <f t="shared" si="41"/>
        <v>20409754</v>
      </c>
      <c r="M245" s="42">
        <v>30531505</v>
      </c>
      <c r="O245" s="42">
        <v>0</v>
      </c>
      <c r="Q245" s="2">
        <f t="shared" si="44"/>
        <v>3189440</v>
      </c>
      <c r="S245" s="42">
        <v>0</v>
      </c>
      <c r="U245" s="42">
        <v>3189440</v>
      </c>
      <c r="W245" s="42">
        <v>18273069</v>
      </c>
      <c r="Y245" s="42">
        <v>87636</v>
      </c>
      <c r="AA245" s="42">
        <v>0</v>
      </c>
      <c r="AC245" s="42">
        <v>11000</v>
      </c>
      <c r="AE245" s="42">
        <v>301310</v>
      </c>
      <c r="AG245" s="42">
        <v>8669050</v>
      </c>
      <c r="AI245" s="10">
        <f t="shared" si="43"/>
        <v>9068996</v>
      </c>
      <c r="AK245" s="42">
        <f t="shared" si="38"/>
        <v>0</v>
      </c>
    </row>
    <row r="246" spans="1:37">
      <c r="A246" s="9" t="s">
        <v>414</v>
      </c>
      <c r="B246" s="9"/>
      <c r="C246" s="9" t="s">
        <v>78</v>
      </c>
      <c r="D246" s="9"/>
      <c r="E246" s="23">
        <v>48801</v>
      </c>
      <c r="G246" s="42">
        <v>4141898</v>
      </c>
      <c r="I246" s="42">
        <v>2170</v>
      </c>
      <c r="K246" s="2">
        <f t="shared" si="41"/>
        <v>4549559</v>
      </c>
      <c r="M246" s="42">
        <v>8693627</v>
      </c>
      <c r="O246" s="42">
        <v>0</v>
      </c>
      <c r="Q246" s="2">
        <f t="shared" si="44"/>
        <v>1869588</v>
      </c>
      <c r="S246" s="42">
        <v>0</v>
      </c>
      <c r="U246" s="42">
        <v>1869588</v>
      </c>
      <c r="W246" s="42">
        <v>3243452</v>
      </c>
      <c r="Y246" s="42">
        <v>74709</v>
      </c>
      <c r="AA246" s="42">
        <v>2170</v>
      </c>
      <c r="AC246" s="42">
        <v>0</v>
      </c>
      <c r="AE246" s="42">
        <v>63705</v>
      </c>
      <c r="AG246" s="42">
        <v>3440003</v>
      </c>
      <c r="AI246" s="10">
        <f t="shared" si="43"/>
        <v>3580587</v>
      </c>
      <c r="AK246" s="42">
        <f t="shared" si="38"/>
        <v>0</v>
      </c>
    </row>
    <row r="247" spans="1:37">
      <c r="A247" s="9" t="s">
        <v>303</v>
      </c>
      <c r="B247" s="9"/>
      <c r="C247" s="9" t="s">
        <v>27</v>
      </c>
      <c r="D247" s="9"/>
      <c r="E247" s="23">
        <v>47019</v>
      </c>
      <c r="G247" s="42">
        <f>18300608+3509095</f>
        <v>21809703</v>
      </c>
      <c r="I247" s="42">
        <v>0</v>
      </c>
      <c r="K247" s="2">
        <f t="shared" si="41"/>
        <v>115156588</v>
      </c>
      <c r="M247" s="42">
        <v>136966291</v>
      </c>
      <c r="O247" s="42">
        <v>0</v>
      </c>
      <c r="Q247" s="2">
        <f t="shared" si="44"/>
        <v>16467622</v>
      </c>
      <c r="S247" s="42">
        <v>0</v>
      </c>
      <c r="U247" s="42">
        <v>16467622</v>
      </c>
      <c r="W247" s="42">
        <v>73431370</v>
      </c>
      <c r="Y247" s="42">
        <v>0</v>
      </c>
      <c r="AA247" s="42">
        <v>0</v>
      </c>
      <c r="AC247" s="42">
        <v>0</v>
      </c>
      <c r="AE247" s="42">
        <v>1540114</v>
      </c>
      <c r="AG247" s="42">
        <v>45527185</v>
      </c>
      <c r="AI247" s="10">
        <f t="shared" si="43"/>
        <v>47067299</v>
      </c>
      <c r="AK247" s="42">
        <f t="shared" si="38"/>
        <v>0</v>
      </c>
    </row>
    <row r="248" spans="1:37">
      <c r="A248" s="9" t="s">
        <v>348</v>
      </c>
      <c r="B248" s="9"/>
      <c r="C248" s="9" t="s">
        <v>346</v>
      </c>
      <c r="D248" s="9"/>
      <c r="E248" s="23">
        <v>44123</v>
      </c>
      <c r="G248" s="42">
        <v>5449569</v>
      </c>
      <c r="I248" s="42">
        <v>164800</v>
      </c>
      <c r="K248" s="2">
        <f t="shared" si="41"/>
        <v>6638106</v>
      </c>
      <c r="M248" s="42">
        <v>12252475</v>
      </c>
      <c r="O248" s="42">
        <v>0</v>
      </c>
      <c r="Q248" s="2">
        <f t="shared" si="44"/>
        <v>2010141</v>
      </c>
      <c r="S248" s="42">
        <v>0</v>
      </c>
      <c r="U248" s="42">
        <v>2010141</v>
      </c>
      <c r="W248" s="42">
        <v>5489658</v>
      </c>
      <c r="Y248" s="42">
        <v>15000</v>
      </c>
      <c r="AA248" s="42">
        <v>88848</v>
      </c>
      <c r="AC248" s="42">
        <v>335944</v>
      </c>
      <c r="AE248" s="42">
        <v>259842</v>
      </c>
      <c r="AG248" s="42">
        <v>4053042</v>
      </c>
      <c r="AI248" s="10">
        <f t="shared" si="43"/>
        <v>4752676</v>
      </c>
      <c r="AK248" s="42">
        <f t="shared" si="38"/>
        <v>0</v>
      </c>
    </row>
    <row r="249" spans="1:37">
      <c r="A249" s="9" t="s">
        <v>203</v>
      </c>
      <c r="B249" s="9"/>
      <c r="C249" s="9" t="s">
        <v>11</v>
      </c>
      <c r="D249" s="9"/>
      <c r="E249" s="23">
        <v>45823</v>
      </c>
      <c r="G249" s="42">
        <v>383205</v>
      </c>
      <c r="I249" s="42">
        <v>0</v>
      </c>
      <c r="K249" s="2">
        <f t="shared" si="41"/>
        <v>4439501</v>
      </c>
      <c r="M249" s="42">
        <v>4822706</v>
      </c>
      <c r="O249" s="42">
        <v>0</v>
      </c>
      <c r="Q249" s="2">
        <f t="shared" si="44"/>
        <v>1214796</v>
      </c>
      <c r="S249" s="42">
        <v>0</v>
      </c>
      <c r="U249" s="42">
        <v>1214796</v>
      </c>
      <c r="W249" s="42">
        <v>3352240</v>
      </c>
      <c r="Y249" s="42">
        <f>7684+114188</f>
        <v>121872</v>
      </c>
      <c r="AA249" s="42">
        <v>0</v>
      </c>
      <c r="AC249" s="42">
        <v>0</v>
      </c>
      <c r="AE249" s="42">
        <f>4569+49768+91539</f>
        <v>145876</v>
      </c>
      <c r="AG249" s="42">
        <v>-12078</v>
      </c>
      <c r="AI249" s="10">
        <f t="shared" si="43"/>
        <v>255670</v>
      </c>
      <c r="AK249" s="42">
        <f t="shared" si="38"/>
        <v>0</v>
      </c>
    </row>
    <row r="250" spans="1:37">
      <c r="A250" s="9" t="s">
        <v>342</v>
      </c>
      <c r="B250" s="9"/>
      <c r="C250" s="9" t="s">
        <v>34</v>
      </c>
      <c r="D250" s="9"/>
      <c r="E250" s="23">
        <v>47571</v>
      </c>
      <c r="G250" s="42">
        <v>2135809</v>
      </c>
      <c r="I250" s="42">
        <v>0</v>
      </c>
      <c r="K250" s="2">
        <f t="shared" si="41"/>
        <v>1398780</v>
      </c>
      <c r="M250" s="42">
        <v>3534589</v>
      </c>
      <c r="O250" s="42">
        <v>0</v>
      </c>
      <c r="Q250" s="2">
        <f t="shared" si="44"/>
        <v>506887</v>
      </c>
      <c r="S250" s="42">
        <v>0</v>
      </c>
      <c r="U250" s="42">
        <v>506887</v>
      </c>
      <c r="W250" s="42">
        <v>984259</v>
      </c>
      <c r="Y250" s="42">
        <v>10156</v>
      </c>
      <c r="AA250" s="42">
        <v>0</v>
      </c>
      <c r="AC250" s="42">
        <v>0</v>
      </c>
      <c r="AE250" s="42">
        <v>957069</v>
      </c>
      <c r="AG250" s="42">
        <v>1076218</v>
      </c>
      <c r="AI250" s="10">
        <f t="shared" si="43"/>
        <v>2043443</v>
      </c>
      <c r="AK250" s="42">
        <f t="shared" si="38"/>
        <v>0</v>
      </c>
    </row>
    <row r="251" spans="1:37" hidden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2">
        <f t="shared" ref="K251" si="45">+M251-I251-G251</f>
        <v>0</v>
      </c>
      <c r="M251" s="42">
        <v>0</v>
      </c>
      <c r="O251" s="42">
        <v>0</v>
      </c>
      <c r="Q251" s="2">
        <f t="shared" ref="Q251" si="46">+U251-S251</f>
        <v>0</v>
      </c>
      <c r="S251" s="42">
        <v>0</v>
      </c>
      <c r="U251" s="42">
        <v>0</v>
      </c>
      <c r="W251" s="42">
        <v>0</v>
      </c>
      <c r="Y251" s="42">
        <v>0</v>
      </c>
      <c r="AA251" s="42">
        <v>0</v>
      </c>
      <c r="AC251" s="42">
        <v>0</v>
      </c>
      <c r="AE251" s="42">
        <v>0</v>
      </c>
      <c r="AG251" s="42">
        <v>0</v>
      </c>
      <c r="AI251" s="10">
        <f t="shared" ref="AI251" si="47">+AC251+AA251++Y251+AE251+AG251</f>
        <v>0</v>
      </c>
      <c r="AK251" s="42">
        <f t="shared" si="38"/>
        <v>0</v>
      </c>
    </row>
    <row r="252" spans="1:37">
      <c r="A252" s="9" t="s">
        <v>518</v>
      </c>
      <c r="B252" s="9"/>
      <c r="C252" s="9" t="s">
        <v>64</v>
      </c>
      <c r="D252" s="9"/>
      <c r="E252" s="23">
        <v>50161</v>
      </c>
      <c r="G252" s="42">
        <v>790899</v>
      </c>
      <c r="I252" s="42">
        <v>0</v>
      </c>
      <c r="K252" s="2">
        <f t="shared" si="41"/>
        <v>17833532</v>
      </c>
      <c r="M252" s="42">
        <v>18624431</v>
      </c>
      <c r="O252" s="42">
        <v>0</v>
      </c>
      <c r="Q252" s="2">
        <f t="shared" si="44"/>
        <v>3204658</v>
      </c>
      <c r="S252" s="42">
        <v>0</v>
      </c>
      <c r="U252" s="42">
        <v>3204658</v>
      </c>
      <c r="W252" s="42">
        <v>17617892</v>
      </c>
      <c r="Y252" s="42">
        <f>52034+36499</f>
        <v>88533</v>
      </c>
      <c r="AA252" s="42">
        <v>0</v>
      </c>
      <c r="AC252" s="42">
        <v>0</v>
      </c>
      <c r="AE252" s="42">
        <f>30603+15152+635540+10861</f>
        <v>692156</v>
      </c>
      <c r="AG252" s="42">
        <v>-2978808</v>
      </c>
      <c r="AI252" s="10">
        <f t="shared" si="43"/>
        <v>-2198119</v>
      </c>
      <c r="AK252" s="42">
        <f t="shared" si="38"/>
        <v>0</v>
      </c>
    </row>
    <row r="253" spans="1:37">
      <c r="A253" s="9" t="s">
        <v>755</v>
      </c>
      <c r="B253" s="9"/>
      <c r="C253" s="9" t="s">
        <v>64</v>
      </c>
      <c r="D253" s="9"/>
      <c r="E253" s="23">
        <v>45427</v>
      </c>
      <c r="G253" s="42">
        <v>3145925</v>
      </c>
      <c r="I253" s="42">
        <v>96787</v>
      </c>
      <c r="K253" s="2">
        <f t="shared" si="41"/>
        <v>7381785</v>
      </c>
      <c r="M253" s="42">
        <v>10624497</v>
      </c>
      <c r="O253" s="42">
        <v>0</v>
      </c>
      <c r="Q253" s="2">
        <f t="shared" si="44"/>
        <v>2138867</v>
      </c>
      <c r="S253" s="42">
        <v>0</v>
      </c>
      <c r="U253" s="42">
        <v>2138867</v>
      </c>
      <c r="W253" s="42">
        <v>7080123</v>
      </c>
      <c r="Y253" s="42">
        <v>29892</v>
      </c>
      <c r="AA253" s="42">
        <v>0</v>
      </c>
      <c r="AC253" s="42">
        <v>66895</v>
      </c>
      <c r="AE253" s="42">
        <v>112280</v>
      </c>
      <c r="AG253" s="42">
        <v>1196440</v>
      </c>
      <c r="AI253" s="10">
        <f t="shared" si="43"/>
        <v>1405507</v>
      </c>
      <c r="AK253" s="42">
        <f t="shared" si="38"/>
        <v>0</v>
      </c>
    </row>
    <row r="254" spans="1:37">
      <c r="A254" s="9" t="s">
        <v>427</v>
      </c>
      <c r="B254" s="9"/>
      <c r="C254" s="9" t="s">
        <v>50</v>
      </c>
      <c r="D254" s="9"/>
      <c r="E254" s="23">
        <v>48751</v>
      </c>
      <c r="G254" s="42">
        <f>4075169+2468719</f>
        <v>6543888</v>
      </c>
      <c r="I254" s="42">
        <v>0</v>
      </c>
      <c r="K254" s="2">
        <f t="shared" si="41"/>
        <v>26807845</v>
      </c>
      <c r="M254" s="42">
        <v>33351733</v>
      </c>
      <c r="O254" s="42">
        <v>0</v>
      </c>
      <c r="Q254" s="2">
        <f t="shared" si="44"/>
        <v>7568322</v>
      </c>
      <c r="S254" s="42">
        <v>0</v>
      </c>
      <c r="U254" s="42">
        <v>7568322</v>
      </c>
      <c r="W254" s="42">
        <v>24215334</v>
      </c>
      <c r="Y254" s="42">
        <v>298156</v>
      </c>
      <c r="AA254" s="42">
        <v>0</v>
      </c>
      <c r="AC254" s="42">
        <v>11000</v>
      </c>
      <c r="AE254" s="42">
        <v>912024</v>
      </c>
      <c r="AG254" s="42">
        <v>346897</v>
      </c>
      <c r="AI254" s="10">
        <f t="shared" si="43"/>
        <v>1568077</v>
      </c>
      <c r="AK254" s="42">
        <f t="shared" si="38"/>
        <v>0</v>
      </c>
    </row>
    <row r="255" spans="1:37">
      <c r="A255" s="9" t="s">
        <v>505</v>
      </c>
      <c r="B255" s="9"/>
      <c r="C255" s="9" t="s">
        <v>63</v>
      </c>
      <c r="D255" s="9"/>
      <c r="E255" s="23">
        <v>50021</v>
      </c>
      <c r="G255" s="42">
        <v>15585850</v>
      </c>
      <c r="I255" s="42">
        <v>0</v>
      </c>
      <c r="K255" s="2">
        <f t="shared" si="41"/>
        <v>42260834</v>
      </c>
      <c r="M255" s="42">
        <v>57846684</v>
      </c>
      <c r="O255" s="42">
        <v>0</v>
      </c>
      <c r="Q255" s="2">
        <f t="shared" si="44"/>
        <v>7323944</v>
      </c>
      <c r="S255" s="42">
        <v>0</v>
      </c>
      <c r="U255" s="42">
        <v>7323944</v>
      </c>
      <c r="W255" s="42">
        <v>40279738</v>
      </c>
      <c r="Y255" s="42">
        <v>36931</v>
      </c>
      <c r="AA255" s="42">
        <v>0</v>
      </c>
      <c r="AC255" s="42">
        <v>0</v>
      </c>
      <c r="AE255" s="42">
        <f>105534+617337+2250+288425+12727</f>
        <v>1026273</v>
      </c>
      <c r="AG255" s="42">
        <v>9179798</v>
      </c>
      <c r="AI255" s="10">
        <f t="shared" si="43"/>
        <v>10243002</v>
      </c>
      <c r="AK255" s="42">
        <f t="shared" si="38"/>
        <v>0</v>
      </c>
    </row>
    <row r="256" spans="1:37">
      <c r="A256" s="9" t="s">
        <v>471</v>
      </c>
      <c r="B256" s="9"/>
      <c r="C256" s="9" t="s">
        <v>58</v>
      </c>
      <c r="D256" s="9"/>
      <c r="E256" s="23">
        <v>49502</v>
      </c>
      <c r="G256" s="42">
        <v>4641483</v>
      </c>
      <c r="I256" s="42">
        <v>0</v>
      </c>
      <c r="K256" s="2">
        <f t="shared" si="41"/>
        <v>1425769</v>
      </c>
      <c r="M256" s="42">
        <v>6067252</v>
      </c>
      <c r="O256" s="42">
        <v>0</v>
      </c>
      <c r="Q256" s="2">
        <f t="shared" si="44"/>
        <v>1799282</v>
      </c>
      <c r="S256" s="42">
        <v>0</v>
      </c>
      <c r="U256" s="42">
        <v>1799282</v>
      </c>
      <c r="W256" s="42">
        <v>1263246</v>
      </c>
      <c r="Y256" s="42">
        <v>57381</v>
      </c>
      <c r="AA256" s="42">
        <v>0</v>
      </c>
      <c r="AC256" s="42">
        <v>0</v>
      </c>
      <c r="AE256" s="42">
        <v>763615</v>
      </c>
      <c r="AG256" s="42">
        <v>2183728</v>
      </c>
      <c r="AI256" s="10">
        <f t="shared" si="43"/>
        <v>3004724</v>
      </c>
      <c r="AK256" s="42">
        <f t="shared" si="38"/>
        <v>0</v>
      </c>
    </row>
    <row r="257" spans="1:37">
      <c r="A257" s="9" t="s">
        <v>284</v>
      </c>
      <c r="B257" s="9"/>
      <c r="C257" s="9" t="s">
        <v>24</v>
      </c>
      <c r="D257" s="9"/>
      <c r="E257" s="23">
        <v>44131</v>
      </c>
      <c r="G257" s="42">
        <f>5552163+9141</f>
        <v>5561304</v>
      </c>
      <c r="I257" s="42">
        <v>26629</v>
      </c>
      <c r="K257" s="2">
        <f t="shared" si="41"/>
        <v>10714830</v>
      </c>
      <c r="M257" s="42">
        <v>16302763</v>
      </c>
      <c r="O257" s="42">
        <v>0</v>
      </c>
      <c r="Q257" s="2">
        <f t="shared" si="44"/>
        <v>1440923</v>
      </c>
      <c r="S257" s="42">
        <v>0</v>
      </c>
      <c r="U257" s="42">
        <v>1440923</v>
      </c>
      <c r="W257" s="42">
        <v>8374274</v>
      </c>
      <c r="Y257" s="42">
        <v>4873</v>
      </c>
      <c r="AA257" s="42">
        <v>26629</v>
      </c>
      <c r="AC257" s="42">
        <v>0</v>
      </c>
      <c r="AE257" s="42">
        <f>203262+143181+4790+31716+3279604+58447</f>
        <v>3721000</v>
      </c>
      <c r="AG257" s="42">
        <v>2735064</v>
      </c>
      <c r="AI257" s="10">
        <f t="shared" si="43"/>
        <v>6487566</v>
      </c>
      <c r="AK257" s="42">
        <f t="shared" si="38"/>
        <v>0</v>
      </c>
    </row>
    <row r="258" spans="1:37">
      <c r="A258" s="9" t="s">
        <v>267</v>
      </c>
      <c r="B258" s="9"/>
      <c r="C258" s="9" t="s">
        <v>20</v>
      </c>
      <c r="D258" s="9"/>
      <c r="E258" s="23">
        <v>46565</v>
      </c>
      <c r="G258" s="42">
        <v>4303922</v>
      </c>
      <c r="I258" s="42">
        <v>0</v>
      </c>
      <c r="K258" s="2">
        <f t="shared" si="41"/>
        <v>16905407</v>
      </c>
      <c r="M258" s="42">
        <v>21209329</v>
      </c>
      <c r="O258" s="42">
        <v>0</v>
      </c>
      <c r="Q258" s="2">
        <f t="shared" si="44"/>
        <v>15839802</v>
      </c>
      <c r="S258" s="42">
        <v>0</v>
      </c>
      <c r="U258" s="42">
        <v>15839802</v>
      </c>
      <c r="W258" s="42">
        <v>0</v>
      </c>
      <c r="Y258" s="42">
        <v>0</v>
      </c>
      <c r="AA258" s="42">
        <v>0</v>
      </c>
      <c r="AC258" s="42">
        <v>0</v>
      </c>
      <c r="AE258" s="42">
        <v>130120</v>
      </c>
      <c r="AG258" s="42">
        <v>5239407</v>
      </c>
      <c r="AI258" s="10">
        <f t="shared" si="43"/>
        <v>5369527</v>
      </c>
      <c r="AK258" s="42">
        <f t="shared" si="38"/>
        <v>0</v>
      </c>
    </row>
    <row r="259" spans="1:37">
      <c r="A259" s="9" t="s">
        <v>361</v>
      </c>
      <c r="B259" s="9"/>
      <c r="C259" s="9" t="s">
        <v>39</v>
      </c>
      <c r="D259" s="9"/>
      <c r="E259" s="23">
        <v>47803</v>
      </c>
      <c r="G259" s="42">
        <v>311910</v>
      </c>
      <c r="I259" s="42">
        <v>0</v>
      </c>
      <c r="K259" s="2">
        <f t="shared" si="41"/>
        <v>8742329</v>
      </c>
      <c r="M259" s="42">
        <v>9054239</v>
      </c>
      <c r="O259" s="42">
        <v>0</v>
      </c>
      <c r="Q259" s="2">
        <f t="shared" si="44"/>
        <v>2076418</v>
      </c>
      <c r="S259" s="42">
        <v>0</v>
      </c>
      <c r="U259" s="42">
        <v>2076418</v>
      </c>
      <c r="W259" s="42">
        <v>7791962</v>
      </c>
      <c r="Y259" s="42">
        <v>68085</v>
      </c>
      <c r="AA259" s="42">
        <v>0</v>
      </c>
      <c r="AC259" s="42">
        <v>16811</v>
      </c>
      <c r="AE259" s="42">
        <v>328781</v>
      </c>
      <c r="AG259" s="42">
        <v>-1227818</v>
      </c>
      <c r="AI259" s="10">
        <f t="shared" si="43"/>
        <v>-814141</v>
      </c>
      <c r="AK259" s="42">
        <f t="shared" si="38"/>
        <v>0</v>
      </c>
    </row>
    <row r="260" spans="1:37">
      <c r="A260" s="9" t="s">
        <v>756</v>
      </c>
      <c r="B260" s="9"/>
      <c r="C260" s="9" t="s">
        <v>32</v>
      </c>
      <c r="D260" s="9"/>
      <c r="E260" s="23">
        <v>45435</v>
      </c>
      <c r="G260" s="42">
        <v>31124171</v>
      </c>
      <c r="I260" s="42">
        <v>0</v>
      </c>
      <c r="K260" s="2">
        <f t="shared" si="41"/>
        <v>26804319</v>
      </c>
      <c r="M260" s="42">
        <v>57928490</v>
      </c>
      <c r="O260" s="42">
        <v>0</v>
      </c>
      <c r="Q260" s="2">
        <f t="shared" si="44"/>
        <v>3114742</v>
      </c>
      <c r="S260" s="42">
        <v>0</v>
      </c>
      <c r="U260" s="42">
        <v>3114742</v>
      </c>
      <c r="W260" s="42">
        <v>17108680</v>
      </c>
      <c r="Y260" s="42">
        <v>0</v>
      </c>
      <c r="AA260" s="42">
        <v>0</v>
      </c>
      <c r="AC260" s="42">
        <v>0</v>
      </c>
      <c r="AE260" s="42">
        <f>20280+85459+332647+13186+9874</f>
        <v>461446</v>
      </c>
      <c r="AG260" s="42">
        <v>37243622</v>
      </c>
      <c r="AI260" s="10">
        <f t="shared" si="43"/>
        <v>37705068</v>
      </c>
      <c r="AK260" s="42">
        <f t="shared" si="38"/>
        <v>0</v>
      </c>
    </row>
    <row r="261" spans="1:37" hidden="1">
      <c r="A261" s="9" t="s">
        <v>789</v>
      </c>
      <c r="B261" s="9"/>
      <c r="C261" s="9" t="s">
        <v>43</v>
      </c>
      <c r="D261" s="9"/>
      <c r="E261" s="23">
        <v>48082</v>
      </c>
      <c r="G261" s="42">
        <v>0</v>
      </c>
      <c r="I261" s="42">
        <v>0</v>
      </c>
      <c r="K261" s="2">
        <f t="shared" si="41"/>
        <v>0</v>
      </c>
      <c r="M261" s="42">
        <v>0</v>
      </c>
      <c r="O261" s="42">
        <v>0</v>
      </c>
      <c r="Q261" s="2">
        <f t="shared" si="44"/>
        <v>0</v>
      </c>
      <c r="S261" s="42">
        <v>0</v>
      </c>
      <c r="U261" s="42">
        <v>0</v>
      </c>
      <c r="W261" s="42">
        <v>0</v>
      </c>
      <c r="Y261" s="42">
        <v>0</v>
      </c>
      <c r="AA261" s="42">
        <v>0</v>
      </c>
      <c r="AC261" s="42">
        <v>0</v>
      </c>
      <c r="AE261" s="42">
        <v>0</v>
      </c>
      <c r="AG261" s="42">
        <v>0</v>
      </c>
      <c r="AI261" s="10">
        <f t="shared" si="43"/>
        <v>0</v>
      </c>
      <c r="AK261" s="42">
        <f t="shared" si="38"/>
        <v>0</v>
      </c>
    </row>
    <row r="262" spans="1:37">
      <c r="A262" s="9" t="s">
        <v>532</v>
      </c>
      <c r="B262" s="9"/>
      <c r="C262" s="9" t="s">
        <v>65</v>
      </c>
      <c r="D262" s="9"/>
      <c r="E262" s="23">
        <v>50286</v>
      </c>
      <c r="G262" s="42">
        <v>3625666</v>
      </c>
      <c r="I262" s="42">
        <v>0</v>
      </c>
      <c r="K262" s="2">
        <f t="shared" si="41"/>
        <v>4227045</v>
      </c>
      <c r="M262" s="42">
        <v>7852711</v>
      </c>
      <c r="O262" s="42">
        <v>0</v>
      </c>
      <c r="Q262" s="2">
        <f t="shared" si="44"/>
        <v>5836794</v>
      </c>
      <c r="S262" s="42">
        <v>0</v>
      </c>
      <c r="U262" s="42">
        <v>5836794</v>
      </c>
      <c r="W262" s="42">
        <v>0</v>
      </c>
      <c r="Y262" s="42">
        <v>51832</v>
      </c>
      <c r="AA262" s="42">
        <v>0</v>
      </c>
      <c r="AC262" s="42">
        <v>0</v>
      </c>
      <c r="AE262" s="42">
        <v>857205</v>
      </c>
      <c r="AG262" s="42">
        <v>1106880</v>
      </c>
      <c r="AI262" s="10">
        <f t="shared" si="43"/>
        <v>2015917</v>
      </c>
      <c r="AK262" s="42">
        <f t="shared" si="38"/>
        <v>0</v>
      </c>
    </row>
    <row r="263" spans="1:37">
      <c r="A263" s="9" t="s">
        <v>367</v>
      </c>
      <c r="B263" s="9"/>
      <c r="C263" s="9" t="s">
        <v>364</v>
      </c>
      <c r="D263" s="9"/>
      <c r="E263" s="23">
        <v>44149</v>
      </c>
      <c r="G263" s="42">
        <v>2173536</v>
      </c>
      <c r="I263" s="42">
        <v>48521</v>
      </c>
      <c r="K263" s="2">
        <f t="shared" si="41"/>
        <v>2833934</v>
      </c>
      <c r="M263" s="42">
        <v>5055991</v>
      </c>
      <c r="O263" s="42">
        <v>0</v>
      </c>
      <c r="Q263" s="2">
        <f t="shared" si="44"/>
        <v>1331971</v>
      </c>
      <c r="S263" s="42">
        <v>0</v>
      </c>
      <c r="U263" s="42">
        <v>1331971</v>
      </c>
      <c r="W263" s="42">
        <v>2354814</v>
      </c>
      <c r="Y263" s="42">
        <v>17551</v>
      </c>
      <c r="AA263" s="42">
        <v>30970</v>
      </c>
      <c r="AC263" s="42">
        <v>87111</v>
      </c>
      <c r="AE263" s="42">
        <v>107447</v>
      </c>
      <c r="AG263" s="42">
        <v>1126127</v>
      </c>
      <c r="AI263" s="10">
        <f t="shared" si="43"/>
        <v>1369206</v>
      </c>
      <c r="AK263" s="42">
        <f t="shared" si="38"/>
        <v>0</v>
      </c>
    </row>
    <row r="264" spans="1:37" hidden="1">
      <c r="A264" s="9" t="s">
        <v>663</v>
      </c>
      <c r="B264" s="9"/>
      <c r="C264" s="9" t="s">
        <v>61</v>
      </c>
      <c r="D264" s="9"/>
      <c r="E264" s="23">
        <v>49809</v>
      </c>
      <c r="G264" s="42">
        <v>0</v>
      </c>
      <c r="I264" s="42">
        <v>0</v>
      </c>
      <c r="K264" s="2">
        <f t="shared" si="41"/>
        <v>0</v>
      </c>
      <c r="M264" s="42">
        <v>0</v>
      </c>
      <c r="O264" s="42">
        <v>0</v>
      </c>
      <c r="Q264" s="2">
        <f t="shared" si="44"/>
        <v>0</v>
      </c>
      <c r="S264" s="42">
        <v>0</v>
      </c>
      <c r="U264" s="42">
        <v>0</v>
      </c>
      <c r="W264" s="42">
        <v>0</v>
      </c>
      <c r="Y264" s="42">
        <v>0</v>
      </c>
      <c r="AA264" s="42">
        <v>0</v>
      </c>
      <c r="AC264" s="42">
        <v>0</v>
      </c>
      <c r="AE264" s="42">
        <v>0</v>
      </c>
      <c r="AG264" s="42">
        <v>0</v>
      </c>
      <c r="AI264" s="10">
        <f t="shared" si="43"/>
        <v>0</v>
      </c>
      <c r="AK264" s="42">
        <f t="shared" si="38"/>
        <v>0</v>
      </c>
    </row>
    <row r="265" spans="1:37" hidden="1">
      <c r="A265" s="9" t="s">
        <v>674</v>
      </c>
      <c r="B265" s="9"/>
      <c r="C265" s="9" t="s">
        <v>38</v>
      </c>
      <c r="D265" s="9"/>
      <c r="E265" s="23">
        <v>44156</v>
      </c>
      <c r="G265" s="42">
        <v>0</v>
      </c>
      <c r="I265" s="42">
        <v>0</v>
      </c>
      <c r="K265" s="2">
        <f t="shared" si="41"/>
        <v>0</v>
      </c>
      <c r="M265" s="42">
        <v>0</v>
      </c>
      <c r="O265" s="42">
        <v>0</v>
      </c>
      <c r="Q265" s="2">
        <f t="shared" si="44"/>
        <v>0</v>
      </c>
      <c r="S265" s="42">
        <v>0</v>
      </c>
      <c r="U265" s="42">
        <v>0</v>
      </c>
      <c r="W265" s="42">
        <v>0</v>
      </c>
      <c r="Y265" s="42">
        <v>0</v>
      </c>
      <c r="AA265" s="42">
        <v>0</v>
      </c>
      <c r="AC265" s="42">
        <v>0</v>
      </c>
      <c r="AE265" s="42">
        <v>0</v>
      </c>
      <c r="AG265" s="42">
        <v>0</v>
      </c>
      <c r="AI265" s="10">
        <f t="shared" si="43"/>
        <v>0</v>
      </c>
      <c r="AK265" s="42">
        <f t="shared" si="38"/>
        <v>0</v>
      </c>
    </row>
    <row r="266" spans="1:37">
      <c r="A266" s="9" t="s">
        <v>493</v>
      </c>
      <c r="B266" s="9"/>
      <c r="C266" s="9" t="s">
        <v>62</v>
      </c>
      <c r="D266" s="9"/>
      <c r="E266" s="23">
        <v>49858</v>
      </c>
      <c r="G266" s="42">
        <v>21400754</v>
      </c>
      <c r="I266" s="42">
        <v>0</v>
      </c>
      <c r="K266" s="2">
        <f t="shared" si="41"/>
        <v>42945507</v>
      </c>
      <c r="M266" s="42">
        <v>64346261</v>
      </c>
      <c r="O266" s="42">
        <v>0</v>
      </c>
      <c r="Q266" s="2">
        <f t="shared" si="44"/>
        <v>7591217</v>
      </c>
      <c r="S266" s="42">
        <v>0</v>
      </c>
      <c r="U266" s="42">
        <v>7591217</v>
      </c>
      <c r="W266" s="42">
        <v>42124571</v>
      </c>
      <c r="Y266" s="42">
        <f>136793+68819+17829</f>
        <v>223441</v>
      </c>
      <c r="AA266" s="42">
        <v>0</v>
      </c>
      <c r="AC266" s="42">
        <f>100000+11000</f>
        <v>111000</v>
      </c>
      <c r="AE266" s="42">
        <f>17190+541346+997+56661+71090</f>
        <v>687284</v>
      </c>
      <c r="AG266" s="42">
        <v>13608748</v>
      </c>
      <c r="AI266" s="10">
        <f t="shared" si="43"/>
        <v>14630473</v>
      </c>
      <c r="AK266" s="42">
        <f t="shared" si="38"/>
        <v>0</v>
      </c>
    </row>
    <row r="267" spans="1:37">
      <c r="A267" s="9" t="s">
        <v>401</v>
      </c>
      <c r="B267" s="9"/>
      <c r="C267" s="9" t="s">
        <v>45</v>
      </c>
      <c r="D267" s="9"/>
      <c r="E267" s="23">
        <v>48322</v>
      </c>
      <c r="G267" s="42">
        <v>2345468</v>
      </c>
      <c r="I267" s="42">
        <v>0</v>
      </c>
      <c r="K267" s="2">
        <f t="shared" si="41"/>
        <v>3969565</v>
      </c>
      <c r="M267" s="42">
        <v>6315033</v>
      </c>
      <c r="O267" s="42">
        <v>0</v>
      </c>
      <c r="Q267" s="2">
        <f t="shared" si="44"/>
        <v>1104879</v>
      </c>
      <c r="S267" s="42">
        <v>0</v>
      </c>
      <c r="U267" s="42">
        <v>1104879</v>
      </c>
      <c r="W267" s="42">
        <v>3931346</v>
      </c>
      <c r="Y267" s="42">
        <v>12736</v>
      </c>
      <c r="AA267" s="42">
        <v>0</v>
      </c>
      <c r="AC267" s="42">
        <v>0</v>
      </c>
      <c r="AE267" s="42">
        <f>23194+582897+33332</f>
        <v>639423</v>
      </c>
      <c r="AG267" s="42">
        <v>626649</v>
      </c>
      <c r="AI267" s="10">
        <f t="shared" si="43"/>
        <v>1278808</v>
      </c>
      <c r="AK267" s="42">
        <f t="shared" si="38"/>
        <v>0</v>
      </c>
    </row>
    <row r="268" spans="1:37">
      <c r="A268" s="9" t="s">
        <v>457</v>
      </c>
      <c r="B268" s="9"/>
      <c r="C268" s="9" t="s">
        <v>56</v>
      </c>
      <c r="D268" s="9"/>
      <c r="E268" s="23">
        <v>49205</v>
      </c>
      <c r="G268" s="42">
        <v>2378570</v>
      </c>
      <c r="I268" s="42">
        <v>0</v>
      </c>
      <c r="K268" s="2">
        <f t="shared" si="41"/>
        <v>4502545</v>
      </c>
      <c r="M268" s="42">
        <v>6881115</v>
      </c>
      <c r="O268" s="42">
        <v>0</v>
      </c>
      <c r="Q268" s="2">
        <f t="shared" si="44"/>
        <v>1626392</v>
      </c>
      <c r="S268" s="42">
        <v>0</v>
      </c>
      <c r="U268" s="42">
        <v>1626392</v>
      </c>
      <c r="W268" s="42">
        <v>4032080</v>
      </c>
      <c r="Y268" s="42">
        <f>51353+27801</f>
        <v>79154</v>
      </c>
      <c r="AA268" s="42">
        <v>0</v>
      </c>
      <c r="AC268" s="42">
        <v>11000</v>
      </c>
      <c r="AE268" s="42">
        <f>3123+95535+67+867191+17659+33709</f>
        <v>1017284</v>
      </c>
      <c r="AG268" s="42">
        <v>115205</v>
      </c>
      <c r="AI268" s="10">
        <f t="shared" si="43"/>
        <v>1222643</v>
      </c>
      <c r="AK268" s="42">
        <f t="shared" si="38"/>
        <v>0</v>
      </c>
    </row>
    <row r="269" spans="1:37">
      <c r="A269" s="9" t="s">
        <v>208</v>
      </c>
      <c r="B269" s="9"/>
      <c r="C269" s="9" t="s">
        <v>12</v>
      </c>
      <c r="D269" s="9"/>
      <c r="E269" s="23">
        <v>45872</v>
      </c>
      <c r="G269" s="42">
        <v>2814630</v>
      </c>
      <c r="I269" s="42">
        <v>0</v>
      </c>
      <c r="K269" s="2">
        <f t="shared" si="41"/>
        <v>5579299</v>
      </c>
      <c r="M269" s="42">
        <v>8393929</v>
      </c>
      <c r="O269" s="42">
        <v>0</v>
      </c>
      <c r="Q269" s="2">
        <f t="shared" si="44"/>
        <v>1841046</v>
      </c>
      <c r="S269" s="42">
        <v>0</v>
      </c>
      <c r="U269" s="42">
        <v>1841046</v>
      </c>
      <c r="W269" s="42">
        <v>4813081</v>
      </c>
      <c r="Y269" s="42">
        <v>1267</v>
      </c>
      <c r="AA269" s="42">
        <v>0</v>
      </c>
      <c r="AC269" s="42">
        <v>0</v>
      </c>
      <c r="AE269" s="42">
        <v>202352</v>
      </c>
      <c r="AG269" s="42">
        <v>1536183</v>
      </c>
      <c r="AI269" s="10">
        <f t="shared" si="43"/>
        <v>1739802</v>
      </c>
      <c r="AK269" s="42">
        <f t="shared" si="38"/>
        <v>0</v>
      </c>
    </row>
    <row r="270" spans="1:37">
      <c r="A270" s="9" t="s">
        <v>394</v>
      </c>
      <c r="B270" s="9"/>
      <c r="C270" s="9" t="s">
        <v>395</v>
      </c>
      <c r="D270" s="9"/>
      <c r="E270" s="23">
        <v>48256</v>
      </c>
      <c r="G270" s="42">
        <v>4412400</v>
      </c>
      <c r="I270" s="42">
        <v>3882</v>
      </c>
      <c r="K270" s="2">
        <f t="shared" si="41"/>
        <v>5528795</v>
      </c>
      <c r="M270" s="42">
        <v>9945077</v>
      </c>
      <c r="O270" s="42">
        <v>0</v>
      </c>
      <c r="Q270" s="2">
        <f t="shared" si="44"/>
        <v>1293446</v>
      </c>
      <c r="S270" s="42">
        <v>0</v>
      </c>
      <c r="U270" s="42">
        <v>1293446</v>
      </c>
      <c r="W270" s="42">
        <v>2915605</v>
      </c>
      <c r="Y270" s="42">
        <v>63255</v>
      </c>
      <c r="AA270" s="42">
        <v>3882</v>
      </c>
      <c r="AC270" s="42">
        <v>0</v>
      </c>
      <c r="AE270" s="42">
        <f>241+226484+2943+20+27312+1237164</f>
        <v>1494164</v>
      </c>
      <c r="AG270" s="42">
        <v>4174725</v>
      </c>
      <c r="AI270" s="10">
        <f t="shared" si="43"/>
        <v>5736026</v>
      </c>
      <c r="AK270" s="42">
        <f t="shared" si="38"/>
        <v>0</v>
      </c>
    </row>
    <row r="271" spans="1:37">
      <c r="A271" s="9" t="s">
        <v>675</v>
      </c>
      <c r="B271" s="9"/>
      <c r="C271" s="9" t="s">
        <v>50</v>
      </c>
      <c r="D271" s="9"/>
      <c r="E271" s="23">
        <v>48686</v>
      </c>
      <c r="G271" s="42">
        <v>3768892</v>
      </c>
      <c r="I271" s="42">
        <v>0</v>
      </c>
      <c r="K271" s="2">
        <f t="shared" si="41"/>
        <v>3477000</v>
      </c>
      <c r="M271" s="42">
        <v>7245892</v>
      </c>
      <c r="O271" s="42">
        <v>0</v>
      </c>
      <c r="Q271" s="2">
        <f t="shared" si="44"/>
        <v>403575</v>
      </c>
      <c r="S271" s="42">
        <v>0</v>
      </c>
      <c r="U271" s="42">
        <v>403575</v>
      </c>
      <c r="W271" s="42">
        <v>3281398</v>
      </c>
      <c r="Y271" s="42">
        <f>28348+9303</f>
        <v>37651</v>
      </c>
      <c r="AA271" s="42">
        <v>0</v>
      </c>
      <c r="AC271" s="42">
        <v>11000</v>
      </c>
      <c r="AE271" s="42">
        <f>13874+49911+319+5000+4195+3053</f>
        <v>76352</v>
      </c>
      <c r="AG271" s="42">
        <v>3435916</v>
      </c>
      <c r="AI271" s="10">
        <f t="shared" si="43"/>
        <v>3560919</v>
      </c>
      <c r="AK271" s="42">
        <f t="shared" ref="AK271:AK334" si="48">+G271+I271+K271+O271-U271-W271-AC271-AA271-Y271-AE271-AG271</f>
        <v>0</v>
      </c>
    </row>
    <row r="272" spans="1:37" hidden="1">
      <c r="A272" s="9" t="s">
        <v>860</v>
      </c>
      <c r="B272" s="9"/>
      <c r="C272" s="9" t="s">
        <v>464</v>
      </c>
      <c r="D272" s="9"/>
      <c r="E272" s="23">
        <v>49338</v>
      </c>
      <c r="G272" s="42">
        <v>0</v>
      </c>
      <c r="I272" s="42">
        <v>0</v>
      </c>
      <c r="K272" s="2">
        <f t="shared" si="41"/>
        <v>0</v>
      </c>
      <c r="M272" s="42">
        <v>0</v>
      </c>
      <c r="O272" s="42">
        <v>0</v>
      </c>
      <c r="Q272" s="2">
        <f t="shared" si="44"/>
        <v>0</v>
      </c>
      <c r="S272" s="42">
        <v>0</v>
      </c>
      <c r="U272" s="42">
        <v>0</v>
      </c>
      <c r="W272" s="42">
        <v>0</v>
      </c>
      <c r="Y272" s="42">
        <v>0</v>
      </c>
      <c r="AA272" s="42">
        <v>0</v>
      </c>
      <c r="AC272" s="42">
        <v>0</v>
      </c>
      <c r="AE272" s="42">
        <v>0</v>
      </c>
      <c r="AG272" s="42">
        <v>0</v>
      </c>
      <c r="AI272" s="10">
        <f t="shared" si="43"/>
        <v>0</v>
      </c>
      <c r="AK272" s="42">
        <f t="shared" si="48"/>
        <v>0</v>
      </c>
    </row>
    <row r="273" spans="1:37">
      <c r="A273" s="9" t="s">
        <v>372</v>
      </c>
      <c r="B273" s="9"/>
      <c r="C273" s="9" t="s">
        <v>42</v>
      </c>
      <c r="D273" s="9"/>
      <c r="E273" s="23">
        <v>47985</v>
      </c>
      <c r="G273" s="42">
        <v>13456588</v>
      </c>
      <c r="I273" s="42">
        <v>0</v>
      </c>
      <c r="K273" s="2">
        <f t="shared" si="41"/>
        <v>7624289</v>
      </c>
      <c r="M273" s="42">
        <v>21080877</v>
      </c>
      <c r="O273" s="42">
        <v>0</v>
      </c>
      <c r="Q273" s="2">
        <f t="shared" si="44"/>
        <v>1147945</v>
      </c>
      <c r="S273" s="42">
        <v>0</v>
      </c>
      <c r="U273" s="42">
        <v>1147945</v>
      </c>
      <c r="W273" s="42">
        <v>6273275</v>
      </c>
      <c r="Y273" s="42">
        <f>10011+35300</f>
        <v>45311</v>
      </c>
      <c r="AA273" s="42">
        <v>0</v>
      </c>
      <c r="AC273" s="42">
        <v>0</v>
      </c>
      <c r="AE273" s="42">
        <f>39826+125850+156290</f>
        <v>321966</v>
      </c>
      <c r="AG273" s="42">
        <v>13292380</v>
      </c>
      <c r="AI273" s="10">
        <f t="shared" si="43"/>
        <v>13659657</v>
      </c>
      <c r="AK273" s="42">
        <f t="shared" si="48"/>
        <v>0</v>
      </c>
    </row>
    <row r="274" spans="1:37">
      <c r="A274" s="9" t="s">
        <v>396</v>
      </c>
      <c r="B274" s="9"/>
      <c r="C274" s="9" t="s">
        <v>395</v>
      </c>
      <c r="D274" s="9"/>
      <c r="E274" s="23">
        <v>48264</v>
      </c>
      <c r="G274" s="42">
        <v>183259</v>
      </c>
      <c r="I274" s="42">
        <v>0</v>
      </c>
      <c r="K274" s="2">
        <f t="shared" si="41"/>
        <v>6990675</v>
      </c>
      <c r="M274" s="42">
        <v>7173934</v>
      </c>
      <c r="O274" s="42">
        <v>0</v>
      </c>
      <c r="Q274" s="2">
        <f t="shared" si="44"/>
        <v>2144956</v>
      </c>
      <c r="S274" s="42">
        <v>0</v>
      </c>
      <c r="U274" s="42">
        <v>2144956</v>
      </c>
      <c r="W274" s="42">
        <v>4398920</v>
      </c>
      <c r="Y274" s="42">
        <v>0</v>
      </c>
      <c r="AA274" s="42">
        <v>0</v>
      </c>
      <c r="AC274" s="42">
        <v>11000</v>
      </c>
      <c r="AE274" s="42">
        <f>7842+118860</f>
        <v>126702</v>
      </c>
      <c r="AG274" s="42">
        <v>492356</v>
      </c>
      <c r="AI274" s="10">
        <f t="shared" si="43"/>
        <v>630058</v>
      </c>
      <c r="AK274" s="42">
        <f t="shared" si="48"/>
        <v>0</v>
      </c>
    </row>
    <row r="275" spans="1:37">
      <c r="A275" s="9" t="s">
        <v>519</v>
      </c>
      <c r="B275" s="9"/>
      <c r="C275" s="9" t="s">
        <v>64</v>
      </c>
      <c r="D275" s="9"/>
      <c r="E275" s="23">
        <v>50179</v>
      </c>
      <c r="G275" s="42">
        <v>2609642</v>
      </c>
      <c r="I275" s="42">
        <v>3418</v>
      </c>
      <c r="K275" s="2">
        <f t="shared" si="41"/>
        <v>3187561</v>
      </c>
      <c r="M275" s="42">
        <v>5800621</v>
      </c>
      <c r="O275" s="42">
        <v>0</v>
      </c>
      <c r="Q275" s="2">
        <f t="shared" si="44"/>
        <v>677277</v>
      </c>
      <c r="S275" s="42">
        <v>0</v>
      </c>
      <c r="U275" s="42">
        <v>677277</v>
      </c>
      <c r="W275" s="42">
        <v>3148122</v>
      </c>
      <c r="Y275" s="42">
        <v>3418</v>
      </c>
      <c r="AA275" s="42">
        <v>0</v>
      </c>
      <c r="AC275" s="42">
        <v>84882</v>
      </c>
      <c r="AE275" s="42">
        <v>40337</v>
      </c>
      <c r="AG275" s="42">
        <v>1846585</v>
      </c>
      <c r="AI275" s="10">
        <f t="shared" si="43"/>
        <v>1975222</v>
      </c>
      <c r="AK275" s="42">
        <f t="shared" si="48"/>
        <v>0</v>
      </c>
    </row>
    <row r="276" spans="1:37" hidden="1">
      <c r="A276" s="8" t="s">
        <v>861</v>
      </c>
      <c r="B276" s="8"/>
      <c r="C276" s="8" t="s">
        <v>464</v>
      </c>
      <c r="D276" s="9"/>
      <c r="E276" s="23">
        <v>49346</v>
      </c>
      <c r="G276" s="42">
        <v>0</v>
      </c>
      <c r="I276" s="42">
        <v>0</v>
      </c>
      <c r="K276" s="2">
        <f t="shared" ref="K276" si="49">+M276-I276-G276</f>
        <v>0</v>
      </c>
      <c r="M276" s="42">
        <v>0</v>
      </c>
      <c r="O276" s="42">
        <v>0</v>
      </c>
      <c r="Q276" s="2">
        <f t="shared" ref="Q276" si="50">+U276-S276</f>
        <v>0</v>
      </c>
      <c r="S276" s="42">
        <v>0</v>
      </c>
      <c r="U276" s="42">
        <v>0</v>
      </c>
      <c r="W276" s="42">
        <v>0</v>
      </c>
      <c r="Y276" s="42">
        <v>0</v>
      </c>
      <c r="AA276" s="42">
        <v>0</v>
      </c>
      <c r="AC276" s="42">
        <v>0</v>
      </c>
      <c r="AE276" s="42">
        <v>0</v>
      </c>
      <c r="AG276" s="42">
        <v>0</v>
      </c>
      <c r="AI276" s="10">
        <f t="shared" ref="AI276" si="51">+AC276+AA276++Y276+AE276+AG276</f>
        <v>0</v>
      </c>
      <c r="AK276" s="42">
        <f t="shared" si="48"/>
        <v>0</v>
      </c>
    </row>
    <row r="277" spans="1:37">
      <c r="A277" s="9" t="s">
        <v>285</v>
      </c>
      <c r="B277" s="9"/>
      <c r="C277" s="9" t="s">
        <v>24</v>
      </c>
      <c r="D277" s="9"/>
      <c r="E277" s="23">
        <v>46797</v>
      </c>
      <c r="G277" s="42">
        <v>925324</v>
      </c>
      <c r="I277" s="42">
        <v>0</v>
      </c>
      <c r="K277" s="2">
        <f t="shared" si="41"/>
        <v>471315</v>
      </c>
      <c r="M277" s="42">
        <v>1396639</v>
      </c>
      <c r="O277" s="42">
        <v>0</v>
      </c>
      <c r="Q277" s="2">
        <f t="shared" si="44"/>
        <v>11881</v>
      </c>
      <c r="S277" s="42">
        <v>0</v>
      </c>
      <c r="U277" s="42">
        <v>11881</v>
      </c>
      <c r="W277" s="42">
        <v>384560</v>
      </c>
      <c r="Y277" s="42">
        <v>1314</v>
      </c>
      <c r="AA277" s="42">
        <v>0</v>
      </c>
      <c r="AC277" s="42">
        <v>0</v>
      </c>
      <c r="AE277" s="42">
        <f>23017+14605+859264</f>
        <v>896886</v>
      </c>
      <c r="AG277" s="42">
        <v>101998</v>
      </c>
      <c r="AI277" s="10">
        <f t="shared" si="43"/>
        <v>1000198</v>
      </c>
      <c r="AK277" s="42">
        <f t="shared" si="48"/>
        <v>0</v>
      </c>
    </row>
    <row r="278" spans="1:37">
      <c r="A278" s="9" t="s">
        <v>312</v>
      </c>
      <c r="B278" s="9"/>
      <c r="C278" s="9" t="s">
        <v>30</v>
      </c>
      <c r="D278" s="9"/>
      <c r="E278" s="23">
        <v>47191</v>
      </c>
      <c r="G278" s="42">
        <v>12036629</v>
      </c>
      <c r="I278" s="42">
        <v>0</v>
      </c>
      <c r="K278" s="2">
        <f t="shared" si="41"/>
        <v>24843895</v>
      </c>
      <c r="M278" s="42">
        <v>36880524</v>
      </c>
      <c r="O278" s="42">
        <v>0</v>
      </c>
      <c r="Q278" s="2">
        <f t="shared" si="44"/>
        <v>4335853</v>
      </c>
      <c r="S278" s="42">
        <v>0</v>
      </c>
      <c r="U278" s="42">
        <v>4335853</v>
      </c>
      <c r="W278" s="42">
        <v>21427669</v>
      </c>
      <c r="Y278" s="42">
        <v>91067</v>
      </c>
      <c r="AA278" s="42">
        <v>0</v>
      </c>
      <c r="AC278" s="42">
        <v>0</v>
      </c>
      <c r="AE278" s="42">
        <v>7910954</v>
      </c>
      <c r="AG278" s="42">
        <v>3114981</v>
      </c>
      <c r="AI278" s="10">
        <f t="shared" si="43"/>
        <v>11117002</v>
      </c>
      <c r="AK278" s="42">
        <f t="shared" si="48"/>
        <v>0</v>
      </c>
    </row>
    <row r="279" spans="1:37">
      <c r="A279" s="9" t="s">
        <v>458</v>
      </c>
      <c r="B279" s="9"/>
      <c r="C279" s="9" t="s">
        <v>56</v>
      </c>
      <c r="D279" s="9"/>
      <c r="E279" s="23">
        <v>44164</v>
      </c>
      <c r="G279" s="42">
        <v>14132022</v>
      </c>
      <c r="I279" s="42">
        <v>0</v>
      </c>
      <c r="K279" s="2">
        <f t="shared" si="41"/>
        <v>24352803</v>
      </c>
      <c r="M279" s="42">
        <v>38484825</v>
      </c>
      <c r="O279" s="42">
        <v>0</v>
      </c>
      <c r="Q279" s="2">
        <f t="shared" ref="Q279:Q344" si="52">+U279-S279</f>
        <v>4533002</v>
      </c>
      <c r="S279" s="42">
        <v>0</v>
      </c>
      <c r="U279" s="42">
        <v>4533002</v>
      </c>
      <c r="W279" s="42">
        <v>22380917</v>
      </c>
      <c r="Y279" s="42">
        <v>80206</v>
      </c>
      <c r="AA279" s="42">
        <v>0</v>
      </c>
      <c r="AC279" s="42">
        <v>0</v>
      </c>
      <c r="AE279" s="42">
        <v>4738429</v>
      </c>
      <c r="AG279" s="42">
        <v>6752271</v>
      </c>
      <c r="AI279" s="10">
        <f t="shared" ref="AI279:AI344" si="53">+AC279+AA279++Y279+AE279+AG279</f>
        <v>11570906</v>
      </c>
      <c r="AK279" s="42">
        <f t="shared" si="48"/>
        <v>0</v>
      </c>
    </row>
    <row r="280" spans="1:37" hidden="1">
      <c r="A280" s="9" t="s">
        <v>902</v>
      </c>
      <c r="B280" s="9"/>
      <c r="C280" s="9" t="s">
        <v>337</v>
      </c>
      <c r="D280" s="9"/>
      <c r="E280" s="23">
        <v>44172</v>
      </c>
      <c r="G280" s="42">
        <v>0</v>
      </c>
      <c r="I280" s="42">
        <v>0</v>
      </c>
      <c r="K280" s="2">
        <f t="shared" si="41"/>
        <v>0</v>
      </c>
      <c r="M280" s="42">
        <v>0</v>
      </c>
      <c r="O280" s="42">
        <v>0</v>
      </c>
      <c r="Q280" s="2">
        <f t="shared" si="52"/>
        <v>0</v>
      </c>
      <c r="S280" s="42">
        <v>0</v>
      </c>
      <c r="U280" s="42">
        <v>0</v>
      </c>
      <c r="W280" s="42">
        <v>0</v>
      </c>
      <c r="Y280" s="42">
        <v>0</v>
      </c>
      <c r="AA280" s="42">
        <v>0</v>
      </c>
      <c r="AC280" s="42">
        <v>0</v>
      </c>
      <c r="AE280" s="42">
        <v>0</v>
      </c>
      <c r="AG280" s="42">
        <v>0</v>
      </c>
      <c r="AI280" s="10">
        <f t="shared" si="53"/>
        <v>0</v>
      </c>
      <c r="AK280" s="42">
        <f t="shared" si="48"/>
        <v>0</v>
      </c>
    </row>
    <row r="281" spans="1:37" s="24" customFormat="1">
      <c r="A281" s="51" t="s">
        <v>428</v>
      </c>
      <c r="B281" s="51"/>
      <c r="C281" s="51" t="s">
        <v>50</v>
      </c>
      <c r="D281" s="51"/>
      <c r="E281" s="23">
        <v>44180</v>
      </c>
      <c r="G281" s="42">
        <v>12595025</v>
      </c>
      <c r="H281" s="42"/>
      <c r="I281" s="42">
        <v>0</v>
      </c>
      <c r="J281" s="42"/>
      <c r="K281" s="2">
        <f t="shared" ref="K281:K346" si="54">+M281-I281-G281</f>
        <v>54524065</v>
      </c>
      <c r="L281" s="42"/>
      <c r="M281" s="42">
        <v>67119090</v>
      </c>
      <c r="N281" s="42"/>
      <c r="O281" s="42">
        <v>0</v>
      </c>
      <c r="P281" s="42"/>
      <c r="Q281" s="2">
        <f t="shared" si="52"/>
        <v>12219190</v>
      </c>
      <c r="R281" s="42"/>
      <c r="S281" s="42">
        <v>0</v>
      </c>
      <c r="T281" s="42"/>
      <c r="U281" s="42">
        <v>12219190</v>
      </c>
      <c r="V281" s="42"/>
      <c r="W281" s="42">
        <v>52036037</v>
      </c>
      <c r="X281" s="42"/>
      <c r="Y281" s="42">
        <v>221889</v>
      </c>
      <c r="Z281" s="42"/>
      <c r="AA281" s="42">
        <v>0</v>
      </c>
      <c r="AB281" s="42"/>
      <c r="AC281" s="42">
        <v>0</v>
      </c>
      <c r="AD281" s="42"/>
      <c r="AE281" s="42">
        <v>2641974</v>
      </c>
      <c r="AF281" s="42"/>
      <c r="AG281" s="42">
        <v>0</v>
      </c>
      <c r="AH281" s="42"/>
      <c r="AI281" s="10">
        <f t="shared" si="53"/>
        <v>2863863</v>
      </c>
      <c r="AJ281" s="42"/>
      <c r="AK281" s="42">
        <f t="shared" si="48"/>
        <v>0</v>
      </c>
    </row>
    <row r="282" spans="1:37">
      <c r="A282" s="9" t="s">
        <v>632</v>
      </c>
      <c r="B282" s="9"/>
      <c r="C282" s="9" t="s">
        <v>44</v>
      </c>
      <c r="D282" s="9"/>
      <c r="E282" s="23">
        <v>48165</v>
      </c>
      <c r="G282" s="42">
        <v>4026353</v>
      </c>
      <c r="I282" s="42">
        <v>0</v>
      </c>
      <c r="K282" s="2">
        <f t="shared" si="54"/>
        <v>5577081</v>
      </c>
      <c r="M282" s="42">
        <v>9603434</v>
      </c>
      <c r="O282" s="42">
        <v>0</v>
      </c>
      <c r="Q282" s="2">
        <f t="shared" si="52"/>
        <v>1711085</v>
      </c>
      <c r="S282" s="42">
        <v>0</v>
      </c>
      <c r="U282" s="42">
        <v>1711085</v>
      </c>
      <c r="W282" s="42">
        <v>4987234</v>
      </c>
      <c r="Y282" s="42">
        <v>17201</v>
      </c>
      <c r="AA282" s="42">
        <v>0</v>
      </c>
      <c r="AC282" s="42">
        <v>0</v>
      </c>
      <c r="AE282" s="42">
        <f>219341+227133+486+24709+44025+6553+265495</f>
        <v>787742</v>
      </c>
      <c r="AG282" s="42">
        <v>2100172</v>
      </c>
      <c r="AI282" s="10">
        <f t="shared" si="53"/>
        <v>2905115</v>
      </c>
      <c r="AK282" s="42">
        <f t="shared" si="48"/>
        <v>0</v>
      </c>
    </row>
    <row r="283" spans="1:37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v>10056583</v>
      </c>
      <c r="I283" s="24">
        <v>0</v>
      </c>
      <c r="K283" s="60">
        <f t="shared" si="54"/>
        <v>24976171</v>
      </c>
      <c r="M283" s="24">
        <v>35032754</v>
      </c>
      <c r="O283" s="24">
        <v>0</v>
      </c>
      <c r="Q283" s="60">
        <f t="shared" si="52"/>
        <v>3355623</v>
      </c>
      <c r="S283" s="24">
        <v>0</v>
      </c>
      <c r="U283" s="24">
        <v>3355623</v>
      </c>
      <c r="W283" s="24">
        <v>20793239</v>
      </c>
      <c r="Y283" s="24">
        <v>0</v>
      </c>
      <c r="AA283" s="24">
        <v>0</v>
      </c>
      <c r="AC283" s="24">
        <v>11000</v>
      </c>
      <c r="AE283" s="24">
        <v>327562</v>
      </c>
      <c r="AG283" s="24">
        <v>10545330</v>
      </c>
      <c r="AI283" s="61">
        <f t="shared" si="53"/>
        <v>10883892</v>
      </c>
      <c r="AK283" s="24">
        <f t="shared" si="48"/>
        <v>0</v>
      </c>
    </row>
    <row r="284" spans="1:37">
      <c r="A284" s="9" t="s">
        <v>903</v>
      </c>
      <c r="B284" s="9"/>
      <c r="C284" s="9" t="s">
        <v>41</v>
      </c>
      <c r="D284" s="9"/>
      <c r="E284" s="23">
        <v>47878</v>
      </c>
      <c r="G284" s="42">
        <v>6006297</v>
      </c>
      <c r="I284" s="42">
        <v>0</v>
      </c>
      <c r="K284" s="2">
        <v>10051192</v>
      </c>
      <c r="M284" s="42">
        <v>16057489</v>
      </c>
      <c r="O284" s="42">
        <v>0</v>
      </c>
      <c r="Q284" s="2">
        <v>1761653</v>
      </c>
      <c r="S284" s="42">
        <v>0</v>
      </c>
      <c r="U284" s="42">
        <v>1761653</v>
      </c>
      <c r="W284" s="42">
        <v>8930961</v>
      </c>
      <c r="Y284" s="42">
        <v>0</v>
      </c>
      <c r="AA284" s="42">
        <v>0</v>
      </c>
      <c r="AC284" s="42">
        <v>0</v>
      </c>
      <c r="AE284" s="42">
        <v>151316</v>
      </c>
      <c r="AG284" s="42">
        <v>5213559</v>
      </c>
      <c r="AI284" s="10">
        <v>5364875</v>
      </c>
      <c r="AK284" s="42">
        <f t="shared" si="48"/>
        <v>0</v>
      </c>
    </row>
    <row r="285" spans="1:37">
      <c r="A285" s="9" t="s">
        <v>520</v>
      </c>
      <c r="B285" s="9"/>
      <c r="C285" s="9" t="s">
        <v>64</v>
      </c>
      <c r="D285" s="9"/>
      <c r="E285" s="23">
        <v>50245</v>
      </c>
      <c r="G285" s="42">
        <v>2471247</v>
      </c>
      <c r="I285" s="42">
        <v>0</v>
      </c>
      <c r="K285" s="2">
        <v>3867453</v>
      </c>
      <c r="M285" s="42">
        <v>6338700</v>
      </c>
      <c r="O285" s="42">
        <v>0</v>
      </c>
      <c r="Q285" s="2">
        <v>1432957</v>
      </c>
      <c r="S285" s="42">
        <v>0</v>
      </c>
      <c r="U285" s="42">
        <v>1432957</v>
      </c>
      <c r="W285" s="42">
        <v>3736153</v>
      </c>
      <c r="Y285" s="42">
        <v>34973</v>
      </c>
      <c r="AA285" s="42">
        <v>0</v>
      </c>
      <c r="AC285" s="42">
        <v>0</v>
      </c>
      <c r="AE285" s="42">
        <v>1032225</v>
      </c>
      <c r="AG285" s="42">
        <v>102392</v>
      </c>
      <c r="AI285" s="10">
        <v>1169590</v>
      </c>
      <c r="AK285" s="42">
        <f t="shared" si="48"/>
        <v>0</v>
      </c>
    </row>
    <row r="286" spans="1:37">
      <c r="A286" s="9" t="s">
        <v>494</v>
      </c>
      <c r="B286" s="9"/>
      <c r="C286" s="9" t="s">
        <v>62</v>
      </c>
      <c r="D286" s="9"/>
      <c r="E286" s="23">
        <v>49866</v>
      </c>
      <c r="G286" s="42">
        <v>4580010</v>
      </c>
      <c r="I286" s="42">
        <v>95898</v>
      </c>
      <c r="K286" s="2">
        <v>13340425</v>
      </c>
      <c r="M286" s="42">
        <v>18016333</v>
      </c>
      <c r="O286" s="42">
        <v>0</v>
      </c>
      <c r="Q286" s="2">
        <v>16625258</v>
      </c>
      <c r="S286" s="42">
        <v>0</v>
      </c>
      <c r="U286" s="42">
        <f>16625258-12751795</f>
        <v>3873463</v>
      </c>
      <c r="W286" s="42">
        <v>12751795</v>
      </c>
      <c r="Y286" s="42">
        <v>0</v>
      </c>
      <c r="AA286" s="42">
        <v>102760</v>
      </c>
      <c r="AC286" s="42">
        <v>0</v>
      </c>
      <c r="AE286" s="42">
        <v>384228</v>
      </c>
      <c r="AG286" s="42">
        <v>904087</v>
      </c>
      <c r="AI286" s="10">
        <v>1391075</v>
      </c>
      <c r="AK286" s="42">
        <f t="shared" si="48"/>
        <v>0</v>
      </c>
    </row>
    <row r="287" spans="1:37" hidden="1">
      <c r="A287" s="9" t="s">
        <v>790</v>
      </c>
      <c r="B287" s="9"/>
      <c r="C287" s="9" t="s">
        <v>72</v>
      </c>
      <c r="D287" s="9"/>
      <c r="E287" s="23">
        <v>50690</v>
      </c>
      <c r="G287" s="42">
        <v>0</v>
      </c>
      <c r="I287" s="42">
        <v>0</v>
      </c>
      <c r="K287" s="2">
        <f t="shared" si="54"/>
        <v>0</v>
      </c>
      <c r="M287" s="42">
        <v>0</v>
      </c>
      <c r="O287" s="42">
        <v>0</v>
      </c>
      <c r="Q287" s="2">
        <f t="shared" si="52"/>
        <v>0</v>
      </c>
      <c r="S287" s="42">
        <v>0</v>
      </c>
      <c r="U287" s="42">
        <v>0</v>
      </c>
      <c r="W287" s="42">
        <v>0</v>
      </c>
      <c r="Y287" s="42">
        <v>0</v>
      </c>
      <c r="AA287" s="42">
        <v>0</v>
      </c>
      <c r="AC287" s="42">
        <v>0</v>
      </c>
      <c r="AE287" s="42">
        <v>0</v>
      </c>
      <c r="AG287" s="42">
        <v>0</v>
      </c>
      <c r="AI287" s="10">
        <f t="shared" si="53"/>
        <v>0</v>
      </c>
      <c r="AK287" s="42">
        <f t="shared" si="48"/>
        <v>0</v>
      </c>
    </row>
    <row r="288" spans="1:37">
      <c r="A288" s="9" t="s">
        <v>521</v>
      </c>
      <c r="B288" s="9"/>
      <c r="C288" s="9" t="s">
        <v>64</v>
      </c>
      <c r="D288" s="9"/>
      <c r="E288" s="23">
        <v>50187</v>
      </c>
      <c r="G288" s="42">
        <v>2106446</v>
      </c>
      <c r="I288" s="42">
        <v>0</v>
      </c>
      <c r="K288" s="2">
        <f t="shared" si="54"/>
        <v>8638472</v>
      </c>
      <c r="M288" s="42">
        <v>10744918</v>
      </c>
      <c r="O288" s="42">
        <v>0</v>
      </c>
      <c r="Q288" s="2">
        <f t="shared" si="52"/>
        <v>1604036</v>
      </c>
      <c r="S288" s="42">
        <v>0</v>
      </c>
      <c r="U288" s="42">
        <v>1604036</v>
      </c>
      <c r="W288" s="42">
        <v>8097653</v>
      </c>
      <c r="Y288" s="42">
        <v>116363</v>
      </c>
      <c r="AA288" s="42">
        <v>0</v>
      </c>
      <c r="AC288" s="42">
        <v>165758</v>
      </c>
      <c r="AE288" s="42">
        <v>45176</v>
      </c>
      <c r="AG288" s="42">
        <v>715932</v>
      </c>
      <c r="AI288" s="10">
        <f t="shared" si="53"/>
        <v>1043229</v>
      </c>
      <c r="AK288" s="42">
        <f t="shared" si="48"/>
        <v>0</v>
      </c>
    </row>
    <row r="289" spans="1:37">
      <c r="A289" s="9" t="s">
        <v>268</v>
      </c>
      <c r="B289" s="9"/>
      <c r="C289" s="9" t="s">
        <v>20</v>
      </c>
      <c r="D289" s="9"/>
      <c r="E289" s="23">
        <v>44198</v>
      </c>
      <c r="G289" s="42">
        <v>19580409</v>
      </c>
      <c r="I289" s="42">
        <v>0</v>
      </c>
      <c r="K289" s="2">
        <f t="shared" si="54"/>
        <v>42402570</v>
      </c>
      <c r="M289" s="42">
        <v>61982979</v>
      </c>
      <c r="O289" s="42">
        <v>0</v>
      </c>
      <c r="Q289" s="2">
        <f t="shared" si="52"/>
        <v>8867979</v>
      </c>
      <c r="S289" s="42">
        <v>0</v>
      </c>
      <c r="U289" s="42">
        <v>8867979</v>
      </c>
      <c r="W289" s="42">
        <v>35865142</v>
      </c>
      <c r="Y289" s="42">
        <v>0</v>
      </c>
      <c r="AA289" s="42">
        <v>0</v>
      </c>
      <c r="AC289" s="42">
        <v>0</v>
      </c>
      <c r="AE289" s="42">
        <f>207426+908637+2175903+53466+59096</f>
        <v>3404528</v>
      </c>
      <c r="AG289" s="42">
        <v>13845330</v>
      </c>
      <c r="AI289" s="10">
        <f t="shared" si="53"/>
        <v>17249858</v>
      </c>
      <c r="AK289" s="42">
        <f t="shared" si="48"/>
        <v>0</v>
      </c>
    </row>
    <row r="290" spans="1:37">
      <c r="A290" s="9" t="s">
        <v>625</v>
      </c>
      <c r="B290" s="9"/>
      <c r="C290" s="9" t="s">
        <v>42</v>
      </c>
      <c r="D290" s="9"/>
      <c r="E290" s="23">
        <v>47993</v>
      </c>
      <c r="G290" s="42">
        <f>223769+8508789</f>
        <v>8732558</v>
      </c>
      <c r="I290" s="42">
        <v>0</v>
      </c>
      <c r="K290" s="2">
        <f t="shared" si="54"/>
        <v>13738379</v>
      </c>
      <c r="M290" s="42">
        <v>22470937</v>
      </c>
      <c r="O290" s="42">
        <v>0</v>
      </c>
      <c r="Q290" s="2">
        <f t="shared" si="52"/>
        <v>1854558</v>
      </c>
      <c r="S290" s="42">
        <v>0</v>
      </c>
      <c r="U290" s="42">
        <v>1854558</v>
      </c>
      <c r="W290" s="42">
        <v>12873511</v>
      </c>
      <c r="Y290" s="42">
        <v>250644</v>
      </c>
      <c r="AA290" s="42">
        <v>6888</v>
      </c>
      <c r="AC290" s="42">
        <v>204164</v>
      </c>
      <c r="AE290" s="42">
        <v>329917</v>
      </c>
      <c r="AG290" s="42">
        <v>6951255</v>
      </c>
      <c r="AI290" s="10">
        <f t="shared" si="53"/>
        <v>7742868</v>
      </c>
      <c r="AK290" s="42">
        <f t="shared" si="48"/>
        <v>0</v>
      </c>
    </row>
    <row r="291" spans="1:37">
      <c r="A291" s="9" t="s">
        <v>222</v>
      </c>
      <c r="B291" s="9"/>
      <c r="C291" s="9" t="s">
        <v>220</v>
      </c>
      <c r="D291" s="9"/>
      <c r="E291" s="23">
        <v>46110</v>
      </c>
      <c r="G291" s="42">
        <v>30832039</v>
      </c>
      <c r="I291" s="42">
        <v>0</v>
      </c>
      <c r="K291" s="2">
        <f t="shared" si="54"/>
        <v>95452236</v>
      </c>
      <c r="M291" s="42">
        <v>126284275</v>
      </c>
      <c r="O291" s="42">
        <v>0</v>
      </c>
      <c r="Q291" s="2">
        <f t="shared" si="52"/>
        <v>112931002</v>
      </c>
      <c r="S291" s="42">
        <v>0</v>
      </c>
      <c r="U291" s="42">
        <v>112931002</v>
      </c>
      <c r="W291" s="42">
        <v>0</v>
      </c>
      <c r="Y291" s="42">
        <v>0</v>
      </c>
      <c r="AA291" s="42">
        <v>0</v>
      </c>
      <c r="AC291" s="42">
        <v>0</v>
      </c>
      <c r="AE291" s="42">
        <v>2320032</v>
      </c>
      <c r="AG291" s="42">
        <v>11033241</v>
      </c>
      <c r="AI291" s="10">
        <f t="shared" si="53"/>
        <v>13353273</v>
      </c>
      <c r="AK291" s="42">
        <f t="shared" si="48"/>
        <v>0</v>
      </c>
    </row>
    <row r="292" spans="1:37" hidden="1">
      <c r="A292" s="9" t="s">
        <v>791</v>
      </c>
      <c r="B292" s="9"/>
      <c r="C292" s="9" t="s">
        <v>79</v>
      </c>
      <c r="D292" s="9"/>
      <c r="E292" s="23">
        <v>49569</v>
      </c>
      <c r="G292" s="42">
        <v>0</v>
      </c>
      <c r="I292" s="42">
        <v>0</v>
      </c>
      <c r="K292" s="2">
        <f t="shared" si="54"/>
        <v>0</v>
      </c>
      <c r="M292" s="42">
        <v>0</v>
      </c>
      <c r="O292" s="42">
        <v>0</v>
      </c>
      <c r="Q292" s="2">
        <f t="shared" si="52"/>
        <v>0</v>
      </c>
      <c r="S292" s="42">
        <v>0</v>
      </c>
      <c r="U292" s="42">
        <v>0</v>
      </c>
      <c r="W292" s="42">
        <v>0</v>
      </c>
      <c r="Y292" s="42">
        <v>0</v>
      </c>
      <c r="AA292" s="42">
        <v>0</v>
      </c>
      <c r="AC292" s="42">
        <v>0</v>
      </c>
      <c r="AE292" s="42">
        <v>0</v>
      </c>
      <c r="AG292" s="42">
        <v>0</v>
      </c>
      <c r="AI292" s="10">
        <f t="shared" si="53"/>
        <v>0</v>
      </c>
      <c r="AK292" s="42">
        <f t="shared" si="48"/>
        <v>0</v>
      </c>
    </row>
    <row r="293" spans="1:37">
      <c r="A293" s="9" t="s">
        <v>293</v>
      </c>
      <c r="B293" s="9"/>
      <c r="C293" s="9" t="s">
        <v>25</v>
      </c>
      <c r="D293" s="9"/>
      <c r="E293" s="23">
        <v>44206</v>
      </c>
      <c r="G293" s="42">
        <v>32756069</v>
      </c>
      <c r="I293" s="42">
        <v>0</v>
      </c>
      <c r="K293" s="2">
        <f t="shared" si="54"/>
        <v>27376993</v>
      </c>
      <c r="M293" s="42">
        <v>60133062</v>
      </c>
      <c r="O293" s="42">
        <v>0</v>
      </c>
      <c r="Q293" s="2">
        <f t="shared" si="52"/>
        <v>5941319</v>
      </c>
      <c r="S293" s="42">
        <v>0</v>
      </c>
      <c r="U293" s="42">
        <v>5941319</v>
      </c>
      <c r="W293" s="42">
        <v>23391527</v>
      </c>
      <c r="Y293" s="42">
        <v>233871</v>
      </c>
      <c r="AA293" s="42">
        <v>0</v>
      </c>
      <c r="AC293" s="42">
        <v>1537138</v>
      </c>
      <c r="AE293" s="42">
        <v>1574861</v>
      </c>
      <c r="AG293" s="42">
        <v>27454346</v>
      </c>
      <c r="AI293" s="10">
        <f t="shared" si="53"/>
        <v>30800216</v>
      </c>
      <c r="AK293" s="42">
        <f t="shared" si="48"/>
        <v>0</v>
      </c>
    </row>
    <row r="294" spans="1:37" hidden="1">
      <c r="A294" s="9" t="s">
        <v>723</v>
      </c>
      <c r="B294" s="9"/>
      <c r="C294" s="9" t="s">
        <v>69</v>
      </c>
      <c r="D294" s="9"/>
      <c r="E294" s="23">
        <v>44214</v>
      </c>
      <c r="G294" s="42">
        <v>0</v>
      </c>
      <c r="I294" s="42">
        <v>0</v>
      </c>
      <c r="K294" s="2">
        <f t="shared" si="54"/>
        <v>0</v>
      </c>
      <c r="M294" s="42">
        <v>0</v>
      </c>
      <c r="O294" s="42">
        <v>0</v>
      </c>
      <c r="Q294" s="2">
        <f t="shared" si="52"/>
        <v>0</v>
      </c>
      <c r="S294" s="42">
        <v>0</v>
      </c>
      <c r="U294" s="42">
        <v>0</v>
      </c>
      <c r="W294" s="42">
        <v>0</v>
      </c>
      <c r="Y294" s="42">
        <v>0</v>
      </c>
      <c r="AA294" s="42">
        <v>0</v>
      </c>
      <c r="AC294" s="42">
        <v>0</v>
      </c>
      <c r="AE294" s="42">
        <v>0</v>
      </c>
      <c r="AG294" s="42">
        <v>0</v>
      </c>
      <c r="AI294" s="10">
        <f t="shared" si="53"/>
        <v>0</v>
      </c>
      <c r="AK294" s="42">
        <f t="shared" si="48"/>
        <v>0</v>
      </c>
    </row>
    <row r="295" spans="1:37">
      <c r="A295" s="9" t="s">
        <v>313</v>
      </c>
      <c r="B295" s="9"/>
      <c r="C295" s="9" t="s">
        <v>30</v>
      </c>
      <c r="D295" s="9"/>
      <c r="E295" s="23">
        <v>47209</v>
      </c>
      <c r="G295" s="42">
        <v>230487</v>
      </c>
      <c r="I295" s="42">
        <v>163827</v>
      </c>
      <c r="K295" s="2">
        <f t="shared" si="54"/>
        <v>2421772</v>
      </c>
      <c r="M295" s="42">
        <v>2816086</v>
      </c>
      <c r="O295" s="42">
        <v>0</v>
      </c>
      <c r="Q295" s="2">
        <f t="shared" si="52"/>
        <v>3268242</v>
      </c>
      <c r="S295" s="42">
        <v>0</v>
      </c>
      <c r="U295" s="42">
        <v>3268242</v>
      </c>
      <c r="W295" s="42">
        <v>1821216</v>
      </c>
      <c r="Y295" s="42">
        <v>10947</v>
      </c>
      <c r="AA295" s="42">
        <v>0</v>
      </c>
      <c r="AC295" s="42">
        <v>0</v>
      </c>
      <c r="AE295" s="42">
        <v>0</v>
      </c>
      <c r="AG295" s="42">
        <v>-2284319</v>
      </c>
      <c r="AI295" s="10">
        <f t="shared" si="53"/>
        <v>-2273372</v>
      </c>
      <c r="AK295" s="42">
        <f t="shared" si="48"/>
        <v>0</v>
      </c>
    </row>
    <row r="296" spans="1:37" hidden="1">
      <c r="A296" s="9" t="s">
        <v>757</v>
      </c>
      <c r="B296" s="9"/>
      <c r="C296" s="9" t="s">
        <v>111</v>
      </c>
      <c r="D296" s="9"/>
      <c r="E296" s="23">
        <v>45443</v>
      </c>
      <c r="G296" s="42">
        <v>0</v>
      </c>
      <c r="I296" s="42">
        <v>0</v>
      </c>
      <c r="K296" s="2"/>
      <c r="M296" s="42">
        <v>0</v>
      </c>
      <c r="O296" s="42">
        <v>0</v>
      </c>
      <c r="Q296" s="2"/>
      <c r="S296" s="42">
        <v>0</v>
      </c>
      <c r="U296" s="42">
        <v>0</v>
      </c>
      <c r="W296" s="42">
        <v>0</v>
      </c>
      <c r="Y296" s="42">
        <v>0</v>
      </c>
      <c r="AA296" s="42">
        <v>0</v>
      </c>
      <c r="AC296" s="42">
        <v>0</v>
      </c>
      <c r="AE296" s="42">
        <v>0</v>
      </c>
      <c r="AG296" s="42">
        <v>0</v>
      </c>
      <c r="AI296" s="10"/>
      <c r="AK296" s="42">
        <f t="shared" si="48"/>
        <v>0</v>
      </c>
    </row>
    <row r="297" spans="1:37" hidden="1">
      <c r="A297" s="9" t="s">
        <v>676</v>
      </c>
      <c r="B297" s="9"/>
      <c r="C297" s="9" t="s">
        <v>464</v>
      </c>
      <c r="D297" s="9"/>
      <c r="E297" s="23">
        <v>49353</v>
      </c>
      <c r="G297" s="42">
        <v>0</v>
      </c>
      <c r="I297" s="42">
        <v>0</v>
      </c>
      <c r="K297" s="2">
        <f t="shared" si="54"/>
        <v>0</v>
      </c>
      <c r="M297" s="42">
        <v>0</v>
      </c>
      <c r="O297" s="42">
        <v>0</v>
      </c>
      <c r="Q297" s="2">
        <f t="shared" si="52"/>
        <v>0</v>
      </c>
      <c r="S297" s="42">
        <v>0</v>
      </c>
      <c r="U297" s="42">
        <v>0</v>
      </c>
      <c r="W297" s="42">
        <v>0</v>
      </c>
      <c r="Y297" s="42">
        <v>0</v>
      </c>
      <c r="AA297" s="42">
        <v>0</v>
      </c>
      <c r="AC297" s="42">
        <v>0</v>
      </c>
      <c r="AE297" s="42">
        <v>0</v>
      </c>
      <c r="AG297" s="42">
        <v>0</v>
      </c>
      <c r="AI297" s="10">
        <f t="shared" si="53"/>
        <v>0</v>
      </c>
      <c r="AK297" s="42">
        <f t="shared" si="48"/>
        <v>0</v>
      </c>
    </row>
    <row r="298" spans="1:37" hidden="1">
      <c r="A298" s="9" t="s">
        <v>792</v>
      </c>
      <c r="B298" s="9"/>
      <c r="C298" s="9" t="s">
        <v>109</v>
      </c>
      <c r="D298" s="9"/>
      <c r="E298" s="23">
        <v>49437</v>
      </c>
      <c r="G298" s="42">
        <v>0</v>
      </c>
      <c r="I298" s="42">
        <v>0</v>
      </c>
      <c r="K298" s="2">
        <f t="shared" si="54"/>
        <v>0</v>
      </c>
      <c r="M298" s="42">
        <v>0</v>
      </c>
      <c r="O298" s="42">
        <v>0</v>
      </c>
      <c r="Q298" s="2">
        <f t="shared" si="52"/>
        <v>0</v>
      </c>
      <c r="S298" s="42">
        <v>0</v>
      </c>
      <c r="U298" s="42">
        <v>0</v>
      </c>
      <c r="W298" s="42">
        <v>0</v>
      </c>
      <c r="Y298" s="42">
        <v>0</v>
      </c>
      <c r="AA298" s="42">
        <v>0</v>
      </c>
      <c r="AC298" s="42">
        <v>0</v>
      </c>
      <c r="AE298" s="42">
        <v>0</v>
      </c>
      <c r="AG298" s="42">
        <v>0</v>
      </c>
      <c r="AI298" s="10">
        <f t="shared" si="53"/>
        <v>0</v>
      </c>
      <c r="AK298" s="42">
        <f t="shared" si="48"/>
        <v>0</v>
      </c>
    </row>
    <row r="299" spans="1:37">
      <c r="A299" s="9" t="s">
        <v>793</v>
      </c>
      <c r="B299" s="9"/>
      <c r="C299" s="9" t="s">
        <v>33</v>
      </c>
      <c r="D299" s="9"/>
      <c r="E299" s="23">
        <v>47449</v>
      </c>
      <c r="G299" s="42">
        <v>6381046</v>
      </c>
      <c r="I299" s="42">
        <v>0</v>
      </c>
      <c r="K299" s="2">
        <f>+M299-I299-G299</f>
        <v>4897639</v>
      </c>
      <c r="M299" s="42">
        <v>11278685</v>
      </c>
      <c r="O299" s="42">
        <v>0</v>
      </c>
      <c r="Q299" s="2">
        <f>+U299-S299</f>
        <v>1266567</v>
      </c>
      <c r="S299" s="42">
        <v>0</v>
      </c>
      <c r="U299" s="42">
        <v>1266567</v>
      </c>
      <c r="W299" s="42">
        <v>3602361</v>
      </c>
      <c r="Y299" s="42">
        <v>8883</v>
      </c>
      <c r="AA299" s="42">
        <v>0</v>
      </c>
      <c r="AC299" s="42">
        <v>180657</v>
      </c>
      <c r="AE299" s="42">
        <v>284760</v>
      </c>
      <c r="AG299" s="42">
        <v>5935457</v>
      </c>
      <c r="AI299" s="10">
        <f>+AC299+AA299++Y299+AE299+AG299</f>
        <v>6409757</v>
      </c>
      <c r="AK299" s="42">
        <f t="shared" si="48"/>
        <v>0</v>
      </c>
    </row>
    <row r="300" spans="1:37">
      <c r="A300" s="9" t="s">
        <v>343</v>
      </c>
      <c r="B300" s="9"/>
      <c r="C300" s="9" t="s">
        <v>34</v>
      </c>
      <c r="D300" s="9"/>
      <c r="E300" s="23">
        <v>47589</v>
      </c>
      <c r="G300" s="42">
        <v>5263035</v>
      </c>
      <c r="I300" s="42">
        <v>0</v>
      </c>
      <c r="K300" s="2">
        <f t="shared" si="54"/>
        <v>5485488</v>
      </c>
      <c r="M300" s="42">
        <v>10748523</v>
      </c>
      <c r="O300" s="42">
        <v>0</v>
      </c>
      <c r="Q300" s="2">
        <f t="shared" si="52"/>
        <v>1325618</v>
      </c>
      <c r="S300" s="42">
        <v>0</v>
      </c>
      <c r="U300" s="42">
        <v>1325618</v>
      </c>
      <c r="W300" s="42">
        <v>4274691</v>
      </c>
      <c r="Y300" s="42">
        <v>33031</v>
      </c>
      <c r="AA300" s="42">
        <v>0</v>
      </c>
      <c r="AC300" s="42">
        <v>0</v>
      </c>
      <c r="AE300" s="42">
        <v>1388570</v>
      </c>
      <c r="AG300" s="42">
        <v>3726613</v>
      </c>
      <c r="AI300" s="10">
        <f t="shared" si="53"/>
        <v>5148214</v>
      </c>
      <c r="AK300" s="42">
        <f t="shared" si="48"/>
        <v>0</v>
      </c>
    </row>
    <row r="301" spans="1:37">
      <c r="A301" s="9" t="s">
        <v>522</v>
      </c>
      <c r="B301" s="9"/>
      <c r="C301" s="9" t="s">
        <v>64</v>
      </c>
      <c r="D301" s="9"/>
      <c r="E301" s="23">
        <v>50195</v>
      </c>
      <c r="G301" s="42">
        <v>1068789</v>
      </c>
      <c r="I301" s="42">
        <v>57745</v>
      </c>
      <c r="K301" s="2">
        <f t="shared" si="54"/>
        <v>9254055</v>
      </c>
      <c r="M301" s="42">
        <v>10380589</v>
      </c>
      <c r="O301" s="42">
        <v>0</v>
      </c>
      <c r="Q301" s="2">
        <f t="shared" si="52"/>
        <v>3754761</v>
      </c>
      <c r="S301" s="42">
        <v>0</v>
      </c>
      <c r="U301" s="42">
        <v>3754761</v>
      </c>
      <c r="W301" s="42">
        <v>9101088</v>
      </c>
      <c r="Y301" s="42">
        <v>9144</v>
      </c>
      <c r="AA301" s="42">
        <v>57745</v>
      </c>
      <c r="AC301" s="42">
        <v>0</v>
      </c>
      <c r="AE301" s="42">
        <v>0</v>
      </c>
      <c r="AG301" s="42">
        <v>-2542149</v>
      </c>
      <c r="AI301" s="10">
        <f t="shared" si="53"/>
        <v>-2475260</v>
      </c>
      <c r="AK301" s="42">
        <f t="shared" si="48"/>
        <v>0</v>
      </c>
    </row>
    <row r="302" spans="1:37">
      <c r="A302" s="9" t="s">
        <v>738</v>
      </c>
      <c r="B302" s="9"/>
      <c r="C302" s="9" t="s">
        <v>25</v>
      </c>
      <c r="D302" s="9"/>
      <c r="E302" s="23">
        <v>46888</v>
      </c>
      <c r="G302" s="42">
        <v>5569540</v>
      </c>
      <c r="I302" s="42">
        <v>0</v>
      </c>
      <c r="K302" s="2">
        <f t="shared" si="54"/>
        <v>4386489</v>
      </c>
      <c r="M302" s="42">
        <v>9956029</v>
      </c>
      <c r="O302" s="42">
        <v>0</v>
      </c>
      <c r="Q302" s="2">
        <f t="shared" si="52"/>
        <v>983064</v>
      </c>
      <c r="S302" s="42">
        <v>0</v>
      </c>
      <c r="U302" s="42">
        <v>983064</v>
      </c>
      <c r="W302" s="42">
        <v>3256806</v>
      </c>
      <c r="Y302" s="42">
        <v>0</v>
      </c>
      <c r="AA302" s="42">
        <v>0</v>
      </c>
      <c r="AC302" s="42">
        <v>0</v>
      </c>
      <c r="AE302" s="42">
        <v>84053</v>
      </c>
      <c r="AG302" s="42">
        <v>5632106</v>
      </c>
      <c r="AI302" s="10">
        <f t="shared" si="53"/>
        <v>5716159</v>
      </c>
      <c r="AK302" s="42">
        <f t="shared" si="48"/>
        <v>0</v>
      </c>
    </row>
    <row r="303" spans="1:37">
      <c r="A303" s="9" t="s">
        <v>904</v>
      </c>
      <c r="B303" s="9"/>
      <c r="C303" s="9" t="s">
        <v>42</v>
      </c>
      <c r="D303" s="9"/>
      <c r="E303" s="23">
        <v>48009</v>
      </c>
      <c r="G303" s="42">
        <v>4471237</v>
      </c>
      <c r="I303" s="42">
        <v>0</v>
      </c>
      <c r="K303" s="2">
        <f t="shared" si="54"/>
        <v>20476165</v>
      </c>
      <c r="M303" s="42">
        <v>24947402</v>
      </c>
      <c r="O303" s="42">
        <v>0</v>
      </c>
      <c r="Q303" s="2">
        <f t="shared" si="52"/>
        <v>7677574</v>
      </c>
      <c r="S303" s="42">
        <v>0</v>
      </c>
      <c r="U303" s="42">
        <v>7677574</v>
      </c>
      <c r="W303" s="42">
        <v>16646782</v>
      </c>
      <c r="Y303" s="42">
        <v>0</v>
      </c>
      <c r="AA303" s="42">
        <v>0</v>
      </c>
      <c r="AC303" s="42">
        <v>0</v>
      </c>
      <c r="AE303" s="42">
        <f>94026+987878+945+26088</f>
        <v>1108937</v>
      </c>
      <c r="AG303" s="42">
        <v>-485891</v>
      </c>
      <c r="AI303" s="10">
        <f t="shared" si="53"/>
        <v>623046</v>
      </c>
      <c r="AK303" s="42">
        <f t="shared" si="48"/>
        <v>0</v>
      </c>
    </row>
    <row r="304" spans="1:37">
      <c r="A304" s="9" t="s">
        <v>373</v>
      </c>
      <c r="B304" s="9"/>
      <c r="C304" s="9" t="s">
        <v>42</v>
      </c>
      <c r="D304" s="9"/>
      <c r="E304" s="23">
        <v>48017</v>
      </c>
      <c r="G304" s="42">
        <v>5852197</v>
      </c>
      <c r="I304" s="42">
        <v>1025</v>
      </c>
      <c r="K304" s="2">
        <f t="shared" si="54"/>
        <v>5340402</v>
      </c>
      <c r="M304" s="42">
        <v>11193624</v>
      </c>
      <c r="O304" s="42">
        <v>0</v>
      </c>
      <c r="Q304" s="2">
        <f t="shared" si="52"/>
        <v>1713440</v>
      </c>
      <c r="S304" s="42">
        <v>0</v>
      </c>
      <c r="U304" s="42">
        <v>1713440</v>
      </c>
      <c r="W304" s="42">
        <v>4230678</v>
      </c>
      <c r="Y304" s="42">
        <v>218895</v>
      </c>
      <c r="AA304" s="42">
        <v>1025</v>
      </c>
      <c r="AC304" s="42">
        <v>0</v>
      </c>
      <c r="AE304" s="42">
        <f>45928+79635+137974+648381</f>
        <v>911918</v>
      </c>
      <c r="AG304" s="42">
        <v>4117668</v>
      </c>
      <c r="AI304" s="10">
        <f t="shared" si="53"/>
        <v>5249506</v>
      </c>
      <c r="AK304" s="42">
        <f t="shared" si="48"/>
        <v>0</v>
      </c>
    </row>
    <row r="305" spans="1:37" hidden="1">
      <c r="A305" s="9" t="s">
        <v>677</v>
      </c>
      <c r="B305" s="9"/>
      <c r="C305" s="9" t="s">
        <v>10</v>
      </c>
      <c r="D305" s="9"/>
      <c r="E305" s="23">
        <v>44222</v>
      </c>
      <c r="G305" s="42">
        <v>0</v>
      </c>
      <c r="I305" s="42">
        <v>0</v>
      </c>
      <c r="K305" s="2">
        <f t="shared" si="54"/>
        <v>0</v>
      </c>
      <c r="M305" s="42">
        <v>0</v>
      </c>
      <c r="O305" s="42">
        <v>0</v>
      </c>
      <c r="Q305" s="2">
        <f t="shared" si="52"/>
        <v>0</v>
      </c>
      <c r="S305" s="42">
        <v>0</v>
      </c>
      <c r="U305" s="42">
        <v>0</v>
      </c>
      <c r="W305" s="42">
        <v>0</v>
      </c>
      <c r="Y305" s="42">
        <v>0</v>
      </c>
      <c r="AA305" s="42">
        <v>0</v>
      </c>
      <c r="AC305" s="42">
        <v>0</v>
      </c>
      <c r="AE305" s="42">
        <v>0</v>
      </c>
      <c r="AG305" s="42">
        <v>0</v>
      </c>
      <c r="AI305" s="10">
        <f t="shared" si="53"/>
        <v>0</v>
      </c>
      <c r="AK305" s="42">
        <f t="shared" si="48"/>
        <v>0</v>
      </c>
    </row>
    <row r="306" spans="1:37">
      <c r="A306" s="9" t="s">
        <v>537</v>
      </c>
      <c r="B306" s="9"/>
      <c r="C306" s="9" t="s">
        <v>67</v>
      </c>
      <c r="D306" s="9"/>
      <c r="E306" s="23">
        <v>50369</v>
      </c>
      <c r="G306" s="42">
        <v>11595124</v>
      </c>
      <c r="I306" s="42">
        <v>0</v>
      </c>
      <c r="K306" s="2">
        <f t="shared" si="54"/>
        <v>2396075</v>
      </c>
      <c r="M306" s="42">
        <v>13991199</v>
      </c>
      <c r="O306" s="42">
        <v>0</v>
      </c>
      <c r="Q306" s="2">
        <f t="shared" si="52"/>
        <v>736796</v>
      </c>
      <c r="S306" s="42">
        <v>0</v>
      </c>
      <c r="U306" s="42">
        <v>736796</v>
      </c>
      <c r="W306" s="42">
        <v>2166269</v>
      </c>
      <c r="Y306" s="42">
        <v>11338</v>
      </c>
      <c r="AA306" s="42">
        <v>0</v>
      </c>
      <c r="AC306" s="42">
        <v>0</v>
      </c>
      <c r="AE306" s="42">
        <f>23666+212</f>
        <v>23878</v>
      </c>
      <c r="AG306" s="42">
        <v>11052918</v>
      </c>
      <c r="AI306" s="10">
        <f t="shared" si="53"/>
        <v>11088134</v>
      </c>
      <c r="AK306" s="42">
        <f t="shared" si="48"/>
        <v>0</v>
      </c>
    </row>
    <row r="307" spans="1:37">
      <c r="A307" s="9" t="s">
        <v>760</v>
      </c>
      <c r="B307" s="9"/>
      <c r="C307" s="9" t="s">
        <v>111</v>
      </c>
      <c r="D307" s="9"/>
      <c r="E307" s="23">
        <v>45450</v>
      </c>
      <c r="G307" s="42">
        <v>3382292</v>
      </c>
      <c r="I307" s="42">
        <v>0</v>
      </c>
      <c r="K307" s="2">
        <f t="shared" si="54"/>
        <v>1652681</v>
      </c>
      <c r="M307" s="42">
        <v>5034973</v>
      </c>
      <c r="O307" s="42">
        <v>0</v>
      </c>
      <c r="Q307" s="2">
        <f t="shared" si="52"/>
        <v>779633</v>
      </c>
      <c r="S307" s="42">
        <v>0</v>
      </c>
      <c r="U307" s="42">
        <v>779633</v>
      </c>
      <c r="W307" s="42">
        <v>1547573</v>
      </c>
      <c r="Y307" s="42">
        <v>2412</v>
      </c>
      <c r="AA307" s="42">
        <v>21374</v>
      </c>
      <c r="AC307" s="42">
        <v>38042</v>
      </c>
      <c r="AE307" s="42">
        <v>35282</v>
      </c>
      <c r="AG307" s="42">
        <v>2610657</v>
      </c>
      <c r="AI307" s="10">
        <f t="shared" si="53"/>
        <v>2707767</v>
      </c>
      <c r="AK307" s="42">
        <f t="shared" si="48"/>
        <v>0</v>
      </c>
    </row>
    <row r="308" spans="1:37">
      <c r="A308" s="9" t="s">
        <v>541</v>
      </c>
      <c r="B308" s="9"/>
      <c r="C308" s="9" t="s">
        <v>69</v>
      </c>
      <c r="D308" s="9"/>
      <c r="E308" s="23">
        <v>50443</v>
      </c>
      <c r="G308" s="42">
        <v>12390732</v>
      </c>
      <c r="I308" s="42">
        <v>0</v>
      </c>
      <c r="K308" s="2">
        <f t="shared" si="54"/>
        <v>28893197</v>
      </c>
      <c r="M308" s="42">
        <v>41283929</v>
      </c>
      <c r="O308" s="42">
        <v>0</v>
      </c>
      <c r="Q308" s="2">
        <f t="shared" si="52"/>
        <v>31488947</v>
      </c>
      <c r="S308" s="42">
        <v>0</v>
      </c>
      <c r="U308" s="42">
        <v>31488947</v>
      </c>
      <c r="W308" s="42">
        <v>0</v>
      </c>
      <c r="Y308" s="42">
        <v>0</v>
      </c>
      <c r="AA308" s="42">
        <v>0</v>
      </c>
      <c r="AC308" s="42">
        <v>0</v>
      </c>
      <c r="AE308" s="42">
        <v>1245742</v>
      </c>
      <c r="AG308" s="42">
        <v>8549240</v>
      </c>
      <c r="AI308" s="10">
        <f t="shared" si="53"/>
        <v>9794982</v>
      </c>
      <c r="AK308" s="42">
        <f t="shared" si="48"/>
        <v>0</v>
      </c>
    </row>
    <row r="309" spans="1:37" hidden="1">
      <c r="A309" s="9" t="s">
        <v>794</v>
      </c>
      <c r="B309" s="9"/>
      <c r="C309" s="9" t="s">
        <v>32</v>
      </c>
      <c r="D309" s="9"/>
      <c r="E309" s="23">
        <v>44230</v>
      </c>
      <c r="G309" s="42">
        <v>0</v>
      </c>
      <c r="I309" s="42">
        <v>0</v>
      </c>
      <c r="K309" s="2">
        <f t="shared" si="54"/>
        <v>0</v>
      </c>
      <c r="M309" s="42">
        <v>0</v>
      </c>
      <c r="O309" s="42">
        <v>0</v>
      </c>
      <c r="Q309" s="2">
        <f t="shared" si="52"/>
        <v>0</v>
      </c>
      <c r="S309" s="42">
        <v>0</v>
      </c>
      <c r="U309" s="42">
        <v>0</v>
      </c>
      <c r="W309" s="42">
        <v>0</v>
      </c>
      <c r="Y309" s="42">
        <v>0</v>
      </c>
      <c r="AA309" s="42">
        <v>0</v>
      </c>
      <c r="AC309" s="42">
        <v>0</v>
      </c>
      <c r="AE309" s="42">
        <v>0</v>
      </c>
      <c r="AG309" s="42">
        <v>0</v>
      </c>
      <c r="AI309" s="10">
        <f t="shared" si="53"/>
        <v>0</v>
      </c>
      <c r="AK309" s="42">
        <f t="shared" si="48"/>
        <v>0</v>
      </c>
    </row>
    <row r="310" spans="1:37">
      <c r="A310" s="9" t="s">
        <v>450</v>
      </c>
      <c r="B310" s="9"/>
      <c r="C310" s="9" t="s">
        <v>54</v>
      </c>
      <c r="D310" s="9"/>
      <c r="E310" s="23">
        <v>49080</v>
      </c>
      <c r="G310" s="42">
        <v>6839436</v>
      </c>
      <c r="I310" s="42">
        <v>0</v>
      </c>
      <c r="K310" s="2">
        <f t="shared" si="54"/>
        <v>8006796</v>
      </c>
      <c r="M310" s="42">
        <v>14846232</v>
      </c>
      <c r="O310" s="42">
        <v>0</v>
      </c>
      <c r="Q310" s="2">
        <f t="shared" si="52"/>
        <v>1909773</v>
      </c>
      <c r="S310" s="42">
        <v>0</v>
      </c>
      <c r="U310" s="42">
        <v>1909773</v>
      </c>
      <c r="W310" s="42">
        <v>6486131</v>
      </c>
      <c r="Y310" s="42">
        <v>0</v>
      </c>
      <c r="AA310" s="42">
        <v>0</v>
      </c>
      <c r="AC310" s="42">
        <v>0</v>
      </c>
      <c r="AE310" s="42">
        <f>7783+79400+225447+1252642</f>
        <v>1565272</v>
      </c>
      <c r="AG310" s="42">
        <v>4885056</v>
      </c>
      <c r="AI310" s="10">
        <f t="shared" si="53"/>
        <v>6450328</v>
      </c>
      <c r="AK310" s="42">
        <f t="shared" si="48"/>
        <v>0</v>
      </c>
    </row>
    <row r="311" spans="1:37">
      <c r="A311" s="9" t="s">
        <v>350</v>
      </c>
      <c r="B311" s="9"/>
      <c r="C311" s="9" t="s">
        <v>35</v>
      </c>
      <c r="D311" s="9"/>
      <c r="E311" s="23">
        <v>44248</v>
      </c>
      <c r="G311" s="42">
        <v>7495379</v>
      </c>
      <c r="I311" s="42">
        <v>0</v>
      </c>
      <c r="K311" s="2">
        <f t="shared" si="54"/>
        <v>10238378</v>
      </c>
      <c r="M311" s="42">
        <v>17733757</v>
      </c>
      <c r="O311" s="42">
        <v>0</v>
      </c>
      <c r="Q311" s="2">
        <f t="shared" si="52"/>
        <v>4696940</v>
      </c>
      <c r="S311" s="42">
        <v>0</v>
      </c>
      <c r="U311" s="42">
        <v>4696940</v>
      </c>
      <c r="W311" s="42">
        <v>8619938</v>
      </c>
      <c r="Y311" s="42">
        <v>121892</v>
      </c>
      <c r="AA311" s="42">
        <v>0</v>
      </c>
      <c r="AC311" s="42">
        <v>0</v>
      </c>
      <c r="AE311" s="42">
        <v>352978</v>
      </c>
      <c r="AG311" s="42">
        <v>3942009</v>
      </c>
      <c r="AI311" s="10">
        <f t="shared" si="53"/>
        <v>4416879</v>
      </c>
      <c r="AK311" s="42">
        <f t="shared" si="48"/>
        <v>0</v>
      </c>
    </row>
    <row r="312" spans="1:37">
      <c r="A312" s="9" t="s">
        <v>397</v>
      </c>
      <c r="B312" s="9"/>
      <c r="C312" s="9" t="s">
        <v>395</v>
      </c>
      <c r="D312" s="9"/>
      <c r="E312" s="23">
        <v>44255</v>
      </c>
      <c r="G312" s="42">
        <v>2480867</v>
      </c>
      <c r="I312" s="42">
        <v>0</v>
      </c>
      <c r="K312" s="2">
        <f t="shared" si="54"/>
        <v>8421893</v>
      </c>
      <c r="M312" s="42">
        <v>10902760</v>
      </c>
      <c r="O312" s="42">
        <v>0</v>
      </c>
      <c r="Q312" s="2">
        <f t="shared" si="52"/>
        <v>2237427</v>
      </c>
      <c r="S312" s="42">
        <v>0</v>
      </c>
      <c r="U312" s="42">
        <v>2237427</v>
      </c>
      <c r="W312" s="42">
        <v>3929378</v>
      </c>
      <c r="Y312" s="42">
        <v>14511</v>
      </c>
      <c r="AA312" s="42">
        <v>0</v>
      </c>
      <c r="AC312" s="42">
        <v>286400</v>
      </c>
      <c r="AE312" s="42">
        <f>45877+9059</f>
        <v>54936</v>
      </c>
      <c r="AG312" s="42">
        <v>4380108</v>
      </c>
      <c r="AI312" s="10">
        <f t="shared" si="53"/>
        <v>4735955</v>
      </c>
      <c r="AK312" s="42">
        <f t="shared" si="48"/>
        <v>0</v>
      </c>
    </row>
    <row r="313" spans="1:37">
      <c r="A313" s="9" t="s">
        <v>383</v>
      </c>
      <c r="B313" s="9"/>
      <c r="C313" s="9" t="s">
        <v>44</v>
      </c>
      <c r="D313" s="9"/>
      <c r="E313" s="23">
        <v>44263</v>
      </c>
      <c r="G313" s="42">
        <f>4247359+4605666</f>
        <v>8853025</v>
      </c>
      <c r="I313" s="42">
        <v>0</v>
      </c>
      <c r="K313" s="2">
        <f t="shared" si="54"/>
        <v>25983286</v>
      </c>
      <c r="M313" s="42">
        <v>34836311</v>
      </c>
      <c r="O313" s="42">
        <v>0</v>
      </c>
      <c r="Q313" s="2">
        <f t="shared" si="52"/>
        <v>37188723</v>
      </c>
      <c r="S313" s="42">
        <v>0</v>
      </c>
      <c r="U313" s="42">
        <v>37188723</v>
      </c>
      <c r="W313" s="42">
        <v>0</v>
      </c>
      <c r="Y313" s="42">
        <v>46363</v>
      </c>
      <c r="AA313" s="42">
        <v>0</v>
      </c>
      <c r="AC313" s="42">
        <v>0</v>
      </c>
      <c r="AE313" s="42">
        <v>6025</v>
      </c>
      <c r="AG313" s="42">
        <v>-2404800</v>
      </c>
      <c r="AI313" s="10">
        <f t="shared" si="53"/>
        <v>-2352412</v>
      </c>
      <c r="AK313" s="42">
        <f t="shared" si="48"/>
        <v>0</v>
      </c>
    </row>
    <row r="314" spans="1:37">
      <c r="A314" s="9" t="s">
        <v>523</v>
      </c>
      <c r="B314" s="9"/>
      <c r="C314" s="9" t="s">
        <v>64</v>
      </c>
      <c r="D314" s="9"/>
      <c r="E314" s="23">
        <v>50203</v>
      </c>
      <c r="G314" s="42">
        <v>543694</v>
      </c>
      <c r="I314" s="42">
        <v>0</v>
      </c>
      <c r="K314" s="2">
        <f t="shared" si="54"/>
        <v>3473572</v>
      </c>
      <c r="M314" s="42">
        <v>4017266</v>
      </c>
      <c r="O314" s="42">
        <v>0</v>
      </c>
      <c r="Q314" s="2">
        <f t="shared" si="52"/>
        <v>724947</v>
      </c>
      <c r="S314" s="42">
        <v>0</v>
      </c>
      <c r="U314" s="42">
        <v>724947</v>
      </c>
      <c r="W314" s="42">
        <v>3449823</v>
      </c>
      <c r="Y314" s="42">
        <v>0</v>
      </c>
      <c r="AA314" s="42">
        <v>0</v>
      </c>
      <c r="AC314" s="42">
        <v>0</v>
      </c>
      <c r="AE314" s="42">
        <v>0</v>
      </c>
      <c r="AG314" s="42">
        <v>-157504</v>
      </c>
      <c r="AI314" s="10">
        <f t="shared" si="53"/>
        <v>-157504</v>
      </c>
      <c r="AK314" s="42">
        <f t="shared" si="48"/>
        <v>0</v>
      </c>
    </row>
    <row r="315" spans="1:37">
      <c r="A315" s="9" t="s">
        <v>678</v>
      </c>
      <c r="B315" s="9"/>
      <c r="C315" s="9" t="s">
        <v>11</v>
      </c>
      <c r="D315" s="9"/>
      <c r="E315" s="23">
        <v>45468</v>
      </c>
      <c r="G315" s="42">
        <v>2362683</v>
      </c>
      <c r="I315" s="42">
        <v>0</v>
      </c>
      <c r="K315" s="2">
        <f t="shared" si="54"/>
        <v>5512298</v>
      </c>
      <c r="M315" s="42">
        <v>7874981</v>
      </c>
      <c r="O315" s="42">
        <v>0</v>
      </c>
      <c r="Q315" s="2">
        <f t="shared" si="52"/>
        <v>1280434</v>
      </c>
      <c r="S315" s="42">
        <v>0</v>
      </c>
      <c r="U315" s="42">
        <v>1280434</v>
      </c>
      <c r="W315" s="42">
        <v>3790645</v>
      </c>
      <c r="Y315" s="42">
        <f>50468+1712</f>
        <v>52180</v>
      </c>
      <c r="AA315" s="42">
        <v>0</v>
      </c>
      <c r="AC315" s="42">
        <f>31406+77276+11000</f>
        <v>119682</v>
      </c>
      <c r="AE315" s="42">
        <f>2229+7639+24100+788608+31+2247</f>
        <v>824854</v>
      </c>
      <c r="AG315" s="42">
        <v>1807186</v>
      </c>
      <c r="AI315" s="10">
        <f t="shared" si="53"/>
        <v>2803902</v>
      </c>
      <c r="AK315" s="42">
        <f t="shared" si="48"/>
        <v>0</v>
      </c>
    </row>
    <row r="316" spans="1:37">
      <c r="A316" s="9" t="s">
        <v>495</v>
      </c>
      <c r="B316" s="9"/>
      <c r="C316" s="9" t="s">
        <v>62</v>
      </c>
      <c r="D316" s="9"/>
      <c r="E316" s="23">
        <v>49874</v>
      </c>
      <c r="G316" s="42">
        <v>1500392</v>
      </c>
      <c r="I316" s="42">
        <v>4057</v>
      </c>
      <c r="K316" s="2">
        <f t="shared" si="54"/>
        <v>6738160</v>
      </c>
      <c r="M316" s="42">
        <v>8242609</v>
      </c>
      <c r="O316" s="42">
        <v>0</v>
      </c>
      <c r="Q316" s="2">
        <f t="shared" si="52"/>
        <v>3287978</v>
      </c>
      <c r="S316" s="42">
        <v>0</v>
      </c>
      <c r="U316" s="42">
        <v>3287978</v>
      </c>
      <c r="W316" s="42">
        <v>6394584</v>
      </c>
      <c r="Y316" s="42">
        <v>70453</v>
      </c>
      <c r="AA316" s="42">
        <v>0</v>
      </c>
      <c r="AC316" s="42">
        <v>0</v>
      </c>
      <c r="AE316" s="42">
        <v>0</v>
      </c>
      <c r="AG316" s="42">
        <v>-1510406</v>
      </c>
      <c r="AI316" s="10">
        <f t="shared" si="53"/>
        <v>-1439953</v>
      </c>
      <c r="AK316" s="42">
        <f t="shared" si="48"/>
        <v>0</v>
      </c>
    </row>
    <row r="317" spans="1:37">
      <c r="A317" s="9" t="s">
        <v>322</v>
      </c>
      <c r="B317" s="9"/>
      <c r="C317" s="9" t="s">
        <v>32</v>
      </c>
      <c r="D317" s="9"/>
      <c r="E317" s="23">
        <v>44271</v>
      </c>
      <c r="G317" s="42">
        <v>4040842</v>
      </c>
      <c r="I317" s="42">
        <v>0</v>
      </c>
      <c r="K317" s="2">
        <f t="shared" si="54"/>
        <v>25597115</v>
      </c>
      <c r="M317" s="42">
        <v>29637957</v>
      </c>
      <c r="O317" s="42">
        <v>0</v>
      </c>
      <c r="Q317" s="2">
        <f t="shared" si="52"/>
        <v>24225640</v>
      </c>
      <c r="S317" s="42">
        <v>0</v>
      </c>
      <c r="U317" s="42">
        <v>24225640</v>
      </c>
      <c r="W317" s="42">
        <v>0</v>
      </c>
      <c r="Y317" s="42">
        <v>0</v>
      </c>
      <c r="AA317" s="42">
        <v>0</v>
      </c>
      <c r="AC317" s="42">
        <v>0</v>
      </c>
      <c r="AE317" s="42">
        <v>429546</v>
      </c>
      <c r="AG317" s="42">
        <v>4982771</v>
      </c>
      <c r="AI317" s="10">
        <f t="shared" si="53"/>
        <v>5412317</v>
      </c>
      <c r="AK317" s="42">
        <f t="shared" si="48"/>
        <v>0</v>
      </c>
    </row>
    <row r="318" spans="1:37">
      <c r="A318" s="9" t="s">
        <v>679</v>
      </c>
      <c r="B318" s="9"/>
      <c r="C318" s="9" t="s">
        <v>45</v>
      </c>
      <c r="D318" s="9"/>
      <c r="E318" s="23">
        <v>48330</v>
      </c>
      <c r="G318" s="42">
        <v>1802359</v>
      </c>
      <c r="I318" s="42">
        <v>0</v>
      </c>
      <c r="K318" s="2">
        <f t="shared" si="54"/>
        <v>1702245</v>
      </c>
      <c r="M318" s="42">
        <v>3504604</v>
      </c>
      <c r="O318" s="42">
        <v>0</v>
      </c>
      <c r="Q318" s="2">
        <f t="shared" si="52"/>
        <v>578850</v>
      </c>
      <c r="S318" s="42">
        <v>0</v>
      </c>
      <c r="U318" s="42">
        <v>578850</v>
      </c>
      <c r="W318" s="42">
        <v>972621</v>
      </c>
      <c r="Y318" s="42">
        <v>716957</v>
      </c>
      <c r="AA318" s="42">
        <v>0</v>
      </c>
      <c r="AC318" s="42">
        <v>224838</v>
      </c>
      <c r="AE318" s="42">
        <f>4314+86932+167450</f>
        <v>258696</v>
      </c>
      <c r="AG318" s="42">
        <v>752642</v>
      </c>
      <c r="AI318" s="10">
        <f t="shared" si="53"/>
        <v>1953133</v>
      </c>
      <c r="AK318" s="42">
        <f t="shared" si="48"/>
        <v>0</v>
      </c>
    </row>
    <row r="319" spans="1:37">
      <c r="A319" s="9" t="s">
        <v>795</v>
      </c>
      <c r="B319" s="9"/>
      <c r="C319" s="9" t="s">
        <v>109</v>
      </c>
      <c r="D319" s="9"/>
      <c r="E319" s="23">
        <v>49445</v>
      </c>
      <c r="G319" s="42">
        <v>4351893</v>
      </c>
      <c r="I319" s="42">
        <v>0</v>
      </c>
      <c r="K319" s="2">
        <f t="shared" si="54"/>
        <v>2621863</v>
      </c>
      <c r="M319" s="42">
        <v>6973756</v>
      </c>
      <c r="O319" s="42">
        <v>0</v>
      </c>
      <c r="Q319" s="2">
        <f t="shared" si="52"/>
        <v>517664</v>
      </c>
      <c r="S319" s="42">
        <v>0</v>
      </c>
      <c r="U319" s="42">
        <v>517664</v>
      </c>
      <c r="W319" s="42">
        <v>1993542</v>
      </c>
      <c r="Y319" s="42">
        <v>6670</v>
      </c>
      <c r="AA319" s="42">
        <v>0</v>
      </c>
      <c r="AC319" s="42">
        <f>4158+4675</f>
        <v>8833</v>
      </c>
      <c r="AE319" s="42">
        <f>12124+24147+27653+887</f>
        <v>64811</v>
      </c>
      <c r="AG319" s="42">
        <v>4382236</v>
      </c>
      <c r="AI319" s="10">
        <f t="shared" si="53"/>
        <v>4462550</v>
      </c>
      <c r="AK319" s="42">
        <f t="shared" si="48"/>
        <v>0</v>
      </c>
    </row>
    <row r="320" spans="1:37">
      <c r="A320" s="9" t="s">
        <v>349</v>
      </c>
      <c r="B320" s="9"/>
      <c r="C320" s="9" t="s">
        <v>346</v>
      </c>
      <c r="D320" s="9"/>
      <c r="E320" s="23">
        <v>47639</v>
      </c>
      <c r="G320" s="42">
        <v>6785074</v>
      </c>
      <c r="I320" s="42">
        <v>0</v>
      </c>
      <c r="K320" s="2">
        <f t="shared" si="54"/>
        <v>2107029</v>
      </c>
      <c r="M320" s="42">
        <v>8892103</v>
      </c>
      <c r="O320" s="42">
        <v>0</v>
      </c>
      <c r="Q320" s="2">
        <f t="shared" si="52"/>
        <v>1222633</v>
      </c>
      <c r="S320" s="42">
        <v>0</v>
      </c>
      <c r="U320" s="42">
        <v>1222633</v>
      </c>
      <c r="W320" s="42">
        <v>1921979</v>
      </c>
      <c r="Y320" s="42">
        <v>0</v>
      </c>
      <c r="AA320" s="42">
        <v>0</v>
      </c>
      <c r="AC320" s="42">
        <v>11000</v>
      </c>
      <c r="AE320" s="42">
        <v>237784</v>
      </c>
      <c r="AG320" s="42">
        <v>5498707</v>
      </c>
      <c r="AI320" s="10">
        <f t="shared" si="53"/>
        <v>5747491</v>
      </c>
      <c r="AK320" s="42">
        <f t="shared" si="48"/>
        <v>0</v>
      </c>
    </row>
    <row r="321" spans="1:37">
      <c r="A321" s="9" t="s">
        <v>705</v>
      </c>
      <c r="B321" s="9"/>
      <c r="C321" s="9" t="s">
        <v>50</v>
      </c>
      <c r="D321" s="9"/>
      <c r="E321" s="23">
        <v>48702</v>
      </c>
      <c r="G321" s="42">
        <v>12130133</v>
      </c>
      <c r="I321" s="42">
        <v>0</v>
      </c>
      <c r="K321" s="2">
        <f t="shared" si="54"/>
        <v>10133464</v>
      </c>
      <c r="M321" s="42">
        <v>22263597</v>
      </c>
      <c r="O321" s="42">
        <v>0</v>
      </c>
      <c r="Q321" s="2">
        <f t="shared" si="52"/>
        <v>13234585</v>
      </c>
      <c r="S321" s="42">
        <v>0</v>
      </c>
      <c r="U321" s="42">
        <v>13234585</v>
      </c>
      <c r="W321" s="42">
        <v>0</v>
      </c>
      <c r="Y321" s="42">
        <v>0</v>
      </c>
      <c r="AA321" s="42">
        <v>0</v>
      </c>
      <c r="AC321" s="42">
        <v>252634</v>
      </c>
      <c r="AE321" s="42">
        <v>582566</v>
      </c>
      <c r="AG321" s="42">
        <v>8193812</v>
      </c>
      <c r="AI321" s="10">
        <f t="shared" si="53"/>
        <v>9029012</v>
      </c>
      <c r="AK321" s="42">
        <f t="shared" si="48"/>
        <v>0</v>
      </c>
    </row>
    <row r="322" spans="1:37">
      <c r="A322" s="9" t="s">
        <v>323</v>
      </c>
      <c r="B322" s="9"/>
      <c r="C322" s="9" t="s">
        <v>32</v>
      </c>
      <c r="D322" s="9"/>
      <c r="E322" s="23">
        <v>44289</v>
      </c>
      <c r="G322" s="42">
        <v>7638130</v>
      </c>
      <c r="I322" s="42">
        <v>0</v>
      </c>
      <c r="K322" s="2">
        <f t="shared" si="54"/>
        <v>13160214</v>
      </c>
      <c r="M322" s="42">
        <v>20798344</v>
      </c>
      <c r="O322" s="42">
        <v>0</v>
      </c>
      <c r="Q322" s="2">
        <f t="shared" si="52"/>
        <v>10418556</v>
      </c>
      <c r="S322" s="42">
        <v>0</v>
      </c>
      <c r="U322" s="42">
        <v>10418556</v>
      </c>
      <c r="W322" s="42">
        <v>0</v>
      </c>
      <c r="Y322" s="42">
        <v>0</v>
      </c>
      <c r="AA322" s="42">
        <v>0</v>
      </c>
      <c r="AC322" s="42">
        <v>0</v>
      </c>
      <c r="AE322" s="42">
        <v>4772337</v>
      </c>
      <c r="AG322" s="42">
        <v>5607451</v>
      </c>
      <c r="AI322" s="10">
        <f t="shared" si="53"/>
        <v>10379788</v>
      </c>
      <c r="AK322" s="42">
        <f t="shared" si="48"/>
        <v>0</v>
      </c>
    </row>
    <row r="323" spans="1:37">
      <c r="A323" s="9" t="s">
        <v>223</v>
      </c>
      <c r="B323" s="9"/>
      <c r="C323" s="9" t="s">
        <v>220</v>
      </c>
      <c r="D323" s="9"/>
      <c r="E323" s="23">
        <v>46128</v>
      </c>
      <c r="G323" s="42">
        <v>2033534</v>
      </c>
      <c r="I323" s="42">
        <v>0</v>
      </c>
      <c r="K323" s="2">
        <f t="shared" si="54"/>
        <v>4404445</v>
      </c>
      <c r="M323" s="42">
        <v>6437979</v>
      </c>
      <c r="O323" s="42">
        <v>0</v>
      </c>
      <c r="Q323" s="2">
        <f t="shared" si="52"/>
        <v>5022910</v>
      </c>
      <c r="S323" s="42">
        <v>0</v>
      </c>
      <c r="U323" s="42">
        <v>5022910</v>
      </c>
      <c r="W323" s="42">
        <v>0</v>
      </c>
      <c r="Y323" s="42">
        <v>0</v>
      </c>
      <c r="AA323" s="42">
        <v>0</v>
      </c>
      <c r="AC323" s="42">
        <v>0</v>
      </c>
      <c r="AE323" s="42">
        <v>681502</v>
      </c>
      <c r="AG323" s="42">
        <v>733567</v>
      </c>
      <c r="AI323" s="10">
        <f t="shared" si="53"/>
        <v>1415069</v>
      </c>
      <c r="AK323" s="42">
        <f t="shared" si="48"/>
        <v>0</v>
      </c>
    </row>
    <row r="324" spans="1:37" hidden="1">
      <c r="A324" s="9" t="s">
        <v>724</v>
      </c>
      <c r="B324" s="9"/>
      <c r="C324" s="9" t="s">
        <v>41</v>
      </c>
      <c r="D324" s="9"/>
      <c r="E324" s="23">
        <v>47886</v>
      </c>
      <c r="G324" s="42">
        <v>0</v>
      </c>
      <c r="I324" s="42">
        <v>0</v>
      </c>
      <c r="K324" s="2">
        <f t="shared" si="54"/>
        <v>0</v>
      </c>
      <c r="M324" s="42">
        <v>0</v>
      </c>
      <c r="O324" s="42">
        <v>0</v>
      </c>
      <c r="Q324" s="2">
        <f t="shared" si="52"/>
        <v>0</v>
      </c>
      <c r="S324" s="42">
        <v>0</v>
      </c>
      <c r="U324" s="42">
        <v>0</v>
      </c>
      <c r="W324" s="42">
        <v>0</v>
      </c>
      <c r="Y324" s="42">
        <v>0</v>
      </c>
      <c r="AA324" s="42">
        <v>0</v>
      </c>
      <c r="AC324" s="42">
        <v>0</v>
      </c>
      <c r="AE324" s="42">
        <v>0</v>
      </c>
      <c r="AG324" s="42">
        <v>0</v>
      </c>
      <c r="AI324" s="10">
        <f t="shared" si="53"/>
        <v>0</v>
      </c>
      <c r="AK324" s="42">
        <f t="shared" si="48"/>
        <v>0</v>
      </c>
    </row>
    <row r="325" spans="1:37">
      <c r="A325" s="9" t="s">
        <v>223</v>
      </c>
      <c r="B325" s="9"/>
      <c r="C325" s="9" t="s">
        <v>109</v>
      </c>
      <c r="D325" s="9"/>
      <c r="E325" s="23">
        <v>49452</v>
      </c>
      <c r="G325" s="42">
        <v>4651410</v>
      </c>
      <c r="I325" s="42">
        <v>0</v>
      </c>
      <c r="K325" s="2">
        <f t="shared" si="54"/>
        <v>11465876</v>
      </c>
      <c r="M325" s="42">
        <v>16117286</v>
      </c>
      <c r="O325" s="42">
        <v>0</v>
      </c>
      <c r="Q325" s="2">
        <f t="shared" si="52"/>
        <v>3066391</v>
      </c>
      <c r="S325" s="42">
        <v>0</v>
      </c>
      <c r="U325" s="42">
        <v>3066391</v>
      </c>
      <c r="W325" s="42">
        <v>9500792</v>
      </c>
      <c r="Y325" s="42">
        <v>0</v>
      </c>
      <c r="AA325" s="42">
        <v>0</v>
      </c>
      <c r="AC325" s="42">
        <v>0</v>
      </c>
      <c r="AE325" s="42">
        <f>50449+36930+1474485+68018</f>
        <v>1629882</v>
      </c>
      <c r="AG325" s="42">
        <v>1920221</v>
      </c>
      <c r="AI325" s="10">
        <f t="shared" si="53"/>
        <v>3550103</v>
      </c>
      <c r="AK325" s="42">
        <f t="shared" si="48"/>
        <v>0</v>
      </c>
    </row>
    <row r="326" spans="1:37">
      <c r="A326" s="9" t="s">
        <v>688</v>
      </c>
      <c r="B326" s="9"/>
      <c r="C326" s="9" t="s">
        <v>395</v>
      </c>
      <c r="D326" s="9"/>
      <c r="E326" s="23">
        <v>48272</v>
      </c>
      <c r="G326" s="42">
        <v>7185730</v>
      </c>
      <c r="I326" s="42">
        <v>0</v>
      </c>
      <c r="K326" s="2">
        <f t="shared" si="54"/>
        <v>4775473</v>
      </c>
      <c r="M326" s="42">
        <v>11961203</v>
      </c>
      <c r="O326" s="42">
        <v>0</v>
      </c>
      <c r="Q326" s="2">
        <f t="shared" si="52"/>
        <v>5754864</v>
      </c>
      <c r="S326" s="42">
        <v>0</v>
      </c>
      <c r="U326" s="42">
        <v>5754864</v>
      </c>
      <c r="W326" s="42">
        <v>0</v>
      </c>
      <c r="Y326" s="42">
        <v>0</v>
      </c>
      <c r="AA326" s="42">
        <v>0</v>
      </c>
      <c r="AC326" s="42">
        <v>0</v>
      </c>
      <c r="AE326" s="42">
        <v>727670</v>
      </c>
      <c r="AG326" s="42">
        <v>5478669</v>
      </c>
      <c r="AI326" s="10">
        <f t="shared" si="53"/>
        <v>6206339</v>
      </c>
      <c r="AK326" s="42">
        <f t="shared" si="48"/>
        <v>0</v>
      </c>
    </row>
    <row r="327" spans="1:37">
      <c r="A327" s="9" t="s">
        <v>600</v>
      </c>
      <c r="B327" s="9"/>
      <c r="C327" s="9" t="s">
        <v>199</v>
      </c>
      <c r="D327" s="9"/>
      <c r="E327" s="54" t="s">
        <v>870</v>
      </c>
      <c r="G327" s="42">
        <v>5678458</v>
      </c>
      <c r="I327" s="42">
        <v>0</v>
      </c>
      <c r="K327" s="2">
        <f t="shared" si="54"/>
        <v>7355467</v>
      </c>
      <c r="M327" s="42">
        <v>13033925</v>
      </c>
      <c r="O327" s="42">
        <v>0</v>
      </c>
      <c r="Q327" s="2">
        <f t="shared" si="52"/>
        <v>1015274</v>
      </c>
      <c r="S327" s="42">
        <v>0</v>
      </c>
      <c r="U327" s="42">
        <v>1015274</v>
      </c>
      <c r="W327" s="42">
        <v>6036826</v>
      </c>
      <c r="Y327" s="42">
        <v>62319</v>
      </c>
      <c r="AA327" s="42">
        <v>0</v>
      </c>
      <c r="AC327" s="42">
        <v>0</v>
      </c>
      <c r="AE327" s="42">
        <v>0</v>
      </c>
      <c r="AG327" s="42">
        <v>5919506</v>
      </c>
      <c r="AI327" s="10">
        <f t="shared" si="53"/>
        <v>5981825</v>
      </c>
      <c r="AK327" s="42">
        <f t="shared" si="48"/>
        <v>0</v>
      </c>
    </row>
    <row r="328" spans="1:37" hidden="1">
      <c r="A328" s="9" t="s">
        <v>799</v>
      </c>
      <c r="B328" s="9"/>
      <c r="C328" s="9" t="s">
        <v>63</v>
      </c>
      <c r="D328" s="9"/>
      <c r="E328" s="54">
        <v>50005</v>
      </c>
      <c r="G328" s="42">
        <v>0</v>
      </c>
      <c r="I328" s="42">
        <v>0</v>
      </c>
      <c r="K328" s="2">
        <f t="shared" ref="K328" si="55">+M328-I328-G328</f>
        <v>0</v>
      </c>
      <c r="M328" s="42">
        <v>0</v>
      </c>
      <c r="O328" s="42">
        <v>0</v>
      </c>
      <c r="Q328" s="2">
        <f t="shared" ref="Q328" si="56">+U328-S328</f>
        <v>0</v>
      </c>
      <c r="S328" s="42">
        <v>0</v>
      </c>
      <c r="U328" s="42">
        <v>0</v>
      </c>
      <c r="W328" s="42">
        <v>0</v>
      </c>
      <c r="Y328" s="42">
        <v>0</v>
      </c>
      <c r="AA328" s="42">
        <v>0</v>
      </c>
      <c r="AC328" s="42">
        <v>0</v>
      </c>
      <c r="AE328" s="42">
        <v>0</v>
      </c>
      <c r="AG328" s="42">
        <v>0</v>
      </c>
      <c r="AI328" s="10">
        <f t="shared" ref="AI328" si="57">+AC328+AA328++Y328+AE328+AG328</f>
        <v>0</v>
      </c>
      <c r="AK328" s="42">
        <f t="shared" si="48"/>
        <v>0</v>
      </c>
    </row>
    <row r="329" spans="1:37">
      <c r="A329" s="9" t="s">
        <v>466</v>
      </c>
      <c r="B329" s="9"/>
      <c r="C329" s="9" t="s">
        <v>109</v>
      </c>
      <c r="D329" s="9"/>
      <c r="E329" s="23">
        <v>44297</v>
      </c>
      <c r="G329" s="42">
        <v>3594063</v>
      </c>
      <c r="I329" s="42">
        <v>4982</v>
      </c>
      <c r="K329" s="2">
        <f t="shared" si="54"/>
        <v>14243701</v>
      </c>
      <c r="M329" s="42">
        <v>17842746</v>
      </c>
      <c r="O329" s="42">
        <v>0</v>
      </c>
      <c r="Q329" s="2">
        <f t="shared" si="52"/>
        <v>7441362</v>
      </c>
      <c r="S329" s="42">
        <v>0</v>
      </c>
      <c r="U329" s="42">
        <v>7441362</v>
      </c>
      <c r="W329" s="42">
        <v>11070802</v>
      </c>
      <c r="Y329" s="42">
        <f>90000+22651</f>
        <v>112651</v>
      </c>
      <c r="AA329" s="42">
        <v>4982</v>
      </c>
      <c r="AC329" s="42">
        <v>0</v>
      </c>
      <c r="AE329" s="42">
        <v>0</v>
      </c>
      <c r="AG329" s="42">
        <v>-787051</v>
      </c>
      <c r="AI329" s="10">
        <f t="shared" si="53"/>
        <v>-669418</v>
      </c>
      <c r="AK329" s="42">
        <f t="shared" si="48"/>
        <v>0</v>
      </c>
    </row>
    <row r="330" spans="1:37">
      <c r="A330" s="9" t="s">
        <v>716</v>
      </c>
      <c r="B330" s="9"/>
      <c r="C330" s="9" t="s">
        <v>20</v>
      </c>
      <c r="D330" s="9"/>
      <c r="E330" s="23">
        <v>44305</v>
      </c>
      <c r="G330" s="42">
        <v>1209447</v>
      </c>
      <c r="I330" s="42">
        <v>0</v>
      </c>
      <c r="K330" s="2">
        <f t="shared" si="54"/>
        <v>16708653</v>
      </c>
      <c r="M330" s="42">
        <v>17918100</v>
      </c>
      <c r="O330" s="42">
        <v>0</v>
      </c>
      <c r="Q330" s="2">
        <f t="shared" si="52"/>
        <v>3443186</v>
      </c>
      <c r="S330" s="42">
        <v>0</v>
      </c>
      <c r="U330" s="42">
        <v>3443186</v>
      </c>
      <c r="W330" s="42">
        <v>14835646</v>
      </c>
      <c r="Y330" s="42">
        <v>0</v>
      </c>
      <c r="AA330" s="42">
        <v>0</v>
      </c>
      <c r="AC330" s="42">
        <v>0</v>
      </c>
      <c r="AE330" s="42">
        <v>0</v>
      </c>
      <c r="AG330" s="42">
        <v>-360732</v>
      </c>
      <c r="AI330" s="10">
        <f t="shared" si="53"/>
        <v>-360732</v>
      </c>
      <c r="AK330" s="42">
        <f t="shared" si="48"/>
        <v>0</v>
      </c>
    </row>
    <row r="331" spans="1:37">
      <c r="A331" s="9" t="s">
        <v>204</v>
      </c>
      <c r="B331" s="9"/>
      <c r="C331" s="9" t="s">
        <v>11</v>
      </c>
      <c r="D331" s="9"/>
      <c r="E331" s="23">
        <v>45831</v>
      </c>
      <c r="G331" s="42">
        <f>1683862+3254</f>
        <v>1687116</v>
      </c>
      <c r="I331" s="42">
        <v>0</v>
      </c>
      <c r="K331" s="2">
        <f t="shared" si="54"/>
        <v>2672159</v>
      </c>
      <c r="M331" s="42">
        <v>4359275</v>
      </c>
      <c r="O331" s="42">
        <v>0</v>
      </c>
      <c r="Q331" s="2">
        <f t="shared" si="52"/>
        <v>706417</v>
      </c>
      <c r="S331" s="42">
        <v>0</v>
      </c>
      <c r="U331" s="42">
        <v>706417</v>
      </c>
      <c r="W331" s="42">
        <v>2068874</v>
      </c>
      <c r="Y331" s="42">
        <v>20110</v>
      </c>
      <c r="AA331" s="42">
        <v>0</v>
      </c>
      <c r="AC331" s="42">
        <v>0</v>
      </c>
      <c r="AE331" s="42">
        <f>809+43148+4160+14130+228376</f>
        <v>290623</v>
      </c>
      <c r="AG331" s="42">
        <v>1273251</v>
      </c>
      <c r="AI331" s="10">
        <f t="shared" si="53"/>
        <v>1583984</v>
      </c>
      <c r="AK331" s="42">
        <f t="shared" si="48"/>
        <v>0</v>
      </c>
    </row>
    <row r="332" spans="1:37">
      <c r="A332" s="9" t="s">
        <v>524</v>
      </c>
      <c r="B332" s="9"/>
      <c r="C332" s="9" t="s">
        <v>64</v>
      </c>
      <c r="D332" s="9"/>
      <c r="E332" s="23">
        <v>50211</v>
      </c>
      <c r="G332" s="42">
        <v>3114227</v>
      </c>
      <c r="I332" s="42">
        <v>0</v>
      </c>
      <c r="K332" s="2">
        <f t="shared" si="54"/>
        <v>2525106</v>
      </c>
      <c r="M332" s="42">
        <v>5639333</v>
      </c>
      <c r="O332" s="42">
        <v>0</v>
      </c>
      <c r="Q332" s="2">
        <f t="shared" si="52"/>
        <v>647281</v>
      </c>
      <c r="S332" s="42">
        <v>0</v>
      </c>
      <c r="U332" s="42">
        <v>647281</v>
      </c>
      <c r="W332" s="42">
        <v>2488799</v>
      </c>
      <c r="Y332" s="42">
        <v>2228</v>
      </c>
      <c r="AA332" s="42">
        <v>0</v>
      </c>
      <c r="AC332" s="42">
        <v>0</v>
      </c>
      <c r="AE332" s="42">
        <v>32618</v>
      </c>
      <c r="AG332" s="42">
        <v>2468407</v>
      </c>
      <c r="AI332" s="10">
        <f t="shared" si="53"/>
        <v>2503253</v>
      </c>
      <c r="AK332" s="42">
        <f t="shared" si="48"/>
        <v>0</v>
      </c>
    </row>
    <row r="333" spans="1:37">
      <c r="A333" s="9" t="s">
        <v>286</v>
      </c>
      <c r="B333" s="9"/>
      <c r="C333" s="9" t="s">
        <v>24</v>
      </c>
      <c r="D333" s="9"/>
      <c r="E333" s="23">
        <v>46805</v>
      </c>
      <c r="G333" s="42">
        <v>1708763</v>
      </c>
      <c r="I333" s="42">
        <v>0</v>
      </c>
      <c r="K333" s="2">
        <f t="shared" si="54"/>
        <v>6006478</v>
      </c>
      <c r="M333" s="42">
        <v>7715241</v>
      </c>
      <c r="O333" s="42">
        <v>0</v>
      </c>
      <c r="Q333" s="2">
        <f t="shared" si="52"/>
        <v>1325364</v>
      </c>
      <c r="S333" s="42">
        <v>0</v>
      </c>
      <c r="U333" s="42">
        <v>1325364</v>
      </c>
      <c r="W333" s="42">
        <v>5009285</v>
      </c>
      <c r="Y333" s="42">
        <v>0</v>
      </c>
      <c r="AA333" s="42">
        <v>0</v>
      </c>
      <c r="AC333" s="42">
        <v>0</v>
      </c>
      <c r="AE333" s="42">
        <f>5299+207598</f>
        <v>212897</v>
      </c>
      <c r="AG333" s="42">
        <v>1167695</v>
      </c>
      <c r="AI333" s="10">
        <f t="shared" si="53"/>
        <v>1380592</v>
      </c>
      <c r="AK333" s="42">
        <f t="shared" si="48"/>
        <v>0</v>
      </c>
    </row>
    <row r="334" spans="1:37">
      <c r="A334" s="9" t="s">
        <v>324</v>
      </c>
      <c r="B334" s="9"/>
      <c r="C334" s="9" t="s">
        <v>32</v>
      </c>
      <c r="D334" s="9"/>
      <c r="E334" s="23">
        <v>44313</v>
      </c>
      <c r="G334" s="42">
        <v>6682192</v>
      </c>
      <c r="I334" s="42">
        <v>140000</v>
      </c>
      <c r="K334" s="2">
        <f t="shared" si="54"/>
        <v>15018202</v>
      </c>
      <c r="M334" s="42">
        <v>21840394</v>
      </c>
      <c r="O334" s="42">
        <v>0</v>
      </c>
      <c r="Q334" s="2">
        <f t="shared" si="52"/>
        <v>2359071</v>
      </c>
      <c r="S334" s="42">
        <v>0</v>
      </c>
      <c r="U334" s="42">
        <v>2359071</v>
      </c>
      <c r="W334" s="42">
        <v>9206038</v>
      </c>
      <c r="Y334" s="42">
        <v>0</v>
      </c>
      <c r="AA334" s="42">
        <v>140000</v>
      </c>
      <c r="AC334" s="42">
        <v>207042</v>
      </c>
      <c r="AE334" s="42">
        <v>0</v>
      </c>
      <c r="AG334" s="42">
        <v>9928243</v>
      </c>
      <c r="AI334" s="10">
        <f t="shared" si="53"/>
        <v>10275285</v>
      </c>
      <c r="AK334" s="42">
        <f t="shared" si="48"/>
        <v>0</v>
      </c>
    </row>
    <row r="335" spans="1:37" hidden="1">
      <c r="A335" s="9" t="s">
        <v>607</v>
      </c>
      <c r="B335" s="9"/>
      <c r="C335" s="9" t="s">
        <v>70</v>
      </c>
      <c r="D335" s="9"/>
      <c r="E335" s="23">
        <v>44321</v>
      </c>
      <c r="G335" s="42">
        <v>0</v>
      </c>
      <c r="I335" s="42">
        <v>0</v>
      </c>
      <c r="K335" s="2">
        <f t="shared" si="54"/>
        <v>0</v>
      </c>
      <c r="M335" s="42">
        <v>0</v>
      </c>
      <c r="O335" s="42">
        <v>0</v>
      </c>
      <c r="Q335" s="2">
        <f t="shared" si="52"/>
        <v>0</v>
      </c>
      <c r="S335" s="42">
        <v>0</v>
      </c>
      <c r="U335" s="42">
        <v>0</v>
      </c>
      <c r="W335" s="42">
        <v>0</v>
      </c>
      <c r="Y335" s="42">
        <v>0</v>
      </c>
      <c r="AA335" s="42">
        <v>0</v>
      </c>
      <c r="AC335" s="42">
        <v>0</v>
      </c>
      <c r="AE335" s="42">
        <v>0</v>
      </c>
      <c r="AG335" s="42">
        <v>0</v>
      </c>
      <c r="AI335" s="10">
        <f t="shared" si="53"/>
        <v>0</v>
      </c>
      <c r="AK335" s="42">
        <f t="shared" ref="AK335:AK398" si="58">+G335+I335+K335+O335-U335-W335-AC335-AA335-Y335-AE335-AG335</f>
        <v>0</v>
      </c>
    </row>
    <row r="336" spans="1:37">
      <c r="A336" s="9" t="s">
        <v>407</v>
      </c>
      <c r="B336" s="9"/>
      <c r="C336" s="9" t="s">
        <v>46</v>
      </c>
      <c r="D336" s="9"/>
      <c r="E336" s="23">
        <v>44339</v>
      </c>
      <c r="G336" s="42">
        <v>14207215</v>
      </c>
      <c r="I336" s="42">
        <v>0</v>
      </c>
      <c r="K336" s="2">
        <f t="shared" si="54"/>
        <v>11998678</v>
      </c>
      <c r="M336" s="42">
        <v>26205893</v>
      </c>
      <c r="O336" s="42">
        <v>0</v>
      </c>
      <c r="Q336" s="2">
        <f t="shared" si="52"/>
        <v>5605564</v>
      </c>
      <c r="S336" s="42">
        <v>0</v>
      </c>
      <c r="U336" s="42">
        <v>5605564</v>
      </c>
      <c r="W336" s="42">
        <v>8467380</v>
      </c>
      <c r="Y336" s="42">
        <v>127614</v>
      </c>
      <c r="AA336" s="42">
        <v>0</v>
      </c>
      <c r="AC336" s="42">
        <v>0</v>
      </c>
      <c r="AE336" s="42">
        <v>436252</v>
      </c>
      <c r="AG336" s="42">
        <v>11569083</v>
      </c>
      <c r="AI336" s="10">
        <f t="shared" si="53"/>
        <v>12132949</v>
      </c>
      <c r="AK336" s="42">
        <f t="shared" si="58"/>
        <v>0</v>
      </c>
    </row>
    <row r="337" spans="1:37" hidden="1">
      <c r="A337" s="9" t="s">
        <v>680</v>
      </c>
      <c r="B337" s="9"/>
      <c r="C337" s="9" t="s">
        <v>419</v>
      </c>
      <c r="D337" s="9"/>
      <c r="E337" s="23">
        <v>48553</v>
      </c>
      <c r="G337" s="42">
        <v>0</v>
      </c>
      <c r="I337" s="42">
        <v>0</v>
      </c>
      <c r="K337" s="2">
        <f t="shared" si="54"/>
        <v>0</v>
      </c>
      <c r="M337" s="42">
        <v>0</v>
      </c>
      <c r="O337" s="42">
        <v>0</v>
      </c>
      <c r="Q337" s="2">
        <f t="shared" si="52"/>
        <v>0</v>
      </c>
      <c r="S337" s="42">
        <v>0</v>
      </c>
      <c r="U337" s="42">
        <v>0</v>
      </c>
      <c r="W337" s="42">
        <v>0</v>
      </c>
      <c r="Y337" s="42">
        <v>0</v>
      </c>
      <c r="AA337" s="42">
        <v>0</v>
      </c>
      <c r="AC337" s="42">
        <v>0</v>
      </c>
      <c r="AE337" s="42">
        <v>0</v>
      </c>
      <c r="AG337" s="42">
        <v>0</v>
      </c>
      <c r="AI337" s="10">
        <f t="shared" si="53"/>
        <v>0</v>
      </c>
      <c r="AK337" s="42">
        <f t="shared" si="58"/>
        <v>0</v>
      </c>
    </row>
    <row r="338" spans="1:37">
      <c r="A338" s="9" t="s">
        <v>496</v>
      </c>
      <c r="B338" s="9"/>
      <c r="C338" s="9" t="s">
        <v>62</v>
      </c>
      <c r="D338" s="9"/>
      <c r="E338" s="23">
        <v>49882</v>
      </c>
      <c r="G338" s="42">
        <v>7948104</v>
      </c>
      <c r="I338" s="42">
        <v>0</v>
      </c>
      <c r="K338" s="2">
        <f t="shared" si="54"/>
        <v>8537814</v>
      </c>
      <c r="M338" s="42">
        <v>16485918</v>
      </c>
      <c r="O338" s="42">
        <v>0</v>
      </c>
      <c r="Q338" s="2">
        <f t="shared" si="52"/>
        <v>2381292</v>
      </c>
      <c r="S338" s="42">
        <v>0</v>
      </c>
      <c r="U338" s="42">
        <v>2381292</v>
      </c>
      <c r="W338" s="42">
        <v>8069719</v>
      </c>
      <c r="Y338" s="42">
        <v>148136</v>
      </c>
      <c r="AA338" s="42">
        <v>0</v>
      </c>
      <c r="AC338" s="42">
        <v>403141</v>
      </c>
      <c r="AE338" s="42">
        <v>356915</v>
      </c>
      <c r="AG338" s="42">
        <v>5126715</v>
      </c>
      <c r="AI338" s="10">
        <f t="shared" si="53"/>
        <v>6034907</v>
      </c>
      <c r="AK338" s="42">
        <f t="shared" si="58"/>
        <v>0</v>
      </c>
    </row>
    <row r="339" spans="1:37">
      <c r="A339" s="9" t="s">
        <v>215</v>
      </c>
      <c r="B339" s="9"/>
      <c r="C339" s="9" t="s">
        <v>15</v>
      </c>
      <c r="D339" s="9"/>
      <c r="E339" s="23">
        <v>44347</v>
      </c>
      <c r="G339" s="42">
        <v>907690</v>
      </c>
      <c r="I339" s="42">
        <v>11000</v>
      </c>
      <c r="K339" s="2">
        <f t="shared" si="54"/>
        <v>3082559</v>
      </c>
      <c r="M339" s="42">
        <v>4001249</v>
      </c>
      <c r="O339" s="42">
        <v>0</v>
      </c>
      <c r="Q339" s="2">
        <f t="shared" si="52"/>
        <v>1528590</v>
      </c>
      <c r="S339" s="42">
        <v>0</v>
      </c>
      <c r="U339" s="42">
        <v>1528590</v>
      </c>
      <c r="W339" s="42">
        <v>2688465</v>
      </c>
      <c r="Y339" s="42">
        <v>35281</v>
      </c>
      <c r="AA339" s="42">
        <v>11000</v>
      </c>
      <c r="AC339" s="42">
        <v>0</v>
      </c>
      <c r="AE339" s="42">
        <v>0</v>
      </c>
      <c r="AG339" s="42">
        <v>-262087</v>
      </c>
      <c r="AI339" s="10">
        <f t="shared" si="53"/>
        <v>-215806</v>
      </c>
      <c r="AK339" s="42">
        <f t="shared" si="58"/>
        <v>0</v>
      </c>
    </row>
    <row r="340" spans="1:37">
      <c r="A340" s="9" t="s">
        <v>761</v>
      </c>
      <c r="B340" s="9"/>
      <c r="C340" s="9" t="s">
        <v>66</v>
      </c>
      <c r="D340" s="9"/>
      <c r="E340" s="23">
        <v>45476</v>
      </c>
      <c r="G340" s="42">
        <v>2955907</v>
      </c>
      <c r="I340" s="42">
        <v>0</v>
      </c>
      <c r="K340" s="2">
        <f t="shared" si="54"/>
        <v>22433538</v>
      </c>
      <c r="M340" s="42">
        <v>25389445</v>
      </c>
      <c r="O340" s="42">
        <v>0</v>
      </c>
      <c r="Q340" s="2">
        <f t="shared" si="52"/>
        <v>7212504</v>
      </c>
      <c r="S340" s="42">
        <v>0</v>
      </c>
      <c r="U340" s="42">
        <v>7212504</v>
      </c>
      <c r="W340" s="42">
        <v>18677540</v>
      </c>
      <c r="Y340" s="42">
        <v>18410</v>
      </c>
      <c r="AA340" s="42">
        <v>0</v>
      </c>
      <c r="AC340" s="42">
        <v>0</v>
      </c>
      <c r="AE340" s="42">
        <v>0</v>
      </c>
      <c r="AG340" s="42">
        <v>-519009</v>
      </c>
      <c r="AI340" s="10">
        <f t="shared" si="53"/>
        <v>-500599</v>
      </c>
      <c r="AK340" s="42">
        <f t="shared" si="58"/>
        <v>0</v>
      </c>
    </row>
    <row r="341" spans="1:37">
      <c r="A341" s="9" t="s">
        <v>542</v>
      </c>
      <c r="B341" s="9"/>
      <c r="C341" s="9" t="s">
        <v>69</v>
      </c>
      <c r="D341" s="9"/>
      <c r="E341" s="23">
        <v>50450</v>
      </c>
      <c r="G341" s="42">
        <v>41268828</v>
      </c>
      <c r="I341" s="42">
        <v>85593</v>
      </c>
      <c r="K341" s="2">
        <f t="shared" si="54"/>
        <v>55328826</v>
      </c>
      <c r="M341" s="42">
        <v>96683247</v>
      </c>
      <c r="O341" s="42">
        <v>0</v>
      </c>
      <c r="Q341" s="2">
        <f t="shared" si="52"/>
        <v>64624244</v>
      </c>
      <c r="S341" s="42">
        <v>0</v>
      </c>
      <c r="U341" s="42">
        <v>64624244</v>
      </c>
      <c r="W341" s="42">
        <v>0</v>
      </c>
      <c r="Y341" s="42">
        <v>0</v>
      </c>
      <c r="AA341" s="42">
        <v>0</v>
      </c>
      <c r="AC341" s="42">
        <v>0</v>
      </c>
      <c r="AE341" s="42">
        <v>6458415</v>
      </c>
      <c r="AG341" s="42">
        <v>25600588</v>
      </c>
      <c r="AI341" s="10">
        <f t="shared" si="53"/>
        <v>32059003</v>
      </c>
      <c r="AK341" s="42">
        <f t="shared" si="58"/>
        <v>0</v>
      </c>
    </row>
    <row r="342" spans="1:37">
      <c r="A342" s="9" t="s">
        <v>497</v>
      </c>
      <c r="B342" s="9"/>
      <c r="C342" s="9" t="s">
        <v>62</v>
      </c>
      <c r="D342" s="9"/>
      <c r="E342" s="23">
        <v>44354</v>
      </c>
      <c r="G342" s="42">
        <v>6039914</v>
      </c>
      <c r="I342" s="42">
        <v>0</v>
      </c>
      <c r="K342" s="2">
        <f t="shared" si="54"/>
        <v>17224513</v>
      </c>
      <c r="M342" s="42">
        <v>23264427</v>
      </c>
      <c r="O342" s="42">
        <v>0</v>
      </c>
      <c r="Q342" s="2">
        <f t="shared" si="52"/>
        <v>20705590</v>
      </c>
      <c r="S342" s="42">
        <v>0</v>
      </c>
      <c r="U342" s="42">
        <v>20705590</v>
      </c>
      <c r="W342" s="42">
        <v>0</v>
      </c>
      <c r="Y342" s="42">
        <v>0</v>
      </c>
      <c r="AA342" s="42">
        <v>0</v>
      </c>
      <c r="AC342" s="42">
        <v>0</v>
      </c>
      <c r="AE342" s="42">
        <v>939927</v>
      </c>
      <c r="AG342" s="42">
        <v>1618910</v>
      </c>
      <c r="AI342" s="10">
        <f t="shared" si="53"/>
        <v>2558837</v>
      </c>
      <c r="AK342" s="42">
        <f t="shared" si="58"/>
        <v>0</v>
      </c>
    </row>
    <row r="343" spans="1:37">
      <c r="A343" s="9" t="s">
        <v>525</v>
      </c>
      <c r="B343" s="9"/>
      <c r="C343" s="9" t="s">
        <v>64</v>
      </c>
      <c r="D343" s="9"/>
      <c r="E343" s="23">
        <v>50153</v>
      </c>
      <c r="G343" s="42">
        <v>989265</v>
      </c>
      <c r="I343" s="42">
        <v>347</v>
      </c>
      <c r="K343" s="2">
        <f t="shared" si="54"/>
        <v>5540462</v>
      </c>
      <c r="M343" s="42">
        <v>6530074</v>
      </c>
      <c r="O343" s="42">
        <v>0</v>
      </c>
      <c r="Q343" s="2">
        <f t="shared" si="52"/>
        <v>1251974</v>
      </c>
      <c r="S343" s="42">
        <v>0</v>
      </c>
      <c r="U343" s="42">
        <v>1251974</v>
      </c>
      <c r="W343" s="42">
        <v>5457381</v>
      </c>
      <c r="Y343" s="42">
        <v>28104</v>
      </c>
      <c r="AA343" s="42">
        <v>0</v>
      </c>
      <c r="AC343" s="42">
        <v>21162</v>
      </c>
      <c r="AE343" s="42">
        <v>0</v>
      </c>
      <c r="AG343" s="42">
        <v>-228547</v>
      </c>
      <c r="AI343" s="10">
        <f t="shared" si="53"/>
        <v>-179281</v>
      </c>
      <c r="AK343" s="42">
        <f t="shared" si="58"/>
        <v>0</v>
      </c>
    </row>
    <row r="344" spans="1:37" hidden="1">
      <c r="A344" s="8" t="s">
        <v>865</v>
      </c>
      <c r="B344" s="9"/>
      <c r="C344" s="9" t="s">
        <v>114</v>
      </c>
      <c r="D344" s="9"/>
      <c r="E344" s="23">
        <v>44362</v>
      </c>
      <c r="G344" s="42">
        <v>0</v>
      </c>
      <c r="I344" s="42">
        <v>0</v>
      </c>
      <c r="K344" s="2">
        <f t="shared" si="54"/>
        <v>0</v>
      </c>
      <c r="M344" s="42">
        <v>0</v>
      </c>
      <c r="O344" s="42">
        <v>0</v>
      </c>
      <c r="Q344" s="2">
        <f t="shared" si="52"/>
        <v>0</v>
      </c>
      <c r="S344" s="42">
        <v>0</v>
      </c>
      <c r="U344" s="42">
        <v>0</v>
      </c>
      <c r="W344" s="42">
        <v>0</v>
      </c>
      <c r="Y344" s="42">
        <v>0</v>
      </c>
      <c r="AA344" s="42">
        <v>0</v>
      </c>
      <c r="AC344" s="42">
        <v>0</v>
      </c>
      <c r="AE344" s="42">
        <v>0</v>
      </c>
      <c r="AG344" s="42">
        <v>0</v>
      </c>
      <c r="AI344" s="10">
        <f t="shared" si="53"/>
        <v>0</v>
      </c>
      <c r="AK344" s="42">
        <f t="shared" si="58"/>
        <v>0</v>
      </c>
    </row>
    <row r="345" spans="1:37">
      <c r="A345" s="9" t="s">
        <v>717</v>
      </c>
      <c r="B345" s="9"/>
      <c r="C345" s="9" t="s">
        <v>20</v>
      </c>
      <c r="D345" s="9"/>
      <c r="E345" s="23">
        <v>44370</v>
      </c>
      <c r="G345" s="42">
        <v>26212946</v>
      </c>
      <c r="I345" s="42">
        <v>0</v>
      </c>
      <c r="K345" s="2">
        <f t="shared" si="54"/>
        <v>58230708</v>
      </c>
      <c r="M345" s="42">
        <v>84443654</v>
      </c>
      <c r="O345" s="42">
        <v>0</v>
      </c>
      <c r="Q345" s="2">
        <f t="shared" ref="Q345:Q411" si="59">+U345-S345</f>
        <v>6410698</v>
      </c>
      <c r="S345" s="42">
        <v>0</v>
      </c>
      <c r="U345" s="42">
        <v>6410698</v>
      </c>
      <c r="W345" s="42">
        <v>50412367</v>
      </c>
      <c r="Y345" s="42">
        <v>174303</v>
      </c>
      <c r="AA345" s="42">
        <v>0</v>
      </c>
      <c r="AC345" s="42">
        <v>638116</v>
      </c>
      <c r="AE345" s="42">
        <v>9260925</v>
      </c>
      <c r="AG345" s="42">
        <v>17547245</v>
      </c>
      <c r="AI345" s="10">
        <f t="shared" ref="AI345:AI411" si="60">+AC345+AA345++Y345+AE345+AG345</f>
        <v>27620589</v>
      </c>
      <c r="AK345" s="42">
        <f t="shared" si="58"/>
        <v>0</v>
      </c>
    </row>
    <row r="346" spans="1:37">
      <c r="A346" s="9" t="s">
        <v>442</v>
      </c>
      <c r="B346" s="9"/>
      <c r="C346" s="9" t="s">
        <v>51</v>
      </c>
      <c r="D346" s="9"/>
      <c r="E346" s="23">
        <v>48850</v>
      </c>
      <c r="G346" s="42">
        <v>1385012</v>
      </c>
      <c r="I346" s="42">
        <v>0</v>
      </c>
      <c r="K346" s="2">
        <f t="shared" si="54"/>
        <v>4331311</v>
      </c>
      <c r="M346" s="42">
        <v>5716323</v>
      </c>
      <c r="O346" s="42">
        <v>0</v>
      </c>
      <c r="Q346" s="2">
        <f t="shared" si="59"/>
        <v>2877950</v>
      </c>
      <c r="S346" s="42">
        <v>0</v>
      </c>
      <c r="U346" s="42">
        <v>2877950</v>
      </c>
      <c r="W346" s="42">
        <v>3220647</v>
      </c>
      <c r="Y346" s="42">
        <v>34424</v>
      </c>
      <c r="AA346" s="42">
        <v>0</v>
      </c>
      <c r="AC346" s="42">
        <v>0</v>
      </c>
      <c r="AE346" s="42">
        <v>0</v>
      </c>
      <c r="AG346" s="42">
        <v>-416698</v>
      </c>
      <c r="AI346" s="10">
        <f t="shared" si="60"/>
        <v>-382274</v>
      </c>
      <c r="AK346" s="42">
        <f t="shared" si="58"/>
        <v>0</v>
      </c>
    </row>
    <row r="347" spans="1:37" hidden="1">
      <c r="A347" s="9" t="s">
        <v>800</v>
      </c>
      <c r="B347" s="9"/>
      <c r="C347" s="9" t="s">
        <v>33</v>
      </c>
      <c r="D347" s="9"/>
      <c r="E347" s="23">
        <v>47456</v>
      </c>
      <c r="G347" s="42">
        <v>0</v>
      </c>
      <c r="I347" s="42">
        <v>0</v>
      </c>
      <c r="K347" s="2">
        <f t="shared" ref="K347:K413" si="61">+M347-I347-G347</f>
        <v>0</v>
      </c>
      <c r="M347" s="42">
        <v>0</v>
      </c>
      <c r="O347" s="42">
        <v>0</v>
      </c>
      <c r="Q347" s="2">
        <f t="shared" si="59"/>
        <v>0</v>
      </c>
      <c r="S347" s="42">
        <v>0</v>
      </c>
      <c r="U347" s="42">
        <v>0</v>
      </c>
      <c r="W347" s="42">
        <v>0</v>
      </c>
      <c r="Y347" s="42">
        <v>0</v>
      </c>
      <c r="AA347" s="42">
        <v>0</v>
      </c>
      <c r="AC347" s="42">
        <v>0</v>
      </c>
      <c r="AE347" s="42">
        <v>0</v>
      </c>
      <c r="AG347" s="42">
        <v>0</v>
      </c>
      <c r="AI347" s="10">
        <f t="shared" si="60"/>
        <v>0</v>
      </c>
      <c r="AK347" s="42">
        <f t="shared" si="58"/>
        <v>0</v>
      </c>
    </row>
    <row r="348" spans="1:37">
      <c r="A348" s="9" t="s">
        <v>633</v>
      </c>
      <c r="B348" s="9"/>
      <c r="C348" s="9" t="s">
        <v>64</v>
      </c>
      <c r="D348" s="9"/>
      <c r="E348" s="23">
        <v>50229</v>
      </c>
      <c r="G348" s="42">
        <v>1637881</v>
      </c>
      <c r="I348" s="42">
        <v>21725</v>
      </c>
      <c r="K348" s="2">
        <f t="shared" si="61"/>
        <v>1931211</v>
      </c>
      <c r="M348" s="42">
        <v>3590817</v>
      </c>
      <c r="O348" s="42">
        <v>0</v>
      </c>
      <c r="Q348" s="2">
        <f t="shared" si="59"/>
        <v>653044</v>
      </c>
      <c r="S348" s="42">
        <v>0</v>
      </c>
      <c r="U348" s="42">
        <v>653044</v>
      </c>
      <c r="W348" s="42">
        <v>1910810</v>
      </c>
      <c r="Y348" s="42">
        <v>21725</v>
      </c>
      <c r="AA348" s="42">
        <v>0</v>
      </c>
      <c r="AC348" s="42">
        <v>0</v>
      </c>
      <c r="AE348" s="42">
        <v>16532</v>
      </c>
      <c r="AG348" s="42">
        <v>988706</v>
      </c>
      <c r="AI348" s="10">
        <f t="shared" si="60"/>
        <v>1026963</v>
      </c>
      <c r="AK348" s="42">
        <f t="shared" si="58"/>
        <v>0</v>
      </c>
    </row>
    <row r="349" spans="1:37">
      <c r="A349" s="9" t="s">
        <v>762</v>
      </c>
      <c r="B349" s="9"/>
      <c r="C349" s="9" t="s">
        <v>227</v>
      </c>
      <c r="D349" s="9"/>
      <c r="E349" s="23">
        <v>45484</v>
      </c>
      <c r="G349" s="42">
        <v>198861</v>
      </c>
      <c r="I349" s="42">
        <v>0</v>
      </c>
      <c r="K349" s="2">
        <f t="shared" si="61"/>
        <v>2692291</v>
      </c>
      <c r="M349" s="42">
        <v>2891152</v>
      </c>
      <c r="O349" s="42">
        <v>0</v>
      </c>
      <c r="Q349" s="2">
        <f t="shared" si="59"/>
        <v>897559</v>
      </c>
      <c r="S349" s="42">
        <v>0</v>
      </c>
      <c r="U349" s="42">
        <v>897559</v>
      </c>
      <c r="W349" s="42">
        <v>1698723</v>
      </c>
      <c r="Y349" s="42">
        <f>3622+144447</f>
        <v>148069</v>
      </c>
      <c r="AA349" s="42">
        <v>0</v>
      </c>
      <c r="AC349" s="42">
        <v>0</v>
      </c>
      <c r="AE349" s="42">
        <f>5516+69402+43537+30524+5315</f>
        <v>154294</v>
      </c>
      <c r="AG349" s="42">
        <v>-7493</v>
      </c>
      <c r="AI349" s="10">
        <f t="shared" si="60"/>
        <v>294870</v>
      </c>
      <c r="AK349" s="42">
        <f t="shared" si="58"/>
        <v>0</v>
      </c>
    </row>
    <row r="350" spans="1:37" ht="11.25" customHeight="1">
      <c r="A350" s="9" t="s">
        <v>415</v>
      </c>
      <c r="B350" s="9"/>
      <c r="C350" s="9" t="s">
        <v>47</v>
      </c>
      <c r="D350" s="9"/>
      <c r="E350" s="23">
        <v>44388</v>
      </c>
      <c r="G350" s="42">
        <f>22590843+211233</f>
        <v>22802076</v>
      </c>
      <c r="I350" s="42">
        <v>0</v>
      </c>
      <c r="K350" s="2">
        <f t="shared" si="61"/>
        <v>46668147</v>
      </c>
      <c r="M350" s="42">
        <v>69470223</v>
      </c>
      <c r="O350" s="42">
        <v>0</v>
      </c>
      <c r="Q350" s="2">
        <f t="shared" si="59"/>
        <v>7269685</v>
      </c>
      <c r="S350" s="42">
        <v>0</v>
      </c>
      <c r="U350" s="42">
        <v>7269685</v>
      </c>
      <c r="W350" s="42">
        <v>42593712</v>
      </c>
      <c r="Y350" s="42">
        <v>55466</v>
      </c>
      <c r="AA350" s="42">
        <v>0</v>
      </c>
      <c r="AC350" s="42">
        <v>0</v>
      </c>
      <c r="AE350" s="42">
        <v>1045996</v>
      </c>
      <c r="AG350" s="42">
        <v>18505364</v>
      </c>
      <c r="AI350" s="10">
        <f t="shared" si="60"/>
        <v>19606826</v>
      </c>
      <c r="AK350" s="42">
        <f t="shared" si="58"/>
        <v>0</v>
      </c>
    </row>
    <row r="351" spans="1:37">
      <c r="A351" s="9" t="s">
        <v>418</v>
      </c>
      <c r="B351" s="9"/>
      <c r="C351" s="9" t="s">
        <v>417</v>
      </c>
      <c r="D351" s="9"/>
      <c r="E351" s="23">
        <v>48520</v>
      </c>
      <c r="G351" s="42">
        <v>480949</v>
      </c>
      <c r="I351" s="42">
        <v>68154</v>
      </c>
      <c r="K351" s="2">
        <f t="shared" si="61"/>
        <v>3931429</v>
      </c>
      <c r="M351" s="42">
        <v>4480532</v>
      </c>
      <c r="O351" s="42">
        <v>0</v>
      </c>
      <c r="Q351" s="2">
        <f t="shared" si="59"/>
        <v>1780736</v>
      </c>
      <c r="S351" s="42">
        <v>0</v>
      </c>
      <c r="U351" s="42">
        <v>1780736</v>
      </c>
      <c r="W351" s="42">
        <v>2346233</v>
      </c>
      <c r="Y351" s="42">
        <v>96195</v>
      </c>
      <c r="AA351" s="42">
        <v>0</v>
      </c>
      <c r="AC351" s="42">
        <v>0</v>
      </c>
      <c r="AE351" s="42">
        <v>206371</v>
      </c>
      <c r="AG351" s="42">
        <v>50997</v>
      </c>
      <c r="AI351" s="10">
        <f t="shared" si="60"/>
        <v>353563</v>
      </c>
      <c r="AK351" s="42">
        <f t="shared" si="58"/>
        <v>0</v>
      </c>
    </row>
    <row r="352" spans="1:37">
      <c r="A352" s="9" t="s">
        <v>763</v>
      </c>
      <c r="B352" s="9"/>
      <c r="C352" s="9" t="s">
        <v>41</v>
      </c>
      <c r="D352" s="9"/>
      <c r="E352" s="23">
        <v>45492</v>
      </c>
      <c r="G352" s="42">
        <v>55724877</v>
      </c>
      <c r="I352" s="42">
        <v>0</v>
      </c>
      <c r="K352" s="2">
        <f t="shared" si="61"/>
        <v>63421370</v>
      </c>
      <c r="M352" s="42">
        <v>119146247</v>
      </c>
      <c r="O352" s="42">
        <v>0</v>
      </c>
      <c r="Q352" s="2">
        <f t="shared" si="59"/>
        <v>12643126</v>
      </c>
      <c r="S352" s="42">
        <v>0</v>
      </c>
      <c r="U352" s="42">
        <v>12643126</v>
      </c>
      <c r="W352" s="42">
        <v>57632607</v>
      </c>
      <c r="Y352" s="42">
        <v>81448</v>
      </c>
      <c r="AA352" s="42">
        <v>0</v>
      </c>
      <c r="AC352" s="42">
        <v>0</v>
      </c>
      <c r="AE352" s="42">
        <v>12914600</v>
      </c>
      <c r="AG352" s="42">
        <v>35874466</v>
      </c>
      <c r="AI352" s="10">
        <f t="shared" si="60"/>
        <v>48870514</v>
      </c>
      <c r="AK352" s="42">
        <f t="shared" si="58"/>
        <v>0</v>
      </c>
    </row>
    <row r="353" spans="1:37">
      <c r="A353" s="9" t="s">
        <v>421</v>
      </c>
      <c r="B353" s="9"/>
      <c r="C353" s="9" t="s">
        <v>48</v>
      </c>
      <c r="D353" s="9"/>
      <c r="E353" s="23">
        <v>48629</v>
      </c>
      <c r="G353" s="42">
        <v>1545208</v>
      </c>
      <c r="I353" s="42">
        <v>0</v>
      </c>
      <c r="K353" s="2">
        <f t="shared" si="61"/>
        <v>4779988</v>
      </c>
      <c r="M353" s="42">
        <v>6325196</v>
      </c>
      <c r="O353" s="42">
        <v>0</v>
      </c>
      <c r="Q353" s="2">
        <f t="shared" si="59"/>
        <v>1604809</v>
      </c>
      <c r="S353" s="42">
        <v>0</v>
      </c>
      <c r="U353" s="42">
        <v>1604809</v>
      </c>
      <c r="W353" s="42">
        <v>3119425</v>
      </c>
      <c r="Y353" s="42">
        <f>36045+4907</f>
        <v>40952</v>
      </c>
      <c r="AA353" s="42">
        <v>0</v>
      </c>
      <c r="AC353" s="42">
        <v>200001</v>
      </c>
      <c r="AE353" s="42">
        <f>41150+182698+5000+273864+200</f>
        <v>502912</v>
      </c>
      <c r="AG353" s="42">
        <v>857097</v>
      </c>
      <c r="AI353" s="10">
        <f t="shared" si="60"/>
        <v>1600962</v>
      </c>
      <c r="AK353" s="42">
        <f t="shared" si="58"/>
        <v>0</v>
      </c>
    </row>
    <row r="354" spans="1:37">
      <c r="A354" s="9" t="s">
        <v>295</v>
      </c>
      <c r="B354" s="9"/>
      <c r="C354" s="9" t="s">
        <v>26</v>
      </c>
      <c r="D354" s="9"/>
      <c r="E354" s="23">
        <v>46920</v>
      </c>
      <c r="G354" s="42">
        <f>9110012+152172+3370926</f>
        <v>12633110</v>
      </c>
      <c r="I354" s="42">
        <v>0</v>
      </c>
      <c r="K354" s="2">
        <f t="shared" si="61"/>
        <v>12277634</v>
      </c>
      <c r="M354" s="42">
        <v>24910744</v>
      </c>
      <c r="O354" s="42">
        <v>0</v>
      </c>
      <c r="Q354" s="2">
        <f t="shared" si="59"/>
        <v>10339356</v>
      </c>
      <c r="S354" s="42">
        <v>0</v>
      </c>
      <c r="U354" s="42">
        <v>10339356</v>
      </c>
      <c r="W354" s="42">
        <v>0</v>
      </c>
      <c r="Y354" s="42">
        <v>0</v>
      </c>
      <c r="AA354" s="42">
        <v>0</v>
      </c>
      <c r="AC354" s="42">
        <v>152172</v>
      </c>
      <c r="AE354" s="42">
        <v>1480235</v>
      </c>
      <c r="AG354" s="42">
        <v>12938981</v>
      </c>
      <c r="AI354" s="10">
        <f t="shared" si="60"/>
        <v>14571388</v>
      </c>
      <c r="AK354" s="42">
        <f t="shared" si="58"/>
        <v>0</v>
      </c>
    </row>
    <row r="355" spans="1:37">
      <c r="A355" s="9" t="s">
        <v>429</v>
      </c>
      <c r="B355" s="9"/>
      <c r="C355" s="9" t="s">
        <v>50</v>
      </c>
      <c r="D355" s="9"/>
      <c r="E355" s="23">
        <v>44396</v>
      </c>
      <c r="G355" s="42">
        <v>8772706</v>
      </c>
      <c r="I355" s="42">
        <v>0</v>
      </c>
      <c r="K355" s="2">
        <f>+M355-I355-G355</f>
        <v>30508985</v>
      </c>
      <c r="M355" s="42">
        <v>39281691</v>
      </c>
      <c r="O355" s="42">
        <v>0</v>
      </c>
      <c r="Q355" s="2">
        <f t="shared" si="59"/>
        <v>6116110</v>
      </c>
      <c r="S355" s="42">
        <v>0</v>
      </c>
      <c r="U355" s="42">
        <v>6116110</v>
      </c>
      <c r="W355" s="42">
        <v>28695948</v>
      </c>
      <c r="Y355" s="42">
        <v>0</v>
      </c>
      <c r="AA355" s="42">
        <v>0</v>
      </c>
      <c r="AC355" s="42">
        <v>9400</v>
      </c>
      <c r="AE355" s="42">
        <v>1020658</v>
      </c>
      <c r="AG355" s="42">
        <v>3439575</v>
      </c>
      <c r="AI355" s="10">
        <f t="shared" si="60"/>
        <v>4469633</v>
      </c>
      <c r="AK355" s="42">
        <f t="shared" si="58"/>
        <v>0</v>
      </c>
    </row>
    <row r="356" spans="1:37" hidden="1">
      <c r="A356" s="9" t="s">
        <v>806</v>
      </c>
      <c r="B356" s="9"/>
      <c r="C356" s="9" t="s">
        <v>53</v>
      </c>
      <c r="D356" s="9"/>
      <c r="E356" s="23">
        <v>48959</v>
      </c>
      <c r="G356" s="42">
        <v>0</v>
      </c>
      <c r="I356" s="42">
        <v>0</v>
      </c>
      <c r="K356" s="2">
        <f>+M356-I356-G356</f>
        <v>0</v>
      </c>
      <c r="M356" s="42">
        <v>0</v>
      </c>
      <c r="O356" s="42">
        <v>0</v>
      </c>
      <c r="Q356" s="2">
        <f t="shared" si="59"/>
        <v>0</v>
      </c>
      <c r="S356" s="42">
        <v>0</v>
      </c>
      <c r="U356" s="42">
        <v>0</v>
      </c>
      <c r="W356" s="42">
        <v>0</v>
      </c>
      <c r="Y356" s="42">
        <v>0</v>
      </c>
      <c r="AA356" s="42">
        <v>0</v>
      </c>
      <c r="AC356" s="42">
        <v>0</v>
      </c>
      <c r="AE356" s="42">
        <v>0</v>
      </c>
      <c r="AG356" s="42">
        <v>0</v>
      </c>
      <c r="AI356" s="10">
        <f t="shared" si="60"/>
        <v>0</v>
      </c>
      <c r="AK356" s="42">
        <f t="shared" si="58"/>
        <v>0</v>
      </c>
    </row>
    <row r="357" spans="1:37">
      <c r="A357" s="9" t="s">
        <v>224</v>
      </c>
      <c r="B357" s="9"/>
      <c r="C357" s="9" t="s">
        <v>220</v>
      </c>
      <c r="D357" s="9"/>
      <c r="E357" s="23">
        <v>44404</v>
      </c>
      <c r="G357" s="42">
        <v>1615749</v>
      </c>
      <c r="I357" s="42">
        <v>24610</v>
      </c>
      <c r="K357" s="2">
        <f t="shared" si="61"/>
        <v>30720936</v>
      </c>
      <c r="M357" s="42">
        <v>32361295</v>
      </c>
      <c r="O357" s="42">
        <v>0</v>
      </c>
      <c r="Q357" s="2">
        <f t="shared" si="59"/>
        <v>6914239</v>
      </c>
      <c r="S357" s="42">
        <v>0</v>
      </c>
      <c r="U357" s="42">
        <v>6914239</v>
      </c>
      <c r="W357" s="42">
        <v>28968521</v>
      </c>
      <c r="Y357" s="42">
        <v>0</v>
      </c>
      <c r="AA357" s="42">
        <v>24610</v>
      </c>
      <c r="AC357" s="42">
        <v>0</v>
      </c>
      <c r="AE357" s="42">
        <v>386691</v>
      </c>
      <c r="AG357" s="42">
        <v>-3932766</v>
      </c>
      <c r="AI357" s="10">
        <f t="shared" si="60"/>
        <v>-3521465</v>
      </c>
      <c r="AK357" s="42">
        <f t="shared" si="58"/>
        <v>0</v>
      </c>
    </row>
    <row r="358" spans="1:37">
      <c r="A358" s="9" t="s">
        <v>384</v>
      </c>
      <c r="B358" s="9"/>
      <c r="C358" s="9" t="s">
        <v>44</v>
      </c>
      <c r="D358" s="9"/>
      <c r="E358" s="23">
        <v>48173</v>
      </c>
      <c r="G358" s="42">
        <v>2273348</v>
      </c>
      <c r="I358" s="42">
        <v>546657</v>
      </c>
      <c r="K358" s="2">
        <f t="shared" si="61"/>
        <v>13791265</v>
      </c>
      <c r="M358" s="42">
        <v>16611270</v>
      </c>
      <c r="O358" s="42">
        <v>0</v>
      </c>
      <c r="Q358" s="2">
        <f t="shared" si="59"/>
        <v>15553306</v>
      </c>
      <c r="S358" s="42">
        <v>0</v>
      </c>
      <c r="U358" s="42">
        <v>15553306</v>
      </c>
      <c r="W358" s="42">
        <v>0</v>
      </c>
      <c r="Y358" s="42">
        <v>214980</v>
      </c>
      <c r="AA358" s="42">
        <v>664703</v>
      </c>
      <c r="AC358" s="42">
        <v>371096</v>
      </c>
      <c r="AE358" s="42">
        <v>184538</v>
      </c>
      <c r="AG358" s="42">
        <v>-377353</v>
      </c>
      <c r="AI358" s="10">
        <f t="shared" si="60"/>
        <v>1057964</v>
      </c>
      <c r="AK358" s="42">
        <f t="shared" si="58"/>
        <v>0</v>
      </c>
    </row>
    <row r="359" spans="1:37">
      <c r="A359" s="9" t="s">
        <v>764</v>
      </c>
      <c r="B359" s="9"/>
      <c r="C359" s="9" t="s">
        <v>112</v>
      </c>
      <c r="D359" s="9"/>
      <c r="E359" s="23">
        <v>45500</v>
      </c>
      <c r="G359" s="42">
        <v>15630935</v>
      </c>
      <c r="I359" s="42">
        <v>0</v>
      </c>
      <c r="K359" s="2">
        <f t="shared" si="61"/>
        <v>35254425</v>
      </c>
      <c r="M359" s="42">
        <v>50885360</v>
      </c>
      <c r="O359" s="42">
        <v>0</v>
      </c>
      <c r="Q359" s="2">
        <f t="shared" si="59"/>
        <v>36811522</v>
      </c>
      <c r="S359" s="42">
        <v>0</v>
      </c>
      <c r="U359" s="42">
        <v>36811522</v>
      </c>
      <c r="W359" s="42">
        <v>0</v>
      </c>
      <c r="Y359" s="42">
        <v>94086</v>
      </c>
      <c r="AA359" s="42">
        <v>0</v>
      </c>
      <c r="AC359" s="42">
        <v>0</v>
      </c>
      <c r="AE359" s="42">
        <v>5188839</v>
      </c>
      <c r="AG359" s="42">
        <v>8790913</v>
      </c>
      <c r="AI359" s="10">
        <f t="shared" si="60"/>
        <v>14073838</v>
      </c>
      <c r="AK359" s="42">
        <f t="shared" si="58"/>
        <v>0</v>
      </c>
    </row>
    <row r="360" spans="1:37" hidden="1">
      <c r="A360" s="9" t="s">
        <v>608</v>
      </c>
      <c r="B360" s="9"/>
      <c r="C360" s="9" t="s">
        <v>548</v>
      </c>
      <c r="D360" s="9"/>
      <c r="E360" s="23">
        <v>50633</v>
      </c>
      <c r="G360" s="42">
        <v>0</v>
      </c>
      <c r="I360" s="42">
        <v>0</v>
      </c>
      <c r="K360" s="2">
        <f t="shared" si="61"/>
        <v>0</v>
      </c>
      <c r="M360" s="42">
        <v>0</v>
      </c>
      <c r="O360" s="42">
        <v>0</v>
      </c>
      <c r="Q360" s="2">
        <f t="shared" si="59"/>
        <v>0</v>
      </c>
      <c r="S360" s="42">
        <v>0</v>
      </c>
      <c r="U360" s="42">
        <v>0</v>
      </c>
      <c r="W360" s="42">
        <v>0</v>
      </c>
      <c r="Y360" s="42">
        <v>0</v>
      </c>
      <c r="AA360" s="42">
        <v>0</v>
      </c>
      <c r="AC360" s="42">
        <v>0</v>
      </c>
      <c r="AE360" s="42">
        <v>0</v>
      </c>
      <c r="AG360" s="42">
        <v>0</v>
      </c>
      <c r="AI360" s="10">
        <f t="shared" si="60"/>
        <v>0</v>
      </c>
      <c r="AK360" s="42">
        <f t="shared" si="58"/>
        <v>0</v>
      </c>
    </row>
    <row r="361" spans="1:37" hidden="1">
      <c r="A361" s="9" t="s">
        <v>880</v>
      </c>
      <c r="B361" s="9"/>
      <c r="C361" s="9" t="s">
        <v>464</v>
      </c>
      <c r="D361" s="9"/>
      <c r="E361" s="23">
        <v>49361</v>
      </c>
      <c r="G361" s="42">
        <v>0</v>
      </c>
      <c r="I361" s="42">
        <v>0</v>
      </c>
      <c r="K361" s="2">
        <f t="shared" si="61"/>
        <v>0</v>
      </c>
      <c r="M361" s="42">
        <v>0</v>
      </c>
      <c r="O361" s="42">
        <v>0</v>
      </c>
      <c r="Q361" s="2">
        <f t="shared" si="59"/>
        <v>0</v>
      </c>
      <c r="S361" s="42">
        <v>0</v>
      </c>
      <c r="U361" s="42">
        <v>0</v>
      </c>
      <c r="W361" s="42">
        <v>0</v>
      </c>
      <c r="Y361" s="42">
        <v>0</v>
      </c>
      <c r="AA361" s="42">
        <v>0</v>
      </c>
      <c r="AC361" s="42">
        <v>0</v>
      </c>
      <c r="AE361" s="42">
        <v>0</v>
      </c>
      <c r="AG361" s="42">
        <v>0</v>
      </c>
      <c r="AI361" s="10">
        <f t="shared" si="60"/>
        <v>0</v>
      </c>
      <c r="AK361" s="42">
        <f t="shared" si="58"/>
        <v>0</v>
      </c>
    </row>
    <row r="362" spans="1:37" hidden="1">
      <c r="A362" s="9" t="s">
        <v>801</v>
      </c>
      <c r="B362" s="9"/>
      <c r="C362" s="9" t="s">
        <v>48</v>
      </c>
      <c r="D362" s="9"/>
      <c r="E362" s="23">
        <v>45518</v>
      </c>
      <c r="G362" s="42">
        <v>0</v>
      </c>
      <c r="I362" s="42">
        <v>0</v>
      </c>
      <c r="K362" s="2">
        <f t="shared" si="61"/>
        <v>0</v>
      </c>
      <c r="M362" s="42">
        <v>0</v>
      </c>
      <c r="O362" s="42">
        <v>0</v>
      </c>
      <c r="Q362" s="2">
        <f t="shared" si="59"/>
        <v>0</v>
      </c>
      <c r="S362" s="42">
        <v>0</v>
      </c>
      <c r="U362" s="42">
        <v>0</v>
      </c>
      <c r="W362" s="42">
        <v>0</v>
      </c>
      <c r="Y362" s="42">
        <v>0</v>
      </c>
      <c r="AA362" s="42">
        <v>0</v>
      </c>
      <c r="AC362" s="42">
        <v>0</v>
      </c>
      <c r="AE362" s="42">
        <v>0</v>
      </c>
      <c r="AG362" s="42">
        <v>0</v>
      </c>
      <c r="AI362" s="10">
        <f t="shared" si="60"/>
        <v>0</v>
      </c>
      <c r="AK362" s="42">
        <f t="shared" si="58"/>
        <v>0</v>
      </c>
    </row>
    <row r="363" spans="1:37">
      <c r="A363" s="9" t="s">
        <v>498</v>
      </c>
      <c r="B363" s="9"/>
      <c r="C363" s="9" t="s">
        <v>62</v>
      </c>
      <c r="D363" s="9"/>
      <c r="E363" s="23">
        <v>49890</v>
      </c>
      <c r="G363" s="42">
        <v>1385488</v>
      </c>
      <c r="I363" s="42">
        <v>0</v>
      </c>
      <c r="K363" s="2">
        <f t="shared" si="61"/>
        <v>6029488</v>
      </c>
      <c r="M363" s="42">
        <v>7414976</v>
      </c>
      <c r="O363" s="42">
        <v>0</v>
      </c>
      <c r="Q363" s="2">
        <f t="shared" si="59"/>
        <v>6571096</v>
      </c>
      <c r="S363" s="42">
        <v>0</v>
      </c>
      <c r="U363" s="42">
        <v>6571096</v>
      </c>
      <c r="W363" s="42">
        <v>0</v>
      </c>
      <c r="Y363" s="42">
        <v>440689</v>
      </c>
      <c r="AA363" s="42">
        <v>0</v>
      </c>
      <c r="AC363" s="42">
        <v>0</v>
      </c>
      <c r="AE363" s="42">
        <v>304877</v>
      </c>
      <c r="AG363" s="42">
        <v>98314</v>
      </c>
      <c r="AI363" s="10">
        <f t="shared" si="60"/>
        <v>843880</v>
      </c>
      <c r="AK363" s="42">
        <f t="shared" si="58"/>
        <v>0</v>
      </c>
    </row>
    <row r="364" spans="1:37">
      <c r="A364" s="9" t="s">
        <v>479</v>
      </c>
      <c r="B364" s="9"/>
      <c r="C364" s="9" t="s">
        <v>59</v>
      </c>
      <c r="D364" s="9"/>
      <c r="E364" s="23">
        <v>49627</v>
      </c>
      <c r="G364" s="42">
        <v>877046</v>
      </c>
      <c r="I364" s="42">
        <v>0</v>
      </c>
      <c r="K364" s="2">
        <f t="shared" si="61"/>
        <v>2363478</v>
      </c>
      <c r="M364" s="42">
        <v>3240524</v>
      </c>
      <c r="O364" s="42">
        <v>0</v>
      </c>
      <c r="Q364" s="2">
        <f t="shared" si="59"/>
        <v>1039855</v>
      </c>
      <c r="S364" s="42">
        <v>0</v>
      </c>
      <c r="U364" s="42">
        <v>1039855</v>
      </c>
      <c r="W364" s="42">
        <v>2039602</v>
      </c>
      <c r="Y364" s="42">
        <v>0</v>
      </c>
      <c r="AA364" s="42">
        <v>36189</v>
      </c>
      <c r="AC364" s="42">
        <v>0</v>
      </c>
      <c r="AE364" s="42">
        <v>124878</v>
      </c>
      <c r="AG364" s="42">
        <v>0</v>
      </c>
      <c r="AI364" s="10">
        <f t="shared" si="60"/>
        <v>161067</v>
      </c>
      <c r="AK364" s="42">
        <f t="shared" si="58"/>
        <v>0</v>
      </c>
    </row>
    <row r="365" spans="1:37">
      <c r="A365" s="9" t="s">
        <v>212</v>
      </c>
      <c r="B365" s="9"/>
      <c r="C365" s="9" t="s">
        <v>14</v>
      </c>
      <c r="D365" s="9"/>
      <c r="E365" s="23">
        <v>45948</v>
      </c>
      <c r="G365" s="42">
        <v>858482</v>
      </c>
      <c r="I365" s="42">
        <v>10076</v>
      </c>
      <c r="K365" s="2">
        <f t="shared" si="61"/>
        <v>4275407</v>
      </c>
      <c r="M365" s="42">
        <v>5143965</v>
      </c>
      <c r="O365" s="42">
        <v>0</v>
      </c>
      <c r="Q365" s="2">
        <f t="shared" si="59"/>
        <v>1052949</v>
      </c>
      <c r="S365" s="42">
        <v>0</v>
      </c>
      <c r="U365" s="42">
        <v>1052949</v>
      </c>
      <c r="W365" s="42">
        <v>2881687</v>
      </c>
      <c r="Y365" s="42">
        <v>37253</v>
      </c>
      <c r="AA365" s="42">
        <v>7373</v>
      </c>
      <c r="AC365" s="42">
        <v>0</v>
      </c>
      <c r="AE365" s="42">
        <v>52474</v>
      </c>
      <c r="AG365" s="42">
        <v>1112229</v>
      </c>
      <c r="AI365" s="10">
        <f t="shared" si="60"/>
        <v>1209329</v>
      </c>
      <c r="AK365" s="42">
        <f t="shared" si="58"/>
        <v>0</v>
      </c>
    </row>
    <row r="366" spans="1:37" hidden="1">
      <c r="A366" s="9" t="s">
        <v>635</v>
      </c>
      <c r="B366" s="9"/>
      <c r="C366" s="9" t="s">
        <v>21</v>
      </c>
      <c r="D366" s="9"/>
      <c r="E366" s="23">
        <v>46672</v>
      </c>
      <c r="G366" s="42">
        <v>0</v>
      </c>
      <c r="I366" s="42">
        <v>0</v>
      </c>
      <c r="K366" s="2">
        <f t="shared" si="61"/>
        <v>0</v>
      </c>
      <c r="M366" s="42">
        <v>0</v>
      </c>
      <c r="O366" s="42">
        <v>0</v>
      </c>
      <c r="Q366" s="2">
        <f t="shared" si="59"/>
        <v>0</v>
      </c>
      <c r="S366" s="42">
        <v>0</v>
      </c>
      <c r="U366" s="42">
        <v>0</v>
      </c>
      <c r="W366" s="42">
        <v>0</v>
      </c>
      <c r="Y366" s="42">
        <v>0</v>
      </c>
      <c r="AA366" s="42">
        <v>0</v>
      </c>
      <c r="AC366" s="42">
        <v>0</v>
      </c>
      <c r="AE366" s="42">
        <v>0</v>
      </c>
      <c r="AG366" s="42">
        <v>0</v>
      </c>
      <c r="AI366" s="10">
        <f t="shared" si="60"/>
        <v>0</v>
      </c>
      <c r="AK366" s="42">
        <f t="shared" si="58"/>
        <v>0</v>
      </c>
    </row>
    <row r="367" spans="1:37">
      <c r="A367" s="9" t="s">
        <v>506</v>
      </c>
      <c r="B367" s="9"/>
      <c r="C367" s="9" t="s">
        <v>63</v>
      </c>
      <c r="D367" s="9"/>
      <c r="E367" s="23">
        <v>50039</v>
      </c>
      <c r="G367" s="42">
        <v>2262074</v>
      </c>
      <c r="I367" s="42">
        <v>31768</v>
      </c>
      <c r="K367" s="2">
        <f t="shared" si="61"/>
        <v>2989049</v>
      </c>
      <c r="M367" s="42">
        <v>5282891</v>
      </c>
      <c r="O367" s="42">
        <v>0</v>
      </c>
      <c r="Q367" s="2">
        <f t="shared" si="59"/>
        <v>3721673</v>
      </c>
      <c r="S367" s="42">
        <v>0</v>
      </c>
      <c r="U367" s="42">
        <v>3721673</v>
      </c>
      <c r="W367" s="42">
        <v>0</v>
      </c>
      <c r="Y367" s="42">
        <v>0</v>
      </c>
      <c r="AA367" s="42">
        <v>31768</v>
      </c>
      <c r="AC367" s="42">
        <v>0</v>
      </c>
      <c r="AE367" s="42">
        <v>873930</v>
      </c>
      <c r="AG367" s="42">
        <v>655520</v>
      </c>
      <c r="AI367" s="10">
        <f t="shared" si="60"/>
        <v>1561218</v>
      </c>
      <c r="AK367" s="42">
        <f t="shared" si="58"/>
        <v>0</v>
      </c>
    </row>
    <row r="368" spans="1:37" hidden="1">
      <c r="A368" s="9" t="s">
        <v>616</v>
      </c>
      <c r="B368" s="9"/>
      <c r="C368" s="9" t="s">
        <v>553</v>
      </c>
      <c r="D368" s="9"/>
      <c r="E368" s="23">
        <v>50740</v>
      </c>
      <c r="G368" s="42">
        <v>0</v>
      </c>
      <c r="I368" s="42">
        <v>0</v>
      </c>
      <c r="K368" s="2">
        <f t="shared" si="61"/>
        <v>0</v>
      </c>
      <c r="M368" s="42">
        <v>0</v>
      </c>
      <c r="O368" s="42">
        <v>0</v>
      </c>
      <c r="Q368" s="2">
        <f t="shared" si="59"/>
        <v>0</v>
      </c>
      <c r="S368" s="42">
        <v>0</v>
      </c>
      <c r="U368" s="42">
        <v>0</v>
      </c>
      <c r="W368" s="42">
        <v>0</v>
      </c>
      <c r="Y368" s="42">
        <v>0</v>
      </c>
      <c r="AA368" s="42">
        <v>0</v>
      </c>
      <c r="AC368" s="42">
        <v>0</v>
      </c>
      <c r="AE368" s="42">
        <v>0</v>
      </c>
      <c r="AG368" s="42">
        <v>0</v>
      </c>
      <c r="AI368" s="10">
        <f t="shared" si="60"/>
        <v>0</v>
      </c>
      <c r="AK368" s="42">
        <f t="shared" si="58"/>
        <v>0</v>
      </c>
    </row>
    <row r="369" spans="1:37">
      <c r="A369" s="8" t="s">
        <v>905</v>
      </c>
      <c r="B369" s="9"/>
      <c r="C369" s="9" t="s">
        <v>220</v>
      </c>
      <c r="D369" s="9"/>
      <c r="E369" s="23">
        <v>139303</v>
      </c>
      <c r="G369" s="42">
        <v>2053427</v>
      </c>
      <c r="I369" s="42">
        <v>0</v>
      </c>
      <c r="K369" s="2">
        <f t="shared" si="61"/>
        <v>12007161</v>
      </c>
      <c r="M369" s="42">
        <v>14060588</v>
      </c>
      <c r="O369" s="42">
        <v>0</v>
      </c>
      <c r="Q369" s="2">
        <f t="shared" si="59"/>
        <v>4046374</v>
      </c>
      <c r="S369" s="42">
        <v>0</v>
      </c>
      <c r="U369" s="42">
        <v>4046374</v>
      </c>
      <c r="W369" s="42">
        <v>11739181</v>
      </c>
      <c r="Y369" s="42">
        <v>3792</v>
      </c>
      <c r="AA369" s="42">
        <v>0</v>
      </c>
      <c r="AC369" s="42">
        <v>0</v>
      </c>
      <c r="AE369" s="42">
        <v>541375</v>
      </c>
      <c r="AG369" s="42">
        <v>-2270134</v>
      </c>
      <c r="AI369" s="10">
        <f t="shared" si="60"/>
        <v>-1724967</v>
      </c>
      <c r="AK369" s="42">
        <f t="shared" si="58"/>
        <v>0</v>
      </c>
    </row>
    <row r="370" spans="1:37" s="24" customFormat="1">
      <c r="A370" s="51" t="s">
        <v>354</v>
      </c>
      <c r="B370" s="51"/>
      <c r="C370" s="51" t="s">
        <v>37</v>
      </c>
      <c r="D370" s="51"/>
      <c r="E370" s="23">
        <v>47712</v>
      </c>
      <c r="G370" s="42">
        <v>528760</v>
      </c>
      <c r="H370" s="42"/>
      <c r="I370" s="42">
        <v>5235</v>
      </c>
      <c r="J370" s="42"/>
      <c r="K370" s="2">
        <f t="shared" si="61"/>
        <v>2630600</v>
      </c>
      <c r="L370" s="42"/>
      <c r="M370" s="42">
        <v>3164595</v>
      </c>
      <c r="N370" s="42"/>
      <c r="O370" s="42">
        <v>0</v>
      </c>
      <c r="P370" s="42"/>
      <c r="Q370" s="2">
        <f t="shared" si="59"/>
        <v>769290</v>
      </c>
      <c r="R370" s="42"/>
      <c r="S370" s="42">
        <v>0</v>
      </c>
      <c r="T370" s="42"/>
      <c r="U370" s="42">
        <v>769290</v>
      </c>
      <c r="V370" s="42"/>
      <c r="W370" s="42">
        <v>1989141</v>
      </c>
      <c r="X370" s="42"/>
      <c r="Y370" s="42">
        <f>3965+648</f>
        <v>4613</v>
      </c>
      <c r="Z370" s="42"/>
      <c r="AA370" s="42">
        <v>5235</v>
      </c>
      <c r="AB370" s="42"/>
      <c r="AC370" s="42">
        <v>0</v>
      </c>
      <c r="AD370" s="42"/>
      <c r="AE370" s="42">
        <f>55584+112162+1638+2225+137718+2800</f>
        <v>312127</v>
      </c>
      <c r="AF370" s="42"/>
      <c r="AG370" s="42">
        <v>84189</v>
      </c>
      <c r="AH370" s="42"/>
      <c r="AI370" s="10">
        <f t="shared" si="60"/>
        <v>406164</v>
      </c>
      <c r="AJ370" s="42"/>
      <c r="AK370" s="42">
        <f t="shared" si="58"/>
        <v>0</v>
      </c>
    </row>
    <row r="371" spans="1:37" hidden="1">
      <c r="A371" s="9" t="s">
        <v>802</v>
      </c>
      <c r="B371" s="9"/>
      <c r="C371" s="9" t="s">
        <v>548</v>
      </c>
      <c r="D371" s="9"/>
      <c r="E371" s="23">
        <v>45526</v>
      </c>
      <c r="G371" s="42">
        <v>0</v>
      </c>
      <c r="I371" s="42">
        <v>0</v>
      </c>
      <c r="K371" s="2">
        <f t="shared" si="61"/>
        <v>0</v>
      </c>
      <c r="M371" s="42">
        <v>0</v>
      </c>
      <c r="O371" s="42">
        <v>0</v>
      </c>
      <c r="Q371" s="2">
        <f t="shared" si="59"/>
        <v>0</v>
      </c>
      <c r="S371" s="42">
        <v>0</v>
      </c>
      <c r="U371" s="42">
        <v>0</v>
      </c>
      <c r="W371" s="42">
        <v>0</v>
      </c>
      <c r="Y371" s="42">
        <v>0</v>
      </c>
      <c r="AA371" s="42">
        <v>0</v>
      </c>
      <c r="AC371" s="42">
        <v>0</v>
      </c>
      <c r="AE371" s="42">
        <v>0</v>
      </c>
      <c r="AG371" s="42">
        <v>0</v>
      </c>
      <c r="AI371" s="10">
        <f t="shared" si="60"/>
        <v>0</v>
      </c>
      <c r="AK371" s="42">
        <f t="shared" si="58"/>
        <v>0</v>
      </c>
    </row>
    <row r="372" spans="1:37" s="24" customFormat="1">
      <c r="A372" s="51" t="s">
        <v>436</v>
      </c>
      <c r="B372" s="51"/>
      <c r="C372" s="51" t="s">
        <v>437</v>
      </c>
      <c r="D372" s="51"/>
      <c r="E372" s="51">
        <v>48777</v>
      </c>
      <c r="G372" s="24">
        <v>8204895</v>
      </c>
      <c r="I372" s="24">
        <v>76683</v>
      </c>
      <c r="K372" s="60">
        <f t="shared" si="61"/>
        <v>4755662</v>
      </c>
      <c r="M372" s="24">
        <v>13037240</v>
      </c>
      <c r="O372" s="24">
        <v>0</v>
      </c>
      <c r="Q372" s="60">
        <f t="shared" si="59"/>
        <v>2026127</v>
      </c>
      <c r="S372" s="24">
        <v>0</v>
      </c>
      <c r="U372" s="24">
        <v>2026127</v>
      </c>
      <c r="W372" s="24">
        <v>4296011</v>
      </c>
      <c r="Y372" s="24">
        <v>67068</v>
      </c>
      <c r="AA372" s="24">
        <v>76683</v>
      </c>
      <c r="AC372" s="24">
        <v>0</v>
      </c>
      <c r="AE372" s="24">
        <v>548955</v>
      </c>
      <c r="AG372" s="24">
        <v>6022396</v>
      </c>
      <c r="AI372" s="61">
        <f t="shared" si="60"/>
        <v>6715102</v>
      </c>
      <c r="AK372" s="24">
        <f t="shared" si="58"/>
        <v>0</v>
      </c>
    </row>
    <row r="373" spans="1:37">
      <c r="A373" s="9" t="s">
        <v>765</v>
      </c>
      <c r="B373" s="9"/>
      <c r="C373" s="9" t="s">
        <v>78</v>
      </c>
      <c r="D373" s="9"/>
      <c r="E373" s="23">
        <v>45534</v>
      </c>
      <c r="G373" s="42">
        <v>2902981</v>
      </c>
      <c r="I373" s="42">
        <v>0</v>
      </c>
      <c r="K373" s="2">
        <f t="shared" si="61"/>
        <v>4837529</v>
      </c>
      <c r="M373" s="42">
        <v>7740510</v>
      </c>
      <c r="O373" s="42">
        <v>0</v>
      </c>
      <c r="Q373" s="2">
        <f t="shared" si="59"/>
        <v>4718387</v>
      </c>
      <c r="S373" s="42">
        <v>0</v>
      </c>
      <c r="U373" s="42">
        <v>4718387</v>
      </c>
      <c r="W373" s="42">
        <v>0</v>
      </c>
      <c r="Y373" s="42">
        <v>0</v>
      </c>
      <c r="AA373" s="42">
        <v>0</v>
      </c>
      <c r="AC373" s="42">
        <v>0</v>
      </c>
      <c r="AE373" s="42">
        <v>397294</v>
      </c>
      <c r="AG373" s="42">
        <v>2624829</v>
      </c>
      <c r="AI373" s="10">
        <f t="shared" si="60"/>
        <v>3022123</v>
      </c>
      <c r="AK373" s="42">
        <f t="shared" si="58"/>
        <v>0</v>
      </c>
    </row>
    <row r="374" spans="1:37" hidden="1">
      <c r="A374" s="8" t="s">
        <v>866</v>
      </c>
      <c r="B374" s="9"/>
      <c r="C374" s="9" t="s">
        <v>40</v>
      </c>
      <c r="D374" s="9"/>
      <c r="E374" s="23">
        <v>44420</v>
      </c>
      <c r="G374" s="42">
        <v>0</v>
      </c>
      <c r="I374" s="42">
        <v>0</v>
      </c>
      <c r="K374" s="2">
        <f t="shared" si="61"/>
        <v>0</v>
      </c>
      <c r="M374" s="42">
        <v>0</v>
      </c>
      <c r="O374" s="42">
        <v>0</v>
      </c>
      <c r="Q374" s="2">
        <f t="shared" si="59"/>
        <v>0</v>
      </c>
      <c r="S374" s="42">
        <v>0</v>
      </c>
      <c r="U374" s="42">
        <v>0</v>
      </c>
      <c r="W374" s="42">
        <v>0</v>
      </c>
      <c r="Y374" s="42">
        <v>0</v>
      </c>
      <c r="AA374" s="42">
        <v>0</v>
      </c>
      <c r="AC374" s="42">
        <v>0</v>
      </c>
      <c r="AE374" s="42">
        <v>0</v>
      </c>
      <c r="AG374" s="42">
        <v>0</v>
      </c>
      <c r="AI374" s="10">
        <f t="shared" si="60"/>
        <v>0</v>
      </c>
      <c r="AK374" s="42">
        <f t="shared" si="58"/>
        <v>0</v>
      </c>
    </row>
    <row r="375" spans="1:37">
      <c r="A375" s="9" t="s">
        <v>706</v>
      </c>
      <c r="B375" s="9"/>
      <c r="C375" s="9" t="s">
        <v>32</v>
      </c>
      <c r="D375" s="9"/>
      <c r="E375" s="23">
        <v>44412</v>
      </c>
      <c r="G375" s="42">
        <v>6561296</v>
      </c>
      <c r="I375" s="42">
        <v>168887</v>
      </c>
      <c r="K375" s="2">
        <f t="shared" si="61"/>
        <v>12645400</v>
      </c>
      <c r="M375" s="42">
        <v>19375583</v>
      </c>
      <c r="O375" s="42">
        <v>0</v>
      </c>
      <c r="Q375" s="2">
        <f t="shared" si="59"/>
        <v>11185455</v>
      </c>
      <c r="S375" s="42">
        <v>0</v>
      </c>
      <c r="U375" s="42">
        <v>11185455</v>
      </c>
      <c r="W375" s="42">
        <v>0</v>
      </c>
      <c r="Y375" s="42">
        <v>0</v>
      </c>
      <c r="AA375" s="42">
        <v>0</v>
      </c>
      <c r="AC375" s="42">
        <v>0</v>
      </c>
      <c r="AE375" s="42">
        <v>1818990</v>
      </c>
      <c r="AG375" s="42">
        <v>6371138</v>
      </c>
      <c r="AI375" s="10">
        <f t="shared" si="60"/>
        <v>8190128</v>
      </c>
      <c r="AK375" s="42">
        <f t="shared" si="58"/>
        <v>0</v>
      </c>
    </row>
    <row r="376" spans="1:37">
      <c r="A376" s="9" t="s">
        <v>344</v>
      </c>
      <c r="B376" s="9"/>
      <c r="C376" s="9" t="s">
        <v>34</v>
      </c>
      <c r="D376" s="9"/>
      <c r="E376" s="23">
        <v>44438</v>
      </c>
      <c r="G376" s="42">
        <f>9230020+58515</f>
        <v>9288535</v>
      </c>
      <c r="I376" s="42">
        <v>51337</v>
      </c>
      <c r="K376" s="2">
        <f t="shared" si="61"/>
        <v>10432190</v>
      </c>
      <c r="M376" s="42">
        <v>19772062</v>
      </c>
      <c r="O376" s="42">
        <v>0</v>
      </c>
      <c r="Q376" s="2">
        <f t="shared" si="59"/>
        <v>2536311</v>
      </c>
      <c r="S376" s="42">
        <v>0</v>
      </c>
      <c r="U376" s="42">
        <v>2536311</v>
      </c>
      <c r="W376" s="42">
        <v>8903617</v>
      </c>
      <c r="Y376" s="42">
        <v>131996</v>
      </c>
      <c r="AA376" s="42">
        <v>0</v>
      </c>
      <c r="AC376" s="42">
        <v>100000</v>
      </c>
      <c r="AE376" s="42">
        <v>2446318</v>
      </c>
      <c r="AG376" s="42">
        <v>5653820</v>
      </c>
      <c r="AI376" s="10">
        <f t="shared" si="60"/>
        <v>8332134</v>
      </c>
      <c r="AK376" s="42">
        <f t="shared" si="58"/>
        <v>0</v>
      </c>
    </row>
    <row r="377" spans="1:37" hidden="1">
      <c r="A377" s="9" t="s">
        <v>759</v>
      </c>
      <c r="B377" s="9"/>
      <c r="C377" s="9" t="s">
        <v>57</v>
      </c>
      <c r="D377" s="9"/>
      <c r="E377" s="23">
        <v>49270</v>
      </c>
      <c r="G377" s="42">
        <v>0</v>
      </c>
      <c r="I377" s="42">
        <v>0</v>
      </c>
      <c r="K377" s="2"/>
      <c r="M377" s="42">
        <v>0</v>
      </c>
      <c r="O377" s="42">
        <v>0</v>
      </c>
      <c r="Q377" s="2"/>
      <c r="S377" s="42">
        <v>0</v>
      </c>
      <c r="U377" s="42">
        <v>0</v>
      </c>
      <c r="W377" s="42">
        <v>0</v>
      </c>
      <c r="Y377" s="42">
        <v>0</v>
      </c>
      <c r="AA377" s="42">
        <v>0</v>
      </c>
      <c r="AC377" s="42">
        <v>0</v>
      </c>
      <c r="AE377" s="42">
        <v>0</v>
      </c>
      <c r="AG377" s="42">
        <v>0</v>
      </c>
      <c r="AI377" s="10"/>
      <c r="AK377" s="42">
        <f t="shared" si="58"/>
        <v>0</v>
      </c>
    </row>
    <row r="378" spans="1:37">
      <c r="A378" s="9" t="s">
        <v>210</v>
      </c>
      <c r="B378" s="9"/>
      <c r="C378" s="9" t="s">
        <v>13</v>
      </c>
      <c r="D378" s="9"/>
      <c r="E378" s="23">
        <v>44446</v>
      </c>
      <c r="G378" s="42">
        <f>3361967+81807</f>
        <v>3443774</v>
      </c>
      <c r="I378" s="42">
        <v>0</v>
      </c>
      <c r="K378" s="2">
        <f t="shared" si="61"/>
        <v>2200389</v>
      </c>
      <c r="M378" s="42">
        <v>5644163</v>
      </c>
      <c r="O378" s="42">
        <v>0</v>
      </c>
      <c r="Q378" s="2">
        <f t="shared" si="59"/>
        <v>1303088</v>
      </c>
      <c r="S378" s="42">
        <v>0</v>
      </c>
      <c r="U378" s="42">
        <v>1303088</v>
      </c>
      <c r="W378" s="42">
        <v>1819672</v>
      </c>
      <c r="Y378" s="42">
        <v>42364</v>
      </c>
      <c r="AA378" s="42">
        <v>0</v>
      </c>
      <c r="AC378" s="42">
        <v>0</v>
      </c>
      <c r="AE378" s="42">
        <v>73598</v>
      </c>
      <c r="AG378" s="42">
        <v>2405441</v>
      </c>
      <c r="AI378" s="10">
        <f t="shared" si="60"/>
        <v>2521403</v>
      </c>
      <c r="AK378" s="42">
        <f t="shared" si="58"/>
        <v>0</v>
      </c>
    </row>
    <row r="379" spans="1:37">
      <c r="A379" s="9" t="s">
        <v>603</v>
      </c>
      <c r="B379" s="9"/>
      <c r="C379" s="9" t="s">
        <v>27</v>
      </c>
      <c r="D379" s="9"/>
      <c r="E379" s="23">
        <v>46995</v>
      </c>
      <c r="G379" s="42">
        <v>16406870</v>
      </c>
      <c r="I379" s="42">
        <v>0</v>
      </c>
      <c r="K379" s="2">
        <f t="shared" si="61"/>
        <v>42029928</v>
      </c>
      <c r="M379" s="42">
        <v>58436798</v>
      </c>
      <c r="O379" s="42">
        <v>0</v>
      </c>
      <c r="Q379" s="2">
        <f t="shared" si="59"/>
        <v>7060173</v>
      </c>
      <c r="S379" s="42">
        <v>0</v>
      </c>
      <c r="U379" s="42">
        <v>7060173</v>
      </c>
      <c r="W379" s="42">
        <v>28350843</v>
      </c>
      <c r="Y379" s="42">
        <v>0</v>
      </c>
      <c r="AA379" s="42">
        <v>0</v>
      </c>
      <c r="AC379" s="42">
        <v>0</v>
      </c>
      <c r="AE379" s="42">
        <f>189752+46393+200888+2743497+199539+126792</f>
        <v>3506861</v>
      </c>
      <c r="AG379" s="42">
        <v>19518921</v>
      </c>
      <c r="AI379" s="10">
        <f t="shared" si="60"/>
        <v>23025782</v>
      </c>
      <c r="AK379" s="42">
        <f t="shared" si="58"/>
        <v>0</v>
      </c>
    </row>
    <row r="380" spans="1:37">
      <c r="A380" s="9" t="s">
        <v>480</v>
      </c>
      <c r="B380" s="9"/>
      <c r="C380" s="9" t="s">
        <v>59</v>
      </c>
      <c r="D380" s="9"/>
      <c r="E380" s="23">
        <v>44461</v>
      </c>
      <c r="G380" s="42">
        <v>1553675</v>
      </c>
      <c r="I380" s="42">
        <v>0</v>
      </c>
      <c r="K380" s="2">
        <f t="shared" si="61"/>
        <v>1503921</v>
      </c>
      <c r="M380" s="42">
        <v>3057596</v>
      </c>
      <c r="O380" s="42">
        <v>0</v>
      </c>
      <c r="Q380" s="2">
        <f t="shared" si="59"/>
        <v>397791</v>
      </c>
      <c r="S380" s="42">
        <v>0</v>
      </c>
      <c r="U380" s="42">
        <v>397791</v>
      </c>
      <c r="W380" s="42">
        <v>1413238</v>
      </c>
      <c r="Y380" s="42">
        <v>8416</v>
      </c>
      <c r="AA380" s="42">
        <v>0</v>
      </c>
      <c r="AC380" s="42">
        <v>0</v>
      </c>
      <c r="AE380" s="42">
        <v>298487</v>
      </c>
      <c r="AG380" s="42">
        <v>939664</v>
      </c>
      <c r="AI380" s="10">
        <f t="shared" si="60"/>
        <v>1246567</v>
      </c>
      <c r="AK380" s="42">
        <f t="shared" si="58"/>
        <v>0</v>
      </c>
    </row>
    <row r="381" spans="1:37">
      <c r="A381" s="9" t="s">
        <v>213</v>
      </c>
      <c r="B381" s="9"/>
      <c r="C381" s="9" t="s">
        <v>14</v>
      </c>
      <c r="D381" s="9"/>
      <c r="E381" s="23">
        <v>45955</v>
      </c>
      <c r="G381" s="42">
        <v>5883771</v>
      </c>
      <c r="I381" s="42">
        <v>0</v>
      </c>
      <c r="K381" s="2">
        <f t="shared" si="61"/>
        <v>2712343</v>
      </c>
      <c r="M381" s="42">
        <v>8596114</v>
      </c>
      <c r="O381" s="42">
        <v>0</v>
      </c>
      <c r="Q381" s="2">
        <f t="shared" si="59"/>
        <v>1116074</v>
      </c>
      <c r="S381" s="42">
        <v>0</v>
      </c>
      <c r="U381" s="42">
        <v>1116074</v>
      </c>
      <c r="W381" s="42">
        <v>1796649</v>
      </c>
      <c r="Y381" s="42">
        <v>7075</v>
      </c>
      <c r="AA381" s="42">
        <v>0</v>
      </c>
      <c r="AC381" s="42">
        <v>0</v>
      </c>
      <c r="AE381" s="42">
        <v>16616</v>
      </c>
      <c r="AG381" s="42">
        <v>5659700</v>
      </c>
      <c r="AI381" s="10">
        <f t="shared" si="60"/>
        <v>5683391</v>
      </c>
      <c r="AK381" s="42">
        <f t="shared" si="58"/>
        <v>0</v>
      </c>
    </row>
    <row r="382" spans="1:37" hidden="1">
      <c r="A382" s="9" t="s">
        <v>700</v>
      </c>
      <c r="B382" s="9"/>
      <c r="C382" s="9" t="s">
        <v>14</v>
      </c>
      <c r="D382" s="9"/>
      <c r="E382" s="23">
        <v>45963</v>
      </c>
      <c r="G382" s="42">
        <v>0</v>
      </c>
      <c r="I382" s="42">
        <v>0</v>
      </c>
      <c r="K382" s="2">
        <f t="shared" si="61"/>
        <v>0</v>
      </c>
      <c r="M382" s="42">
        <v>0</v>
      </c>
      <c r="O382" s="42">
        <v>0</v>
      </c>
      <c r="Q382" s="2">
        <f t="shared" si="59"/>
        <v>0</v>
      </c>
      <c r="S382" s="42">
        <v>0</v>
      </c>
      <c r="U382" s="42">
        <v>0</v>
      </c>
      <c r="W382" s="42">
        <v>0</v>
      </c>
      <c r="Y382" s="42">
        <v>0</v>
      </c>
      <c r="AA382" s="42">
        <v>0</v>
      </c>
      <c r="AC382" s="42">
        <v>0</v>
      </c>
      <c r="AE382" s="42">
        <v>0</v>
      </c>
      <c r="AG382" s="42">
        <v>0</v>
      </c>
      <c r="AI382" s="10">
        <f t="shared" si="60"/>
        <v>0</v>
      </c>
      <c r="AK382" s="42">
        <f t="shared" si="58"/>
        <v>0</v>
      </c>
    </row>
    <row r="383" spans="1:37">
      <c r="A383" s="9" t="s">
        <v>430</v>
      </c>
      <c r="B383" s="9"/>
      <c r="C383" s="9" t="s">
        <v>50</v>
      </c>
      <c r="D383" s="9"/>
      <c r="E383" s="23">
        <v>48710</v>
      </c>
      <c r="G383" s="42">
        <v>6037154</v>
      </c>
      <c r="I383" s="42">
        <v>0</v>
      </c>
      <c r="K383" s="2">
        <f t="shared" si="61"/>
        <v>2998813</v>
      </c>
      <c r="M383" s="42">
        <v>9035967</v>
      </c>
      <c r="O383" s="42">
        <v>0</v>
      </c>
      <c r="Q383" s="2">
        <f t="shared" si="59"/>
        <v>3602047</v>
      </c>
      <c r="S383" s="42">
        <v>0</v>
      </c>
      <c r="U383" s="42">
        <v>3602047</v>
      </c>
      <c r="W383" s="42">
        <v>0</v>
      </c>
      <c r="Y383" s="42">
        <v>0</v>
      </c>
      <c r="AA383" s="42">
        <v>0</v>
      </c>
      <c r="AC383" s="42">
        <v>0</v>
      </c>
      <c r="AE383" s="42">
        <v>41629</v>
      </c>
      <c r="AG383" s="42">
        <v>5392291</v>
      </c>
      <c r="AI383" s="10">
        <f t="shared" si="60"/>
        <v>5433920</v>
      </c>
      <c r="AK383" s="42">
        <f t="shared" si="58"/>
        <v>0</v>
      </c>
    </row>
    <row r="384" spans="1:37" hidden="1">
      <c r="A384" s="9" t="s">
        <v>803</v>
      </c>
      <c r="B384" s="9"/>
      <c r="C384" s="9" t="s">
        <v>448</v>
      </c>
      <c r="D384" s="9"/>
      <c r="E384" s="23">
        <v>44479</v>
      </c>
      <c r="G384" s="42">
        <v>0</v>
      </c>
      <c r="I384" s="42">
        <v>0</v>
      </c>
      <c r="K384" s="2">
        <f t="shared" si="61"/>
        <v>0</v>
      </c>
      <c r="M384" s="42">
        <v>0</v>
      </c>
      <c r="O384" s="42">
        <v>0</v>
      </c>
      <c r="Q384" s="2">
        <f t="shared" si="59"/>
        <v>0</v>
      </c>
      <c r="S384" s="42">
        <v>0</v>
      </c>
      <c r="U384" s="42">
        <v>0</v>
      </c>
      <c r="W384" s="42">
        <v>0</v>
      </c>
      <c r="Y384" s="42">
        <v>0</v>
      </c>
      <c r="AA384" s="42">
        <v>0</v>
      </c>
      <c r="AC384" s="42">
        <v>0</v>
      </c>
      <c r="AE384" s="42">
        <v>0</v>
      </c>
      <c r="AG384" s="42">
        <v>0</v>
      </c>
      <c r="AI384" s="10">
        <f t="shared" si="60"/>
        <v>0</v>
      </c>
      <c r="AK384" s="42">
        <f t="shared" si="58"/>
        <v>0</v>
      </c>
    </row>
    <row r="385" spans="1:37">
      <c r="A385" s="9" t="s">
        <v>355</v>
      </c>
      <c r="B385" s="9"/>
      <c r="C385" s="9" t="s">
        <v>37</v>
      </c>
      <c r="D385" s="9"/>
      <c r="E385" s="23">
        <v>47720</v>
      </c>
      <c r="G385" s="42">
        <v>1388579</v>
      </c>
      <c r="I385" s="42">
        <v>0</v>
      </c>
      <c r="K385" s="2">
        <f t="shared" si="61"/>
        <v>2694545</v>
      </c>
      <c r="M385" s="42">
        <v>4083124</v>
      </c>
      <c r="O385" s="42">
        <v>0</v>
      </c>
      <c r="Q385" s="2">
        <f t="shared" si="59"/>
        <v>1062859</v>
      </c>
      <c r="S385" s="42">
        <v>0</v>
      </c>
      <c r="U385" s="42">
        <v>1062859</v>
      </c>
      <c r="W385" s="42">
        <v>1965831</v>
      </c>
      <c r="Y385" s="42">
        <v>0</v>
      </c>
      <c r="AA385" s="42">
        <v>0</v>
      </c>
      <c r="AC385" s="42">
        <v>0</v>
      </c>
      <c r="AE385" s="42">
        <v>1021847</v>
      </c>
      <c r="AG385" s="42">
        <v>32587</v>
      </c>
      <c r="AI385" s="10">
        <f t="shared" si="60"/>
        <v>1054434</v>
      </c>
      <c r="AK385" s="42">
        <f t="shared" si="58"/>
        <v>0</v>
      </c>
    </row>
    <row r="386" spans="1:37">
      <c r="A386" s="9" t="s">
        <v>225</v>
      </c>
      <c r="B386" s="9"/>
      <c r="C386" s="9" t="s">
        <v>220</v>
      </c>
      <c r="D386" s="9"/>
      <c r="E386" s="23">
        <v>46136</v>
      </c>
      <c r="G386" s="42">
        <v>3611675</v>
      </c>
      <c r="I386" s="42">
        <v>0</v>
      </c>
      <c r="K386" s="2">
        <f t="shared" si="61"/>
        <v>1372718</v>
      </c>
      <c r="M386" s="42">
        <v>4984393</v>
      </c>
      <c r="O386" s="42">
        <v>0</v>
      </c>
      <c r="Q386" s="2">
        <f t="shared" si="59"/>
        <v>1857789</v>
      </c>
      <c r="S386" s="42">
        <v>0</v>
      </c>
      <c r="U386" s="42">
        <v>1857789</v>
      </c>
      <c r="W386" s="42">
        <v>0</v>
      </c>
      <c r="Y386" s="42">
        <v>1338</v>
      </c>
      <c r="AA386" s="42">
        <v>0</v>
      </c>
      <c r="AC386" s="42">
        <v>0</v>
      </c>
      <c r="AE386" s="42">
        <v>3119704</v>
      </c>
      <c r="AG386" s="42">
        <v>5562</v>
      </c>
      <c r="AI386" s="10">
        <f t="shared" si="60"/>
        <v>3126604</v>
      </c>
      <c r="AK386" s="42">
        <f t="shared" si="58"/>
        <v>0</v>
      </c>
    </row>
    <row r="387" spans="1:37">
      <c r="A387" s="9" t="s">
        <v>533</v>
      </c>
      <c r="B387" s="9"/>
      <c r="C387" s="9" t="s">
        <v>65</v>
      </c>
      <c r="D387" s="9"/>
      <c r="E387" s="23">
        <v>44487</v>
      </c>
      <c r="G387" s="42">
        <v>5193056</v>
      </c>
      <c r="I387" s="42">
        <v>0</v>
      </c>
      <c r="K387" s="2">
        <f t="shared" si="61"/>
        <v>12194515</v>
      </c>
      <c r="M387" s="42">
        <v>17387571</v>
      </c>
      <c r="O387" s="42">
        <v>0</v>
      </c>
      <c r="Q387" s="2">
        <f t="shared" si="59"/>
        <v>13561299</v>
      </c>
      <c r="S387" s="42">
        <v>0</v>
      </c>
      <c r="U387" s="42">
        <v>13561299</v>
      </c>
      <c r="W387" s="42">
        <v>0</v>
      </c>
      <c r="Y387" s="42">
        <f>51345+19279</f>
        <v>70624</v>
      </c>
      <c r="AA387" s="42">
        <v>0</v>
      </c>
      <c r="AC387" s="42">
        <v>0</v>
      </c>
      <c r="AE387" s="42">
        <v>2021873</v>
      </c>
      <c r="AG387" s="42">
        <v>1733775</v>
      </c>
      <c r="AI387" s="10">
        <f t="shared" si="60"/>
        <v>3826272</v>
      </c>
      <c r="AK387" s="42">
        <f t="shared" si="58"/>
        <v>0</v>
      </c>
    </row>
    <row r="388" spans="1:37">
      <c r="A388" s="9" t="s">
        <v>766</v>
      </c>
      <c r="B388" s="9"/>
      <c r="C388" s="9" t="s">
        <v>112</v>
      </c>
      <c r="D388" s="9"/>
      <c r="E388" s="23">
        <v>45559</v>
      </c>
      <c r="G388" s="42">
        <v>21485807</v>
      </c>
      <c r="I388" s="42">
        <v>0</v>
      </c>
      <c r="K388" s="2">
        <f t="shared" si="61"/>
        <v>13979329</v>
      </c>
      <c r="M388" s="42">
        <v>35465136</v>
      </c>
      <c r="O388" s="42">
        <v>0</v>
      </c>
      <c r="Q388" s="2">
        <f t="shared" si="59"/>
        <v>14318141</v>
      </c>
      <c r="S388" s="42">
        <v>0</v>
      </c>
      <c r="U388" s="42">
        <v>14318141</v>
      </c>
      <c r="W388" s="42">
        <v>0</v>
      </c>
      <c r="Y388" s="42">
        <v>0</v>
      </c>
      <c r="AA388" s="42">
        <v>0</v>
      </c>
      <c r="AC388" s="42">
        <v>11505</v>
      </c>
      <c r="AE388" s="42">
        <v>3292456</v>
      </c>
      <c r="AG388" s="42">
        <v>17843034</v>
      </c>
      <c r="AI388" s="10">
        <f t="shared" si="60"/>
        <v>21146995</v>
      </c>
      <c r="AK388" s="42">
        <f t="shared" si="58"/>
        <v>0</v>
      </c>
    </row>
    <row r="389" spans="1:37" hidden="1">
      <c r="A389" s="9" t="s">
        <v>804</v>
      </c>
      <c r="B389" s="9"/>
      <c r="C389" s="9" t="s">
        <v>60</v>
      </c>
      <c r="D389" s="9"/>
      <c r="E389" s="23">
        <v>49718</v>
      </c>
      <c r="G389" s="42">
        <v>0</v>
      </c>
      <c r="I389" s="42">
        <v>0</v>
      </c>
      <c r="K389" s="2">
        <f t="shared" si="61"/>
        <v>0</v>
      </c>
      <c r="M389" s="42">
        <v>0</v>
      </c>
      <c r="O389" s="42">
        <v>0</v>
      </c>
      <c r="Q389" s="2">
        <f t="shared" si="59"/>
        <v>0</v>
      </c>
      <c r="S389" s="42">
        <v>0</v>
      </c>
      <c r="U389" s="42">
        <v>0</v>
      </c>
      <c r="W389" s="42">
        <v>0</v>
      </c>
      <c r="Y389" s="42">
        <v>0</v>
      </c>
      <c r="AA389" s="42">
        <v>0</v>
      </c>
      <c r="AC389" s="42">
        <v>0</v>
      </c>
      <c r="AE389" s="42">
        <v>0</v>
      </c>
      <c r="AG389" s="42">
        <v>0</v>
      </c>
      <c r="AI389" s="10">
        <f t="shared" si="60"/>
        <v>0</v>
      </c>
      <c r="AK389" s="42">
        <f t="shared" si="58"/>
        <v>0</v>
      </c>
    </row>
    <row r="390" spans="1:37">
      <c r="A390" s="9" t="s">
        <v>374</v>
      </c>
      <c r="B390" s="9"/>
      <c r="C390" s="9" t="s">
        <v>42</v>
      </c>
      <c r="D390" s="9"/>
      <c r="E390" s="23">
        <v>44453</v>
      </c>
      <c r="G390" s="42">
        <v>16227510</v>
      </c>
      <c r="I390" s="42">
        <v>0</v>
      </c>
      <c r="K390" s="2">
        <f t="shared" si="61"/>
        <v>25852431</v>
      </c>
      <c r="M390" s="42">
        <v>42079941</v>
      </c>
      <c r="O390" s="42">
        <v>0</v>
      </c>
      <c r="Q390" s="2">
        <f t="shared" si="59"/>
        <v>6139394</v>
      </c>
      <c r="S390" s="42">
        <v>0</v>
      </c>
      <c r="U390" s="42">
        <v>6139394</v>
      </c>
      <c r="W390" s="42">
        <v>21566780</v>
      </c>
      <c r="Y390" s="42">
        <v>69412</v>
      </c>
      <c r="AA390" s="42">
        <v>0</v>
      </c>
      <c r="AC390" s="42">
        <v>689729</v>
      </c>
      <c r="AE390" s="42">
        <f>75038+879470+635501+289+17594</f>
        <v>1607892</v>
      </c>
      <c r="AG390" s="42">
        <v>12006734</v>
      </c>
      <c r="AI390" s="10">
        <f t="shared" si="60"/>
        <v>14373767</v>
      </c>
      <c r="AK390" s="42">
        <f t="shared" si="58"/>
        <v>0</v>
      </c>
    </row>
    <row r="391" spans="1:37" hidden="1">
      <c r="A391" s="8" t="s">
        <v>867</v>
      </c>
      <c r="B391" s="9"/>
      <c r="C391" s="9" t="s">
        <v>30</v>
      </c>
      <c r="D391" s="9"/>
      <c r="E391" s="23">
        <v>47217</v>
      </c>
      <c r="G391" s="42">
        <v>0</v>
      </c>
      <c r="I391" s="42">
        <v>0</v>
      </c>
      <c r="K391" s="2">
        <f t="shared" si="61"/>
        <v>0</v>
      </c>
      <c r="M391" s="42">
        <v>0</v>
      </c>
      <c r="O391" s="42">
        <v>0</v>
      </c>
      <c r="Q391" s="2">
        <f t="shared" si="59"/>
        <v>0</v>
      </c>
      <c r="S391" s="42">
        <v>0</v>
      </c>
      <c r="U391" s="42">
        <v>0</v>
      </c>
      <c r="W391" s="42">
        <v>0</v>
      </c>
      <c r="Y391" s="42">
        <v>0</v>
      </c>
      <c r="AA391" s="42">
        <v>0</v>
      </c>
      <c r="AC391" s="42">
        <v>0</v>
      </c>
      <c r="AE391" s="42">
        <v>0</v>
      </c>
      <c r="AG391" s="42">
        <v>0</v>
      </c>
      <c r="AI391" s="10">
        <f t="shared" si="60"/>
        <v>0</v>
      </c>
      <c r="AK391" s="42">
        <f t="shared" si="58"/>
        <v>0</v>
      </c>
    </row>
    <row r="392" spans="1:37">
      <c r="A392" s="9" t="s">
        <v>767</v>
      </c>
      <c r="B392" s="9"/>
      <c r="C392" s="9" t="s">
        <v>65</v>
      </c>
      <c r="D392" s="9"/>
      <c r="E392" s="23">
        <v>45542</v>
      </c>
      <c r="G392" s="42">
        <v>265260</v>
      </c>
      <c r="I392" s="42">
        <v>0</v>
      </c>
      <c r="K392" s="2">
        <f t="shared" si="61"/>
        <v>3489230</v>
      </c>
      <c r="M392" s="42">
        <v>3754490</v>
      </c>
      <c r="O392" s="42">
        <v>0</v>
      </c>
      <c r="Q392" s="2">
        <f t="shared" si="59"/>
        <v>1089829</v>
      </c>
      <c r="S392" s="42">
        <v>0</v>
      </c>
      <c r="U392" s="42">
        <v>1089829</v>
      </c>
      <c r="W392" s="42">
        <v>2571054</v>
      </c>
      <c r="Y392" s="42">
        <v>0</v>
      </c>
      <c r="AA392" s="42">
        <v>0</v>
      </c>
      <c r="AC392" s="42">
        <v>0</v>
      </c>
      <c r="AE392" s="42">
        <f>10001+71336+1010+11260</f>
        <v>93607</v>
      </c>
      <c r="AG392" s="42">
        <v>0</v>
      </c>
      <c r="AI392" s="10">
        <f t="shared" si="60"/>
        <v>93607</v>
      </c>
      <c r="AK392" s="42">
        <f t="shared" si="58"/>
        <v>0</v>
      </c>
    </row>
    <row r="393" spans="1:37">
      <c r="A393" s="9" t="s">
        <v>768</v>
      </c>
      <c r="B393" s="9"/>
      <c r="C393" s="9" t="s">
        <v>64</v>
      </c>
      <c r="D393" s="9"/>
      <c r="E393" s="23">
        <v>45567</v>
      </c>
      <c r="G393" s="42">
        <v>783599</v>
      </c>
      <c r="I393" s="42">
        <v>0</v>
      </c>
      <c r="K393" s="2">
        <f t="shared" si="61"/>
        <v>3588273</v>
      </c>
      <c r="M393" s="42">
        <v>4371872</v>
      </c>
      <c r="O393" s="42">
        <v>0</v>
      </c>
      <c r="Q393" s="2">
        <f t="shared" si="59"/>
        <v>1315055</v>
      </c>
      <c r="S393" s="42">
        <v>0</v>
      </c>
      <c r="U393" s="42">
        <v>1315055</v>
      </c>
      <c r="W393" s="42">
        <v>3518196</v>
      </c>
      <c r="Y393" s="42">
        <v>0</v>
      </c>
      <c r="AA393" s="42">
        <v>6920</v>
      </c>
      <c r="AC393" s="42">
        <v>0</v>
      </c>
      <c r="AE393" s="42">
        <v>0</v>
      </c>
      <c r="AG393" s="42">
        <v>-468299</v>
      </c>
      <c r="AI393" s="10">
        <f t="shared" si="60"/>
        <v>-461379</v>
      </c>
      <c r="AK393" s="42">
        <f t="shared" si="58"/>
        <v>0</v>
      </c>
    </row>
    <row r="394" spans="1:37" hidden="1">
      <c r="A394" s="9" t="s">
        <v>805</v>
      </c>
      <c r="B394" s="9"/>
      <c r="C394" s="9" t="s">
        <v>48</v>
      </c>
      <c r="D394" s="9"/>
      <c r="E394" s="23">
        <v>48637</v>
      </c>
      <c r="G394" s="42">
        <v>0</v>
      </c>
      <c r="I394" s="42">
        <v>0</v>
      </c>
      <c r="K394" s="2">
        <f t="shared" si="61"/>
        <v>0</v>
      </c>
      <c r="M394" s="42">
        <v>0</v>
      </c>
      <c r="O394" s="42">
        <v>0</v>
      </c>
      <c r="Q394" s="2">
        <f t="shared" si="59"/>
        <v>0</v>
      </c>
      <c r="S394" s="42">
        <v>0</v>
      </c>
      <c r="U394" s="42">
        <v>0</v>
      </c>
      <c r="W394" s="42">
        <v>0</v>
      </c>
      <c r="Y394" s="42">
        <v>0</v>
      </c>
      <c r="AA394" s="42">
        <v>0</v>
      </c>
      <c r="AC394" s="42">
        <v>0</v>
      </c>
      <c r="AE394" s="42">
        <v>0</v>
      </c>
      <c r="AG394" s="42">
        <v>0</v>
      </c>
      <c r="AI394" s="10">
        <f t="shared" si="60"/>
        <v>0</v>
      </c>
      <c r="AK394" s="42">
        <f t="shared" si="58"/>
        <v>0</v>
      </c>
    </row>
    <row r="395" spans="1:37">
      <c r="A395" s="9" t="s">
        <v>601</v>
      </c>
      <c r="B395" s="9"/>
      <c r="C395" s="9" t="s">
        <v>64</v>
      </c>
      <c r="D395" s="9"/>
      <c r="E395" s="23">
        <v>44495</v>
      </c>
      <c r="G395" s="42">
        <v>259708</v>
      </c>
      <c r="I395" s="42">
        <v>0</v>
      </c>
      <c r="K395" s="2">
        <f t="shared" si="61"/>
        <v>8629578</v>
      </c>
      <c r="M395" s="42">
        <v>8889286</v>
      </c>
      <c r="O395" s="42">
        <v>0</v>
      </c>
      <c r="Q395" s="2">
        <f t="shared" si="59"/>
        <v>2348418</v>
      </c>
      <c r="S395" s="42">
        <v>0</v>
      </c>
      <c r="U395" s="42">
        <v>2348418</v>
      </c>
      <c r="W395" s="42">
        <v>8423851</v>
      </c>
      <c r="Y395" s="42">
        <v>0</v>
      </c>
      <c r="AA395" s="42">
        <v>0</v>
      </c>
      <c r="AC395" s="42">
        <v>0</v>
      </c>
      <c r="AE395" s="42">
        <v>22498</v>
      </c>
      <c r="AG395" s="42">
        <v>-1905481</v>
      </c>
      <c r="AI395" s="10">
        <f t="shared" si="60"/>
        <v>-1882983</v>
      </c>
      <c r="AK395" s="42">
        <f t="shared" si="58"/>
        <v>0</v>
      </c>
    </row>
    <row r="396" spans="1:37">
      <c r="A396" s="9" t="s">
        <v>446</v>
      </c>
      <c r="B396" s="9"/>
      <c r="C396" s="9" t="s">
        <v>52</v>
      </c>
      <c r="D396" s="9"/>
      <c r="E396" s="23">
        <v>48900</v>
      </c>
      <c r="G396" s="42">
        <v>3263511</v>
      </c>
      <c r="I396" s="42">
        <v>379</v>
      </c>
      <c r="K396" s="2">
        <f t="shared" si="61"/>
        <v>4750030</v>
      </c>
      <c r="M396" s="42">
        <v>8013920</v>
      </c>
      <c r="O396" s="42">
        <v>0</v>
      </c>
      <c r="Q396" s="2">
        <f t="shared" si="59"/>
        <v>1236030</v>
      </c>
      <c r="S396" s="42">
        <v>0</v>
      </c>
      <c r="U396" s="42">
        <v>1236030</v>
      </c>
      <c r="W396" s="42">
        <v>3340373</v>
      </c>
      <c r="Y396" s="42">
        <v>54042</v>
      </c>
      <c r="AA396" s="42">
        <v>0</v>
      </c>
      <c r="AC396" s="42">
        <v>0</v>
      </c>
      <c r="AE396" s="42">
        <v>1408462</v>
      </c>
      <c r="AG396" s="42">
        <v>1975013</v>
      </c>
      <c r="AI396" s="10">
        <f t="shared" si="60"/>
        <v>3437517</v>
      </c>
      <c r="AK396" s="42">
        <f t="shared" si="58"/>
        <v>0</v>
      </c>
    </row>
    <row r="397" spans="1:37">
      <c r="A397" s="9" t="s">
        <v>507</v>
      </c>
      <c r="B397" s="9"/>
      <c r="C397" s="9" t="s">
        <v>63</v>
      </c>
      <c r="D397" s="9"/>
      <c r="E397" s="23">
        <v>50047</v>
      </c>
      <c r="G397" s="42">
        <v>11322851</v>
      </c>
      <c r="I397" s="42">
        <v>15298</v>
      </c>
      <c r="K397" s="2">
        <f t="shared" si="61"/>
        <v>30813187</v>
      </c>
      <c r="M397" s="42">
        <v>42151336</v>
      </c>
      <c r="O397" s="42">
        <v>0</v>
      </c>
      <c r="Q397" s="2">
        <f t="shared" si="59"/>
        <v>3132890</v>
      </c>
      <c r="S397" s="42">
        <v>0</v>
      </c>
      <c r="U397" s="42">
        <v>3132890</v>
      </c>
      <c r="W397" s="42">
        <v>29595856</v>
      </c>
      <c r="Y397" s="42">
        <v>44626</v>
      </c>
      <c r="AA397" s="42">
        <v>0</v>
      </c>
      <c r="AC397" s="42">
        <v>63370</v>
      </c>
      <c r="AE397" s="42">
        <v>371891</v>
      </c>
      <c r="AG397" s="42">
        <v>8942703</v>
      </c>
      <c r="AI397" s="10">
        <f t="shared" si="60"/>
        <v>9422590</v>
      </c>
      <c r="AK397" s="42">
        <f t="shared" si="58"/>
        <v>0</v>
      </c>
    </row>
    <row r="398" spans="1:37">
      <c r="A398" s="9" t="s">
        <v>551</v>
      </c>
      <c r="B398" s="9"/>
      <c r="C398" s="9" t="s">
        <v>72</v>
      </c>
      <c r="D398" s="9"/>
      <c r="E398" s="23">
        <v>50708</v>
      </c>
      <c r="G398" s="42">
        <v>3577978</v>
      </c>
      <c r="I398" s="42">
        <v>0</v>
      </c>
      <c r="K398" s="2">
        <f t="shared" si="61"/>
        <v>3424208</v>
      </c>
      <c r="M398" s="42">
        <v>7002186</v>
      </c>
      <c r="O398" s="42">
        <v>0</v>
      </c>
      <c r="Q398" s="2">
        <f t="shared" si="59"/>
        <v>3529758</v>
      </c>
      <c r="S398" s="42">
        <v>0</v>
      </c>
      <c r="U398" s="42">
        <v>3529758</v>
      </c>
      <c r="W398" s="42">
        <v>0</v>
      </c>
      <c r="Y398" s="42">
        <v>0</v>
      </c>
      <c r="AA398" s="42">
        <v>0</v>
      </c>
      <c r="AC398" s="42">
        <v>0</v>
      </c>
      <c r="AE398" s="42">
        <v>189463</v>
      </c>
      <c r="AG398" s="42">
        <v>3282965</v>
      </c>
      <c r="AI398" s="10">
        <f t="shared" si="60"/>
        <v>3472428</v>
      </c>
      <c r="AK398" s="42">
        <f t="shared" si="58"/>
        <v>0</v>
      </c>
    </row>
    <row r="399" spans="1:37" hidden="1">
      <c r="A399" s="9" t="s">
        <v>807</v>
      </c>
      <c r="B399" s="9"/>
      <c r="C399" s="9" t="s">
        <v>53</v>
      </c>
      <c r="D399" s="9"/>
      <c r="E399" s="23">
        <v>48967</v>
      </c>
      <c r="G399" s="42">
        <v>0</v>
      </c>
      <c r="I399" s="42">
        <v>0</v>
      </c>
      <c r="K399" s="2">
        <f t="shared" si="61"/>
        <v>0</v>
      </c>
      <c r="M399" s="42">
        <v>0</v>
      </c>
      <c r="O399" s="42">
        <v>0</v>
      </c>
      <c r="Q399" s="2">
        <f t="shared" si="59"/>
        <v>0</v>
      </c>
      <c r="S399" s="42">
        <v>0</v>
      </c>
      <c r="U399" s="42">
        <v>0</v>
      </c>
      <c r="W399" s="42">
        <v>0</v>
      </c>
      <c r="Y399" s="42">
        <v>0</v>
      </c>
      <c r="AA399" s="42">
        <v>0</v>
      </c>
      <c r="AC399" s="42">
        <v>0</v>
      </c>
      <c r="AE399" s="42">
        <v>0</v>
      </c>
      <c r="AG399" s="42">
        <v>0</v>
      </c>
      <c r="AI399" s="10">
        <f t="shared" si="60"/>
        <v>0</v>
      </c>
      <c r="AK399" s="42">
        <f t="shared" ref="AK399:AK462" si="62">+G399+I399+K399+O399-U399-W399-AC399-AA399-Y399-AE399-AG399</f>
        <v>0</v>
      </c>
    </row>
    <row r="400" spans="1:37">
      <c r="A400" s="9" t="s">
        <v>499</v>
      </c>
      <c r="B400" s="9"/>
      <c r="C400" s="9" t="s">
        <v>62</v>
      </c>
      <c r="D400" s="9"/>
      <c r="E400" s="23">
        <v>44503</v>
      </c>
      <c r="G400" s="42">
        <v>6595488</v>
      </c>
      <c r="I400" s="42">
        <v>2542</v>
      </c>
      <c r="K400" s="2">
        <f t="shared" si="61"/>
        <v>24175409</v>
      </c>
      <c r="M400" s="42">
        <v>30773439</v>
      </c>
      <c r="O400" s="42">
        <v>0</v>
      </c>
      <c r="Q400" s="2">
        <f t="shared" si="59"/>
        <v>6024588</v>
      </c>
      <c r="S400" s="42">
        <v>0</v>
      </c>
      <c r="U400" s="42">
        <v>6024588</v>
      </c>
      <c r="W400" s="42">
        <v>23461754</v>
      </c>
      <c r="Y400" s="42">
        <v>57335</v>
      </c>
      <c r="AA400" s="42">
        <v>2542</v>
      </c>
      <c r="AC400" s="42">
        <v>0</v>
      </c>
      <c r="AE400" s="42">
        <f>397596+736841+3569+11014+709799+114912</f>
        <v>1973731</v>
      </c>
      <c r="AG400" s="42">
        <v>-746511</v>
      </c>
      <c r="AI400" s="10">
        <f t="shared" si="60"/>
        <v>1287097</v>
      </c>
      <c r="AK400" s="42">
        <f t="shared" si="62"/>
        <v>0</v>
      </c>
    </row>
    <row r="401" spans="1:37" hidden="1">
      <c r="A401" s="9" t="s">
        <v>808</v>
      </c>
      <c r="B401" s="9"/>
      <c r="C401" s="9" t="s">
        <v>548</v>
      </c>
      <c r="D401" s="9"/>
      <c r="E401" s="23">
        <v>50641</v>
      </c>
      <c r="G401" s="42">
        <v>0</v>
      </c>
      <c r="I401" s="42">
        <v>0</v>
      </c>
      <c r="K401" s="2">
        <f t="shared" si="61"/>
        <v>0</v>
      </c>
      <c r="M401" s="42">
        <v>0</v>
      </c>
      <c r="O401" s="42">
        <v>0</v>
      </c>
      <c r="Q401" s="2">
        <f t="shared" si="59"/>
        <v>0</v>
      </c>
      <c r="S401" s="42">
        <v>0</v>
      </c>
      <c r="U401" s="42">
        <v>0</v>
      </c>
      <c r="W401" s="42">
        <v>0</v>
      </c>
      <c r="Y401" s="42">
        <v>0</v>
      </c>
      <c r="AA401" s="42">
        <v>0</v>
      </c>
      <c r="AC401" s="42">
        <v>0</v>
      </c>
      <c r="AE401" s="42">
        <v>0</v>
      </c>
      <c r="AG401" s="42">
        <v>0</v>
      </c>
      <c r="AI401" s="10">
        <f t="shared" si="60"/>
        <v>0</v>
      </c>
      <c r="AK401" s="42">
        <f t="shared" si="62"/>
        <v>0</v>
      </c>
    </row>
    <row r="402" spans="1:37">
      <c r="A402" s="9" t="s">
        <v>703</v>
      </c>
      <c r="B402" s="9"/>
      <c r="C402" s="9" t="s">
        <v>32</v>
      </c>
      <c r="D402" s="9"/>
      <c r="E402" s="23">
        <v>44511</v>
      </c>
      <c r="G402" s="42">
        <v>544186</v>
      </c>
      <c r="I402" s="42">
        <v>0</v>
      </c>
      <c r="K402" s="2">
        <f t="shared" si="61"/>
        <v>4198187</v>
      </c>
      <c r="M402" s="42">
        <v>4742373</v>
      </c>
      <c r="O402" s="42">
        <v>0</v>
      </c>
      <c r="Q402" s="2">
        <f t="shared" si="59"/>
        <v>1399874</v>
      </c>
      <c r="S402" s="42">
        <v>0</v>
      </c>
      <c r="U402" s="42">
        <v>1399874</v>
      </c>
      <c r="W402" s="42">
        <v>2657189</v>
      </c>
      <c r="Y402" s="42">
        <v>4598</v>
      </c>
      <c r="AA402" s="42">
        <v>885</v>
      </c>
      <c r="AC402" s="42">
        <v>22263</v>
      </c>
      <c r="AE402" s="42">
        <v>1201</v>
      </c>
      <c r="AG402" s="42">
        <v>656363</v>
      </c>
      <c r="AI402" s="10">
        <f t="shared" si="60"/>
        <v>685310</v>
      </c>
      <c r="AK402" s="42">
        <f t="shared" si="62"/>
        <v>0</v>
      </c>
    </row>
    <row r="403" spans="1:37">
      <c r="A403" s="9" t="s">
        <v>375</v>
      </c>
      <c r="B403" s="9"/>
      <c r="C403" s="9" t="s">
        <v>42</v>
      </c>
      <c r="D403" s="9"/>
      <c r="E403" s="23">
        <v>48025</v>
      </c>
      <c r="G403" s="42">
        <v>1760962</v>
      </c>
      <c r="I403" s="42">
        <v>27758</v>
      </c>
      <c r="K403" s="2">
        <f t="shared" si="61"/>
        <v>5306552</v>
      </c>
      <c r="M403" s="42">
        <v>7095272</v>
      </c>
      <c r="O403" s="42">
        <v>0</v>
      </c>
      <c r="Q403" s="2">
        <f t="shared" si="59"/>
        <v>1717728</v>
      </c>
      <c r="S403" s="42">
        <v>0</v>
      </c>
      <c r="U403" s="42">
        <v>1717728</v>
      </c>
      <c r="W403" s="42">
        <v>4069893</v>
      </c>
      <c r="Y403" s="42">
        <v>0</v>
      </c>
      <c r="AA403" s="42">
        <v>27758</v>
      </c>
      <c r="AC403" s="42">
        <v>11000</v>
      </c>
      <c r="AE403" s="42">
        <f>61895+5000</f>
        <v>66895</v>
      </c>
      <c r="AG403" s="42">
        <v>1201998</v>
      </c>
      <c r="AI403" s="10">
        <f t="shared" si="60"/>
        <v>1307651</v>
      </c>
      <c r="AK403" s="42">
        <f t="shared" si="62"/>
        <v>0</v>
      </c>
    </row>
    <row r="404" spans="1:37">
      <c r="A404" s="9" t="s">
        <v>269</v>
      </c>
      <c r="B404" s="9"/>
      <c r="C404" s="9" t="s">
        <v>20</v>
      </c>
      <c r="D404" s="9"/>
      <c r="E404" s="23">
        <v>44529</v>
      </c>
      <c r="G404" s="42">
        <v>23341008</v>
      </c>
      <c r="I404" s="42">
        <v>223073</v>
      </c>
      <c r="K404" s="2">
        <f t="shared" si="61"/>
        <v>40169066</v>
      </c>
      <c r="M404" s="42">
        <v>63733147</v>
      </c>
      <c r="O404" s="42">
        <v>0</v>
      </c>
      <c r="Q404" s="2">
        <f t="shared" si="59"/>
        <v>8041911</v>
      </c>
      <c r="S404" s="42">
        <v>0</v>
      </c>
      <c r="U404" s="42">
        <v>8041911</v>
      </c>
      <c r="W404" s="42">
        <v>34498319</v>
      </c>
      <c r="Y404" s="42">
        <v>0</v>
      </c>
      <c r="AA404" s="42">
        <v>0</v>
      </c>
      <c r="AC404" s="42">
        <v>1519073</v>
      </c>
      <c r="AE404" s="42">
        <v>1006641</v>
      </c>
      <c r="AG404" s="42">
        <v>18667203</v>
      </c>
      <c r="AI404" s="10">
        <f t="shared" si="60"/>
        <v>21192917</v>
      </c>
      <c r="AK404" s="42">
        <f t="shared" si="62"/>
        <v>0</v>
      </c>
    </row>
    <row r="405" spans="1:37">
      <c r="A405" s="9" t="s">
        <v>385</v>
      </c>
      <c r="B405" s="9"/>
      <c r="C405" s="9" t="s">
        <v>44</v>
      </c>
      <c r="D405" s="9"/>
      <c r="E405" s="23">
        <v>44537</v>
      </c>
      <c r="G405" s="42">
        <v>4439251</v>
      </c>
      <c r="I405" s="42">
        <v>0</v>
      </c>
      <c r="K405" s="2">
        <f t="shared" si="61"/>
        <v>26094586</v>
      </c>
      <c r="M405" s="42">
        <v>30533837</v>
      </c>
      <c r="O405" s="42">
        <v>0</v>
      </c>
      <c r="Q405" s="2">
        <f t="shared" si="59"/>
        <v>4384679</v>
      </c>
      <c r="S405" s="42">
        <v>0</v>
      </c>
      <c r="U405" s="42">
        <v>4384679</v>
      </c>
      <c r="W405" s="42">
        <v>21997523</v>
      </c>
      <c r="Y405" s="42">
        <v>0</v>
      </c>
      <c r="AA405" s="42">
        <v>0</v>
      </c>
      <c r="AC405" s="42">
        <v>0</v>
      </c>
      <c r="AE405" s="42">
        <v>476910</v>
      </c>
      <c r="AG405" s="42">
        <v>3674725</v>
      </c>
      <c r="AI405" s="10">
        <f t="shared" si="60"/>
        <v>4151635</v>
      </c>
      <c r="AK405" s="42">
        <f t="shared" si="62"/>
        <v>0</v>
      </c>
    </row>
    <row r="406" spans="1:37">
      <c r="A406" s="9" t="s">
        <v>270</v>
      </c>
      <c r="B406" s="9"/>
      <c r="C406" s="9" t="s">
        <v>20</v>
      </c>
      <c r="D406" s="9"/>
      <c r="E406" s="23">
        <v>44545</v>
      </c>
      <c r="G406" s="42">
        <v>11323044</v>
      </c>
      <c r="I406" s="42">
        <v>0</v>
      </c>
      <c r="K406" s="2">
        <f t="shared" si="61"/>
        <v>36235866</v>
      </c>
      <c r="M406" s="42">
        <v>47558910</v>
      </c>
      <c r="O406" s="42">
        <v>0</v>
      </c>
      <c r="Q406" s="2">
        <f t="shared" si="59"/>
        <v>5507411</v>
      </c>
      <c r="S406" s="42">
        <v>0</v>
      </c>
      <c r="U406" s="42">
        <v>5507411</v>
      </c>
      <c r="W406" s="42">
        <v>31480267</v>
      </c>
      <c r="Y406" s="42">
        <v>74520</v>
      </c>
      <c r="AA406" s="42">
        <v>0</v>
      </c>
      <c r="AC406" s="42">
        <v>0</v>
      </c>
      <c r="AE406" s="42">
        <v>1928311</v>
      </c>
      <c r="AG406" s="42">
        <v>8568401</v>
      </c>
      <c r="AI406" s="10">
        <f t="shared" si="60"/>
        <v>10571232</v>
      </c>
      <c r="AK406" s="42">
        <f t="shared" si="62"/>
        <v>0</v>
      </c>
    </row>
    <row r="407" spans="1:37">
      <c r="A407" s="9" t="s">
        <v>536</v>
      </c>
      <c r="B407" s="9"/>
      <c r="C407" s="9" t="s">
        <v>66</v>
      </c>
      <c r="D407" s="9"/>
      <c r="E407" s="23">
        <v>50336</v>
      </c>
      <c r="G407" s="42">
        <v>9759421</v>
      </c>
      <c r="I407" s="42">
        <v>0</v>
      </c>
      <c r="K407" s="2">
        <f t="shared" si="61"/>
        <v>4555524</v>
      </c>
      <c r="M407" s="42">
        <v>14314945</v>
      </c>
      <c r="O407" s="42">
        <v>0</v>
      </c>
      <c r="Q407" s="2">
        <f t="shared" si="59"/>
        <v>1744335</v>
      </c>
      <c r="S407" s="42">
        <v>0</v>
      </c>
      <c r="U407" s="42">
        <v>1744335</v>
      </c>
      <c r="W407" s="42">
        <v>3352547</v>
      </c>
      <c r="Y407" s="42">
        <v>1674</v>
      </c>
      <c r="AA407" s="42">
        <v>0</v>
      </c>
      <c r="AC407" s="42">
        <v>0</v>
      </c>
      <c r="AE407" s="42">
        <v>731803</v>
      </c>
      <c r="AG407" s="42">
        <v>8484586</v>
      </c>
      <c r="AI407" s="10">
        <f t="shared" si="60"/>
        <v>9218063</v>
      </c>
      <c r="AK407" s="42">
        <f t="shared" si="62"/>
        <v>0</v>
      </c>
    </row>
    <row r="408" spans="1:37">
      <c r="A408" s="9" t="s">
        <v>231</v>
      </c>
      <c r="B408" s="9"/>
      <c r="C408" s="9" t="s">
        <v>17</v>
      </c>
      <c r="D408" s="9"/>
      <c r="E408" s="23">
        <v>46250</v>
      </c>
      <c r="G408" s="42">
        <v>3811794</v>
      </c>
      <c r="I408" s="42">
        <v>0</v>
      </c>
      <c r="K408" s="2">
        <f t="shared" si="61"/>
        <v>12086261</v>
      </c>
      <c r="M408" s="42">
        <v>15898055</v>
      </c>
      <c r="O408" s="42">
        <v>0</v>
      </c>
      <c r="Q408" s="2">
        <f t="shared" si="59"/>
        <v>3321423</v>
      </c>
      <c r="S408" s="42">
        <v>0</v>
      </c>
      <c r="U408" s="42">
        <v>3321423</v>
      </c>
      <c r="W408" s="42">
        <v>9628632</v>
      </c>
      <c r="Y408" s="42">
        <v>100345</v>
      </c>
      <c r="AA408" s="42">
        <v>11000</v>
      </c>
      <c r="AC408" s="42">
        <v>0</v>
      </c>
      <c r="AE408" s="42">
        <v>996160</v>
      </c>
      <c r="AG408" s="42">
        <v>1840495</v>
      </c>
      <c r="AI408" s="10">
        <f t="shared" si="60"/>
        <v>2948000</v>
      </c>
      <c r="AK408" s="42">
        <f t="shared" si="62"/>
        <v>0</v>
      </c>
    </row>
    <row r="409" spans="1:37" hidden="1">
      <c r="A409" s="9" t="s">
        <v>809</v>
      </c>
      <c r="B409" s="9"/>
      <c r="C409" s="9" t="s">
        <v>22</v>
      </c>
      <c r="D409" s="9"/>
      <c r="E409" s="23">
        <v>46722</v>
      </c>
      <c r="G409" s="42">
        <v>0</v>
      </c>
      <c r="I409" s="42">
        <v>0</v>
      </c>
      <c r="K409" s="2">
        <f t="shared" si="61"/>
        <v>0</v>
      </c>
      <c r="M409" s="42">
        <v>0</v>
      </c>
      <c r="O409" s="42">
        <v>0</v>
      </c>
      <c r="Q409" s="2">
        <f t="shared" si="59"/>
        <v>0</v>
      </c>
      <c r="S409" s="42">
        <v>0</v>
      </c>
      <c r="U409" s="42">
        <v>0</v>
      </c>
      <c r="W409" s="42">
        <v>0</v>
      </c>
      <c r="Y409" s="42">
        <v>0</v>
      </c>
      <c r="AA409" s="42">
        <v>0</v>
      </c>
      <c r="AC409" s="42">
        <v>0</v>
      </c>
      <c r="AE409" s="42">
        <v>0</v>
      </c>
      <c r="AG409" s="42">
        <v>0</v>
      </c>
      <c r="AI409" s="10">
        <f t="shared" si="60"/>
        <v>0</v>
      </c>
      <c r="AK409" s="42">
        <f t="shared" si="62"/>
        <v>0</v>
      </c>
    </row>
    <row r="410" spans="1:37" hidden="1">
      <c r="A410" s="9" t="s">
        <v>810</v>
      </c>
      <c r="B410" s="9"/>
      <c r="C410" s="9" t="s">
        <v>448</v>
      </c>
      <c r="D410" s="9"/>
      <c r="E410" s="23">
        <v>49056</v>
      </c>
      <c r="G410" s="42">
        <v>0</v>
      </c>
      <c r="I410" s="42">
        <v>0</v>
      </c>
      <c r="K410" s="2">
        <f t="shared" si="61"/>
        <v>0</v>
      </c>
      <c r="M410" s="42">
        <v>0</v>
      </c>
      <c r="O410" s="42">
        <v>0</v>
      </c>
      <c r="Q410" s="2">
        <f t="shared" si="59"/>
        <v>0</v>
      </c>
      <c r="S410" s="42">
        <v>0</v>
      </c>
      <c r="U410" s="42">
        <v>0</v>
      </c>
      <c r="W410" s="42">
        <v>0</v>
      </c>
      <c r="Y410" s="42">
        <v>0</v>
      </c>
      <c r="AA410" s="42">
        <v>0</v>
      </c>
      <c r="AC410" s="42">
        <v>0</v>
      </c>
      <c r="AE410" s="42">
        <v>0</v>
      </c>
      <c r="AG410" s="42">
        <v>0</v>
      </c>
      <c r="AI410" s="10">
        <f t="shared" si="60"/>
        <v>0</v>
      </c>
      <c r="AK410" s="42">
        <f t="shared" si="62"/>
        <v>0</v>
      </c>
    </row>
    <row r="411" spans="1:37">
      <c r="A411" s="9" t="s">
        <v>431</v>
      </c>
      <c r="B411" s="9"/>
      <c r="C411" s="9" t="s">
        <v>50</v>
      </c>
      <c r="D411" s="9"/>
      <c r="E411" s="23">
        <v>48728</v>
      </c>
      <c r="G411" s="42">
        <v>9998608</v>
      </c>
      <c r="I411" s="42">
        <v>0</v>
      </c>
      <c r="K411" s="2">
        <f t="shared" si="61"/>
        <v>24840808</v>
      </c>
      <c r="M411" s="42">
        <v>34839416</v>
      </c>
      <c r="O411" s="42">
        <v>0</v>
      </c>
      <c r="Q411" s="2">
        <f t="shared" si="59"/>
        <v>30343752</v>
      </c>
      <c r="S411" s="42">
        <v>0</v>
      </c>
      <c r="U411" s="42">
        <v>30343752</v>
      </c>
      <c r="W411" s="42">
        <v>0</v>
      </c>
      <c r="Y411" s="42">
        <v>0</v>
      </c>
      <c r="AA411" s="42">
        <v>0</v>
      </c>
      <c r="AC411" s="42">
        <v>0</v>
      </c>
      <c r="AE411" s="42">
        <v>4118014</v>
      </c>
      <c r="AG411" s="42">
        <v>377650</v>
      </c>
      <c r="AI411" s="10">
        <f t="shared" si="60"/>
        <v>4495664</v>
      </c>
      <c r="AK411" s="42">
        <f t="shared" si="62"/>
        <v>0</v>
      </c>
    </row>
    <row r="412" spans="1:37">
      <c r="A412" s="9" t="s">
        <v>439</v>
      </c>
      <c r="B412" s="9"/>
      <c r="C412" s="9" t="s">
        <v>78</v>
      </c>
      <c r="D412" s="9"/>
      <c r="E412" s="23">
        <v>48819</v>
      </c>
      <c r="G412" s="42">
        <v>41531</v>
      </c>
      <c r="I412" s="42">
        <v>0</v>
      </c>
      <c r="K412" s="2">
        <f t="shared" si="61"/>
        <v>3782667</v>
      </c>
      <c r="M412" s="42">
        <v>3824198</v>
      </c>
      <c r="O412" s="42">
        <v>0</v>
      </c>
      <c r="Q412" s="2">
        <f t="shared" ref="Q412:Q478" si="63">+U412-S412</f>
        <v>1275876</v>
      </c>
      <c r="S412" s="42">
        <v>0</v>
      </c>
      <c r="U412" s="42">
        <v>1275876</v>
      </c>
      <c r="W412" s="42">
        <v>2540343</v>
      </c>
      <c r="Y412" s="42">
        <f>3707+17894+26122</f>
        <v>47723</v>
      </c>
      <c r="AA412" s="42">
        <v>0</v>
      </c>
      <c r="AC412" s="42">
        <f>4216+35703</f>
        <v>39919</v>
      </c>
      <c r="AE412" s="42">
        <f>9674+120</f>
        <v>9794</v>
      </c>
      <c r="AG412" s="42">
        <v>-89457</v>
      </c>
      <c r="AI412" s="10">
        <f t="shared" ref="AI412:AI478" si="64">+AC412+AA412++Y412+AE412+AG412</f>
        <v>7979</v>
      </c>
      <c r="AK412" s="42">
        <f t="shared" si="62"/>
        <v>0</v>
      </c>
    </row>
    <row r="413" spans="1:37">
      <c r="A413" s="9" t="s">
        <v>376</v>
      </c>
      <c r="B413" s="9"/>
      <c r="C413" s="9" t="s">
        <v>42</v>
      </c>
      <c r="D413" s="9"/>
      <c r="E413" s="23">
        <v>48033</v>
      </c>
      <c r="G413" s="42">
        <v>8142015</v>
      </c>
      <c r="I413" s="42">
        <v>0</v>
      </c>
      <c r="K413" s="2">
        <f t="shared" si="61"/>
        <v>6779053</v>
      </c>
      <c r="M413" s="42">
        <v>14921068</v>
      </c>
      <c r="O413" s="42">
        <v>0</v>
      </c>
      <c r="Q413" s="2">
        <f t="shared" si="63"/>
        <v>995307</v>
      </c>
      <c r="S413" s="42">
        <v>0</v>
      </c>
      <c r="U413" s="42">
        <v>995307</v>
      </c>
      <c r="W413" s="42">
        <v>6007505</v>
      </c>
      <c r="Y413" s="42">
        <v>11487</v>
      </c>
      <c r="AA413" s="42">
        <v>0</v>
      </c>
      <c r="AC413" s="42">
        <v>237869</v>
      </c>
      <c r="AE413" s="42">
        <v>51634</v>
      </c>
      <c r="AG413" s="42">
        <v>7617266</v>
      </c>
      <c r="AI413" s="10">
        <f t="shared" si="64"/>
        <v>7918256</v>
      </c>
      <c r="AK413" s="42">
        <f t="shared" si="62"/>
        <v>0</v>
      </c>
    </row>
    <row r="414" spans="1:37">
      <c r="A414" s="9" t="s">
        <v>376</v>
      </c>
      <c r="B414" s="9"/>
      <c r="C414" s="9" t="s">
        <v>50</v>
      </c>
      <c r="D414" s="9"/>
      <c r="E414" s="23">
        <v>48736</v>
      </c>
      <c r="G414" s="42">
        <v>6330541</v>
      </c>
      <c r="I414" s="42">
        <f>2492749+52637</f>
        <v>2545386</v>
      </c>
      <c r="K414" s="2">
        <f t="shared" ref="K414:K480" si="65">+M414-I414-G414</f>
        <v>9644851</v>
      </c>
      <c r="M414" s="42">
        <v>18520778</v>
      </c>
      <c r="O414" s="42">
        <v>0</v>
      </c>
      <c r="Q414" s="2">
        <f t="shared" si="63"/>
        <v>1445333</v>
      </c>
      <c r="S414" s="42">
        <v>0</v>
      </c>
      <c r="U414" s="42">
        <v>1445333</v>
      </c>
      <c r="W414" s="42">
        <v>9255644</v>
      </c>
      <c r="Y414" s="42">
        <v>12402</v>
      </c>
      <c r="AA414" s="42">
        <v>2545386</v>
      </c>
      <c r="AC414" s="42">
        <v>0</v>
      </c>
      <c r="AE414" s="42">
        <v>442293</v>
      </c>
      <c r="AG414" s="42">
        <v>4819720</v>
      </c>
      <c r="AI414" s="10">
        <f t="shared" si="64"/>
        <v>7819801</v>
      </c>
      <c r="AK414" s="42">
        <f t="shared" si="62"/>
        <v>0</v>
      </c>
    </row>
    <row r="415" spans="1:37">
      <c r="A415" s="9" t="s">
        <v>325</v>
      </c>
      <c r="B415" s="9"/>
      <c r="C415" s="9" t="s">
        <v>32</v>
      </c>
      <c r="D415" s="9"/>
      <c r="E415" s="23">
        <v>47365</v>
      </c>
      <c r="G415" s="42">
        <v>21465959</v>
      </c>
      <c r="I415" s="42">
        <v>0</v>
      </c>
      <c r="K415" s="2">
        <f t="shared" si="65"/>
        <v>49228452</v>
      </c>
      <c r="M415" s="42">
        <v>70694411</v>
      </c>
      <c r="O415" s="42">
        <v>0</v>
      </c>
      <c r="Q415" s="2">
        <f t="shared" si="63"/>
        <v>8064760</v>
      </c>
      <c r="S415" s="42">
        <v>0</v>
      </c>
      <c r="U415" s="42">
        <v>8064760</v>
      </c>
      <c r="W415" s="42">
        <v>30803819</v>
      </c>
      <c r="Y415" s="42">
        <v>0</v>
      </c>
      <c r="AA415" s="42">
        <v>0</v>
      </c>
      <c r="AC415" s="42">
        <v>11000</v>
      </c>
      <c r="AE415" s="42">
        <v>931943</v>
      </c>
      <c r="AG415" s="42">
        <v>30882889</v>
      </c>
      <c r="AI415" s="10">
        <f t="shared" si="64"/>
        <v>31825832</v>
      </c>
      <c r="AK415" s="42">
        <f t="shared" si="62"/>
        <v>0</v>
      </c>
    </row>
    <row r="416" spans="1:37" ht="12" customHeight="1">
      <c r="A416" s="9" t="s">
        <v>592</v>
      </c>
      <c r="B416" s="9"/>
      <c r="C416" s="9" t="s">
        <v>59</v>
      </c>
      <c r="D416" s="9"/>
      <c r="E416" s="23">
        <v>49635</v>
      </c>
      <c r="G416" s="42">
        <v>146326</v>
      </c>
      <c r="I416" s="42">
        <v>87229</v>
      </c>
      <c r="K416" s="2">
        <f t="shared" si="65"/>
        <v>2839445</v>
      </c>
      <c r="M416" s="42">
        <v>3073000</v>
      </c>
      <c r="O416" s="42">
        <v>0</v>
      </c>
      <c r="Q416" s="2">
        <f t="shared" si="63"/>
        <v>1876873</v>
      </c>
      <c r="S416" s="42">
        <v>0</v>
      </c>
      <c r="U416" s="42">
        <v>1876873</v>
      </c>
      <c r="W416" s="42">
        <v>2416931</v>
      </c>
      <c r="Y416" s="42">
        <v>0</v>
      </c>
      <c r="AA416" s="42">
        <v>0</v>
      </c>
      <c r="AC416" s="42">
        <v>15505</v>
      </c>
      <c r="AE416" s="42">
        <v>87357</v>
      </c>
      <c r="AG416" s="42">
        <v>-1323666</v>
      </c>
      <c r="AI416" s="10">
        <f t="shared" si="64"/>
        <v>-1220804</v>
      </c>
      <c r="AK416" s="42">
        <f t="shared" si="62"/>
        <v>0</v>
      </c>
    </row>
    <row r="417" spans="1:37">
      <c r="A417" s="9" t="s">
        <v>325</v>
      </c>
      <c r="B417" s="9"/>
      <c r="C417" s="9" t="s">
        <v>62</v>
      </c>
      <c r="D417" s="9"/>
      <c r="E417" s="23">
        <v>49908</v>
      </c>
      <c r="G417" s="42">
        <v>3070341</v>
      </c>
      <c r="I417" s="42">
        <v>220000</v>
      </c>
      <c r="K417" s="2">
        <f t="shared" si="65"/>
        <v>7620380</v>
      </c>
      <c r="M417" s="42">
        <v>10910721</v>
      </c>
      <c r="O417" s="42">
        <v>0</v>
      </c>
      <c r="Q417" s="2">
        <f t="shared" si="63"/>
        <v>2990401</v>
      </c>
      <c r="S417" s="42">
        <v>0</v>
      </c>
      <c r="U417" s="42">
        <v>2990401</v>
      </c>
      <c r="W417" s="42">
        <v>6287135</v>
      </c>
      <c r="Y417" s="42">
        <f>17835+13158</f>
        <v>30993</v>
      </c>
      <c r="AA417" s="42">
        <v>220000</v>
      </c>
      <c r="AC417" s="42">
        <v>0</v>
      </c>
      <c r="AE417" s="42">
        <f>15810+85111+3408+32</f>
        <v>104361</v>
      </c>
      <c r="AG417" s="42">
        <v>1277831</v>
      </c>
      <c r="AI417" s="10">
        <f t="shared" si="64"/>
        <v>1633185</v>
      </c>
      <c r="AK417" s="42">
        <f t="shared" si="62"/>
        <v>0</v>
      </c>
    </row>
    <row r="418" spans="1:37">
      <c r="A418" s="9" t="s">
        <v>232</v>
      </c>
      <c r="B418" s="9"/>
      <c r="C418" s="9" t="s">
        <v>17</v>
      </c>
      <c r="D418" s="9"/>
      <c r="E418" s="23">
        <v>46268</v>
      </c>
      <c r="G418" s="42">
        <v>4268815</v>
      </c>
      <c r="I418" s="42">
        <v>39318</v>
      </c>
      <c r="K418" s="2">
        <f t="shared" si="65"/>
        <v>6846212</v>
      </c>
      <c r="M418" s="42">
        <v>11154345</v>
      </c>
      <c r="O418" s="42">
        <v>0</v>
      </c>
      <c r="Q418" s="2">
        <f t="shared" si="63"/>
        <v>1616977</v>
      </c>
      <c r="S418" s="42">
        <v>0</v>
      </c>
      <c r="U418" s="42">
        <v>1616977</v>
      </c>
      <c r="W418" s="42">
        <v>5240319</v>
      </c>
      <c r="Y418" s="42">
        <v>55951</v>
      </c>
      <c r="AA418" s="42">
        <v>39318</v>
      </c>
      <c r="AC418" s="42">
        <v>0</v>
      </c>
      <c r="AE418" s="42">
        <v>194289</v>
      </c>
      <c r="AG418" s="42">
        <v>4007491</v>
      </c>
      <c r="AI418" s="10">
        <f t="shared" si="64"/>
        <v>4297049</v>
      </c>
      <c r="AK418" s="42">
        <f t="shared" si="62"/>
        <v>0</v>
      </c>
    </row>
    <row r="419" spans="1:37" hidden="1">
      <c r="A419" s="9" t="s">
        <v>733</v>
      </c>
      <c r="B419" s="9"/>
      <c r="C419" s="9" t="s">
        <v>71</v>
      </c>
      <c r="D419" s="9"/>
      <c r="E419" s="23">
        <v>50575</v>
      </c>
      <c r="G419" s="42">
        <v>0</v>
      </c>
      <c r="I419" s="42">
        <v>0</v>
      </c>
      <c r="K419" s="2"/>
      <c r="M419" s="42">
        <v>0</v>
      </c>
      <c r="O419" s="42">
        <v>0</v>
      </c>
      <c r="Q419" s="2"/>
      <c r="S419" s="42">
        <v>0</v>
      </c>
      <c r="U419" s="42">
        <v>0</v>
      </c>
      <c r="W419" s="42">
        <v>0</v>
      </c>
      <c r="Y419" s="42">
        <v>0</v>
      </c>
      <c r="AA419" s="42">
        <v>0</v>
      </c>
      <c r="AC419" s="42">
        <v>0</v>
      </c>
      <c r="AE419" s="42">
        <v>0</v>
      </c>
      <c r="AG419" s="42">
        <v>0</v>
      </c>
      <c r="AI419" s="10"/>
      <c r="AK419" s="42">
        <f t="shared" si="62"/>
        <v>0</v>
      </c>
    </row>
    <row r="420" spans="1:37" hidden="1">
      <c r="A420" s="8" t="s">
        <v>868</v>
      </c>
      <c r="B420" s="9"/>
      <c r="C420" s="9" t="s">
        <v>72</v>
      </c>
      <c r="D420" s="9"/>
      <c r="E420" s="23">
        <v>50716</v>
      </c>
      <c r="G420" s="42">
        <v>0</v>
      </c>
      <c r="I420" s="42">
        <v>0</v>
      </c>
      <c r="K420" s="2">
        <f t="shared" si="65"/>
        <v>0</v>
      </c>
      <c r="M420" s="42">
        <v>0</v>
      </c>
      <c r="O420" s="42">
        <v>0</v>
      </c>
      <c r="Q420" s="2">
        <f t="shared" si="63"/>
        <v>0</v>
      </c>
      <c r="S420" s="42">
        <v>0</v>
      </c>
      <c r="U420" s="42">
        <v>0</v>
      </c>
      <c r="W420" s="42">
        <v>0</v>
      </c>
      <c r="Y420" s="42">
        <v>0</v>
      </c>
      <c r="AA420" s="42">
        <v>0</v>
      </c>
      <c r="AC420" s="42">
        <v>0</v>
      </c>
      <c r="AE420" s="42">
        <v>0</v>
      </c>
      <c r="AG420" s="42">
        <v>0</v>
      </c>
      <c r="AI420" s="10">
        <f t="shared" si="64"/>
        <v>0</v>
      </c>
      <c r="AK420" s="42">
        <f t="shared" si="62"/>
        <v>0</v>
      </c>
    </row>
    <row r="421" spans="1:37">
      <c r="A421" s="9" t="s">
        <v>508</v>
      </c>
      <c r="B421" s="9"/>
      <c r="C421" s="9" t="s">
        <v>63</v>
      </c>
      <c r="D421" s="9"/>
      <c r="E421" s="23">
        <v>44552</v>
      </c>
      <c r="G421" s="42">
        <v>3171961</v>
      </c>
      <c r="I421" s="42">
        <v>15909</v>
      </c>
      <c r="K421" s="2">
        <f t="shared" si="65"/>
        <v>9475506</v>
      </c>
      <c r="M421" s="42">
        <v>12663376</v>
      </c>
      <c r="O421" s="42">
        <v>0</v>
      </c>
      <c r="Q421" s="2">
        <f t="shared" si="63"/>
        <v>2010679</v>
      </c>
      <c r="S421" s="42">
        <v>0</v>
      </c>
      <c r="U421" s="42">
        <v>2010679</v>
      </c>
      <c r="W421" s="42">
        <v>8670239</v>
      </c>
      <c r="Y421" s="42">
        <v>107928</v>
      </c>
      <c r="AA421" s="42">
        <v>0</v>
      </c>
      <c r="AC421" s="42">
        <v>11000</v>
      </c>
      <c r="AE421" s="42">
        <v>1863530</v>
      </c>
      <c r="AG421" s="42">
        <v>0</v>
      </c>
      <c r="AI421" s="10">
        <f t="shared" si="64"/>
        <v>1982458</v>
      </c>
      <c r="AK421" s="42">
        <f t="shared" si="62"/>
        <v>0</v>
      </c>
    </row>
    <row r="422" spans="1:37">
      <c r="A422" s="9" t="s">
        <v>356</v>
      </c>
      <c r="B422" s="9"/>
      <c r="C422" s="9" t="s">
        <v>37</v>
      </c>
      <c r="D422" s="9"/>
      <c r="E422" s="23">
        <v>44560</v>
      </c>
      <c r="G422" s="42">
        <v>5209335</v>
      </c>
      <c r="I422" s="42">
        <v>717700</v>
      </c>
      <c r="K422" s="2">
        <f t="shared" si="65"/>
        <v>7390756</v>
      </c>
      <c r="M422" s="42">
        <v>13317791</v>
      </c>
      <c r="O422" s="42">
        <v>0</v>
      </c>
      <c r="Q422" s="2">
        <f t="shared" si="63"/>
        <v>8055370</v>
      </c>
      <c r="S422" s="42">
        <v>0</v>
      </c>
      <c r="U422" s="42">
        <v>8055370</v>
      </c>
      <c r="W422" s="42">
        <v>0</v>
      </c>
      <c r="Y422" s="42">
        <v>9346</v>
      </c>
      <c r="AA422" s="42">
        <v>717700</v>
      </c>
      <c r="AC422" s="42">
        <v>10947</v>
      </c>
      <c r="AE422" s="42">
        <v>508855</v>
      </c>
      <c r="AG422" s="42">
        <v>4015573</v>
      </c>
      <c r="AI422" s="10">
        <f t="shared" si="64"/>
        <v>5262421</v>
      </c>
      <c r="AK422" s="42">
        <f t="shared" si="62"/>
        <v>0</v>
      </c>
    </row>
    <row r="423" spans="1:37" hidden="1">
      <c r="A423" s="9" t="s">
        <v>811</v>
      </c>
      <c r="B423" s="9"/>
      <c r="C423" s="9" t="s">
        <v>71</v>
      </c>
      <c r="D423" s="9"/>
      <c r="E423" s="23">
        <v>50567</v>
      </c>
      <c r="G423" s="42">
        <v>0</v>
      </c>
      <c r="I423" s="42">
        <v>0</v>
      </c>
      <c r="K423" s="2">
        <f t="shared" ref="K423" si="66">+M423-I423-G423</f>
        <v>0</v>
      </c>
      <c r="M423" s="42">
        <v>0</v>
      </c>
      <c r="O423" s="42">
        <v>0</v>
      </c>
      <c r="Q423" s="2">
        <f t="shared" ref="Q423" si="67">+U423-S423</f>
        <v>0</v>
      </c>
      <c r="S423" s="42">
        <v>0</v>
      </c>
      <c r="U423" s="42">
        <v>0</v>
      </c>
      <c r="W423" s="42">
        <v>0</v>
      </c>
      <c r="Y423" s="42">
        <v>0</v>
      </c>
      <c r="AA423" s="42">
        <v>0</v>
      </c>
      <c r="AC423" s="42">
        <v>0</v>
      </c>
      <c r="AE423" s="42">
        <v>0</v>
      </c>
      <c r="AG423" s="42">
        <v>0</v>
      </c>
      <c r="AI423" s="10">
        <f t="shared" ref="AI423" si="68">+AC423+AA423++Y423+AE423+AG423</f>
        <v>0</v>
      </c>
      <c r="AK423" s="42">
        <f t="shared" si="62"/>
        <v>0</v>
      </c>
    </row>
    <row r="424" spans="1:37">
      <c r="A424" s="9" t="s">
        <v>626</v>
      </c>
      <c r="B424" s="9"/>
      <c r="C424" s="9" t="s">
        <v>32</v>
      </c>
      <c r="D424" s="9"/>
      <c r="E424" s="23">
        <v>44578</v>
      </c>
      <c r="G424" s="42">
        <v>1206318</v>
      </c>
      <c r="I424" s="42">
        <v>0</v>
      </c>
      <c r="K424" s="2">
        <f t="shared" si="65"/>
        <v>16923732</v>
      </c>
      <c r="M424" s="42">
        <v>18130050</v>
      </c>
      <c r="O424" s="42">
        <v>0</v>
      </c>
      <c r="Q424" s="2">
        <f t="shared" si="63"/>
        <v>13783106</v>
      </c>
      <c r="S424" s="42">
        <v>0</v>
      </c>
      <c r="U424" s="42">
        <v>13783106</v>
      </c>
      <c r="W424" s="42">
        <v>0</v>
      </c>
      <c r="Y424" s="42">
        <v>17626</v>
      </c>
      <c r="AA424" s="42">
        <v>0</v>
      </c>
      <c r="AC424" s="42">
        <v>0</v>
      </c>
      <c r="AE424" s="42">
        <v>650005</v>
      </c>
      <c r="AG424" s="42">
        <v>3679313</v>
      </c>
      <c r="AI424" s="10">
        <f t="shared" si="64"/>
        <v>4346944</v>
      </c>
      <c r="AK424" s="42">
        <f t="shared" si="62"/>
        <v>0</v>
      </c>
    </row>
    <row r="425" spans="1:37" hidden="1">
      <c r="A425" s="9" t="s">
        <v>732</v>
      </c>
      <c r="B425" s="9"/>
      <c r="C425" s="9" t="s">
        <v>38</v>
      </c>
      <c r="D425" s="9"/>
      <c r="E425" s="23">
        <v>47761</v>
      </c>
      <c r="G425" s="42">
        <v>0</v>
      </c>
      <c r="I425" s="42">
        <v>0</v>
      </c>
      <c r="K425" s="2"/>
      <c r="M425" s="42">
        <v>0</v>
      </c>
      <c r="O425" s="42">
        <v>0</v>
      </c>
      <c r="Q425" s="2"/>
      <c r="S425" s="42">
        <v>0</v>
      </c>
      <c r="U425" s="42">
        <v>0</v>
      </c>
      <c r="W425" s="42">
        <v>0</v>
      </c>
      <c r="Y425" s="42">
        <v>0</v>
      </c>
      <c r="AA425" s="42">
        <v>0</v>
      </c>
      <c r="AC425" s="42">
        <v>0</v>
      </c>
      <c r="AE425" s="42">
        <v>0</v>
      </c>
      <c r="AG425" s="42">
        <v>0</v>
      </c>
      <c r="AI425" s="10"/>
      <c r="AK425" s="42">
        <f t="shared" si="62"/>
        <v>0</v>
      </c>
    </row>
    <row r="426" spans="1:37">
      <c r="A426" s="9" t="s">
        <v>326</v>
      </c>
      <c r="B426" s="9"/>
      <c r="C426" s="9" t="s">
        <v>32</v>
      </c>
      <c r="D426" s="9"/>
      <c r="E426" s="23">
        <v>47373</v>
      </c>
      <c r="G426" s="42">
        <v>15208755</v>
      </c>
      <c r="I426" s="42">
        <v>380716</v>
      </c>
      <c r="K426" s="2">
        <f t="shared" si="65"/>
        <v>32121026</v>
      </c>
      <c r="M426" s="42">
        <v>47710497</v>
      </c>
      <c r="O426" s="42">
        <v>0</v>
      </c>
      <c r="Q426" s="2">
        <f t="shared" si="63"/>
        <v>31320253</v>
      </c>
      <c r="S426" s="42">
        <v>0</v>
      </c>
      <c r="U426" s="42">
        <v>31320253</v>
      </c>
      <c r="W426" s="42">
        <v>0</v>
      </c>
      <c r="Y426" s="42">
        <v>0</v>
      </c>
      <c r="AA426" s="42">
        <v>0</v>
      </c>
      <c r="AC426" s="42">
        <v>0</v>
      </c>
      <c r="AE426" s="42">
        <v>3988644</v>
      </c>
      <c r="AG426" s="42">
        <v>12401600</v>
      </c>
      <c r="AI426" s="10">
        <f t="shared" si="64"/>
        <v>16390244</v>
      </c>
      <c r="AK426" s="42">
        <f t="shared" si="62"/>
        <v>0</v>
      </c>
    </row>
    <row r="427" spans="1:37">
      <c r="A427" s="9" t="s">
        <v>432</v>
      </c>
      <c r="B427" s="9"/>
      <c r="C427" s="9" t="s">
        <v>50</v>
      </c>
      <c r="D427" s="9"/>
      <c r="E427" s="23">
        <v>44586</v>
      </c>
      <c r="G427" s="42">
        <f>1053238+2468</f>
        <v>1055706</v>
      </c>
      <c r="I427" s="42">
        <v>0</v>
      </c>
      <c r="K427" s="2">
        <f t="shared" si="65"/>
        <v>14645871</v>
      </c>
      <c r="M427" s="42">
        <v>15701577</v>
      </c>
      <c r="O427" s="42">
        <v>0</v>
      </c>
      <c r="Q427" s="2">
        <f t="shared" si="63"/>
        <v>2741099</v>
      </c>
      <c r="S427" s="42">
        <v>0</v>
      </c>
      <c r="U427" s="42">
        <v>2741099</v>
      </c>
      <c r="W427" s="42">
        <v>13692899</v>
      </c>
      <c r="Y427" s="42">
        <v>6157</v>
      </c>
      <c r="AA427" s="42">
        <v>0</v>
      </c>
      <c r="AC427" s="42">
        <v>0</v>
      </c>
      <c r="AE427" s="42">
        <v>1107905</v>
      </c>
      <c r="AG427" s="42">
        <v>-1846483</v>
      </c>
      <c r="AI427" s="10">
        <f t="shared" si="64"/>
        <v>-732421</v>
      </c>
      <c r="AK427" s="42">
        <f t="shared" si="62"/>
        <v>0</v>
      </c>
    </row>
    <row r="428" spans="1:37">
      <c r="A428" s="9" t="s">
        <v>386</v>
      </c>
      <c r="B428" s="9"/>
      <c r="C428" s="9" t="s">
        <v>44</v>
      </c>
      <c r="D428" s="9"/>
      <c r="E428" s="23">
        <v>44594</v>
      </c>
      <c r="G428" s="42">
        <v>1281359</v>
      </c>
      <c r="I428" s="42">
        <v>0</v>
      </c>
      <c r="K428" s="2">
        <f t="shared" si="65"/>
        <v>6207322</v>
      </c>
      <c r="M428" s="42">
        <v>7488681</v>
      </c>
      <c r="O428" s="42">
        <v>0</v>
      </c>
      <c r="Q428" s="2">
        <f t="shared" si="63"/>
        <v>1578318</v>
      </c>
      <c r="S428" s="42">
        <v>0</v>
      </c>
      <c r="U428" s="42">
        <v>1578318</v>
      </c>
      <c r="W428" s="42">
        <v>4184403</v>
      </c>
      <c r="Y428" s="42">
        <v>0</v>
      </c>
      <c r="AA428" s="42">
        <v>0</v>
      </c>
      <c r="AC428" s="42">
        <v>0</v>
      </c>
      <c r="AE428" s="42">
        <v>496299</v>
      </c>
      <c r="AG428" s="42">
        <v>1229661</v>
      </c>
      <c r="AI428" s="10">
        <f t="shared" si="64"/>
        <v>1725960</v>
      </c>
      <c r="AK428" s="42">
        <f t="shared" si="62"/>
        <v>0</v>
      </c>
    </row>
    <row r="429" spans="1:37" hidden="1">
      <c r="A429" s="9" t="s">
        <v>609</v>
      </c>
      <c r="B429" s="9"/>
      <c r="C429" s="9" t="s">
        <v>60</v>
      </c>
      <c r="D429" s="9"/>
      <c r="E429" s="23">
        <v>49726</v>
      </c>
      <c r="G429" s="42">
        <v>0</v>
      </c>
      <c r="I429" s="42">
        <v>0</v>
      </c>
      <c r="K429" s="2">
        <f t="shared" si="65"/>
        <v>0</v>
      </c>
      <c r="M429" s="42">
        <v>0</v>
      </c>
      <c r="O429" s="42">
        <v>0</v>
      </c>
      <c r="Q429" s="2">
        <f t="shared" si="63"/>
        <v>0</v>
      </c>
      <c r="S429" s="42">
        <v>0</v>
      </c>
      <c r="U429" s="42">
        <v>0</v>
      </c>
      <c r="W429" s="42">
        <v>0</v>
      </c>
      <c r="Y429" s="42">
        <v>0</v>
      </c>
      <c r="AA429" s="42">
        <v>0</v>
      </c>
      <c r="AC429" s="42">
        <v>0</v>
      </c>
      <c r="AE429" s="42">
        <v>0</v>
      </c>
      <c r="AG429" s="42">
        <v>0</v>
      </c>
      <c r="AI429" s="10">
        <f t="shared" si="64"/>
        <v>0</v>
      </c>
      <c r="AK429" s="42">
        <f t="shared" si="62"/>
        <v>0</v>
      </c>
    </row>
    <row r="430" spans="1:37">
      <c r="A430" s="9" t="s">
        <v>282</v>
      </c>
      <c r="B430" s="9"/>
      <c r="C430" s="9" t="s">
        <v>23</v>
      </c>
      <c r="D430" s="9"/>
      <c r="E430" s="23">
        <v>46763</v>
      </c>
      <c r="G430" s="42">
        <v>43229980</v>
      </c>
      <c r="I430" s="42">
        <v>283573</v>
      </c>
      <c r="K430" s="2">
        <f t="shared" si="65"/>
        <v>143161745</v>
      </c>
      <c r="M430" s="42">
        <v>186675298</v>
      </c>
      <c r="O430" s="42">
        <v>0</v>
      </c>
      <c r="Q430" s="2">
        <f t="shared" si="63"/>
        <v>20244750</v>
      </c>
      <c r="S430" s="42">
        <v>0</v>
      </c>
      <c r="U430" s="42">
        <v>20244750</v>
      </c>
      <c r="W430" s="42">
        <v>107951181</v>
      </c>
      <c r="Y430" s="42">
        <v>403033</v>
      </c>
      <c r="AA430" s="42">
        <v>283573</v>
      </c>
      <c r="AC430" s="42">
        <v>0</v>
      </c>
      <c r="AE430" s="42">
        <v>2738579</v>
      </c>
      <c r="AG430" s="42">
        <v>55054182</v>
      </c>
      <c r="AI430" s="10">
        <f t="shared" si="64"/>
        <v>58479367</v>
      </c>
      <c r="AK430" s="42">
        <f t="shared" si="62"/>
        <v>0</v>
      </c>
    </row>
    <row r="431" spans="1:37">
      <c r="A431" s="9" t="s">
        <v>271</v>
      </c>
      <c r="B431" s="9"/>
      <c r="C431" s="9" t="s">
        <v>20</v>
      </c>
      <c r="D431" s="9"/>
      <c r="E431" s="23">
        <v>46573</v>
      </c>
      <c r="G431" s="42">
        <v>8661433</v>
      </c>
      <c r="I431" s="42">
        <v>0</v>
      </c>
      <c r="K431" s="2">
        <f t="shared" si="65"/>
        <v>27056508</v>
      </c>
      <c r="M431" s="42">
        <v>35717941</v>
      </c>
      <c r="O431" s="42">
        <v>0</v>
      </c>
      <c r="Q431" s="2">
        <f t="shared" si="63"/>
        <v>5427636</v>
      </c>
      <c r="S431" s="42">
        <v>0</v>
      </c>
      <c r="U431" s="42">
        <v>5427636</v>
      </c>
      <c r="W431" s="42">
        <v>23445905</v>
      </c>
      <c r="Y431" s="42">
        <v>287036</v>
      </c>
      <c r="AA431" s="42">
        <v>0</v>
      </c>
      <c r="AC431" s="42">
        <v>10000</v>
      </c>
      <c r="AE431" s="42">
        <v>1852809</v>
      </c>
      <c r="AG431" s="42">
        <v>4694555</v>
      </c>
      <c r="AI431" s="10">
        <f t="shared" si="64"/>
        <v>6844400</v>
      </c>
      <c r="AK431" s="42">
        <f t="shared" si="62"/>
        <v>0</v>
      </c>
    </row>
    <row r="432" spans="1:37">
      <c r="A432" s="9" t="s">
        <v>467</v>
      </c>
      <c r="B432" s="9"/>
      <c r="C432" s="9" t="s">
        <v>109</v>
      </c>
      <c r="D432" s="9"/>
      <c r="E432" s="23">
        <v>49478</v>
      </c>
      <c r="G432" s="42">
        <v>4608193</v>
      </c>
      <c r="I432" s="42">
        <v>0</v>
      </c>
      <c r="K432" s="2">
        <f t="shared" si="65"/>
        <v>9421874</v>
      </c>
      <c r="M432" s="42">
        <v>14030067</v>
      </c>
      <c r="O432" s="42">
        <v>0</v>
      </c>
      <c r="Q432" s="2">
        <f t="shared" si="63"/>
        <v>2258761</v>
      </c>
      <c r="S432" s="42">
        <v>0</v>
      </c>
      <c r="U432" s="42">
        <v>2258761</v>
      </c>
      <c r="W432" s="42">
        <v>7309857</v>
      </c>
      <c r="Y432" s="42">
        <f>201101+2436</f>
        <v>203537</v>
      </c>
      <c r="AA432" s="42">
        <v>0</v>
      </c>
      <c r="AC432" s="42">
        <v>0</v>
      </c>
      <c r="AE432" s="42">
        <f>57660+2314</f>
        <v>59974</v>
      </c>
      <c r="AG432" s="42">
        <v>4197938</v>
      </c>
      <c r="AI432" s="10">
        <f t="shared" si="64"/>
        <v>4461449</v>
      </c>
      <c r="AK432" s="42">
        <f t="shared" si="62"/>
        <v>0</v>
      </c>
    </row>
    <row r="433" spans="1:37">
      <c r="A433" s="9" t="s">
        <v>272</v>
      </c>
      <c r="B433" s="9"/>
      <c r="C433" s="9" t="s">
        <v>20</v>
      </c>
      <c r="D433" s="9"/>
      <c r="E433" s="23">
        <v>46581</v>
      </c>
      <c r="G433" s="42">
        <v>29592304</v>
      </c>
      <c r="I433" s="42">
        <v>0</v>
      </c>
      <c r="K433" s="2">
        <f t="shared" si="65"/>
        <v>41046955</v>
      </c>
      <c r="M433" s="42">
        <v>70639259</v>
      </c>
      <c r="O433" s="42">
        <v>0</v>
      </c>
      <c r="Q433" s="2">
        <f t="shared" si="63"/>
        <v>5667862</v>
      </c>
      <c r="S433" s="42">
        <v>0</v>
      </c>
      <c r="U433" s="42">
        <v>5667862</v>
      </c>
      <c r="W433" s="42">
        <v>35492772</v>
      </c>
      <c r="Y433" s="42">
        <f>108063+1299+29894</f>
        <v>139256</v>
      </c>
      <c r="AA433" s="42">
        <v>0</v>
      </c>
      <c r="AC433" s="42">
        <v>683619</v>
      </c>
      <c r="AE433" s="42">
        <f>22115+119749+3627978+80208+163</f>
        <v>3850213</v>
      </c>
      <c r="AG433" s="42">
        <v>24805537</v>
      </c>
      <c r="AI433" s="10">
        <f t="shared" si="64"/>
        <v>29478625</v>
      </c>
      <c r="AK433" s="42">
        <f t="shared" si="62"/>
        <v>0</v>
      </c>
    </row>
    <row r="434" spans="1:37">
      <c r="A434" s="9" t="s">
        <v>388</v>
      </c>
      <c r="B434" s="9"/>
      <c r="C434" s="9" t="s">
        <v>114</v>
      </c>
      <c r="D434" s="9"/>
      <c r="E434" s="23">
        <v>44602</v>
      </c>
      <c r="G434" s="42">
        <v>10202691</v>
      </c>
      <c r="I434" s="42">
        <v>0</v>
      </c>
      <c r="K434" s="2">
        <f t="shared" si="65"/>
        <v>19647479</v>
      </c>
      <c r="M434" s="42">
        <v>29850170</v>
      </c>
      <c r="O434" s="42">
        <v>0</v>
      </c>
      <c r="Q434" s="2">
        <f t="shared" si="63"/>
        <v>4463329</v>
      </c>
      <c r="S434" s="42">
        <v>0</v>
      </c>
      <c r="U434" s="42">
        <v>4463329</v>
      </c>
      <c r="W434" s="42">
        <v>18570750</v>
      </c>
      <c r="Y434" s="42">
        <v>45565</v>
      </c>
      <c r="AA434" s="42">
        <v>0</v>
      </c>
      <c r="AC434" s="42">
        <v>533735</v>
      </c>
      <c r="AE434" s="42">
        <f>64076+385181+807212+17962</f>
        <v>1274431</v>
      </c>
      <c r="AG434" s="42">
        <v>4962360</v>
      </c>
      <c r="AI434" s="10">
        <f t="shared" si="64"/>
        <v>6816091</v>
      </c>
      <c r="AK434" s="42">
        <f t="shared" si="62"/>
        <v>0</v>
      </c>
    </row>
    <row r="435" spans="1:37" hidden="1">
      <c r="A435" s="9" t="s">
        <v>812</v>
      </c>
      <c r="B435" s="9"/>
      <c r="C435" s="9" t="s">
        <v>71</v>
      </c>
      <c r="D435" s="9"/>
      <c r="E435" s="23">
        <v>44610</v>
      </c>
      <c r="G435" s="42">
        <v>0</v>
      </c>
      <c r="I435" s="42">
        <v>0</v>
      </c>
      <c r="K435" s="2">
        <f t="shared" si="65"/>
        <v>0</v>
      </c>
      <c r="M435" s="42">
        <v>0</v>
      </c>
      <c r="O435" s="42">
        <v>0</v>
      </c>
      <c r="Q435" s="2">
        <f t="shared" si="63"/>
        <v>0</v>
      </c>
      <c r="S435" s="42">
        <v>0</v>
      </c>
      <c r="U435" s="42">
        <v>0</v>
      </c>
      <c r="W435" s="42">
        <v>0</v>
      </c>
      <c r="Y435" s="42">
        <v>0</v>
      </c>
      <c r="AA435" s="42">
        <v>0</v>
      </c>
      <c r="AC435" s="42">
        <v>0</v>
      </c>
      <c r="AE435" s="42">
        <v>0</v>
      </c>
      <c r="AG435" s="42">
        <v>0</v>
      </c>
      <c r="AI435" s="10">
        <f t="shared" si="64"/>
        <v>0</v>
      </c>
      <c r="AK435" s="42">
        <f t="shared" si="62"/>
        <v>0</v>
      </c>
    </row>
    <row r="436" spans="1:37" hidden="1">
      <c r="A436" s="8" t="s">
        <v>869</v>
      </c>
      <c r="B436" s="9"/>
      <c r="C436" s="9" t="s">
        <v>62</v>
      </c>
      <c r="D436" s="9"/>
      <c r="E436" s="23">
        <v>49916</v>
      </c>
      <c r="G436" s="42">
        <v>0</v>
      </c>
      <c r="I436" s="42">
        <v>0</v>
      </c>
      <c r="K436" s="2">
        <f t="shared" si="65"/>
        <v>0</v>
      </c>
      <c r="M436" s="42">
        <v>0</v>
      </c>
      <c r="O436" s="42">
        <v>0</v>
      </c>
      <c r="Q436" s="2">
        <f t="shared" si="63"/>
        <v>0</v>
      </c>
      <c r="S436" s="42">
        <v>0</v>
      </c>
      <c r="U436" s="42">
        <v>0</v>
      </c>
      <c r="W436" s="42">
        <v>0</v>
      </c>
      <c r="Y436" s="42">
        <v>0</v>
      </c>
      <c r="AA436" s="42">
        <v>0</v>
      </c>
      <c r="AC436" s="42">
        <v>0</v>
      </c>
      <c r="AE436" s="42">
        <v>0</v>
      </c>
      <c r="AG436" s="42">
        <v>0</v>
      </c>
      <c r="AI436" s="10">
        <f t="shared" si="64"/>
        <v>0</v>
      </c>
      <c r="AK436" s="42">
        <f t="shared" si="62"/>
        <v>0</v>
      </c>
    </row>
    <row r="437" spans="1:37">
      <c r="A437" s="9" t="s">
        <v>552</v>
      </c>
      <c r="B437" s="9"/>
      <c r="C437" s="9" t="s">
        <v>72</v>
      </c>
      <c r="D437" s="9"/>
      <c r="E437" s="23">
        <v>50724</v>
      </c>
      <c r="G437" s="42">
        <v>3048534</v>
      </c>
      <c r="I437" s="42">
        <v>364179</v>
      </c>
      <c r="K437" s="2">
        <f t="shared" si="65"/>
        <v>4973248</v>
      </c>
      <c r="M437" s="42">
        <v>8385961</v>
      </c>
      <c r="O437" s="42">
        <v>0</v>
      </c>
      <c r="Q437" s="2">
        <f t="shared" si="63"/>
        <v>1391796</v>
      </c>
      <c r="S437" s="42">
        <v>0</v>
      </c>
      <c r="U437" s="42">
        <v>1391796</v>
      </c>
      <c r="W437" s="42">
        <v>3426734</v>
      </c>
      <c r="Y437" s="42">
        <v>0</v>
      </c>
      <c r="AA437" s="42">
        <v>455152</v>
      </c>
      <c r="AC437" s="42">
        <v>0</v>
      </c>
      <c r="AE437" s="42">
        <v>216768</v>
      </c>
      <c r="AG437" s="42">
        <v>2895511</v>
      </c>
      <c r="AI437" s="10">
        <f t="shared" si="64"/>
        <v>3567431</v>
      </c>
      <c r="AK437" s="42">
        <f t="shared" si="62"/>
        <v>0</v>
      </c>
    </row>
    <row r="438" spans="1:37">
      <c r="A438" s="9" t="s">
        <v>389</v>
      </c>
      <c r="B438" s="9"/>
      <c r="C438" s="9" t="s">
        <v>114</v>
      </c>
      <c r="D438" s="9"/>
      <c r="E438" s="23">
        <v>48215</v>
      </c>
      <c r="F438" s="42" t="s">
        <v>622</v>
      </c>
      <c r="G438" s="42">
        <f>2147232+131097</f>
        <v>2278329</v>
      </c>
      <c r="I438" s="42">
        <v>70859</v>
      </c>
      <c r="K438" s="2">
        <f t="shared" si="65"/>
        <v>12393425</v>
      </c>
      <c r="M438" s="42">
        <v>14742613</v>
      </c>
      <c r="O438" s="42">
        <v>0</v>
      </c>
      <c r="Q438" s="2">
        <f t="shared" si="63"/>
        <v>1171358</v>
      </c>
      <c r="S438" s="42">
        <v>0</v>
      </c>
      <c r="U438" s="42">
        <v>1171358</v>
      </c>
      <c r="W438" s="42">
        <v>8991105</v>
      </c>
      <c r="Y438" s="42">
        <v>0</v>
      </c>
      <c r="AA438" s="42">
        <v>70859</v>
      </c>
      <c r="AC438" s="42">
        <v>96952</v>
      </c>
      <c r="AE438" s="42">
        <v>94002</v>
      </c>
      <c r="AG438" s="42">
        <v>4318337</v>
      </c>
      <c r="AI438" s="10">
        <f t="shared" si="64"/>
        <v>4580150</v>
      </c>
      <c r="AK438" s="42">
        <f t="shared" si="62"/>
        <v>0</v>
      </c>
    </row>
    <row r="439" spans="1:37" hidden="1">
      <c r="A439" s="9" t="s">
        <v>704</v>
      </c>
      <c r="B439" s="9"/>
      <c r="C439" s="9" t="s">
        <v>464</v>
      </c>
      <c r="D439" s="9"/>
      <c r="E439" s="23">
        <v>49379</v>
      </c>
      <c r="G439" s="42">
        <v>0</v>
      </c>
      <c r="I439" s="42">
        <v>0</v>
      </c>
      <c r="K439" s="2">
        <f t="shared" si="65"/>
        <v>0</v>
      </c>
      <c r="M439" s="42">
        <v>0</v>
      </c>
      <c r="O439" s="42">
        <v>0</v>
      </c>
      <c r="Q439" s="2">
        <f t="shared" si="63"/>
        <v>0</v>
      </c>
      <c r="S439" s="42">
        <v>0</v>
      </c>
      <c r="U439" s="42">
        <v>0</v>
      </c>
      <c r="W439" s="42">
        <v>0</v>
      </c>
      <c r="Y439" s="42">
        <v>0</v>
      </c>
      <c r="AA439" s="42">
        <v>0</v>
      </c>
      <c r="AC439" s="42">
        <v>0</v>
      </c>
      <c r="AE439" s="42">
        <v>0</v>
      </c>
      <c r="AG439" s="42">
        <v>0</v>
      </c>
      <c r="AI439" s="10">
        <f t="shared" si="64"/>
        <v>0</v>
      </c>
      <c r="AK439" s="42">
        <f t="shared" si="62"/>
        <v>0</v>
      </c>
    </row>
    <row r="440" spans="1:37" hidden="1">
      <c r="A440" s="9" t="s">
        <v>813</v>
      </c>
      <c r="B440" s="9"/>
      <c r="C440" s="9" t="s">
        <v>464</v>
      </c>
      <c r="D440" s="9"/>
      <c r="E440" s="23">
        <v>49387</v>
      </c>
      <c r="G440" s="42">
        <v>0</v>
      </c>
      <c r="I440" s="42">
        <v>0</v>
      </c>
      <c r="K440" s="2">
        <f t="shared" si="65"/>
        <v>0</v>
      </c>
      <c r="M440" s="42">
        <v>0</v>
      </c>
      <c r="O440" s="42">
        <v>0</v>
      </c>
      <c r="Q440" s="2">
        <f t="shared" si="63"/>
        <v>0</v>
      </c>
      <c r="S440" s="42">
        <v>0</v>
      </c>
      <c r="U440" s="42">
        <v>0</v>
      </c>
      <c r="W440" s="42">
        <v>0</v>
      </c>
      <c r="Y440" s="42">
        <v>0</v>
      </c>
      <c r="AA440" s="42">
        <v>0</v>
      </c>
      <c r="AC440" s="42">
        <v>0</v>
      </c>
      <c r="AE440" s="42">
        <v>0</v>
      </c>
      <c r="AG440" s="42">
        <v>0</v>
      </c>
      <c r="AI440" s="10">
        <f t="shared" si="64"/>
        <v>0</v>
      </c>
      <c r="AK440" s="42">
        <f t="shared" si="62"/>
        <v>0</v>
      </c>
    </row>
    <row r="441" spans="1:37" hidden="1">
      <c r="A441" s="9" t="s">
        <v>814</v>
      </c>
      <c r="B441" s="9"/>
      <c r="C441" s="9" t="s">
        <v>41</v>
      </c>
      <c r="D441" s="9"/>
      <c r="E441" s="23">
        <v>44628</v>
      </c>
      <c r="G441" s="42">
        <v>0</v>
      </c>
      <c r="I441" s="42">
        <v>0</v>
      </c>
      <c r="K441" s="2">
        <f t="shared" si="65"/>
        <v>0</v>
      </c>
      <c r="M441" s="42">
        <v>0</v>
      </c>
      <c r="O441" s="42">
        <v>0</v>
      </c>
      <c r="Q441" s="2">
        <f t="shared" si="63"/>
        <v>0</v>
      </c>
      <c r="S441" s="42">
        <v>0</v>
      </c>
      <c r="U441" s="42">
        <v>0</v>
      </c>
      <c r="W441" s="42">
        <v>0</v>
      </c>
      <c r="Y441" s="42">
        <v>0</v>
      </c>
      <c r="AA441" s="42">
        <v>0</v>
      </c>
      <c r="AC441" s="42">
        <v>0</v>
      </c>
      <c r="AE441" s="42">
        <v>0</v>
      </c>
      <c r="AG441" s="42">
        <v>0</v>
      </c>
      <c r="AI441" s="10">
        <f t="shared" si="64"/>
        <v>0</v>
      </c>
      <c r="AK441" s="42">
        <f t="shared" si="62"/>
        <v>0</v>
      </c>
    </row>
    <row r="442" spans="1:37" hidden="1">
      <c r="A442" s="9" t="s">
        <v>778</v>
      </c>
      <c r="B442" s="9"/>
      <c r="C442" s="9" t="s">
        <v>41</v>
      </c>
      <c r="D442" s="9"/>
      <c r="E442" s="23">
        <v>47894</v>
      </c>
      <c r="G442" s="42">
        <v>0</v>
      </c>
      <c r="I442" s="42">
        <v>0</v>
      </c>
      <c r="K442" s="2">
        <f t="shared" si="65"/>
        <v>0</v>
      </c>
      <c r="M442" s="42">
        <v>0</v>
      </c>
      <c r="O442" s="42">
        <v>0</v>
      </c>
      <c r="Q442" s="2">
        <f t="shared" si="63"/>
        <v>0</v>
      </c>
      <c r="S442" s="42">
        <v>0</v>
      </c>
      <c r="U442" s="42">
        <v>0</v>
      </c>
      <c r="W442" s="42">
        <v>0</v>
      </c>
      <c r="Y442" s="42">
        <v>0</v>
      </c>
      <c r="AA442" s="42">
        <v>0</v>
      </c>
      <c r="AC442" s="42">
        <v>0</v>
      </c>
      <c r="AE442" s="42">
        <v>0</v>
      </c>
      <c r="AG442" s="42">
        <v>0</v>
      </c>
      <c r="AI442" s="10">
        <f t="shared" si="64"/>
        <v>0</v>
      </c>
      <c r="AK442" s="42">
        <f t="shared" si="62"/>
        <v>0</v>
      </c>
    </row>
    <row r="443" spans="1:37">
      <c r="A443" s="9" t="s">
        <v>472</v>
      </c>
      <c r="B443" s="9"/>
      <c r="C443" s="9" t="s">
        <v>58</v>
      </c>
      <c r="D443" s="9"/>
      <c r="E443" s="23">
        <v>49510</v>
      </c>
      <c r="G443" s="42">
        <v>2012488</v>
      </c>
      <c r="I443" s="42">
        <v>0</v>
      </c>
      <c r="K443" s="2">
        <f t="shared" si="65"/>
        <v>1669341</v>
      </c>
      <c r="M443" s="42">
        <v>3681829</v>
      </c>
      <c r="O443" s="42">
        <v>0</v>
      </c>
      <c r="Q443" s="2">
        <f t="shared" si="63"/>
        <v>830681</v>
      </c>
      <c r="S443" s="42">
        <v>0</v>
      </c>
      <c r="U443" s="42">
        <v>830681</v>
      </c>
      <c r="W443" s="42">
        <v>1426056</v>
      </c>
      <c r="Y443" s="42">
        <v>0</v>
      </c>
      <c r="AA443" s="42">
        <v>0</v>
      </c>
      <c r="AC443" s="42">
        <v>2947</v>
      </c>
      <c r="AE443" s="42">
        <v>81888</v>
      </c>
      <c r="AG443" s="42">
        <v>1340257</v>
      </c>
      <c r="AI443" s="10">
        <f t="shared" si="64"/>
        <v>1425092</v>
      </c>
      <c r="AK443" s="42">
        <f t="shared" si="62"/>
        <v>0</v>
      </c>
    </row>
    <row r="444" spans="1:37" hidden="1">
      <c r="A444" s="9" t="s">
        <v>681</v>
      </c>
      <c r="B444" s="9"/>
      <c r="C444" s="9" t="s">
        <v>464</v>
      </c>
      <c r="D444" s="9"/>
      <c r="E444" s="23">
        <v>49395</v>
      </c>
      <c r="G444" s="42">
        <v>0</v>
      </c>
      <c r="I444" s="42">
        <v>0</v>
      </c>
      <c r="K444" s="2">
        <f t="shared" si="65"/>
        <v>0</v>
      </c>
      <c r="M444" s="42">
        <v>0</v>
      </c>
      <c r="O444" s="42">
        <v>0</v>
      </c>
      <c r="Q444" s="2">
        <f t="shared" si="63"/>
        <v>0</v>
      </c>
      <c r="S444" s="42">
        <v>0</v>
      </c>
      <c r="U444" s="42">
        <v>0</v>
      </c>
      <c r="W444" s="42">
        <v>0</v>
      </c>
      <c r="Y444" s="42">
        <v>0</v>
      </c>
      <c r="AA444" s="42">
        <v>0</v>
      </c>
      <c r="AC444" s="42">
        <v>0</v>
      </c>
      <c r="AE444" s="42">
        <v>0</v>
      </c>
      <c r="AG444" s="42">
        <v>0</v>
      </c>
      <c r="AI444" s="10">
        <f t="shared" si="64"/>
        <v>0</v>
      </c>
      <c r="AK444" s="42">
        <f t="shared" si="62"/>
        <v>0</v>
      </c>
    </row>
    <row r="445" spans="1:37" hidden="1">
      <c r="A445" s="9" t="s">
        <v>682</v>
      </c>
      <c r="B445" s="9"/>
      <c r="C445" s="9" t="s">
        <v>419</v>
      </c>
      <c r="D445" s="9"/>
      <c r="E445" s="23">
        <v>48579</v>
      </c>
      <c r="G445" s="42">
        <v>0</v>
      </c>
      <c r="I445" s="42">
        <v>0</v>
      </c>
      <c r="K445" s="2">
        <f t="shared" si="65"/>
        <v>0</v>
      </c>
      <c r="M445" s="42">
        <v>0</v>
      </c>
      <c r="O445" s="42">
        <v>0</v>
      </c>
      <c r="Q445" s="2">
        <f t="shared" si="63"/>
        <v>0</v>
      </c>
      <c r="S445" s="42">
        <v>0</v>
      </c>
      <c r="U445" s="42">
        <v>0</v>
      </c>
      <c r="W445" s="42">
        <v>0</v>
      </c>
      <c r="Y445" s="42">
        <v>0</v>
      </c>
      <c r="AA445" s="42">
        <v>0</v>
      </c>
      <c r="AC445" s="42">
        <v>0</v>
      </c>
      <c r="AE445" s="42">
        <v>0</v>
      </c>
      <c r="AG445" s="42">
        <v>0</v>
      </c>
      <c r="AI445" s="10">
        <f t="shared" si="64"/>
        <v>0</v>
      </c>
      <c r="AK445" s="42">
        <f t="shared" si="62"/>
        <v>0</v>
      </c>
    </row>
    <row r="446" spans="1:37">
      <c r="A446" s="9" t="s">
        <v>273</v>
      </c>
      <c r="B446" s="9"/>
      <c r="C446" s="9" t="s">
        <v>20</v>
      </c>
      <c r="D446" s="9"/>
      <c r="E446" s="23">
        <v>44636</v>
      </c>
      <c r="G446" s="42">
        <v>17136108</v>
      </c>
      <c r="I446" s="42">
        <v>0</v>
      </c>
      <c r="K446" s="2">
        <f t="shared" si="65"/>
        <v>96584438</v>
      </c>
      <c r="M446" s="42">
        <v>113720546</v>
      </c>
      <c r="O446" s="42">
        <v>0</v>
      </c>
      <c r="Q446" s="2">
        <f t="shared" si="63"/>
        <v>13614690</v>
      </c>
      <c r="S446" s="42">
        <v>0</v>
      </c>
      <c r="U446" s="42">
        <v>13614690</v>
      </c>
      <c r="W446" s="42">
        <v>81623809</v>
      </c>
      <c r="Y446" s="42">
        <v>196845</v>
      </c>
      <c r="AA446" s="42">
        <v>0</v>
      </c>
      <c r="AC446" s="42">
        <v>0</v>
      </c>
      <c r="AE446" s="42">
        <v>3479995</v>
      </c>
      <c r="AG446" s="42">
        <v>14805207</v>
      </c>
      <c r="AI446" s="10">
        <f t="shared" si="64"/>
        <v>18482047</v>
      </c>
      <c r="AK446" s="42">
        <f t="shared" si="62"/>
        <v>0</v>
      </c>
    </row>
    <row r="447" spans="1:37">
      <c r="A447" s="9" t="s">
        <v>345</v>
      </c>
      <c r="B447" s="9"/>
      <c r="C447" s="9" t="s">
        <v>34</v>
      </c>
      <c r="D447" s="9"/>
      <c r="E447" s="23">
        <v>47597</v>
      </c>
      <c r="G447" s="42">
        <v>2715399</v>
      </c>
      <c r="I447" s="42">
        <v>0</v>
      </c>
      <c r="K447" s="2">
        <f t="shared" si="65"/>
        <v>5635111</v>
      </c>
      <c r="M447" s="42">
        <v>8350510</v>
      </c>
      <c r="O447" s="42">
        <v>0</v>
      </c>
      <c r="Q447" s="2">
        <f t="shared" si="63"/>
        <v>5719926</v>
      </c>
      <c r="S447" s="42">
        <v>0</v>
      </c>
      <c r="U447" s="42">
        <v>5719926</v>
      </c>
      <c r="W447" s="42">
        <v>0</v>
      </c>
      <c r="Y447" s="42">
        <v>0</v>
      </c>
      <c r="AA447" s="42">
        <v>0</v>
      </c>
      <c r="AC447" s="42">
        <v>5318</v>
      </c>
      <c r="AE447" s="42">
        <v>74330</v>
      </c>
      <c r="AG447" s="42">
        <v>2550936</v>
      </c>
      <c r="AI447" s="10">
        <f t="shared" si="64"/>
        <v>2630584</v>
      </c>
      <c r="AK447" s="42">
        <f t="shared" si="62"/>
        <v>0</v>
      </c>
    </row>
    <row r="448" spans="1:37" hidden="1">
      <c r="A448" s="9" t="s">
        <v>769</v>
      </c>
      <c r="B448" s="9"/>
      <c r="C448" s="9" t="s">
        <v>447</v>
      </c>
      <c r="D448" s="9"/>
      <c r="E448" s="23">
        <v>45575</v>
      </c>
      <c r="G448" s="42">
        <v>0</v>
      </c>
      <c r="I448" s="42">
        <v>0</v>
      </c>
      <c r="K448" s="2">
        <f t="shared" si="65"/>
        <v>0</v>
      </c>
      <c r="M448" s="42">
        <v>0</v>
      </c>
      <c r="O448" s="42">
        <v>0</v>
      </c>
      <c r="Q448" s="2">
        <f t="shared" si="63"/>
        <v>0</v>
      </c>
      <c r="S448" s="42">
        <v>0</v>
      </c>
      <c r="U448" s="42">
        <v>0</v>
      </c>
      <c r="W448" s="42">
        <v>0</v>
      </c>
      <c r="Y448" s="42">
        <v>0</v>
      </c>
      <c r="AA448" s="42">
        <v>0</v>
      </c>
      <c r="AC448" s="42">
        <v>0</v>
      </c>
      <c r="AE448" s="42">
        <v>0</v>
      </c>
      <c r="AG448" s="42">
        <v>0</v>
      </c>
      <c r="AI448" s="10">
        <f t="shared" si="64"/>
        <v>0</v>
      </c>
      <c r="AK448" s="42">
        <f t="shared" si="62"/>
        <v>0</v>
      </c>
    </row>
    <row r="449" spans="1:37">
      <c r="A449" s="9" t="s">
        <v>287</v>
      </c>
      <c r="B449" s="9"/>
      <c r="C449" s="9" t="s">
        <v>24</v>
      </c>
      <c r="D449" s="9"/>
      <c r="E449" s="23">
        <v>46813</v>
      </c>
      <c r="G449" s="42">
        <v>577087</v>
      </c>
      <c r="I449" s="42">
        <v>0</v>
      </c>
      <c r="K449" s="2">
        <f t="shared" si="65"/>
        <v>12024373</v>
      </c>
      <c r="M449" s="42">
        <v>12601460</v>
      </c>
      <c r="O449" s="42">
        <v>0</v>
      </c>
      <c r="Q449" s="2">
        <f t="shared" si="63"/>
        <v>3070003</v>
      </c>
      <c r="S449" s="42">
        <v>0</v>
      </c>
      <c r="U449" s="42">
        <v>3070003</v>
      </c>
      <c r="W449" s="42">
        <v>10304287</v>
      </c>
      <c r="Y449" s="42">
        <f>82594+530</f>
        <v>83124</v>
      </c>
      <c r="AA449" s="42">
        <v>0</v>
      </c>
      <c r="AC449" s="42">
        <v>0</v>
      </c>
      <c r="AE449" s="42">
        <f>47273+87270</f>
        <v>134543</v>
      </c>
      <c r="AG449" s="42">
        <v>-990497</v>
      </c>
      <c r="AI449" s="10">
        <f t="shared" si="64"/>
        <v>-772830</v>
      </c>
      <c r="AK449" s="42">
        <f t="shared" si="62"/>
        <v>0</v>
      </c>
    </row>
    <row r="450" spans="1:37" hidden="1">
      <c r="A450" s="9" t="s">
        <v>683</v>
      </c>
      <c r="B450" s="9"/>
      <c r="C450" s="9" t="s">
        <v>10</v>
      </c>
      <c r="D450" s="9"/>
      <c r="E450" s="23">
        <v>45781</v>
      </c>
      <c r="G450" s="42">
        <v>0</v>
      </c>
      <c r="I450" s="42">
        <v>0</v>
      </c>
      <c r="K450" s="2">
        <f t="shared" si="65"/>
        <v>0</v>
      </c>
      <c r="M450" s="42">
        <v>0</v>
      </c>
      <c r="O450" s="42">
        <v>0</v>
      </c>
      <c r="Q450" s="2">
        <f t="shared" si="63"/>
        <v>0</v>
      </c>
      <c r="S450" s="42">
        <v>0</v>
      </c>
      <c r="U450" s="42">
        <v>0</v>
      </c>
      <c r="W450" s="42">
        <v>0</v>
      </c>
      <c r="Y450" s="42">
        <v>0</v>
      </c>
      <c r="AA450" s="42">
        <v>0</v>
      </c>
      <c r="AC450" s="42">
        <v>0</v>
      </c>
      <c r="AE450" s="42">
        <v>0</v>
      </c>
      <c r="AG450" s="42">
        <v>0</v>
      </c>
      <c r="AI450" s="10">
        <f t="shared" si="64"/>
        <v>0</v>
      </c>
      <c r="AK450" s="42">
        <f t="shared" si="62"/>
        <v>0</v>
      </c>
    </row>
    <row r="451" spans="1:37">
      <c r="A451" s="9" t="s">
        <v>201</v>
      </c>
      <c r="B451" s="9"/>
      <c r="C451" s="9" t="s">
        <v>41</v>
      </c>
      <c r="D451" s="9"/>
      <c r="E451" s="23">
        <v>47902</v>
      </c>
      <c r="G451" s="42">
        <v>21619536</v>
      </c>
      <c r="I451" s="42">
        <v>58165</v>
      </c>
      <c r="K451" s="2">
        <f t="shared" si="65"/>
        <v>14523373</v>
      </c>
      <c r="M451" s="42">
        <v>36201074</v>
      </c>
      <c r="O451" s="42">
        <v>0</v>
      </c>
      <c r="Q451" s="2">
        <f t="shared" si="63"/>
        <v>2157969</v>
      </c>
      <c r="S451" s="42">
        <v>0</v>
      </c>
      <c r="U451" s="42">
        <v>2157969</v>
      </c>
      <c r="W451" s="42">
        <v>13389882</v>
      </c>
      <c r="Y451" s="42">
        <v>212007</v>
      </c>
      <c r="AA451" s="42">
        <v>58165</v>
      </c>
      <c r="AC451" s="42">
        <v>442840</v>
      </c>
      <c r="AE451" s="42">
        <v>2127200</v>
      </c>
      <c r="AG451" s="42">
        <v>17813011</v>
      </c>
      <c r="AI451" s="10">
        <f t="shared" si="64"/>
        <v>20653223</v>
      </c>
      <c r="AK451" s="42">
        <f t="shared" si="62"/>
        <v>0</v>
      </c>
    </row>
    <row r="452" spans="1:37">
      <c r="A452" s="9" t="s">
        <v>201</v>
      </c>
      <c r="B452" s="9"/>
      <c r="C452" s="9" t="s">
        <v>62</v>
      </c>
      <c r="D452" s="9"/>
      <c r="E452" s="23">
        <v>49924</v>
      </c>
      <c r="G452" s="42">
        <v>21491820</v>
      </c>
      <c r="I452" s="42">
        <v>0</v>
      </c>
      <c r="K452" s="2">
        <f t="shared" si="65"/>
        <v>18511729</v>
      </c>
      <c r="M452" s="42">
        <v>40003549</v>
      </c>
      <c r="O452" s="42">
        <v>0</v>
      </c>
      <c r="Q452" s="2">
        <f t="shared" si="63"/>
        <v>5312080</v>
      </c>
      <c r="S452" s="42">
        <v>0</v>
      </c>
      <c r="U452" s="42">
        <v>5312080</v>
      </c>
      <c r="W452" s="42">
        <v>18003407</v>
      </c>
      <c r="Y452" s="42">
        <v>73321</v>
      </c>
      <c r="AA452" s="42">
        <v>0</v>
      </c>
      <c r="AC452" s="42">
        <v>0</v>
      </c>
      <c r="AE452" s="42">
        <v>312224</v>
      </c>
      <c r="AG452" s="42">
        <v>16302517</v>
      </c>
      <c r="AI452" s="10">
        <f t="shared" si="64"/>
        <v>16688062</v>
      </c>
      <c r="AK452" s="42">
        <f t="shared" si="62"/>
        <v>0</v>
      </c>
    </row>
    <row r="453" spans="1:37">
      <c r="A453" s="9" t="s">
        <v>770</v>
      </c>
      <c r="B453" s="9"/>
      <c r="C453" s="9" t="s">
        <v>72</v>
      </c>
      <c r="D453" s="9"/>
      <c r="E453" s="23">
        <v>45583</v>
      </c>
      <c r="G453" s="42">
        <v>2756665</v>
      </c>
      <c r="I453" s="42">
        <v>1270</v>
      </c>
      <c r="K453" s="2">
        <f t="shared" si="65"/>
        <v>27892627</v>
      </c>
      <c r="M453" s="42">
        <v>30650562</v>
      </c>
      <c r="O453" s="42">
        <v>0</v>
      </c>
      <c r="Q453" s="2">
        <f t="shared" si="63"/>
        <v>5933577</v>
      </c>
      <c r="S453" s="42">
        <v>0</v>
      </c>
      <c r="U453" s="42">
        <v>5933577</v>
      </c>
      <c r="W453" s="42">
        <v>19765334</v>
      </c>
      <c r="Y453" s="42">
        <v>17509</v>
      </c>
      <c r="AA453" s="42">
        <v>1270</v>
      </c>
      <c r="AC453" s="42">
        <v>11000</v>
      </c>
      <c r="AE453" s="42">
        <v>311193</v>
      </c>
      <c r="AG453" s="42">
        <v>4610679</v>
      </c>
      <c r="AI453" s="10">
        <f t="shared" si="64"/>
        <v>4951651</v>
      </c>
      <c r="AK453" s="42">
        <f t="shared" si="62"/>
        <v>0</v>
      </c>
    </row>
    <row r="454" spans="1:37" hidden="1">
      <c r="A454" s="9" t="s">
        <v>884</v>
      </c>
      <c r="B454" s="9"/>
      <c r="C454" s="9" t="s">
        <v>28</v>
      </c>
      <c r="D454" s="9"/>
      <c r="E454" s="23">
        <v>47076</v>
      </c>
      <c r="G454" s="42">
        <v>0</v>
      </c>
      <c r="I454" s="42">
        <v>0</v>
      </c>
      <c r="K454" s="2">
        <f t="shared" si="65"/>
        <v>0</v>
      </c>
      <c r="M454" s="42">
        <v>0</v>
      </c>
      <c r="O454" s="42">
        <v>0</v>
      </c>
      <c r="Q454" s="2">
        <f t="shared" si="63"/>
        <v>0</v>
      </c>
      <c r="S454" s="42">
        <v>0</v>
      </c>
      <c r="U454" s="42">
        <v>0</v>
      </c>
      <c r="W454" s="42">
        <v>0</v>
      </c>
      <c r="Y454" s="42">
        <v>0</v>
      </c>
      <c r="AA454" s="42">
        <v>0</v>
      </c>
      <c r="AC454" s="42">
        <v>0</v>
      </c>
      <c r="AE454" s="42">
        <v>0</v>
      </c>
      <c r="AG454" s="42">
        <v>0</v>
      </c>
      <c r="AI454" s="10">
        <f t="shared" si="64"/>
        <v>0</v>
      </c>
      <c r="AK454" s="42">
        <f t="shared" si="62"/>
        <v>0</v>
      </c>
    </row>
    <row r="455" spans="1:37">
      <c r="A455" s="9" t="s">
        <v>294</v>
      </c>
      <c r="B455" s="9"/>
      <c r="C455" s="9" t="s">
        <v>25</v>
      </c>
      <c r="D455" s="9"/>
      <c r="E455" s="23">
        <v>46896</v>
      </c>
      <c r="G455" s="42">
        <v>20899624</v>
      </c>
      <c r="I455" s="42">
        <v>22684</v>
      </c>
      <c r="K455" s="2">
        <f t="shared" si="65"/>
        <v>42347326</v>
      </c>
      <c r="M455" s="42">
        <v>63269634</v>
      </c>
      <c r="O455" s="42">
        <v>0</v>
      </c>
      <c r="Q455" s="2">
        <f t="shared" si="63"/>
        <v>11210217</v>
      </c>
      <c r="S455" s="42">
        <v>0</v>
      </c>
      <c r="U455" s="42">
        <v>11210217</v>
      </c>
      <c r="W455" s="42">
        <v>35772666</v>
      </c>
      <c r="Y455" s="42">
        <v>107625</v>
      </c>
      <c r="AA455" s="42">
        <v>22684</v>
      </c>
      <c r="AC455" s="42">
        <v>2210191</v>
      </c>
      <c r="AE455" s="42">
        <f>119358+1580128+8158+164366+87680+590688</f>
        <v>2550378</v>
      </c>
      <c r="AG455" s="42">
        <v>11395873</v>
      </c>
      <c r="AI455" s="10">
        <f t="shared" si="64"/>
        <v>16286751</v>
      </c>
      <c r="AK455" s="42">
        <f t="shared" si="62"/>
        <v>0</v>
      </c>
    </row>
    <row r="456" spans="1:37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2">
        <f t="shared" si="65"/>
        <v>0</v>
      </c>
      <c r="M456" s="42">
        <v>0</v>
      </c>
      <c r="O456" s="42">
        <v>0</v>
      </c>
      <c r="Q456" s="2">
        <f t="shared" si="63"/>
        <v>0</v>
      </c>
      <c r="S456" s="42">
        <v>0</v>
      </c>
      <c r="U456" s="42">
        <v>0</v>
      </c>
      <c r="W456" s="42">
        <v>0</v>
      </c>
      <c r="Y456" s="42">
        <v>0</v>
      </c>
      <c r="AA456" s="42">
        <v>0</v>
      </c>
      <c r="AC456" s="42">
        <v>0</v>
      </c>
      <c r="AE456" s="42">
        <v>0</v>
      </c>
      <c r="AG456" s="42">
        <v>0</v>
      </c>
      <c r="AI456" s="10">
        <f t="shared" si="64"/>
        <v>0</v>
      </c>
      <c r="AK456" s="42">
        <f t="shared" si="62"/>
        <v>0</v>
      </c>
    </row>
    <row r="457" spans="1:37">
      <c r="A457" s="9" t="s">
        <v>422</v>
      </c>
      <c r="B457" s="9"/>
      <c r="C457" s="9" t="s">
        <v>48</v>
      </c>
      <c r="D457" s="9"/>
      <c r="E457" s="23">
        <v>44644</v>
      </c>
      <c r="G457" s="42">
        <v>8491947</v>
      </c>
      <c r="I457" s="42">
        <v>0</v>
      </c>
      <c r="K457" s="2">
        <f t="shared" si="65"/>
        <v>11960922</v>
      </c>
      <c r="M457" s="42">
        <v>20452869</v>
      </c>
      <c r="O457" s="42">
        <v>0</v>
      </c>
      <c r="Q457" s="2">
        <f t="shared" si="63"/>
        <v>3451603</v>
      </c>
      <c r="S457" s="42">
        <v>0</v>
      </c>
      <c r="U457" s="42">
        <v>3451603</v>
      </c>
      <c r="W457" s="42">
        <v>8314954</v>
      </c>
      <c r="Y457" s="42">
        <v>1365</v>
      </c>
      <c r="AA457" s="42">
        <v>0</v>
      </c>
      <c r="AC457" s="42">
        <v>0</v>
      </c>
      <c r="AE457" s="42">
        <v>757641</v>
      </c>
      <c r="AG457" s="42">
        <v>7927306</v>
      </c>
      <c r="AI457" s="10">
        <f t="shared" si="64"/>
        <v>8686312</v>
      </c>
      <c r="AK457" s="42">
        <f t="shared" si="62"/>
        <v>0</v>
      </c>
    </row>
    <row r="458" spans="1:37">
      <c r="A458" s="9" t="s">
        <v>304</v>
      </c>
      <c r="B458" s="9"/>
      <c r="C458" s="9" t="s">
        <v>62</v>
      </c>
      <c r="D458" s="9"/>
      <c r="E458" s="23">
        <v>49932</v>
      </c>
      <c r="G458" s="42">
        <v>11911262</v>
      </c>
      <c r="I458" s="42">
        <v>1887</v>
      </c>
      <c r="K458" s="2">
        <f t="shared" si="65"/>
        <v>28141531</v>
      </c>
      <c r="M458" s="42">
        <v>40054680</v>
      </c>
      <c r="O458" s="42">
        <v>0</v>
      </c>
      <c r="Q458" s="2">
        <f t="shared" si="63"/>
        <v>5522172</v>
      </c>
      <c r="S458" s="42">
        <v>0</v>
      </c>
      <c r="U458" s="42">
        <v>5522172</v>
      </c>
      <c r="W458" s="42">
        <v>26579114</v>
      </c>
      <c r="Y458" s="42">
        <f>68325+33080+355</f>
        <v>101760</v>
      </c>
      <c r="AA458" s="42">
        <v>1887</v>
      </c>
      <c r="AC458" s="42">
        <v>0</v>
      </c>
      <c r="AE458" s="42">
        <f>508878+579722</f>
        <v>1088600</v>
      </c>
      <c r="AG458" s="42">
        <v>6761147</v>
      </c>
      <c r="AI458" s="10">
        <f t="shared" si="64"/>
        <v>7953394</v>
      </c>
      <c r="AK458" s="42">
        <f t="shared" si="62"/>
        <v>0</v>
      </c>
    </row>
    <row r="459" spans="1:37">
      <c r="A459" s="9" t="s">
        <v>408</v>
      </c>
      <c r="B459" s="9"/>
      <c r="C459" s="9" t="s">
        <v>46</v>
      </c>
      <c r="D459" s="9"/>
      <c r="E459" s="23">
        <v>48421</v>
      </c>
      <c r="G459" s="42">
        <v>1878541</v>
      </c>
      <c r="I459" s="42">
        <v>0</v>
      </c>
      <c r="K459" s="2">
        <f t="shared" si="65"/>
        <v>4167635</v>
      </c>
      <c r="M459" s="42">
        <v>6046176</v>
      </c>
      <c r="O459" s="42">
        <v>0</v>
      </c>
      <c r="Q459" s="2">
        <f t="shared" si="63"/>
        <v>1143612</v>
      </c>
      <c r="S459" s="42">
        <v>0</v>
      </c>
      <c r="U459" s="42">
        <v>1143612</v>
      </c>
      <c r="W459" s="42">
        <v>2463392</v>
      </c>
      <c r="Y459" s="42">
        <v>0</v>
      </c>
      <c r="AA459" s="42">
        <v>0</v>
      </c>
      <c r="AC459" s="42">
        <v>11000</v>
      </c>
      <c r="AE459" s="42">
        <v>0</v>
      </c>
      <c r="AG459" s="42">
        <v>2428172</v>
      </c>
      <c r="AI459" s="10">
        <f t="shared" si="64"/>
        <v>2439172</v>
      </c>
      <c r="AK459" s="42">
        <f t="shared" si="62"/>
        <v>0</v>
      </c>
    </row>
    <row r="460" spans="1:37">
      <c r="A460" s="9" t="s">
        <v>468</v>
      </c>
      <c r="B460" s="9"/>
      <c r="C460" s="9" t="s">
        <v>109</v>
      </c>
      <c r="D460" s="9"/>
      <c r="E460" s="23">
        <v>49460</v>
      </c>
      <c r="G460" s="42">
        <v>2890755</v>
      </c>
      <c r="I460" s="42">
        <v>25818</v>
      </c>
      <c r="K460" s="2">
        <f t="shared" si="65"/>
        <v>2038812</v>
      </c>
      <c r="M460" s="42">
        <v>4955385</v>
      </c>
      <c r="O460" s="42">
        <v>0</v>
      </c>
      <c r="Q460" s="2">
        <f t="shared" si="63"/>
        <v>936734</v>
      </c>
      <c r="S460" s="42">
        <v>0</v>
      </c>
      <c r="U460" s="42">
        <v>936734</v>
      </c>
      <c r="W460" s="42">
        <v>1358749</v>
      </c>
      <c r="Y460" s="42">
        <f>39097+20145</f>
        <v>59242</v>
      </c>
      <c r="AA460" s="42">
        <v>25818</v>
      </c>
      <c r="AC460" s="42">
        <v>168231</v>
      </c>
      <c r="AE460" s="42">
        <f>74422+133865+214+102195+103+2036</f>
        <v>312835</v>
      </c>
      <c r="AG460" s="42">
        <v>2093776</v>
      </c>
      <c r="AI460" s="10">
        <f t="shared" si="64"/>
        <v>2659902</v>
      </c>
      <c r="AK460" s="42">
        <f t="shared" si="62"/>
        <v>0</v>
      </c>
    </row>
    <row r="461" spans="1:37">
      <c r="A461" s="9" t="s">
        <v>718</v>
      </c>
      <c r="B461" s="9"/>
      <c r="C461" s="9" t="s">
        <v>45</v>
      </c>
      <c r="D461" s="9"/>
      <c r="E461" s="23">
        <v>48348</v>
      </c>
      <c r="G461" s="42">
        <v>3158902</v>
      </c>
      <c r="I461" s="42">
        <v>77235</v>
      </c>
      <c r="K461" s="2">
        <f t="shared" si="65"/>
        <v>13440373</v>
      </c>
      <c r="M461" s="42">
        <v>16676510</v>
      </c>
      <c r="O461" s="42">
        <v>0</v>
      </c>
      <c r="Q461" s="2">
        <f t="shared" si="63"/>
        <v>2770680</v>
      </c>
      <c r="S461" s="42">
        <v>0</v>
      </c>
      <c r="U461" s="42">
        <v>2770680</v>
      </c>
      <c r="W461" s="42">
        <v>13390185</v>
      </c>
      <c r="Y461" s="42">
        <v>0</v>
      </c>
      <c r="AA461" s="42">
        <v>77235</v>
      </c>
      <c r="AC461" s="42">
        <v>258765</v>
      </c>
      <c r="AE461" s="42">
        <v>734622</v>
      </c>
      <c r="AG461" s="42">
        <v>-554977</v>
      </c>
      <c r="AI461" s="10">
        <f t="shared" si="64"/>
        <v>515645</v>
      </c>
      <c r="AK461" s="42">
        <f t="shared" si="62"/>
        <v>0</v>
      </c>
    </row>
    <row r="462" spans="1:37" hidden="1">
      <c r="A462" s="9" t="s">
        <v>816</v>
      </c>
      <c r="B462" s="9"/>
      <c r="C462" s="9" t="s">
        <v>53</v>
      </c>
      <c r="D462" s="9"/>
      <c r="E462" s="23">
        <v>44651</v>
      </c>
      <c r="G462" s="42">
        <v>0</v>
      </c>
      <c r="I462" s="42">
        <v>0</v>
      </c>
      <c r="K462" s="2">
        <f t="shared" si="65"/>
        <v>0</v>
      </c>
      <c r="M462" s="42">
        <v>0</v>
      </c>
      <c r="O462" s="42">
        <v>0</v>
      </c>
      <c r="Q462" s="2">
        <f t="shared" si="63"/>
        <v>0</v>
      </c>
      <c r="S462" s="42">
        <v>0</v>
      </c>
      <c r="U462" s="42">
        <v>0</v>
      </c>
      <c r="W462" s="42">
        <v>0</v>
      </c>
      <c r="Y462" s="42">
        <v>0</v>
      </c>
      <c r="AA462" s="42">
        <v>0</v>
      </c>
      <c r="AC462" s="42">
        <v>0</v>
      </c>
      <c r="AE462" s="42">
        <v>0</v>
      </c>
      <c r="AG462" s="42">
        <v>0</v>
      </c>
      <c r="AI462" s="10">
        <f t="shared" si="64"/>
        <v>0</v>
      </c>
      <c r="AK462" s="42">
        <f t="shared" si="62"/>
        <v>0</v>
      </c>
    </row>
    <row r="463" spans="1:37">
      <c r="A463" s="9" t="s">
        <v>481</v>
      </c>
      <c r="B463" s="9"/>
      <c r="C463" s="9" t="s">
        <v>59</v>
      </c>
      <c r="D463" s="9"/>
      <c r="E463" s="23">
        <v>44669</v>
      </c>
      <c r="G463" s="42">
        <v>1409075</v>
      </c>
      <c r="I463" s="42">
        <v>30622</v>
      </c>
      <c r="K463" s="2">
        <f t="shared" si="65"/>
        <v>5409736</v>
      </c>
      <c r="M463" s="42">
        <v>6849433</v>
      </c>
      <c r="O463" s="42">
        <v>0</v>
      </c>
      <c r="Q463" s="2">
        <f t="shared" si="63"/>
        <v>2111977</v>
      </c>
      <c r="S463" s="42">
        <v>0</v>
      </c>
      <c r="U463" s="42">
        <v>2111977</v>
      </c>
      <c r="W463" s="42">
        <v>4844769</v>
      </c>
      <c r="Y463" s="42">
        <v>28995</v>
      </c>
      <c r="AA463" s="42">
        <v>30622</v>
      </c>
      <c r="AC463" s="42">
        <v>702063</v>
      </c>
      <c r="AE463" s="42">
        <v>634157</v>
      </c>
      <c r="AG463" s="42">
        <v>-1503150</v>
      </c>
      <c r="AI463" s="10">
        <f t="shared" si="64"/>
        <v>-107313</v>
      </c>
      <c r="AK463" s="42">
        <f t="shared" ref="AK463:AK526" si="69">+G463+I463+K463+O463-U463-W463-AC463-AA463-Y463-AE463-AG463</f>
        <v>0</v>
      </c>
    </row>
    <row r="464" spans="1:37" hidden="1">
      <c r="A464" s="9" t="s">
        <v>684</v>
      </c>
      <c r="B464" s="9"/>
      <c r="C464" s="9" t="s">
        <v>57</v>
      </c>
      <c r="D464" s="9"/>
      <c r="E464" s="23">
        <v>49288</v>
      </c>
      <c r="G464" s="42">
        <v>0</v>
      </c>
      <c r="I464" s="42">
        <v>0</v>
      </c>
      <c r="K464" s="2">
        <f t="shared" si="65"/>
        <v>0</v>
      </c>
      <c r="M464" s="42">
        <v>0</v>
      </c>
      <c r="O464" s="42">
        <v>0</v>
      </c>
      <c r="Q464" s="2">
        <f t="shared" si="63"/>
        <v>0</v>
      </c>
      <c r="S464" s="42">
        <v>0</v>
      </c>
      <c r="U464" s="42">
        <v>0</v>
      </c>
      <c r="W464" s="42">
        <v>0</v>
      </c>
      <c r="Y464" s="42">
        <v>0</v>
      </c>
      <c r="AA464" s="42">
        <v>0</v>
      </c>
      <c r="AC464" s="42">
        <v>0</v>
      </c>
      <c r="AE464" s="42">
        <v>0</v>
      </c>
      <c r="AG464" s="42">
        <v>0</v>
      </c>
      <c r="AI464" s="10">
        <f t="shared" si="64"/>
        <v>0</v>
      </c>
      <c r="AK464" s="42">
        <f t="shared" si="69"/>
        <v>0</v>
      </c>
    </row>
    <row r="465" spans="1:37">
      <c r="A465" s="9" t="s">
        <v>327</v>
      </c>
      <c r="B465" s="9"/>
      <c r="C465" s="9" t="s">
        <v>32</v>
      </c>
      <c r="D465" s="9"/>
      <c r="E465" s="23">
        <v>44677</v>
      </c>
      <c r="G465" s="42">
        <v>7818384</v>
      </c>
      <c r="I465" s="42">
        <v>212907</v>
      </c>
      <c r="K465" s="2">
        <f t="shared" si="65"/>
        <v>46559970</v>
      </c>
      <c r="M465" s="42">
        <v>54591261</v>
      </c>
      <c r="O465" s="42">
        <v>0</v>
      </c>
      <c r="Q465" s="2">
        <f t="shared" si="63"/>
        <v>36964427</v>
      </c>
      <c r="S465" s="42">
        <v>0</v>
      </c>
      <c r="U465" s="42">
        <v>36964427</v>
      </c>
      <c r="W465" s="42">
        <v>0</v>
      </c>
      <c r="Y465" s="42">
        <v>0</v>
      </c>
      <c r="AA465" s="42">
        <v>212907</v>
      </c>
      <c r="AC465" s="42">
        <v>11000</v>
      </c>
      <c r="AE465" s="42">
        <v>2502626</v>
      </c>
      <c r="AG465" s="42">
        <v>14900301</v>
      </c>
      <c r="AI465" s="10">
        <f t="shared" si="64"/>
        <v>17626834</v>
      </c>
      <c r="AK465" s="42">
        <f t="shared" si="69"/>
        <v>0</v>
      </c>
    </row>
    <row r="466" spans="1:37" hidden="1">
      <c r="A466" s="9" t="s">
        <v>817</v>
      </c>
      <c r="B466" s="9"/>
      <c r="C466" s="9" t="s">
        <v>53</v>
      </c>
      <c r="D466" s="9"/>
      <c r="E466" s="23">
        <v>48975</v>
      </c>
      <c r="G466" s="42">
        <v>0</v>
      </c>
      <c r="I466" s="42">
        <v>0</v>
      </c>
      <c r="K466" s="2">
        <f t="shared" ref="K466" si="70">+M466-I466-G466</f>
        <v>0</v>
      </c>
      <c r="M466" s="42">
        <v>0</v>
      </c>
      <c r="O466" s="42">
        <v>0</v>
      </c>
      <c r="Q466" s="2">
        <f t="shared" ref="Q466" si="71">+U466-S466</f>
        <v>0</v>
      </c>
      <c r="S466" s="42">
        <v>0</v>
      </c>
      <c r="U466" s="42">
        <v>0</v>
      </c>
      <c r="W466" s="42">
        <v>0</v>
      </c>
      <c r="Y466" s="42">
        <v>0</v>
      </c>
      <c r="AA466" s="42">
        <v>0</v>
      </c>
      <c r="AC466" s="42">
        <v>0</v>
      </c>
      <c r="AE466" s="42">
        <v>0</v>
      </c>
      <c r="AG466" s="42">
        <v>0</v>
      </c>
      <c r="AI466" s="10">
        <f t="shared" ref="AI466" si="72">+AC466+AA466++Y466+AE466+AG466</f>
        <v>0</v>
      </c>
      <c r="AK466" s="42">
        <f t="shared" si="69"/>
        <v>0</v>
      </c>
    </row>
    <row r="467" spans="1:37" hidden="1">
      <c r="A467" s="9" t="s">
        <v>818</v>
      </c>
      <c r="B467" s="9"/>
      <c r="C467" s="9" t="s">
        <v>12</v>
      </c>
      <c r="D467" s="9"/>
      <c r="E467" s="23">
        <v>45880</v>
      </c>
      <c r="G467" s="42">
        <v>0</v>
      </c>
      <c r="I467" s="42">
        <v>0</v>
      </c>
      <c r="K467" s="2">
        <f t="shared" si="65"/>
        <v>0</v>
      </c>
      <c r="M467" s="42">
        <v>0</v>
      </c>
      <c r="O467" s="42">
        <v>0</v>
      </c>
      <c r="Q467" s="2">
        <f t="shared" si="63"/>
        <v>0</v>
      </c>
      <c r="S467" s="42">
        <v>0</v>
      </c>
      <c r="U467" s="42">
        <v>0</v>
      </c>
      <c r="W467" s="42">
        <v>0</v>
      </c>
      <c r="Y467" s="42">
        <v>0</v>
      </c>
      <c r="AA467" s="42">
        <v>0</v>
      </c>
      <c r="AC467" s="42">
        <v>0</v>
      </c>
      <c r="AE467" s="42">
        <v>0</v>
      </c>
      <c r="AG467" s="42">
        <v>0</v>
      </c>
      <c r="AI467" s="10">
        <f t="shared" si="64"/>
        <v>0</v>
      </c>
      <c r="AK467" s="42">
        <f t="shared" si="69"/>
        <v>0</v>
      </c>
    </row>
    <row r="468" spans="1:37" s="24" customFormat="1">
      <c r="A468" s="51" t="s">
        <v>627</v>
      </c>
      <c r="B468" s="51"/>
      <c r="C468" s="51" t="s">
        <v>56</v>
      </c>
      <c r="D468" s="51"/>
      <c r="E468" s="23">
        <v>44685</v>
      </c>
      <c r="G468" s="42">
        <f>1136959+4743</f>
        <v>1141702</v>
      </c>
      <c r="H468" s="42"/>
      <c r="I468" s="42">
        <v>0</v>
      </c>
      <c r="J468" s="42"/>
      <c r="K468" s="2">
        <f t="shared" si="65"/>
        <v>10622293</v>
      </c>
      <c r="L468" s="42"/>
      <c r="M468" s="42">
        <v>11763995</v>
      </c>
      <c r="N468" s="42"/>
      <c r="O468" s="42">
        <v>0</v>
      </c>
      <c r="P468" s="42"/>
      <c r="Q468" s="2">
        <f t="shared" si="63"/>
        <v>3432829</v>
      </c>
      <c r="R468" s="42"/>
      <c r="S468" s="42">
        <v>0</v>
      </c>
      <c r="T468" s="42"/>
      <c r="U468" s="42">
        <v>3432829</v>
      </c>
      <c r="V468" s="42"/>
      <c r="W468" s="42">
        <v>9754771</v>
      </c>
      <c r="X468" s="42"/>
      <c r="Y468" s="42">
        <v>0</v>
      </c>
      <c r="Z468" s="42"/>
      <c r="AA468" s="42">
        <v>0</v>
      </c>
      <c r="AB468" s="42"/>
      <c r="AC468" s="42">
        <v>0</v>
      </c>
      <c r="AD468" s="42"/>
      <c r="AE468" s="42">
        <v>0</v>
      </c>
      <c r="AF468" s="42"/>
      <c r="AG468" s="42">
        <v>-1423605</v>
      </c>
      <c r="AH468" s="42"/>
      <c r="AI468" s="10">
        <f t="shared" si="64"/>
        <v>-1423605</v>
      </c>
      <c r="AJ468" s="42"/>
      <c r="AK468" s="42">
        <f t="shared" si="69"/>
        <v>0</v>
      </c>
    </row>
    <row r="469" spans="1:37">
      <c r="A469" s="9" t="s">
        <v>328</v>
      </c>
      <c r="B469" s="9"/>
      <c r="C469" s="9" t="s">
        <v>32</v>
      </c>
      <c r="D469" s="9"/>
      <c r="E469" s="23">
        <v>44693</v>
      </c>
      <c r="G469" s="42">
        <v>2731200</v>
      </c>
      <c r="I469" s="42">
        <v>0</v>
      </c>
      <c r="K469" s="2">
        <f t="shared" si="65"/>
        <v>8362043</v>
      </c>
      <c r="M469" s="42">
        <v>11093243</v>
      </c>
      <c r="O469" s="42">
        <v>0</v>
      </c>
      <c r="Q469" s="2">
        <f t="shared" si="63"/>
        <v>1826453</v>
      </c>
      <c r="S469" s="42">
        <v>0</v>
      </c>
      <c r="U469" s="42">
        <v>1826453</v>
      </c>
      <c r="W469" s="42">
        <v>5359498</v>
      </c>
      <c r="Y469" s="42">
        <v>106549</v>
      </c>
      <c r="AA469" s="42">
        <v>0</v>
      </c>
      <c r="AC469" s="42">
        <v>202183</v>
      </c>
      <c r="AE469" s="42">
        <f>43914+174885</f>
        <v>218799</v>
      </c>
      <c r="AG469" s="42">
        <v>3379761</v>
      </c>
      <c r="AI469" s="10">
        <f t="shared" si="64"/>
        <v>3907292</v>
      </c>
      <c r="AK469" s="42">
        <f t="shared" si="69"/>
        <v>0</v>
      </c>
    </row>
    <row r="470" spans="1:37">
      <c r="A470" s="9" t="s">
        <v>509</v>
      </c>
      <c r="B470" s="9"/>
      <c r="C470" s="9" t="s">
        <v>63</v>
      </c>
      <c r="D470" s="9"/>
      <c r="E470" s="23">
        <v>50054</v>
      </c>
      <c r="G470" s="42">
        <f>16737718+215051</f>
        <v>16952769</v>
      </c>
      <c r="I470" s="42">
        <v>0</v>
      </c>
      <c r="K470" s="2">
        <f t="shared" si="65"/>
        <v>28285766</v>
      </c>
      <c r="M470" s="42">
        <v>45238535</v>
      </c>
      <c r="O470" s="42">
        <v>0</v>
      </c>
      <c r="Q470" s="2">
        <f t="shared" si="63"/>
        <v>30867230</v>
      </c>
      <c r="S470" s="42">
        <v>0</v>
      </c>
      <c r="U470" s="42">
        <v>30867230</v>
      </c>
      <c r="W470" s="42">
        <v>0</v>
      </c>
      <c r="Y470" s="42">
        <v>0</v>
      </c>
      <c r="AA470" s="42">
        <v>215051</v>
      </c>
      <c r="AC470" s="42">
        <v>0</v>
      </c>
      <c r="AE470" s="42">
        <v>1079796</v>
      </c>
      <c r="AG470" s="42">
        <v>13076458</v>
      </c>
      <c r="AI470" s="10">
        <f t="shared" si="64"/>
        <v>14371305</v>
      </c>
      <c r="AK470" s="42">
        <f t="shared" si="69"/>
        <v>0</v>
      </c>
    </row>
    <row r="471" spans="1:37" hidden="1">
      <c r="A471" s="9" t="s">
        <v>819</v>
      </c>
      <c r="B471" s="9"/>
      <c r="C471" s="9" t="s">
        <v>27</v>
      </c>
      <c r="D471" s="9"/>
      <c r="E471" s="23">
        <v>47001</v>
      </c>
      <c r="G471" s="42">
        <v>0</v>
      </c>
      <c r="I471" s="42">
        <v>0</v>
      </c>
      <c r="K471" s="2">
        <f t="shared" si="65"/>
        <v>0</v>
      </c>
      <c r="M471" s="42">
        <v>0</v>
      </c>
      <c r="O471" s="42">
        <v>0</v>
      </c>
      <c r="Q471" s="2">
        <f t="shared" si="63"/>
        <v>0</v>
      </c>
      <c r="S471" s="42">
        <v>0</v>
      </c>
      <c r="U471" s="42">
        <v>0</v>
      </c>
      <c r="W471" s="42">
        <v>0</v>
      </c>
      <c r="Y471" s="42">
        <v>0</v>
      </c>
      <c r="AA471" s="42">
        <v>0</v>
      </c>
      <c r="AC471" s="42">
        <v>0</v>
      </c>
      <c r="AE471" s="42">
        <v>0</v>
      </c>
      <c r="AG471" s="42">
        <v>0</v>
      </c>
      <c r="AI471" s="10">
        <f t="shared" si="64"/>
        <v>0</v>
      </c>
      <c r="AK471" s="42">
        <f t="shared" si="69"/>
        <v>0</v>
      </c>
    </row>
    <row r="472" spans="1:37">
      <c r="A472" s="9" t="s">
        <v>274</v>
      </c>
      <c r="B472" s="9"/>
      <c r="C472" s="9" t="s">
        <v>20</v>
      </c>
      <c r="D472" s="9"/>
      <c r="E472" s="23">
        <v>46599</v>
      </c>
      <c r="G472" s="42">
        <v>244884</v>
      </c>
      <c r="I472" s="42">
        <v>0</v>
      </c>
      <c r="K472" s="2">
        <f t="shared" si="65"/>
        <v>10848046</v>
      </c>
      <c r="M472" s="42">
        <v>11092930</v>
      </c>
      <c r="O472" s="42">
        <v>0</v>
      </c>
      <c r="Q472" s="2">
        <f t="shared" si="63"/>
        <v>2194158</v>
      </c>
      <c r="S472" s="42">
        <v>0</v>
      </c>
      <c r="U472" s="42">
        <v>2194158</v>
      </c>
      <c r="W472" s="42">
        <v>8537568</v>
      </c>
      <c r="Y472" s="42">
        <v>0</v>
      </c>
      <c r="AA472" s="42">
        <v>0</v>
      </c>
      <c r="AC472" s="42">
        <v>0</v>
      </c>
      <c r="AE472" s="42">
        <v>13610</v>
      </c>
      <c r="AG472" s="42">
        <v>347594</v>
      </c>
      <c r="AI472" s="10">
        <f t="shared" si="64"/>
        <v>361204</v>
      </c>
      <c r="AK472" s="42">
        <f t="shared" si="69"/>
        <v>0</v>
      </c>
    </row>
    <row r="473" spans="1:37" s="24" customFormat="1">
      <c r="A473" s="51" t="s">
        <v>409</v>
      </c>
      <c r="B473" s="51"/>
      <c r="C473" s="51" t="s">
        <v>46</v>
      </c>
      <c r="D473" s="51"/>
      <c r="E473" s="51">
        <v>48439</v>
      </c>
      <c r="G473" s="24">
        <v>2881866</v>
      </c>
      <c r="I473" s="24">
        <v>0</v>
      </c>
      <c r="K473" s="60">
        <f t="shared" si="65"/>
        <v>3269248</v>
      </c>
      <c r="M473" s="24">
        <v>6151114</v>
      </c>
      <c r="O473" s="24">
        <v>0</v>
      </c>
      <c r="Q473" s="60">
        <f t="shared" si="63"/>
        <v>3003439</v>
      </c>
      <c r="S473" s="24">
        <v>0</v>
      </c>
      <c r="U473" s="24">
        <v>3003439</v>
      </c>
      <c r="W473" s="24">
        <v>0</v>
      </c>
      <c r="Y473" s="24">
        <v>0</v>
      </c>
      <c r="AA473" s="24">
        <v>0</v>
      </c>
      <c r="AC473" s="24">
        <v>0</v>
      </c>
      <c r="AE473" s="24">
        <v>705410</v>
      </c>
      <c r="AG473" s="24">
        <v>2442265</v>
      </c>
      <c r="AI473" s="61">
        <f t="shared" si="64"/>
        <v>3147675</v>
      </c>
      <c r="AK473" s="24">
        <f t="shared" si="69"/>
        <v>0</v>
      </c>
    </row>
    <row r="474" spans="1:37" hidden="1">
      <c r="A474" s="9" t="s">
        <v>885</v>
      </c>
      <c r="B474" s="9"/>
      <c r="C474" s="9" t="s">
        <v>337</v>
      </c>
      <c r="D474" s="9"/>
      <c r="E474" s="23">
        <v>47506</v>
      </c>
      <c r="G474" s="42">
        <v>0</v>
      </c>
      <c r="I474" s="42">
        <v>0</v>
      </c>
      <c r="K474" s="2">
        <f t="shared" si="65"/>
        <v>0</v>
      </c>
      <c r="M474" s="42">
        <v>0</v>
      </c>
      <c r="O474" s="42">
        <v>0</v>
      </c>
      <c r="Q474" s="2">
        <f t="shared" si="63"/>
        <v>0</v>
      </c>
      <c r="S474" s="42">
        <v>0</v>
      </c>
      <c r="U474" s="42">
        <v>0</v>
      </c>
      <c r="W474" s="42">
        <v>0</v>
      </c>
      <c r="Y474" s="42">
        <v>0</v>
      </c>
      <c r="AA474" s="42">
        <v>0</v>
      </c>
      <c r="AC474" s="42">
        <v>0</v>
      </c>
      <c r="AE474" s="42">
        <v>0</v>
      </c>
      <c r="AG474" s="42">
        <v>0</v>
      </c>
      <c r="AI474" s="10">
        <f t="shared" si="64"/>
        <v>0</v>
      </c>
      <c r="AK474" s="42">
        <f t="shared" si="69"/>
        <v>0</v>
      </c>
    </row>
    <row r="475" spans="1:37">
      <c r="A475" s="9" t="s">
        <v>252</v>
      </c>
      <c r="B475" s="9"/>
      <c r="C475" s="9" t="s">
        <v>19</v>
      </c>
      <c r="D475" s="9"/>
      <c r="E475" s="23">
        <v>46474</v>
      </c>
      <c r="G475" s="42">
        <v>4004521</v>
      </c>
      <c r="I475" s="42">
        <v>0</v>
      </c>
      <c r="K475" s="2">
        <f t="shared" si="65"/>
        <v>2584871</v>
      </c>
      <c r="M475" s="42">
        <v>6589392</v>
      </c>
      <c r="O475" s="42">
        <v>0</v>
      </c>
      <c r="Q475" s="2">
        <f t="shared" si="63"/>
        <v>1119307</v>
      </c>
      <c r="S475" s="42">
        <v>0</v>
      </c>
      <c r="U475" s="42">
        <v>1119307</v>
      </c>
      <c r="W475" s="42">
        <v>2343305</v>
      </c>
      <c r="Y475" s="42">
        <v>0</v>
      </c>
      <c r="AA475" s="42">
        <v>0</v>
      </c>
      <c r="AC475" s="42">
        <v>3600</v>
      </c>
      <c r="AE475" s="42">
        <f>83+34794+1863+888392</f>
        <v>925132</v>
      </c>
      <c r="AG475" s="42">
        <v>2198048</v>
      </c>
      <c r="AI475" s="10">
        <f t="shared" si="64"/>
        <v>3126780</v>
      </c>
      <c r="AK475" s="42">
        <f t="shared" si="69"/>
        <v>0</v>
      </c>
    </row>
    <row r="476" spans="1:37" hidden="1">
      <c r="A476" s="9" t="s">
        <v>820</v>
      </c>
      <c r="B476" s="9"/>
      <c r="C476" s="9" t="s">
        <v>77</v>
      </c>
      <c r="D476" s="9"/>
      <c r="E476" s="23">
        <v>46078</v>
      </c>
      <c r="G476" s="42">
        <v>0</v>
      </c>
      <c r="I476" s="42">
        <v>0</v>
      </c>
      <c r="K476" s="2">
        <f t="shared" si="65"/>
        <v>0</v>
      </c>
      <c r="M476" s="42">
        <v>0</v>
      </c>
      <c r="O476" s="42">
        <v>0</v>
      </c>
      <c r="Q476" s="2">
        <f t="shared" si="63"/>
        <v>0</v>
      </c>
      <c r="S476" s="42">
        <v>0</v>
      </c>
      <c r="U476" s="42">
        <v>0</v>
      </c>
      <c r="W476" s="42">
        <v>0</v>
      </c>
      <c r="Y476" s="42">
        <v>0</v>
      </c>
      <c r="AA476" s="42">
        <v>0</v>
      </c>
      <c r="AC476" s="42">
        <v>0</v>
      </c>
      <c r="AE476" s="42">
        <v>0</v>
      </c>
      <c r="AG476" s="42">
        <v>0</v>
      </c>
      <c r="AI476" s="10">
        <f t="shared" si="64"/>
        <v>0</v>
      </c>
      <c r="AK476" s="42">
        <f t="shared" si="69"/>
        <v>0</v>
      </c>
    </row>
    <row r="477" spans="1:37" hidden="1">
      <c r="A477" s="9" t="s">
        <v>821</v>
      </c>
      <c r="B477" s="9"/>
      <c r="C477" s="9" t="s">
        <v>71</v>
      </c>
      <c r="D477" s="9"/>
      <c r="E477" s="23">
        <v>45591</v>
      </c>
      <c r="G477" s="42">
        <v>0</v>
      </c>
      <c r="I477" s="42">
        <v>0</v>
      </c>
      <c r="K477" s="2">
        <f t="shared" si="65"/>
        <v>0</v>
      </c>
      <c r="M477" s="42">
        <v>0</v>
      </c>
      <c r="O477" s="42">
        <v>0</v>
      </c>
      <c r="Q477" s="2">
        <f t="shared" si="63"/>
        <v>0</v>
      </c>
      <c r="S477" s="42">
        <v>0</v>
      </c>
      <c r="U477" s="42">
        <v>0</v>
      </c>
      <c r="W477" s="42">
        <v>0</v>
      </c>
      <c r="Y477" s="42">
        <v>0</v>
      </c>
      <c r="AA477" s="42">
        <v>0</v>
      </c>
      <c r="AC477" s="42">
        <v>0</v>
      </c>
      <c r="AE477" s="42">
        <v>0</v>
      </c>
      <c r="AG477" s="42">
        <v>0</v>
      </c>
      <c r="AI477" s="10">
        <f t="shared" si="64"/>
        <v>0</v>
      </c>
      <c r="AK477" s="42">
        <f t="shared" si="69"/>
        <v>0</v>
      </c>
    </row>
    <row r="478" spans="1:37">
      <c r="A478" s="9" t="s">
        <v>410</v>
      </c>
      <c r="B478" s="9"/>
      <c r="C478" s="9" t="s">
        <v>46</v>
      </c>
      <c r="D478" s="9"/>
      <c r="E478" s="23">
        <v>48447</v>
      </c>
      <c r="G478" s="42">
        <v>2408045</v>
      </c>
      <c r="I478" s="42">
        <v>0</v>
      </c>
      <c r="K478" s="2">
        <f t="shared" si="65"/>
        <v>5991595</v>
      </c>
      <c r="M478" s="42">
        <v>8399640</v>
      </c>
      <c r="O478" s="42">
        <v>0</v>
      </c>
      <c r="Q478" s="2">
        <f t="shared" si="63"/>
        <v>2020354</v>
      </c>
      <c r="S478" s="42">
        <v>0</v>
      </c>
      <c r="U478" s="42">
        <v>2020354</v>
      </c>
      <c r="W478" s="42">
        <v>3762649</v>
      </c>
      <c r="Y478" s="42">
        <v>28514</v>
      </c>
      <c r="AA478" s="42">
        <v>2935</v>
      </c>
      <c r="AC478" s="42">
        <v>0</v>
      </c>
      <c r="AE478" s="42">
        <v>208164</v>
      </c>
      <c r="AG478" s="42">
        <v>2377024</v>
      </c>
      <c r="AI478" s="10">
        <f t="shared" si="64"/>
        <v>2616637</v>
      </c>
      <c r="AK478" s="42">
        <f t="shared" si="69"/>
        <v>0</v>
      </c>
    </row>
    <row r="479" spans="1:37">
      <c r="A479" s="9" t="s">
        <v>253</v>
      </c>
      <c r="B479" s="9"/>
      <c r="C479" s="9" t="s">
        <v>19</v>
      </c>
      <c r="D479" s="9"/>
      <c r="E479" s="23">
        <v>46482</v>
      </c>
      <c r="G479" s="42">
        <v>5581545</v>
      </c>
      <c r="I479" s="42">
        <v>0</v>
      </c>
      <c r="K479" s="2">
        <f t="shared" si="65"/>
        <v>9401596</v>
      </c>
      <c r="M479" s="42">
        <v>14983141</v>
      </c>
      <c r="O479" s="42">
        <v>0</v>
      </c>
      <c r="Q479" s="2">
        <f t="shared" ref="Q479:Q541" si="73">+U479-S479</f>
        <v>10209049</v>
      </c>
      <c r="S479" s="42">
        <v>0</v>
      </c>
      <c r="U479" s="42">
        <v>10209049</v>
      </c>
      <c r="W479" s="42">
        <v>0</v>
      </c>
      <c r="Y479" s="42">
        <v>204589</v>
      </c>
      <c r="AA479" s="42">
        <v>0</v>
      </c>
      <c r="AC479" s="42">
        <v>39169</v>
      </c>
      <c r="AE479" s="42">
        <v>1938329</v>
      </c>
      <c r="AG479" s="42">
        <v>2592005</v>
      </c>
      <c r="AI479" s="10">
        <f t="shared" ref="AI479:AI541" si="74">+AC479+AA479++Y479+AE479+AG479</f>
        <v>4774092</v>
      </c>
      <c r="AK479" s="42">
        <f t="shared" si="69"/>
        <v>0</v>
      </c>
    </row>
    <row r="480" spans="1:37" hidden="1">
      <c r="A480" s="9" t="s">
        <v>822</v>
      </c>
      <c r="B480" s="9"/>
      <c r="C480" s="9" t="s">
        <v>337</v>
      </c>
      <c r="D480" s="9"/>
      <c r="E480" s="23">
        <v>47514</v>
      </c>
      <c r="G480" s="42">
        <v>0</v>
      </c>
      <c r="I480" s="42">
        <v>0</v>
      </c>
      <c r="K480" s="2">
        <f t="shared" si="65"/>
        <v>0</v>
      </c>
      <c r="M480" s="42">
        <v>0</v>
      </c>
      <c r="O480" s="42">
        <v>0</v>
      </c>
      <c r="Q480" s="2">
        <f t="shared" si="73"/>
        <v>0</v>
      </c>
      <c r="S480" s="42">
        <v>0</v>
      </c>
      <c r="U480" s="42">
        <v>0</v>
      </c>
      <c r="W480" s="42">
        <v>0</v>
      </c>
      <c r="Y480" s="42">
        <v>0</v>
      </c>
      <c r="AA480" s="42">
        <v>0</v>
      </c>
      <c r="AC480" s="42">
        <v>0</v>
      </c>
      <c r="AE480" s="42">
        <v>0</v>
      </c>
      <c r="AG480" s="42">
        <v>0</v>
      </c>
      <c r="AI480" s="10">
        <f t="shared" si="74"/>
        <v>0</v>
      </c>
      <c r="AK480" s="42">
        <f t="shared" si="69"/>
        <v>0</v>
      </c>
    </row>
    <row r="481" spans="1:37">
      <c r="A481" s="9" t="s">
        <v>377</v>
      </c>
      <c r="B481" s="9"/>
      <c r="C481" s="9" t="s">
        <v>41</v>
      </c>
      <c r="D481" s="9"/>
      <c r="E481" s="23">
        <v>47894</v>
      </c>
      <c r="G481" s="42">
        <v>3088554</v>
      </c>
      <c r="I481" s="42">
        <v>0</v>
      </c>
      <c r="K481" s="2">
        <f t="shared" ref="K481:K543" si="75">+M481-I481-G481</f>
        <v>26457154</v>
      </c>
      <c r="M481" s="42">
        <v>29545708</v>
      </c>
      <c r="O481" s="42">
        <v>0</v>
      </c>
      <c r="Q481" s="2">
        <f t="shared" si="73"/>
        <v>4769855</v>
      </c>
      <c r="S481" s="42">
        <v>0</v>
      </c>
      <c r="U481" s="42">
        <v>4769855</v>
      </c>
      <c r="W481" s="42">
        <v>24629821</v>
      </c>
      <c r="Y481" s="42">
        <v>3142</v>
      </c>
      <c r="AA481" s="42">
        <v>0</v>
      </c>
      <c r="AC481" s="42">
        <v>0</v>
      </c>
      <c r="AE481" s="42">
        <v>142890</v>
      </c>
      <c r="AG481" s="42">
        <v>0</v>
      </c>
      <c r="AI481" s="10">
        <f t="shared" si="74"/>
        <v>146032</v>
      </c>
      <c r="AK481" s="42">
        <f t="shared" si="69"/>
        <v>0</v>
      </c>
    </row>
    <row r="482" spans="1:37">
      <c r="A482" s="9" t="s">
        <v>377</v>
      </c>
      <c r="B482" s="9"/>
      <c r="C482" s="9" t="s">
        <v>43</v>
      </c>
      <c r="D482" s="9"/>
      <c r="E482" s="23">
        <v>48090</v>
      </c>
      <c r="G482" s="42">
        <v>924704</v>
      </c>
      <c r="I482" s="42">
        <v>17111</v>
      </c>
      <c r="K482" s="2">
        <f t="shared" si="75"/>
        <v>1922967</v>
      </c>
      <c r="M482" s="42">
        <v>2864782</v>
      </c>
      <c r="O482" s="42">
        <v>0</v>
      </c>
      <c r="Q482" s="2">
        <f t="shared" si="73"/>
        <v>523626</v>
      </c>
      <c r="S482" s="42">
        <v>0</v>
      </c>
      <c r="U482" s="42">
        <v>523626</v>
      </c>
      <c r="W482" s="42">
        <v>1172045</v>
      </c>
      <c r="Y482" s="42">
        <v>0</v>
      </c>
      <c r="AA482" s="42">
        <v>17111</v>
      </c>
      <c r="AC482" s="42">
        <v>0</v>
      </c>
      <c r="AE482" s="42">
        <f>4088+32755+759+4926</f>
        <v>42528</v>
      </c>
      <c r="AG482" s="42">
        <v>1109472</v>
      </c>
      <c r="AI482" s="10">
        <f t="shared" si="74"/>
        <v>1169111</v>
      </c>
      <c r="AK482" s="42">
        <f t="shared" si="69"/>
        <v>0</v>
      </c>
    </row>
    <row r="483" spans="1:37">
      <c r="A483" s="9" t="s">
        <v>368</v>
      </c>
      <c r="B483" s="9"/>
      <c r="C483" s="9" t="s">
        <v>364</v>
      </c>
      <c r="D483" s="9"/>
      <c r="E483" s="23">
        <v>47944</v>
      </c>
      <c r="G483" s="42">
        <v>3577809</v>
      </c>
      <c r="I483" s="42">
        <v>279156</v>
      </c>
      <c r="K483" s="2">
        <f t="shared" si="75"/>
        <v>2868883</v>
      </c>
      <c r="M483" s="42">
        <v>6725848</v>
      </c>
      <c r="O483" s="42">
        <v>0</v>
      </c>
      <c r="Q483" s="2">
        <f t="shared" si="73"/>
        <v>2085791</v>
      </c>
      <c r="S483" s="42">
        <v>0</v>
      </c>
      <c r="U483" s="42">
        <v>2085791</v>
      </c>
      <c r="W483" s="42">
        <v>2612951</v>
      </c>
      <c r="Y483" s="42">
        <v>0</v>
      </c>
      <c r="AA483" s="42">
        <v>279156</v>
      </c>
      <c r="AC483" s="42">
        <v>0</v>
      </c>
      <c r="AE483" s="42">
        <v>411671</v>
      </c>
      <c r="AG483" s="42">
        <v>1336279</v>
      </c>
      <c r="AI483" s="10">
        <f t="shared" si="74"/>
        <v>2027106</v>
      </c>
      <c r="AK483" s="42">
        <f t="shared" si="69"/>
        <v>0</v>
      </c>
    </row>
    <row r="484" spans="1:37">
      <c r="A484" s="9" t="s">
        <v>707</v>
      </c>
      <c r="B484" s="9"/>
      <c r="C484" s="9" t="s">
        <v>20</v>
      </c>
      <c r="D484" s="9"/>
      <c r="E484" s="23">
        <v>44701</v>
      </c>
      <c r="G484" s="42">
        <v>3769198</v>
      </c>
      <c r="I484" s="42">
        <v>0</v>
      </c>
      <c r="K484" s="2">
        <f t="shared" si="75"/>
        <v>28873177</v>
      </c>
      <c r="M484" s="42">
        <v>32642375</v>
      </c>
      <c r="O484" s="42">
        <v>0</v>
      </c>
      <c r="Q484" s="2">
        <f t="shared" si="73"/>
        <v>4329580</v>
      </c>
      <c r="S484" s="42">
        <v>0</v>
      </c>
      <c r="U484" s="42">
        <v>4329580</v>
      </c>
      <c r="W484" s="42">
        <v>25179535</v>
      </c>
      <c r="Y484" s="42">
        <f>31784+12327</f>
        <v>44111</v>
      </c>
      <c r="AA484" s="42">
        <v>0</v>
      </c>
      <c r="AC484" s="42">
        <v>0</v>
      </c>
      <c r="AE484" s="42">
        <f>61946+447790+2059+2034+27928</f>
        <v>541757</v>
      </c>
      <c r="AG484" s="42">
        <v>2547392</v>
      </c>
      <c r="AI484" s="10">
        <f t="shared" si="74"/>
        <v>3133260</v>
      </c>
      <c r="AK484" s="42">
        <f t="shared" si="69"/>
        <v>0</v>
      </c>
    </row>
    <row r="485" spans="1:37">
      <c r="A485" s="9" t="s">
        <v>319</v>
      </c>
      <c r="B485" s="9"/>
      <c r="C485" s="9" t="s">
        <v>31</v>
      </c>
      <c r="D485" s="9"/>
      <c r="E485" s="23">
        <v>47308</v>
      </c>
      <c r="G485" s="42">
        <v>3827513</v>
      </c>
      <c r="I485" s="42">
        <v>7903</v>
      </c>
      <c r="K485" s="2">
        <f t="shared" si="75"/>
        <v>6815270</v>
      </c>
      <c r="M485" s="42">
        <v>10650686</v>
      </c>
      <c r="O485" s="42">
        <v>0</v>
      </c>
      <c r="Q485" s="2">
        <f t="shared" si="73"/>
        <v>2031355</v>
      </c>
      <c r="S485" s="42">
        <v>0</v>
      </c>
      <c r="U485" s="42">
        <v>2031355</v>
      </c>
      <c r="W485" s="42">
        <v>4672215</v>
      </c>
      <c r="Y485" s="42">
        <f>98267+37206+7903</f>
        <v>143376</v>
      </c>
      <c r="AA485" s="42">
        <v>0</v>
      </c>
      <c r="AC485" s="42">
        <v>7730</v>
      </c>
      <c r="AE485" s="42">
        <f>411561+93793</f>
        <v>505354</v>
      </c>
      <c r="AG485" s="42">
        <v>3290656</v>
      </c>
      <c r="AI485" s="10">
        <f t="shared" si="74"/>
        <v>3947116</v>
      </c>
      <c r="AK485" s="42">
        <f t="shared" si="69"/>
        <v>0</v>
      </c>
    </row>
    <row r="486" spans="1:37">
      <c r="A486" s="9" t="s">
        <v>459</v>
      </c>
      <c r="B486" s="9"/>
      <c r="C486" s="9" t="s">
        <v>56</v>
      </c>
      <c r="D486" s="9"/>
      <c r="E486" s="23">
        <v>49213</v>
      </c>
      <c r="G486" s="42">
        <v>1548024</v>
      </c>
      <c r="I486" s="42">
        <v>6698</v>
      </c>
      <c r="K486" s="2">
        <f t="shared" si="75"/>
        <v>5842710</v>
      </c>
      <c r="M486" s="42">
        <v>7397432</v>
      </c>
      <c r="O486" s="42">
        <v>0</v>
      </c>
      <c r="Q486" s="2">
        <f t="shared" si="73"/>
        <v>6569260</v>
      </c>
      <c r="S486" s="42">
        <v>0</v>
      </c>
      <c r="U486" s="42">
        <v>6569260</v>
      </c>
      <c r="W486" s="42">
        <v>0</v>
      </c>
      <c r="Y486" s="42">
        <v>0</v>
      </c>
      <c r="AA486" s="42">
        <v>6698</v>
      </c>
      <c r="AC486" s="42">
        <v>0</v>
      </c>
      <c r="AE486" s="42">
        <v>116954</v>
      </c>
      <c r="AG486" s="42">
        <v>704520</v>
      </c>
      <c r="AI486" s="10">
        <f t="shared" si="74"/>
        <v>828172</v>
      </c>
      <c r="AK486" s="42">
        <f t="shared" si="69"/>
        <v>0</v>
      </c>
    </row>
    <row r="487" spans="1:37">
      <c r="A487" s="9" t="s">
        <v>708</v>
      </c>
      <c r="B487" s="9"/>
      <c r="C487" s="9" t="s">
        <v>220</v>
      </c>
      <c r="D487" s="9"/>
      <c r="E487" s="23">
        <v>46144</v>
      </c>
      <c r="G487" s="42">
        <v>6591076</v>
      </c>
      <c r="I487" s="42">
        <v>324996</v>
      </c>
      <c r="K487" s="2">
        <f t="shared" si="75"/>
        <v>10066896</v>
      </c>
      <c r="M487" s="42">
        <v>16982968</v>
      </c>
      <c r="O487" s="42">
        <v>0</v>
      </c>
      <c r="Q487" s="2">
        <f t="shared" si="73"/>
        <v>10813525</v>
      </c>
      <c r="S487" s="42">
        <v>0</v>
      </c>
      <c r="U487" s="42">
        <v>10813525</v>
      </c>
      <c r="W487" s="42">
        <v>0</v>
      </c>
      <c r="Y487" s="42">
        <v>2759</v>
      </c>
      <c r="AA487" s="42">
        <v>0</v>
      </c>
      <c r="AC487" s="42">
        <v>0</v>
      </c>
      <c r="AE487" s="42">
        <v>935115</v>
      </c>
      <c r="AG487" s="42">
        <v>5231569</v>
      </c>
      <c r="AI487" s="10">
        <f t="shared" si="74"/>
        <v>6169443</v>
      </c>
      <c r="AK487" s="42">
        <f t="shared" si="69"/>
        <v>0</v>
      </c>
    </row>
    <row r="488" spans="1:37">
      <c r="A488" s="9" t="s">
        <v>771</v>
      </c>
      <c r="B488" s="9"/>
      <c r="C488" s="9" t="s">
        <v>72</v>
      </c>
      <c r="D488" s="9"/>
      <c r="E488" s="23">
        <v>45609</v>
      </c>
      <c r="G488" s="42">
        <v>6498155</v>
      </c>
      <c r="I488" s="42">
        <v>1939922</v>
      </c>
      <c r="K488" s="2">
        <f t="shared" si="75"/>
        <v>13030546</v>
      </c>
      <c r="M488" s="42">
        <v>21468623</v>
      </c>
      <c r="O488" s="42">
        <v>0</v>
      </c>
      <c r="Q488" s="2">
        <f t="shared" si="73"/>
        <v>3137298</v>
      </c>
      <c r="S488" s="42">
        <v>0</v>
      </c>
      <c r="U488" s="42">
        <v>3137298</v>
      </c>
      <c r="W488" s="42">
        <v>9848986</v>
      </c>
      <c r="Y488" s="42">
        <v>59231</v>
      </c>
      <c r="AA488" s="42">
        <v>1958325</v>
      </c>
      <c r="AC488" s="42">
        <v>0</v>
      </c>
      <c r="AE488" s="42">
        <v>303346</v>
      </c>
      <c r="AG488" s="42">
        <v>6161437</v>
      </c>
      <c r="AI488" s="10">
        <f t="shared" si="74"/>
        <v>8482339</v>
      </c>
      <c r="AK488" s="42">
        <f t="shared" si="69"/>
        <v>0</v>
      </c>
    </row>
    <row r="489" spans="1:37">
      <c r="A489" s="9" t="s">
        <v>488</v>
      </c>
      <c r="B489" s="9"/>
      <c r="C489" s="9" t="s">
        <v>61</v>
      </c>
      <c r="D489" s="9"/>
      <c r="E489" s="23">
        <v>49817</v>
      </c>
      <c r="G489" s="42">
        <v>1660173</v>
      </c>
      <c r="I489" s="42">
        <v>3342</v>
      </c>
      <c r="K489" s="2">
        <f t="shared" si="75"/>
        <v>1108661</v>
      </c>
      <c r="M489" s="42">
        <v>2772176</v>
      </c>
      <c r="O489" s="42">
        <v>0</v>
      </c>
      <c r="Q489" s="2">
        <f t="shared" si="73"/>
        <v>405874</v>
      </c>
      <c r="S489" s="42">
        <v>0</v>
      </c>
      <c r="U489" s="42">
        <v>405874</v>
      </c>
      <c r="W489" s="42">
        <v>854941</v>
      </c>
      <c r="Y489" s="42">
        <v>2345</v>
      </c>
      <c r="AA489" s="42">
        <v>3342</v>
      </c>
      <c r="AC489" s="42">
        <v>0</v>
      </c>
      <c r="AE489" s="42">
        <v>1331813</v>
      </c>
      <c r="AG489" s="42">
        <v>173861</v>
      </c>
      <c r="AI489" s="10">
        <f t="shared" si="74"/>
        <v>1511361</v>
      </c>
      <c r="AK489" s="42">
        <f t="shared" si="69"/>
        <v>0</v>
      </c>
    </row>
    <row r="490" spans="1:37">
      <c r="A490" s="9" t="s">
        <v>602</v>
      </c>
      <c r="B490" s="9"/>
      <c r="C490" s="9" t="s">
        <v>111</v>
      </c>
      <c r="D490" s="9"/>
      <c r="E490" s="23">
        <v>44735</v>
      </c>
      <c r="G490" s="42">
        <v>2174923</v>
      </c>
      <c r="I490" s="42">
        <v>0</v>
      </c>
      <c r="K490" s="2">
        <f t="shared" si="75"/>
        <v>9158478</v>
      </c>
      <c r="M490" s="42">
        <v>11333401</v>
      </c>
      <c r="O490" s="42">
        <v>0</v>
      </c>
      <c r="Q490" s="2">
        <f t="shared" si="73"/>
        <v>1974260</v>
      </c>
      <c r="S490" s="42">
        <v>0</v>
      </c>
      <c r="U490" s="42">
        <v>1974260</v>
      </c>
      <c r="W490" s="42">
        <v>8793118</v>
      </c>
      <c r="Y490" s="42">
        <v>11244</v>
      </c>
      <c r="AA490" s="42">
        <v>0</v>
      </c>
      <c r="AC490" s="42">
        <v>11000</v>
      </c>
      <c r="AE490" s="42">
        <f>202217+341562</f>
        <v>543779</v>
      </c>
      <c r="AG490" s="42">
        <v>0</v>
      </c>
      <c r="AI490" s="10">
        <f t="shared" si="74"/>
        <v>566023</v>
      </c>
      <c r="AK490" s="42">
        <f t="shared" si="69"/>
        <v>0</v>
      </c>
    </row>
    <row r="491" spans="1:37">
      <c r="A491" s="9" t="s">
        <v>288</v>
      </c>
      <c r="B491" s="9"/>
      <c r="C491" s="9" t="s">
        <v>24</v>
      </c>
      <c r="D491" s="9"/>
      <c r="E491" s="23">
        <v>44743</v>
      </c>
      <c r="G491" s="42">
        <v>1533323</v>
      </c>
      <c r="I491" s="42">
        <v>0</v>
      </c>
      <c r="K491" s="2">
        <f t="shared" si="75"/>
        <v>20895763</v>
      </c>
      <c r="M491" s="42">
        <v>22429086</v>
      </c>
      <c r="O491" s="42">
        <v>0</v>
      </c>
      <c r="Q491" s="2">
        <f t="shared" si="73"/>
        <v>23129086</v>
      </c>
      <c r="S491" s="42">
        <v>0</v>
      </c>
      <c r="U491" s="42">
        <v>23129086</v>
      </c>
      <c r="W491" s="42">
        <v>0</v>
      </c>
      <c r="Y491" s="42">
        <v>64541</v>
      </c>
      <c r="AA491" s="42">
        <v>0</v>
      </c>
      <c r="AC491" s="42">
        <v>0</v>
      </c>
      <c r="AE491" s="42">
        <v>1816219</v>
      </c>
      <c r="AG491" s="42">
        <v>-2580760</v>
      </c>
      <c r="AI491" s="10">
        <f t="shared" si="74"/>
        <v>-700000</v>
      </c>
      <c r="AK491" s="42">
        <f t="shared" si="69"/>
        <v>0</v>
      </c>
    </row>
    <row r="492" spans="1:37">
      <c r="A492" s="9" t="s">
        <v>500</v>
      </c>
      <c r="B492" s="9"/>
      <c r="C492" s="9" t="s">
        <v>62</v>
      </c>
      <c r="D492" s="9"/>
      <c r="E492" s="23">
        <v>49940</v>
      </c>
      <c r="G492" s="42">
        <v>3142924</v>
      </c>
      <c r="I492" s="42">
        <v>0</v>
      </c>
      <c r="K492" s="2">
        <f t="shared" si="75"/>
        <v>3667065</v>
      </c>
      <c r="M492" s="42">
        <v>6809989</v>
      </c>
      <c r="O492" s="42">
        <v>0</v>
      </c>
      <c r="Q492" s="2">
        <f t="shared" si="73"/>
        <v>1578380</v>
      </c>
      <c r="S492" s="42">
        <v>0</v>
      </c>
      <c r="U492" s="42">
        <v>1578380</v>
      </c>
      <c r="W492" s="42">
        <v>3211332</v>
      </c>
      <c r="Y492" s="42">
        <v>9781</v>
      </c>
      <c r="AA492" s="42">
        <v>0</v>
      </c>
      <c r="AC492" s="42">
        <v>0</v>
      </c>
      <c r="AE492" s="42">
        <f>250997+233862+475577</f>
        <v>960436</v>
      </c>
      <c r="AG492" s="42">
        <v>1050060</v>
      </c>
      <c r="AI492" s="10">
        <f t="shared" si="74"/>
        <v>2020277</v>
      </c>
      <c r="AK492" s="42">
        <f t="shared" si="69"/>
        <v>0</v>
      </c>
    </row>
    <row r="493" spans="1:37">
      <c r="A493" s="9" t="s">
        <v>453</v>
      </c>
      <c r="B493" s="9"/>
      <c r="C493" s="9" t="s">
        <v>55</v>
      </c>
      <c r="D493" s="9"/>
      <c r="E493" s="23">
        <v>49130</v>
      </c>
      <c r="G493" s="42">
        <v>6368985</v>
      </c>
      <c r="I493" s="42">
        <v>217205</v>
      </c>
      <c r="K493" s="2">
        <f t="shared" si="75"/>
        <v>2982205</v>
      </c>
      <c r="M493" s="42">
        <v>9568395</v>
      </c>
      <c r="O493" s="42">
        <v>0</v>
      </c>
      <c r="Q493" s="2">
        <f t="shared" si="73"/>
        <v>1336035</v>
      </c>
      <c r="S493" s="42">
        <v>0</v>
      </c>
      <c r="U493" s="42">
        <v>1336035</v>
      </c>
      <c r="W493" s="42">
        <v>2514953</v>
      </c>
      <c r="Y493" s="42">
        <v>0</v>
      </c>
      <c r="AA493" s="42">
        <v>217205</v>
      </c>
      <c r="AC493" s="42">
        <v>0</v>
      </c>
      <c r="AE493" s="42">
        <v>291855</v>
      </c>
      <c r="AG493" s="42">
        <v>5208347</v>
      </c>
      <c r="AI493" s="10">
        <f t="shared" si="74"/>
        <v>5717407</v>
      </c>
      <c r="AK493" s="42">
        <f t="shared" si="69"/>
        <v>0</v>
      </c>
    </row>
    <row r="494" spans="1:37">
      <c r="A494" s="9" t="s">
        <v>402</v>
      </c>
      <c r="B494" s="9"/>
      <c r="C494" s="9" t="s">
        <v>45</v>
      </c>
      <c r="D494" s="9"/>
      <c r="E494" s="23">
        <v>48355</v>
      </c>
      <c r="G494" s="42">
        <v>490387</v>
      </c>
      <c r="I494" s="42">
        <v>0</v>
      </c>
      <c r="K494" s="2">
        <f t="shared" si="75"/>
        <v>1465518</v>
      </c>
      <c r="M494" s="42">
        <v>1955905</v>
      </c>
      <c r="O494" s="42">
        <v>0</v>
      </c>
      <c r="Q494" s="2">
        <f t="shared" si="73"/>
        <v>722569</v>
      </c>
      <c r="S494" s="42">
        <v>0</v>
      </c>
      <c r="U494" s="42">
        <v>722569</v>
      </c>
      <c r="W494" s="42">
        <v>1301965</v>
      </c>
      <c r="Y494" s="42">
        <v>0</v>
      </c>
      <c r="AA494" s="42">
        <v>0</v>
      </c>
      <c r="AC494" s="42">
        <v>0</v>
      </c>
      <c r="AE494" s="42">
        <v>201059</v>
      </c>
      <c r="AG494" s="42">
        <v>-269688</v>
      </c>
      <c r="AI494" s="10">
        <f t="shared" si="74"/>
        <v>-68629</v>
      </c>
      <c r="AK494" s="42">
        <f t="shared" si="69"/>
        <v>0</v>
      </c>
    </row>
    <row r="495" spans="1:37">
      <c r="A495" s="9" t="s">
        <v>484</v>
      </c>
      <c r="B495" s="9"/>
      <c r="C495" s="9" t="s">
        <v>60</v>
      </c>
      <c r="D495" s="9"/>
      <c r="E495" s="23">
        <v>49684</v>
      </c>
      <c r="G495" s="42">
        <v>723483</v>
      </c>
      <c r="I495" s="42">
        <v>0</v>
      </c>
      <c r="K495" s="2">
        <f t="shared" si="75"/>
        <v>3258458</v>
      </c>
      <c r="M495" s="42">
        <v>3981941</v>
      </c>
      <c r="O495" s="42">
        <v>0</v>
      </c>
      <c r="Q495" s="2">
        <f t="shared" si="73"/>
        <v>930586</v>
      </c>
      <c r="S495" s="42">
        <v>0</v>
      </c>
      <c r="U495" s="42">
        <v>930586</v>
      </c>
      <c r="W495" s="42">
        <v>2368098</v>
      </c>
      <c r="Y495" s="42">
        <f>888+39455</f>
        <v>40343</v>
      </c>
      <c r="AA495" s="42">
        <v>0</v>
      </c>
      <c r="AC495" s="42">
        <v>140343</v>
      </c>
      <c r="AE495" s="42">
        <f>8541+16480+9658+251885+47388</f>
        <v>333952</v>
      </c>
      <c r="AG495" s="42">
        <v>168619</v>
      </c>
      <c r="AI495" s="10">
        <f t="shared" si="74"/>
        <v>683257</v>
      </c>
      <c r="AK495" s="42">
        <f t="shared" si="69"/>
        <v>0</v>
      </c>
    </row>
    <row r="496" spans="1:37">
      <c r="A496" s="9" t="s">
        <v>216</v>
      </c>
      <c r="B496" s="9"/>
      <c r="C496" s="9" t="s">
        <v>15</v>
      </c>
      <c r="D496" s="9"/>
      <c r="E496" s="23">
        <v>46003</v>
      </c>
      <c r="G496" s="42">
        <f>1451020+2126</f>
        <v>1453146</v>
      </c>
      <c r="I496" s="42">
        <v>0</v>
      </c>
      <c r="K496" s="2">
        <f t="shared" si="75"/>
        <v>2655364</v>
      </c>
      <c r="M496" s="42">
        <v>4108510</v>
      </c>
      <c r="O496" s="42">
        <v>0</v>
      </c>
      <c r="Q496" s="2">
        <f t="shared" si="73"/>
        <v>592351</v>
      </c>
      <c r="S496" s="42">
        <v>0</v>
      </c>
      <c r="U496" s="42">
        <v>592351</v>
      </c>
      <c r="W496" s="42">
        <v>2540854</v>
      </c>
      <c r="Y496" s="42">
        <f>1338+30858</f>
        <v>32196</v>
      </c>
      <c r="AA496" s="42">
        <v>2126</v>
      </c>
      <c r="AC496" s="42">
        <v>0</v>
      </c>
      <c r="AE496" s="42">
        <v>505042</v>
      </c>
      <c r="AG496" s="42">
        <v>435941</v>
      </c>
      <c r="AI496" s="10">
        <f t="shared" si="74"/>
        <v>975305</v>
      </c>
      <c r="AK496" s="42">
        <f t="shared" si="69"/>
        <v>0</v>
      </c>
    </row>
    <row r="497" spans="1:37">
      <c r="A497" s="9" t="s">
        <v>709</v>
      </c>
      <c r="B497" s="9"/>
      <c r="C497" s="9" t="s">
        <v>20</v>
      </c>
      <c r="D497" s="9"/>
      <c r="E497" s="23">
        <v>44750</v>
      </c>
      <c r="G497" s="42">
        <f>24808050+353070</f>
        <v>25161120</v>
      </c>
      <c r="I497" s="42">
        <v>0</v>
      </c>
      <c r="K497" s="2">
        <f t="shared" si="75"/>
        <v>71599691</v>
      </c>
      <c r="M497" s="42">
        <v>96760811</v>
      </c>
      <c r="O497" s="42">
        <v>0</v>
      </c>
      <c r="Q497" s="2">
        <f t="shared" si="73"/>
        <v>73884540</v>
      </c>
      <c r="S497" s="42">
        <v>0</v>
      </c>
      <c r="U497" s="42">
        <v>73884540</v>
      </c>
      <c r="W497" s="42">
        <v>0</v>
      </c>
      <c r="Y497" s="42">
        <v>31267</v>
      </c>
      <c r="AA497" s="42">
        <v>353070</v>
      </c>
      <c r="AC497" s="42">
        <v>0</v>
      </c>
      <c r="AE497" s="42">
        <v>7186555</v>
      </c>
      <c r="AG497" s="42">
        <v>15305379</v>
      </c>
      <c r="AI497" s="10">
        <f t="shared" si="74"/>
        <v>22876271</v>
      </c>
      <c r="AK497" s="42">
        <f t="shared" si="69"/>
        <v>0</v>
      </c>
    </row>
    <row r="498" spans="1:37" hidden="1">
      <c r="A498" s="9" t="s">
        <v>694</v>
      </c>
      <c r="B498" s="9"/>
      <c r="C498" s="9" t="s">
        <v>10</v>
      </c>
      <c r="D498" s="9"/>
      <c r="E498" s="23">
        <v>45779</v>
      </c>
      <c r="G498" s="42">
        <v>0</v>
      </c>
      <c r="I498" s="42">
        <v>0</v>
      </c>
      <c r="K498" s="2">
        <f t="shared" si="75"/>
        <v>0</v>
      </c>
      <c r="M498" s="42">
        <v>0</v>
      </c>
      <c r="O498" s="42">
        <v>0</v>
      </c>
      <c r="Q498" s="2">
        <f t="shared" si="73"/>
        <v>0</v>
      </c>
      <c r="S498" s="42">
        <v>0</v>
      </c>
      <c r="U498" s="42">
        <v>0</v>
      </c>
      <c r="W498" s="42">
        <v>0</v>
      </c>
      <c r="Y498" s="42">
        <v>0</v>
      </c>
      <c r="AA498" s="42">
        <v>0</v>
      </c>
      <c r="AC498" s="42">
        <v>0</v>
      </c>
      <c r="AE498" s="42">
        <v>0</v>
      </c>
      <c r="AG498" s="42">
        <v>0</v>
      </c>
      <c r="AI498" s="10">
        <f t="shared" si="74"/>
        <v>0</v>
      </c>
      <c r="AK498" s="42">
        <f t="shared" si="69"/>
        <v>0</v>
      </c>
    </row>
    <row r="499" spans="1:37">
      <c r="A499" s="9" t="s">
        <v>783</v>
      </c>
      <c r="B499" s="9"/>
      <c r="C499" s="9" t="s">
        <v>44</v>
      </c>
      <c r="D499" s="9"/>
      <c r="E499" s="23">
        <v>44768</v>
      </c>
      <c r="G499" s="42">
        <v>7782482</v>
      </c>
      <c r="I499" s="42">
        <v>0</v>
      </c>
      <c r="K499" s="2">
        <f t="shared" si="75"/>
        <v>11492809</v>
      </c>
      <c r="M499" s="42">
        <v>19275291</v>
      </c>
      <c r="O499" s="42">
        <v>0</v>
      </c>
      <c r="Q499" s="2">
        <f t="shared" si="73"/>
        <v>2141158</v>
      </c>
      <c r="S499" s="42">
        <v>0</v>
      </c>
      <c r="U499" s="42">
        <v>2141158</v>
      </c>
      <c r="W499" s="42">
        <v>10007310</v>
      </c>
      <c r="Y499" s="42">
        <v>34948</v>
      </c>
      <c r="AA499" s="42">
        <v>0</v>
      </c>
      <c r="AC499" s="42">
        <v>37506</v>
      </c>
      <c r="AE499" s="42">
        <v>2375129</v>
      </c>
      <c r="AG499" s="42">
        <v>4679240</v>
      </c>
      <c r="AI499" s="10">
        <f t="shared" si="74"/>
        <v>7126823</v>
      </c>
      <c r="AK499" s="42">
        <f t="shared" si="69"/>
        <v>0</v>
      </c>
    </row>
    <row r="500" spans="1:37">
      <c r="A500" s="9" t="s">
        <v>469</v>
      </c>
      <c r="B500" s="9"/>
      <c r="C500" s="9" t="s">
        <v>109</v>
      </c>
      <c r="D500" s="9"/>
      <c r="E500" s="23">
        <v>44776</v>
      </c>
      <c r="G500" s="42">
        <f>4500804+11805</f>
        <v>4512609</v>
      </c>
      <c r="I500" s="42">
        <v>12351</v>
      </c>
      <c r="K500" s="2">
        <f t="shared" si="75"/>
        <v>6745611</v>
      </c>
      <c r="M500" s="42">
        <v>11270571</v>
      </c>
      <c r="O500" s="42">
        <v>0</v>
      </c>
      <c r="Q500" s="2">
        <f t="shared" si="73"/>
        <v>2052530</v>
      </c>
      <c r="S500" s="42">
        <v>0</v>
      </c>
      <c r="U500" s="42">
        <v>2052530</v>
      </c>
      <c r="W500" s="42">
        <v>4653706</v>
      </c>
      <c r="Y500" s="42">
        <f>108400+94235</f>
        <v>202635</v>
      </c>
      <c r="AA500" s="42">
        <v>12351</v>
      </c>
      <c r="AC500" s="42">
        <f>6160+243</f>
        <v>6403</v>
      </c>
      <c r="AE500" s="42">
        <f>13262+208962+709864+73332+511</f>
        <v>1005931</v>
      </c>
      <c r="AG500" s="42">
        <v>3337015</v>
      </c>
      <c r="AI500" s="10">
        <f t="shared" si="74"/>
        <v>4564335</v>
      </c>
      <c r="AK500" s="42">
        <f t="shared" si="69"/>
        <v>0</v>
      </c>
    </row>
    <row r="501" spans="1:37" hidden="1">
      <c r="A501" s="9" t="s">
        <v>827</v>
      </c>
      <c r="B501" s="9"/>
      <c r="C501" s="9" t="s">
        <v>61</v>
      </c>
      <c r="D501" s="9"/>
      <c r="E501" s="23">
        <v>44784</v>
      </c>
      <c r="G501" s="42">
        <v>0</v>
      </c>
      <c r="I501" s="42">
        <v>0</v>
      </c>
      <c r="K501" s="2">
        <f t="shared" si="75"/>
        <v>0</v>
      </c>
      <c r="M501" s="42">
        <v>0</v>
      </c>
      <c r="O501" s="42">
        <v>0</v>
      </c>
      <c r="Q501" s="2">
        <f t="shared" si="73"/>
        <v>0</v>
      </c>
      <c r="S501" s="42">
        <v>0</v>
      </c>
      <c r="U501" s="42">
        <v>0</v>
      </c>
      <c r="W501" s="42">
        <v>0</v>
      </c>
      <c r="Y501" s="42">
        <v>0</v>
      </c>
      <c r="AA501" s="42">
        <v>0</v>
      </c>
      <c r="AC501" s="42">
        <v>0</v>
      </c>
      <c r="AE501" s="42">
        <v>0</v>
      </c>
      <c r="AG501" s="42">
        <v>0</v>
      </c>
      <c r="AI501" s="10">
        <f t="shared" si="74"/>
        <v>0</v>
      </c>
      <c r="AK501" s="42">
        <f t="shared" si="69"/>
        <v>0</v>
      </c>
    </row>
    <row r="502" spans="1:37">
      <c r="A502" s="9" t="s">
        <v>275</v>
      </c>
      <c r="B502" s="9"/>
      <c r="C502" s="9" t="s">
        <v>20</v>
      </c>
      <c r="D502" s="9"/>
      <c r="E502" s="23">
        <v>46607</v>
      </c>
      <c r="G502" s="42">
        <v>26066466</v>
      </c>
      <c r="I502" s="42">
        <v>0</v>
      </c>
      <c r="K502" s="2">
        <f t="shared" si="75"/>
        <v>51536128</v>
      </c>
      <c r="M502" s="42">
        <v>77602594</v>
      </c>
      <c r="O502" s="42">
        <v>0</v>
      </c>
      <c r="Q502" s="2">
        <f t="shared" si="73"/>
        <v>8588839</v>
      </c>
      <c r="S502" s="42">
        <v>0</v>
      </c>
      <c r="U502" s="42">
        <v>8588839</v>
      </c>
      <c r="W502" s="42">
        <v>44471362</v>
      </c>
      <c r="Y502" s="42">
        <v>41101</v>
      </c>
      <c r="AA502" s="42">
        <v>0</v>
      </c>
      <c r="AC502" s="42">
        <v>0</v>
      </c>
      <c r="AE502" s="42">
        <f>781017+1314820+50677+3400+56375+666106</f>
        <v>2872395</v>
      </c>
      <c r="AG502" s="42">
        <v>21628897</v>
      </c>
      <c r="AI502" s="10">
        <f t="shared" si="74"/>
        <v>24542393</v>
      </c>
      <c r="AK502" s="42">
        <f t="shared" si="69"/>
        <v>0</v>
      </c>
    </row>
    <row r="503" spans="1:37">
      <c r="A503" s="9" t="s">
        <v>628</v>
      </c>
      <c r="B503" s="9"/>
      <c r="C503" s="9" t="s">
        <v>37</v>
      </c>
      <c r="D503" s="9"/>
      <c r="E503" s="23">
        <v>47738</v>
      </c>
      <c r="G503" s="42">
        <v>2172192</v>
      </c>
      <c r="I503" s="42">
        <v>5001</v>
      </c>
      <c r="K503" s="2">
        <f t="shared" si="75"/>
        <v>2035957</v>
      </c>
      <c r="M503" s="42">
        <v>4213150</v>
      </c>
      <c r="O503" s="42">
        <v>0</v>
      </c>
      <c r="Q503" s="2">
        <f t="shared" si="73"/>
        <v>887668</v>
      </c>
      <c r="S503" s="42">
        <v>0</v>
      </c>
      <c r="U503" s="42">
        <v>887668</v>
      </c>
      <c r="W503" s="42">
        <v>1458010</v>
      </c>
      <c r="Y503" s="42">
        <v>10015</v>
      </c>
      <c r="AA503" s="42">
        <v>5001</v>
      </c>
      <c r="AC503" s="42">
        <v>0</v>
      </c>
      <c r="AE503" s="42">
        <f>11271+63357+412048+41303</f>
        <v>527979</v>
      </c>
      <c r="AG503" s="42">
        <v>1324477</v>
      </c>
      <c r="AI503" s="10">
        <f t="shared" si="74"/>
        <v>1867472</v>
      </c>
      <c r="AK503" s="42">
        <f t="shared" si="69"/>
        <v>0</v>
      </c>
    </row>
    <row r="504" spans="1:37">
      <c r="A504" s="9" t="s">
        <v>276</v>
      </c>
      <c r="B504" s="9"/>
      <c r="C504" s="9" t="s">
        <v>20</v>
      </c>
      <c r="D504" s="9"/>
      <c r="E504" s="23">
        <v>44792</v>
      </c>
      <c r="G504" s="42">
        <v>13767635</v>
      </c>
      <c r="I504" s="42">
        <v>35750</v>
      </c>
      <c r="K504" s="2">
        <f t="shared" si="75"/>
        <v>57436802</v>
      </c>
      <c r="M504" s="42">
        <v>71240187</v>
      </c>
      <c r="O504" s="42">
        <v>0</v>
      </c>
      <c r="Q504" s="2">
        <f t="shared" si="73"/>
        <v>5966290</v>
      </c>
      <c r="S504" s="42">
        <v>0</v>
      </c>
      <c r="U504" s="42">
        <v>5966290</v>
      </c>
      <c r="W504" s="42">
        <v>51249332</v>
      </c>
      <c r="Y504" s="42">
        <v>58540</v>
      </c>
      <c r="AA504" s="42">
        <v>0</v>
      </c>
      <c r="AC504" s="42">
        <v>0</v>
      </c>
      <c r="AE504" s="42">
        <v>685362</v>
      </c>
      <c r="AG504" s="42">
        <v>13280663</v>
      </c>
      <c r="AI504" s="10">
        <f t="shared" si="74"/>
        <v>14024565</v>
      </c>
      <c r="AK504" s="42">
        <f t="shared" si="69"/>
        <v>0</v>
      </c>
    </row>
    <row r="505" spans="1:37">
      <c r="A505" s="9" t="s">
        <v>369</v>
      </c>
      <c r="B505" s="9"/>
      <c r="C505" s="9" t="s">
        <v>364</v>
      </c>
      <c r="D505" s="9"/>
      <c r="E505" s="23">
        <v>47951</v>
      </c>
      <c r="G505" s="42">
        <v>8099238</v>
      </c>
      <c r="I505" s="42">
        <v>240786</v>
      </c>
      <c r="K505" s="2">
        <f t="shared" si="75"/>
        <v>3476339</v>
      </c>
      <c r="M505" s="42">
        <v>11816363</v>
      </c>
      <c r="O505" s="42">
        <v>0</v>
      </c>
      <c r="Q505" s="2">
        <f t="shared" si="73"/>
        <v>1756975</v>
      </c>
      <c r="S505" s="42">
        <v>0</v>
      </c>
      <c r="U505" s="42">
        <v>1756975</v>
      </c>
      <c r="W505" s="42">
        <v>3169724</v>
      </c>
      <c r="Y505" s="42">
        <v>27703</v>
      </c>
      <c r="AA505" s="42">
        <v>240786</v>
      </c>
      <c r="AC505" s="42">
        <v>658839</v>
      </c>
      <c r="AE505" s="42">
        <v>51468</v>
      </c>
      <c r="AG505" s="42">
        <v>5910868</v>
      </c>
      <c r="AI505" s="10">
        <f t="shared" si="74"/>
        <v>6889664</v>
      </c>
      <c r="AK505" s="42">
        <f t="shared" si="69"/>
        <v>0</v>
      </c>
    </row>
    <row r="506" spans="1:37">
      <c r="A506" s="9" t="s">
        <v>403</v>
      </c>
      <c r="B506" s="9"/>
      <c r="C506" s="9" t="s">
        <v>45</v>
      </c>
      <c r="D506" s="9"/>
      <c r="E506" s="23">
        <v>48363</v>
      </c>
      <c r="G506" s="42">
        <v>935726</v>
      </c>
      <c r="I506" s="42">
        <v>0</v>
      </c>
      <c r="K506" s="2">
        <f t="shared" si="75"/>
        <v>5661908</v>
      </c>
      <c r="M506" s="42">
        <v>6597634</v>
      </c>
      <c r="O506" s="42">
        <v>0</v>
      </c>
      <c r="Q506" s="2">
        <f t="shared" si="73"/>
        <v>1280072</v>
      </c>
      <c r="S506" s="42">
        <v>0</v>
      </c>
      <c r="U506" s="42">
        <v>1280072</v>
      </c>
      <c r="W506" s="42">
        <v>5624968</v>
      </c>
      <c r="Y506" s="42">
        <v>5813</v>
      </c>
      <c r="AA506" s="42">
        <v>0</v>
      </c>
      <c r="AC506" s="42">
        <v>0</v>
      </c>
      <c r="AE506" s="42">
        <v>0</v>
      </c>
      <c r="AG506" s="42">
        <v>-313219</v>
      </c>
      <c r="AI506" s="10">
        <f t="shared" si="74"/>
        <v>-307406</v>
      </c>
      <c r="AK506" s="42">
        <f t="shared" si="69"/>
        <v>0</v>
      </c>
    </row>
    <row r="507" spans="1:37">
      <c r="A507" s="9" t="s">
        <v>460</v>
      </c>
      <c r="B507" s="9"/>
      <c r="C507" s="9" t="s">
        <v>56</v>
      </c>
      <c r="D507" s="9"/>
      <c r="E507" s="23">
        <v>49221</v>
      </c>
      <c r="G507" s="42">
        <v>11809964</v>
      </c>
      <c r="I507" s="42">
        <v>296500</v>
      </c>
      <c r="K507" s="2">
        <f t="shared" si="75"/>
        <v>6342953</v>
      </c>
      <c r="M507" s="42">
        <v>18449417</v>
      </c>
      <c r="O507" s="42">
        <v>0</v>
      </c>
      <c r="Q507" s="2">
        <f t="shared" si="73"/>
        <v>7531156</v>
      </c>
      <c r="S507" s="42">
        <v>0</v>
      </c>
      <c r="U507" s="42">
        <v>7531156</v>
      </c>
      <c r="W507" s="42">
        <v>0</v>
      </c>
      <c r="Y507" s="42">
        <v>0</v>
      </c>
      <c r="AA507" s="42">
        <v>296500</v>
      </c>
      <c r="AC507" s="42">
        <v>0</v>
      </c>
      <c r="AE507" s="42">
        <v>1373442</v>
      </c>
      <c r="AG507" s="42">
        <v>9248319</v>
      </c>
      <c r="AI507" s="10">
        <f t="shared" si="74"/>
        <v>10918261</v>
      </c>
      <c r="AK507" s="42">
        <f t="shared" si="69"/>
        <v>0</v>
      </c>
    </row>
    <row r="508" spans="1:37">
      <c r="A508" s="9" t="s">
        <v>460</v>
      </c>
      <c r="B508" s="9"/>
      <c r="C508" s="9" t="s">
        <v>71</v>
      </c>
      <c r="D508" s="9"/>
      <c r="E508" s="23">
        <v>50583</v>
      </c>
      <c r="G508" s="42">
        <v>1978397</v>
      </c>
      <c r="I508" s="42">
        <v>0</v>
      </c>
      <c r="K508" s="2">
        <f t="shared" si="75"/>
        <v>7757720</v>
      </c>
      <c r="M508" s="42">
        <v>9736117</v>
      </c>
      <c r="O508" s="42">
        <v>0</v>
      </c>
      <c r="Q508" s="2">
        <f t="shared" si="73"/>
        <v>848331</v>
      </c>
      <c r="S508" s="42">
        <v>0</v>
      </c>
      <c r="U508" s="42">
        <v>848331</v>
      </c>
      <c r="W508" s="42">
        <v>7022319</v>
      </c>
      <c r="Y508" s="42">
        <v>0</v>
      </c>
      <c r="AA508" s="42">
        <v>0</v>
      </c>
      <c r="AC508" s="42">
        <v>0</v>
      </c>
      <c r="AE508" s="42">
        <v>1240565</v>
      </c>
      <c r="AG508" s="42">
        <v>624902</v>
      </c>
      <c r="AI508" s="10">
        <f t="shared" si="74"/>
        <v>1865467</v>
      </c>
      <c r="AK508" s="42">
        <f t="shared" si="69"/>
        <v>0</v>
      </c>
    </row>
    <row r="509" spans="1:37">
      <c r="A509" s="9" t="s">
        <v>233</v>
      </c>
      <c r="B509" s="9"/>
      <c r="C509" s="9" t="s">
        <v>17</v>
      </c>
      <c r="D509" s="9"/>
      <c r="E509" s="23">
        <v>46276</v>
      </c>
      <c r="G509" s="42">
        <v>5575613</v>
      </c>
      <c r="I509" s="42">
        <v>0</v>
      </c>
      <c r="K509" s="2">
        <f t="shared" si="75"/>
        <v>2933707</v>
      </c>
      <c r="M509" s="42">
        <v>8509320</v>
      </c>
      <c r="O509" s="42">
        <v>0</v>
      </c>
      <c r="Q509" s="2">
        <f t="shared" si="73"/>
        <v>3033790</v>
      </c>
      <c r="S509" s="42">
        <v>0</v>
      </c>
      <c r="U509" s="42">
        <v>3033790</v>
      </c>
      <c r="W509" s="42">
        <v>0</v>
      </c>
      <c r="Y509" s="42">
        <v>15439</v>
      </c>
      <c r="AA509" s="42">
        <v>0</v>
      </c>
      <c r="AC509" s="42">
        <v>0</v>
      </c>
      <c r="AE509" s="42">
        <v>720122</v>
      </c>
      <c r="AG509" s="42">
        <v>4739969</v>
      </c>
      <c r="AI509" s="10">
        <f t="shared" si="74"/>
        <v>5475530</v>
      </c>
      <c r="AK509" s="42">
        <f t="shared" si="69"/>
        <v>0</v>
      </c>
    </row>
    <row r="510" spans="1:37">
      <c r="A510" s="9" t="s">
        <v>233</v>
      </c>
      <c r="B510" s="9"/>
      <c r="C510" s="9" t="s">
        <v>58</v>
      </c>
      <c r="D510" s="9"/>
      <c r="E510" s="23">
        <v>49528</v>
      </c>
      <c r="G510" s="42">
        <v>7945875</v>
      </c>
      <c r="I510" s="42">
        <v>0</v>
      </c>
      <c r="K510" s="2">
        <f t="shared" si="75"/>
        <v>1859953</v>
      </c>
      <c r="M510" s="42">
        <v>9805828</v>
      </c>
      <c r="O510" s="42">
        <v>0</v>
      </c>
      <c r="Q510" s="2">
        <f t="shared" si="73"/>
        <v>1193038</v>
      </c>
      <c r="S510" s="42">
        <v>0</v>
      </c>
      <c r="U510" s="42">
        <v>1193038</v>
      </c>
      <c r="W510" s="42">
        <v>1515113</v>
      </c>
      <c r="Y510" s="42">
        <v>3366</v>
      </c>
      <c r="AA510" s="42">
        <v>0</v>
      </c>
      <c r="AC510" s="42">
        <v>0</v>
      </c>
      <c r="AE510" s="42">
        <v>171093</v>
      </c>
      <c r="AG510" s="42">
        <v>6923218</v>
      </c>
      <c r="AI510" s="10">
        <f t="shared" si="74"/>
        <v>7097677</v>
      </c>
      <c r="AK510" s="42">
        <f t="shared" si="69"/>
        <v>0</v>
      </c>
    </row>
    <row r="511" spans="1:37">
      <c r="A511" s="9" t="s">
        <v>640</v>
      </c>
      <c r="B511" s="9"/>
      <c r="C511" s="9" t="s">
        <v>111</v>
      </c>
      <c r="D511" s="9"/>
      <c r="E511" s="23">
        <v>46441</v>
      </c>
      <c r="G511" s="42">
        <v>169645</v>
      </c>
      <c r="I511" s="42">
        <v>0</v>
      </c>
      <c r="K511" s="2">
        <f t="shared" si="75"/>
        <v>1775422</v>
      </c>
      <c r="M511" s="42">
        <v>1945067</v>
      </c>
      <c r="O511" s="42">
        <v>0</v>
      </c>
      <c r="Q511" s="2">
        <f t="shared" si="73"/>
        <v>948893</v>
      </c>
      <c r="S511" s="42">
        <v>0</v>
      </c>
      <c r="U511" s="42">
        <v>948893</v>
      </c>
      <c r="W511" s="42">
        <v>1696845</v>
      </c>
      <c r="Y511" s="42">
        <v>186</v>
      </c>
      <c r="AA511" s="42">
        <v>0</v>
      </c>
      <c r="AC511" s="42">
        <v>0</v>
      </c>
      <c r="AE511" s="42">
        <v>0</v>
      </c>
      <c r="AG511" s="42">
        <v>-700857</v>
      </c>
      <c r="AI511" s="10">
        <f t="shared" si="74"/>
        <v>-700671</v>
      </c>
      <c r="AK511" s="42">
        <f t="shared" si="69"/>
        <v>0</v>
      </c>
    </row>
    <row r="512" spans="1:37">
      <c r="A512" s="9" t="s">
        <v>248</v>
      </c>
      <c r="B512" s="9"/>
      <c r="C512" s="9" t="s">
        <v>417</v>
      </c>
      <c r="D512" s="9"/>
      <c r="E512" s="23">
        <v>48538</v>
      </c>
      <c r="G512" s="42">
        <v>1411531</v>
      </c>
      <c r="I512" s="42">
        <v>441</v>
      </c>
      <c r="K512" s="2">
        <f t="shared" si="75"/>
        <v>3005904</v>
      </c>
      <c r="M512" s="42">
        <v>4417876</v>
      </c>
      <c r="O512" s="42">
        <v>0</v>
      </c>
      <c r="Q512" s="2">
        <f t="shared" si="73"/>
        <v>811118</v>
      </c>
      <c r="S512" s="42">
        <v>0</v>
      </c>
      <c r="U512" s="42">
        <v>811118</v>
      </c>
      <c r="W512" s="42">
        <v>2020913</v>
      </c>
      <c r="Y512" s="42">
        <v>3453</v>
      </c>
      <c r="AA512" s="42">
        <v>0</v>
      </c>
      <c r="AC512" s="42">
        <v>0</v>
      </c>
      <c r="AE512" s="42">
        <v>119223</v>
      </c>
      <c r="AG512" s="42">
        <v>1463169</v>
      </c>
      <c r="AI512" s="10">
        <f t="shared" si="74"/>
        <v>1585845</v>
      </c>
      <c r="AK512" s="42">
        <f t="shared" si="69"/>
        <v>0</v>
      </c>
    </row>
    <row r="513" spans="1:37" hidden="1">
      <c r="A513" s="9" t="s">
        <v>695</v>
      </c>
      <c r="B513" s="9"/>
      <c r="C513" s="9" t="s">
        <v>448</v>
      </c>
      <c r="D513" s="9"/>
      <c r="E513" s="23">
        <v>49064</v>
      </c>
      <c r="G513" s="42">
        <v>0</v>
      </c>
      <c r="I513" s="42">
        <v>0</v>
      </c>
      <c r="K513" s="2">
        <f t="shared" si="75"/>
        <v>0</v>
      </c>
      <c r="M513" s="42">
        <v>0</v>
      </c>
      <c r="O513" s="42">
        <v>0</v>
      </c>
      <c r="Q513" s="2">
        <f t="shared" si="73"/>
        <v>0</v>
      </c>
      <c r="S513" s="42">
        <v>0</v>
      </c>
      <c r="U513" s="42">
        <v>0</v>
      </c>
      <c r="W513" s="42">
        <v>0</v>
      </c>
      <c r="Y513" s="42">
        <v>0</v>
      </c>
      <c r="AA513" s="42">
        <v>0</v>
      </c>
      <c r="AC513" s="42">
        <v>0</v>
      </c>
      <c r="AE513" s="42">
        <v>0</v>
      </c>
      <c r="AG513" s="42">
        <v>0</v>
      </c>
      <c r="AI513" s="10">
        <f t="shared" si="74"/>
        <v>0</v>
      </c>
      <c r="AK513" s="42">
        <f t="shared" si="69"/>
        <v>0</v>
      </c>
    </row>
    <row r="514" spans="1:37">
      <c r="A514" s="9" t="s">
        <v>526</v>
      </c>
      <c r="B514" s="9"/>
      <c r="C514" s="9" t="s">
        <v>64</v>
      </c>
      <c r="D514" s="9"/>
      <c r="E514" s="23">
        <v>50237</v>
      </c>
      <c r="G514" s="42">
        <v>1590439</v>
      </c>
      <c r="I514" s="42">
        <v>286</v>
      </c>
      <c r="K514" s="2">
        <f t="shared" si="75"/>
        <v>1556574</v>
      </c>
      <c r="M514" s="42">
        <v>3147299</v>
      </c>
      <c r="O514" s="42">
        <v>0</v>
      </c>
      <c r="Q514" s="2">
        <f t="shared" si="73"/>
        <v>477103</v>
      </c>
      <c r="S514" s="42">
        <v>0</v>
      </c>
      <c r="U514" s="42">
        <v>477103</v>
      </c>
      <c r="W514" s="42">
        <v>1502140</v>
      </c>
      <c r="Y514" s="42">
        <v>286</v>
      </c>
      <c r="AA514" s="42">
        <v>0</v>
      </c>
      <c r="AC514" s="42">
        <v>35300</v>
      </c>
      <c r="AE514" s="42">
        <v>684462</v>
      </c>
      <c r="AG514" s="42">
        <v>448008</v>
      </c>
      <c r="AI514" s="10">
        <f t="shared" si="74"/>
        <v>1168056</v>
      </c>
      <c r="AK514" s="42">
        <f t="shared" si="69"/>
        <v>0</v>
      </c>
    </row>
    <row r="515" spans="1:37" hidden="1">
      <c r="A515" s="9" t="s">
        <v>823</v>
      </c>
      <c r="B515" s="9"/>
      <c r="C515" s="9" t="s">
        <v>42</v>
      </c>
      <c r="D515" s="9"/>
      <c r="E515" s="23">
        <v>48041</v>
      </c>
      <c r="G515" s="42">
        <v>0</v>
      </c>
      <c r="I515" s="42">
        <v>0</v>
      </c>
      <c r="K515" s="2">
        <f t="shared" si="75"/>
        <v>0</v>
      </c>
      <c r="M515" s="42">
        <v>0</v>
      </c>
      <c r="O515" s="42">
        <v>0</v>
      </c>
      <c r="Q515" s="2">
        <f t="shared" si="73"/>
        <v>0</v>
      </c>
      <c r="S515" s="42">
        <v>0</v>
      </c>
      <c r="U515" s="42">
        <v>0</v>
      </c>
      <c r="W515" s="42">
        <v>0</v>
      </c>
      <c r="Y515" s="42">
        <v>0</v>
      </c>
      <c r="AA515" s="42">
        <v>0</v>
      </c>
      <c r="AC515" s="42">
        <v>0</v>
      </c>
      <c r="AE515" s="42">
        <v>0</v>
      </c>
      <c r="AG515" s="42">
        <v>0</v>
      </c>
      <c r="AI515" s="10">
        <f t="shared" si="74"/>
        <v>0</v>
      </c>
      <c r="AK515" s="42">
        <f t="shared" si="69"/>
        <v>0</v>
      </c>
    </row>
    <row r="516" spans="1:37">
      <c r="A516" s="9" t="s">
        <v>329</v>
      </c>
      <c r="B516" s="9"/>
      <c r="C516" s="9" t="s">
        <v>32</v>
      </c>
      <c r="D516" s="9"/>
      <c r="E516" s="23">
        <v>47381</v>
      </c>
      <c r="G516" s="42">
        <v>3883729</v>
      </c>
      <c r="I516" s="42">
        <v>0</v>
      </c>
      <c r="K516" s="2">
        <f t="shared" si="75"/>
        <v>12480021</v>
      </c>
      <c r="M516" s="42">
        <v>16363750</v>
      </c>
      <c r="O516" s="42">
        <v>0</v>
      </c>
      <c r="Q516" s="2">
        <f t="shared" si="73"/>
        <v>10851132</v>
      </c>
      <c r="S516" s="42">
        <v>0</v>
      </c>
      <c r="U516" s="42">
        <v>10851132</v>
      </c>
      <c r="W516" s="42">
        <v>0</v>
      </c>
      <c r="Y516" s="42">
        <v>0</v>
      </c>
      <c r="AA516" s="42">
        <v>0</v>
      </c>
      <c r="AC516" s="42">
        <v>0</v>
      </c>
      <c r="AE516" s="42">
        <v>726856</v>
      </c>
      <c r="AG516" s="42">
        <v>4785762</v>
      </c>
      <c r="AI516" s="10">
        <f t="shared" si="74"/>
        <v>5512618</v>
      </c>
      <c r="AK516" s="42">
        <f t="shared" si="69"/>
        <v>0</v>
      </c>
    </row>
    <row r="517" spans="1:37">
      <c r="A517" s="9" t="s">
        <v>305</v>
      </c>
      <c r="B517" s="9"/>
      <c r="C517" s="9" t="s">
        <v>27</v>
      </c>
      <c r="D517" s="9"/>
      <c r="E517" s="23">
        <v>44800</v>
      </c>
      <c r="G517" s="42">
        <v>86879169</v>
      </c>
      <c r="I517" s="42">
        <v>0</v>
      </c>
      <c r="K517" s="2">
        <f t="shared" si="75"/>
        <v>106698264</v>
      </c>
      <c r="M517" s="42">
        <v>193577433</v>
      </c>
      <c r="O517" s="42">
        <v>0</v>
      </c>
      <c r="Q517" s="2">
        <f t="shared" si="73"/>
        <v>22067199</v>
      </c>
      <c r="S517" s="42">
        <v>0</v>
      </c>
      <c r="U517" s="42">
        <v>22067199</v>
      </c>
      <c r="W517" s="42">
        <v>70768587</v>
      </c>
      <c r="Y517" s="42">
        <v>309149</v>
      </c>
      <c r="AA517" s="42">
        <v>0</v>
      </c>
      <c r="AC517" s="42">
        <v>1121869</v>
      </c>
      <c r="AE517" s="42">
        <v>1045417</v>
      </c>
      <c r="AG517" s="42">
        <v>98265212</v>
      </c>
      <c r="AI517" s="10">
        <f t="shared" si="74"/>
        <v>100741647</v>
      </c>
      <c r="AK517" s="42">
        <f t="shared" si="69"/>
        <v>0</v>
      </c>
    </row>
    <row r="518" spans="1:37" hidden="1">
      <c r="A518" s="9" t="s">
        <v>696</v>
      </c>
      <c r="B518" s="9"/>
      <c r="C518" s="9" t="s">
        <v>10</v>
      </c>
      <c r="D518" s="9"/>
      <c r="E518" s="23">
        <v>45807</v>
      </c>
      <c r="G518" s="42">
        <v>0</v>
      </c>
      <c r="I518" s="42">
        <v>0</v>
      </c>
      <c r="K518" s="2">
        <f t="shared" si="75"/>
        <v>0</v>
      </c>
      <c r="M518" s="42">
        <v>0</v>
      </c>
      <c r="O518" s="42">
        <v>0</v>
      </c>
      <c r="Q518" s="2">
        <f t="shared" si="73"/>
        <v>0</v>
      </c>
      <c r="S518" s="42">
        <v>0</v>
      </c>
      <c r="U518" s="42">
        <v>0</v>
      </c>
      <c r="W518" s="42">
        <v>0</v>
      </c>
      <c r="Y518" s="42">
        <v>0</v>
      </c>
      <c r="AA518" s="42">
        <v>0</v>
      </c>
      <c r="AC518" s="42">
        <v>0</v>
      </c>
      <c r="AE518" s="42">
        <v>0</v>
      </c>
      <c r="AG518" s="42">
        <v>0</v>
      </c>
      <c r="AI518" s="10">
        <f t="shared" si="74"/>
        <v>0</v>
      </c>
      <c r="AK518" s="42">
        <f t="shared" si="69"/>
        <v>0</v>
      </c>
    </row>
    <row r="519" spans="1:37">
      <c r="A519" s="8" t="s">
        <v>838</v>
      </c>
      <c r="B519" s="9"/>
      <c r="C519" s="9" t="s">
        <v>69</v>
      </c>
      <c r="D519" s="9"/>
      <c r="E519" s="23">
        <v>50427</v>
      </c>
      <c r="G519" s="42">
        <v>11297086</v>
      </c>
      <c r="I519" s="42">
        <v>96355</v>
      </c>
      <c r="K519" s="2">
        <f t="shared" si="75"/>
        <v>28206913</v>
      </c>
      <c r="M519" s="42">
        <v>39600354</v>
      </c>
      <c r="O519" s="42">
        <v>0</v>
      </c>
      <c r="Q519" s="2">
        <f t="shared" si="73"/>
        <v>5363479</v>
      </c>
      <c r="S519" s="42">
        <v>0</v>
      </c>
      <c r="U519" s="42">
        <v>5363479</v>
      </c>
      <c r="W519" s="42">
        <v>25253719</v>
      </c>
      <c r="Y519" s="42">
        <v>0</v>
      </c>
      <c r="AA519" s="42">
        <v>96355</v>
      </c>
      <c r="AC519" s="42">
        <v>0</v>
      </c>
      <c r="AE519" s="42">
        <v>1233237</v>
      </c>
      <c r="AG519" s="42">
        <v>7653564</v>
      </c>
      <c r="AI519" s="10">
        <f t="shared" si="74"/>
        <v>8983156</v>
      </c>
      <c r="AK519" s="42">
        <f t="shared" si="69"/>
        <v>0</v>
      </c>
    </row>
    <row r="520" spans="1:37">
      <c r="A520" s="9" t="s">
        <v>624</v>
      </c>
      <c r="B520" s="9"/>
      <c r="C520" s="9" t="s">
        <v>17</v>
      </c>
      <c r="D520" s="9"/>
      <c r="E520" s="23">
        <v>44818</v>
      </c>
      <c r="G520" s="42">
        <v>23589520</v>
      </c>
      <c r="I520" s="42">
        <v>0</v>
      </c>
      <c r="K520" s="2">
        <f>+M520-I520-G520</f>
        <v>30993864</v>
      </c>
      <c r="M520" s="42">
        <v>54583384</v>
      </c>
      <c r="O520" s="42">
        <v>0</v>
      </c>
      <c r="Q520" s="2">
        <f t="shared" si="73"/>
        <v>9794347</v>
      </c>
      <c r="S520" s="42">
        <v>0</v>
      </c>
      <c r="U520" s="42">
        <v>9794347</v>
      </c>
      <c r="W520" s="42">
        <v>20682272</v>
      </c>
      <c r="Y520" s="42">
        <v>0</v>
      </c>
      <c r="AA520" s="42">
        <v>0</v>
      </c>
      <c r="AC520" s="42">
        <v>11000</v>
      </c>
      <c r="AE520" s="42">
        <v>2044205</v>
      </c>
      <c r="AG520" s="42">
        <v>22051560</v>
      </c>
      <c r="AI520" s="10">
        <f t="shared" si="74"/>
        <v>24106765</v>
      </c>
      <c r="AK520" s="42">
        <f t="shared" si="69"/>
        <v>0</v>
      </c>
    </row>
    <row r="521" spans="1:37">
      <c r="A521" s="9" t="s">
        <v>710</v>
      </c>
      <c r="B521" s="9"/>
      <c r="C521" s="9" t="s">
        <v>114</v>
      </c>
      <c r="D521" s="9"/>
      <c r="E521" s="23">
        <v>48223</v>
      </c>
      <c r="G521" s="42">
        <v>3717480</v>
      </c>
      <c r="I521" s="42">
        <v>0</v>
      </c>
      <c r="K521" s="2">
        <f t="shared" si="75"/>
        <v>24370019</v>
      </c>
      <c r="M521" s="42">
        <v>28087499</v>
      </c>
      <c r="O521" s="42">
        <v>0</v>
      </c>
      <c r="Q521" s="2">
        <f t="shared" si="73"/>
        <v>4878642</v>
      </c>
      <c r="S521" s="42">
        <v>0</v>
      </c>
      <c r="U521" s="42">
        <v>4878642</v>
      </c>
      <c r="W521" s="42">
        <v>22119423</v>
      </c>
      <c r="Y521" s="42">
        <v>282</v>
      </c>
      <c r="AA521" s="42">
        <v>0</v>
      </c>
      <c r="AC521" s="42">
        <f>5468+500</f>
        <v>5968</v>
      </c>
      <c r="AE521" s="42">
        <f>41480+200897+450+840357</f>
        <v>1083184</v>
      </c>
      <c r="AG521" s="42">
        <v>0</v>
      </c>
      <c r="AI521" s="10">
        <f t="shared" si="74"/>
        <v>1089434</v>
      </c>
      <c r="AK521" s="42">
        <f t="shared" si="69"/>
        <v>0</v>
      </c>
    </row>
    <row r="522" spans="1:37">
      <c r="A522" s="9" t="s">
        <v>390</v>
      </c>
      <c r="B522" s="9"/>
      <c r="C522" s="9" t="s">
        <v>45</v>
      </c>
      <c r="D522" s="9"/>
      <c r="E522" s="23">
        <v>48371</v>
      </c>
      <c r="G522" s="42">
        <v>1779160</v>
      </c>
      <c r="I522" s="42">
        <v>0</v>
      </c>
      <c r="K522" s="2">
        <f t="shared" si="75"/>
        <v>4215611</v>
      </c>
      <c r="M522" s="42">
        <v>5994771</v>
      </c>
      <c r="O522" s="42">
        <v>0</v>
      </c>
      <c r="Q522" s="2">
        <f t="shared" si="73"/>
        <v>1208816</v>
      </c>
      <c r="S522" s="42">
        <v>0</v>
      </c>
      <c r="U522" s="42">
        <v>1208816</v>
      </c>
      <c r="W522" s="42">
        <v>3291067</v>
      </c>
      <c r="Y522" s="42">
        <v>41980</v>
      </c>
      <c r="AA522" s="42">
        <v>0</v>
      </c>
      <c r="AC522" s="42">
        <v>11000</v>
      </c>
      <c r="AE522" s="42">
        <f>22803+5156+1408658+2388</f>
        <v>1439005</v>
      </c>
      <c r="AG522" s="42">
        <v>2903</v>
      </c>
      <c r="AI522" s="10">
        <f t="shared" si="74"/>
        <v>1494888</v>
      </c>
      <c r="AK522" s="42">
        <f t="shared" si="69"/>
        <v>0</v>
      </c>
    </row>
    <row r="523" spans="1:37">
      <c r="A523" s="9" t="s">
        <v>390</v>
      </c>
      <c r="B523" s="9"/>
      <c r="C523" s="9" t="s">
        <v>63</v>
      </c>
      <c r="D523" s="9"/>
      <c r="E523" s="23">
        <v>50062</v>
      </c>
      <c r="G523" s="42">
        <v>7707837</v>
      </c>
      <c r="I523" s="42">
        <v>0</v>
      </c>
      <c r="K523" s="2">
        <f t="shared" si="75"/>
        <v>11641086</v>
      </c>
      <c r="M523" s="42">
        <v>19348923</v>
      </c>
      <c r="O523" s="42">
        <v>0</v>
      </c>
      <c r="Q523" s="2">
        <f t="shared" si="73"/>
        <v>3340514</v>
      </c>
      <c r="S523" s="42">
        <v>0</v>
      </c>
      <c r="U523" s="42">
        <f>14249827-10909313</f>
        <v>3340514</v>
      </c>
      <c r="W523" s="42">
        <v>10909313</v>
      </c>
      <c r="Y523" s="42">
        <v>0</v>
      </c>
      <c r="AA523" s="42">
        <v>0</v>
      </c>
      <c r="AC523" s="42">
        <v>0</v>
      </c>
      <c r="AE523" s="42">
        <v>4659005</v>
      </c>
      <c r="AG523" s="42">
        <v>440091</v>
      </c>
      <c r="AI523" s="10">
        <f t="shared" si="74"/>
        <v>5099096</v>
      </c>
      <c r="AK523" s="42">
        <f t="shared" si="69"/>
        <v>0</v>
      </c>
    </row>
    <row r="524" spans="1:37">
      <c r="A524" s="9" t="s">
        <v>780</v>
      </c>
      <c r="B524" s="9"/>
      <c r="C524" s="9" t="s">
        <v>32</v>
      </c>
      <c r="D524" s="9"/>
      <c r="E524" s="23">
        <v>44719</v>
      </c>
      <c r="G524" s="42">
        <v>5858820</v>
      </c>
      <c r="I524" s="42">
        <v>0</v>
      </c>
      <c r="K524" s="2">
        <f t="shared" si="75"/>
        <v>4825026</v>
      </c>
      <c r="M524" s="42">
        <v>10683846</v>
      </c>
      <c r="O524" s="42">
        <v>0</v>
      </c>
      <c r="Q524" s="2">
        <f t="shared" si="73"/>
        <v>1009558</v>
      </c>
      <c r="S524" s="42">
        <v>0</v>
      </c>
      <c r="U524" s="42">
        <f>3903501-2893943</f>
        <v>1009558</v>
      </c>
      <c r="W524" s="42">
        <v>2893943</v>
      </c>
      <c r="Y524" s="42">
        <v>0</v>
      </c>
      <c r="AA524" s="42">
        <v>0</v>
      </c>
      <c r="AC524" s="42">
        <v>0</v>
      </c>
      <c r="AE524" s="42">
        <v>1445771</v>
      </c>
      <c r="AG524" s="42">
        <v>5334574</v>
      </c>
      <c r="AI524" s="10">
        <f t="shared" si="74"/>
        <v>6780345</v>
      </c>
      <c r="AK524" s="42">
        <f t="shared" si="69"/>
        <v>0</v>
      </c>
    </row>
    <row r="525" spans="1:37">
      <c r="A525" s="9" t="s">
        <v>781</v>
      </c>
      <c r="B525" s="9"/>
      <c r="C525" s="9" t="s">
        <v>15</v>
      </c>
      <c r="D525" s="9"/>
      <c r="E525" s="23">
        <v>45997</v>
      </c>
      <c r="G525" s="42">
        <f>279092+157571</f>
        <v>436663</v>
      </c>
      <c r="I525" s="42">
        <v>11000</v>
      </c>
      <c r="K525" s="2">
        <f t="shared" si="75"/>
        <v>8767929</v>
      </c>
      <c r="M525" s="42">
        <v>9215592</v>
      </c>
      <c r="O525" s="42">
        <v>0</v>
      </c>
      <c r="Q525" s="2">
        <f t="shared" si="73"/>
        <v>1498262</v>
      </c>
      <c r="S525" s="42">
        <v>0</v>
      </c>
      <c r="U525" s="42">
        <v>1498262</v>
      </c>
      <c r="W525" s="42">
        <v>7878828</v>
      </c>
      <c r="Y525" s="42">
        <f>17136+3360</f>
        <v>20496</v>
      </c>
      <c r="AA525" s="42">
        <v>11000</v>
      </c>
      <c r="AC525" s="42">
        <v>0</v>
      </c>
      <c r="AE525" s="42">
        <v>0</v>
      </c>
      <c r="AG525" s="42">
        <v>-192994</v>
      </c>
      <c r="AI525" s="10">
        <f t="shared" si="74"/>
        <v>-161498</v>
      </c>
      <c r="AK525" s="42">
        <f t="shared" si="69"/>
        <v>0</v>
      </c>
    </row>
    <row r="526" spans="1:37" hidden="1">
      <c r="A526" s="9" t="s">
        <v>697</v>
      </c>
      <c r="B526" s="9"/>
      <c r="C526" s="9" t="s">
        <v>419</v>
      </c>
      <c r="D526" s="9"/>
      <c r="E526" s="23">
        <v>48587</v>
      </c>
      <c r="G526" s="42">
        <v>0</v>
      </c>
      <c r="I526" s="42">
        <v>0</v>
      </c>
      <c r="K526" s="2">
        <f t="shared" si="75"/>
        <v>0</v>
      </c>
      <c r="M526" s="42">
        <v>0</v>
      </c>
      <c r="O526" s="42">
        <v>0</v>
      </c>
      <c r="Q526" s="2">
        <f t="shared" si="73"/>
        <v>0</v>
      </c>
      <c r="S526" s="42">
        <v>0</v>
      </c>
      <c r="U526" s="42">
        <v>0</v>
      </c>
      <c r="W526" s="42">
        <v>0</v>
      </c>
      <c r="Y526" s="42">
        <v>0</v>
      </c>
      <c r="AA526" s="42">
        <v>0</v>
      </c>
      <c r="AC526" s="42">
        <v>0</v>
      </c>
      <c r="AE526" s="42">
        <v>0</v>
      </c>
      <c r="AG526" s="42">
        <v>0</v>
      </c>
      <c r="AI526" s="10">
        <f t="shared" si="74"/>
        <v>0</v>
      </c>
      <c r="AK526" s="42">
        <f t="shared" si="69"/>
        <v>0</v>
      </c>
    </row>
    <row r="527" spans="1:37" hidden="1">
      <c r="A527" s="9" t="s">
        <v>698</v>
      </c>
      <c r="B527" s="9"/>
      <c r="C527" s="9" t="s">
        <v>14</v>
      </c>
      <c r="D527" s="9"/>
      <c r="E527" s="23">
        <v>44727</v>
      </c>
      <c r="G527" s="42">
        <v>0</v>
      </c>
      <c r="I527" s="42">
        <v>0</v>
      </c>
      <c r="K527" s="2">
        <f t="shared" si="75"/>
        <v>0</v>
      </c>
      <c r="M527" s="42">
        <v>0</v>
      </c>
      <c r="O527" s="42">
        <v>0</v>
      </c>
      <c r="Q527" s="2">
        <f t="shared" si="73"/>
        <v>0</v>
      </c>
      <c r="S527" s="42">
        <v>0</v>
      </c>
      <c r="U527" s="42">
        <v>0</v>
      </c>
      <c r="W527" s="42">
        <v>0</v>
      </c>
      <c r="Y527" s="42">
        <v>0</v>
      </c>
      <c r="AA527" s="42">
        <v>0</v>
      </c>
      <c r="AC527" s="42">
        <v>0</v>
      </c>
      <c r="AE527" s="42">
        <v>0</v>
      </c>
      <c r="AG527" s="42">
        <v>0</v>
      </c>
      <c r="AI527" s="10">
        <f t="shared" si="74"/>
        <v>0</v>
      </c>
      <c r="AK527" s="42">
        <f t="shared" ref="AK527:AK590" si="76">+G527+I527+K527+O527-U527-W527-AC527-AA527-Y527-AE527-AG527</f>
        <v>0</v>
      </c>
    </row>
    <row r="528" spans="1:37">
      <c r="A528" s="9" t="s">
        <v>362</v>
      </c>
      <c r="B528" s="9"/>
      <c r="C528" s="9" t="s">
        <v>39</v>
      </c>
      <c r="D528" s="9"/>
      <c r="E528" s="23">
        <v>44826</v>
      </c>
      <c r="G528" s="42">
        <v>3122138</v>
      </c>
      <c r="I528" s="42">
        <v>85496</v>
      </c>
      <c r="K528" s="2">
        <f t="shared" si="75"/>
        <v>5005443</v>
      </c>
      <c r="M528" s="42">
        <v>8213077</v>
      </c>
      <c r="O528" s="42">
        <v>0</v>
      </c>
      <c r="Q528" s="2">
        <f t="shared" si="73"/>
        <v>2226039</v>
      </c>
      <c r="S528" s="42">
        <v>0</v>
      </c>
      <c r="U528" s="42">
        <v>2226039</v>
      </c>
      <c r="W528" s="42">
        <v>4414991</v>
      </c>
      <c r="Y528" s="42">
        <v>10102</v>
      </c>
      <c r="AA528" s="42">
        <v>85496</v>
      </c>
      <c r="AC528" s="42">
        <v>0</v>
      </c>
      <c r="AE528" s="42">
        <v>932025</v>
      </c>
      <c r="AG528" s="42">
        <v>544424</v>
      </c>
      <c r="AI528" s="10">
        <f t="shared" si="74"/>
        <v>1572047</v>
      </c>
      <c r="AK528" s="42">
        <f t="shared" si="76"/>
        <v>0</v>
      </c>
    </row>
    <row r="529" spans="1:37">
      <c r="A529" s="9" t="s">
        <v>510</v>
      </c>
      <c r="B529" s="9"/>
      <c r="C529" s="9" t="s">
        <v>63</v>
      </c>
      <c r="D529" s="9"/>
      <c r="E529" s="23">
        <v>44834</v>
      </c>
      <c r="G529" s="42">
        <v>21672213</v>
      </c>
      <c r="I529" s="42">
        <v>0</v>
      </c>
      <c r="K529" s="2">
        <f t="shared" si="75"/>
        <v>35407904</v>
      </c>
      <c r="M529" s="42">
        <v>57080117</v>
      </c>
      <c r="O529" s="42">
        <v>0</v>
      </c>
      <c r="Q529" s="2">
        <f t="shared" si="73"/>
        <v>6101600</v>
      </c>
      <c r="S529" s="42">
        <v>0</v>
      </c>
      <c r="U529" s="42">
        <v>6101600</v>
      </c>
      <c r="W529" s="42">
        <v>32919611</v>
      </c>
      <c r="Y529" s="42">
        <f>66103+26152</f>
        <v>92255</v>
      </c>
      <c r="AA529" s="42">
        <v>0</v>
      </c>
      <c r="AC529" s="42">
        <f>79325+349948</f>
        <v>429273</v>
      </c>
      <c r="AE529" s="42">
        <f>24335+487848+10680+122126+16692825+106470</f>
        <v>17444284</v>
      </c>
      <c r="AG529" s="42">
        <v>93094</v>
      </c>
      <c r="AI529" s="10">
        <f t="shared" si="74"/>
        <v>18058906</v>
      </c>
      <c r="AK529" s="42">
        <f t="shared" si="76"/>
        <v>0</v>
      </c>
    </row>
    <row r="530" spans="1:37" hidden="1">
      <c r="A530" s="9" t="s">
        <v>699</v>
      </c>
      <c r="B530" s="9"/>
      <c r="C530" s="9" t="s">
        <v>65</v>
      </c>
      <c r="D530" s="9"/>
      <c r="E530" s="23">
        <v>50294</v>
      </c>
      <c r="G530" s="42">
        <v>0</v>
      </c>
      <c r="I530" s="42">
        <v>0</v>
      </c>
      <c r="K530" s="2">
        <f t="shared" si="75"/>
        <v>0</v>
      </c>
      <c r="M530" s="42">
        <v>0</v>
      </c>
      <c r="O530" s="42">
        <v>0</v>
      </c>
      <c r="Q530" s="2">
        <f t="shared" si="73"/>
        <v>0</v>
      </c>
      <c r="S530" s="42">
        <v>0</v>
      </c>
      <c r="U530" s="42">
        <v>0</v>
      </c>
      <c r="W530" s="42">
        <v>0</v>
      </c>
      <c r="Y530" s="42">
        <v>0</v>
      </c>
      <c r="AA530" s="42">
        <v>0</v>
      </c>
      <c r="AC530" s="42">
        <v>0</v>
      </c>
      <c r="AE530" s="42">
        <v>0</v>
      </c>
      <c r="AG530" s="42">
        <v>0</v>
      </c>
      <c r="AI530" s="10">
        <f t="shared" si="74"/>
        <v>0</v>
      </c>
      <c r="AK530" s="42">
        <f t="shared" si="76"/>
        <v>0</v>
      </c>
    </row>
    <row r="531" spans="1:37">
      <c r="A531" s="9" t="s">
        <v>461</v>
      </c>
      <c r="B531" s="9"/>
      <c r="C531" s="9" t="s">
        <v>56</v>
      </c>
      <c r="D531" s="9"/>
      <c r="E531" s="23">
        <v>49239</v>
      </c>
      <c r="G531" s="42">
        <v>3956021</v>
      </c>
      <c r="I531" s="42">
        <v>0</v>
      </c>
      <c r="K531" s="2">
        <f t="shared" si="75"/>
        <v>13695121</v>
      </c>
      <c r="M531" s="42">
        <v>17651142</v>
      </c>
      <c r="O531" s="42">
        <v>0</v>
      </c>
      <c r="Q531" s="2">
        <f t="shared" si="73"/>
        <v>2184609</v>
      </c>
      <c r="S531" s="42">
        <v>0</v>
      </c>
      <c r="U531" s="42">
        <f>14612264-12427655</f>
        <v>2184609</v>
      </c>
      <c r="W531" s="42">
        <v>12427655</v>
      </c>
      <c r="Y531" s="42">
        <v>1316</v>
      </c>
      <c r="AA531" s="42">
        <v>0</v>
      </c>
      <c r="AC531" s="42">
        <v>22673</v>
      </c>
      <c r="AE531" s="42">
        <v>142935</v>
      </c>
      <c r="AG531" s="42">
        <v>2871954</v>
      </c>
      <c r="AI531" s="10">
        <f t="shared" si="74"/>
        <v>3038878</v>
      </c>
      <c r="AK531" s="42">
        <f t="shared" si="76"/>
        <v>0</v>
      </c>
    </row>
    <row r="532" spans="1:37">
      <c r="A532" s="9" t="s">
        <v>277</v>
      </c>
      <c r="B532" s="9"/>
      <c r="C532" s="9" t="s">
        <v>20</v>
      </c>
      <c r="D532" s="9"/>
      <c r="E532" s="23">
        <v>44842</v>
      </c>
      <c r="G532" s="42">
        <v>5689604</v>
      </c>
      <c r="I532" s="42">
        <v>0</v>
      </c>
      <c r="K532" s="2">
        <f t="shared" si="75"/>
        <v>49638535</v>
      </c>
      <c r="M532" s="42">
        <v>55328139</v>
      </c>
      <c r="O532" s="42">
        <v>0</v>
      </c>
      <c r="Q532" s="2">
        <f t="shared" si="73"/>
        <v>7303968</v>
      </c>
      <c r="S532" s="42">
        <v>0</v>
      </c>
      <c r="U532" s="42">
        <v>7303968</v>
      </c>
      <c r="W532" s="42">
        <v>43055941</v>
      </c>
      <c r="Y532" s="42">
        <v>0</v>
      </c>
      <c r="AA532" s="42">
        <v>0</v>
      </c>
      <c r="AC532" s="42">
        <v>1517000</v>
      </c>
      <c r="AE532" s="42">
        <v>636432</v>
      </c>
      <c r="AG532" s="42">
        <v>2814798</v>
      </c>
      <c r="AI532" s="10">
        <f t="shared" si="74"/>
        <v>4968230</v>
      </c>
      <c r="AK532" s="42">
        <f t="shared" si="76"/>
        <v>0</v>
      </c>
    </row>
    <row r="533" spans="1:37">
      <c r="A533" s="9" t="s">
        <v>404</v>
      </c>
      <c r="B533" s="9"/>
      <c r="C533" s="9" t="s">
        <v>45</v>
      </c>
      <c r="D533" s="9"/>
      <c r="E533" s="23">
        <v>44859</v>
      </c>
      <c r="G533" s="42">
        <v>6536740</v>
      </c>
      <c r="I533" s="42">
        <v>22629</v>
      </c>
      <c r="K533" s="2">
        <f t="shared" si="75"/>
        <v>5038033</v>
      </c>
      <c r="M533" s="42">
        <v>11597402</v>
      </c>
      <c r="O533" s="42">
        <v>0</v>
      </c>
      <c r="Q533" s="2">
        <f t="shared" si="73"/>
        <v>2066525</v>
      </c>
      <c r="S533" s="42">
        <v>0</v>
      </c>
      <c r="U533" s="42">
        <v>2066525</v>
      </c>
      <c r="W533" s="42">
        <v>4826860</v>
      </c>
      <c r="Y533" s="42">
        <v>0</v>
      </c>
      <c r="AA533" s="42">
        <v>22629</v>
      </c>
      <c r="AC533" s="42">
        <v>0</v>
      </c>
      <c r="AE533" s="42">
        <v>625010</v>
      </c>
      <c r="AG533" s="42">
        <v>4056378</v>
      </c>
      <c r="AI533" s="10">
        <f t="shared" si="74"/>
        <v>4704017</v>
      </c>
      <c r="AK533" s="42">
        <f t="shared" si="76"/>
        <v>0</v>
      </c>
    </row>
    <row r="534" spans="1:37" hidden="1">
      <c r="A534" s="9" t="s">
        <v>906</v>
      </c>
      <c r="B534" s="9"/>
      <c r="C534" s="9" t="s">
        <v>548</v>
      </c>
      <c r="D534" s="9"/>
      <c r="E534" s="23">
        <v>50658</v>
      </c>
      <c r="G534" s="42">
        <v>0</v>
      </c>
      <c r="I534" s="42">
        <v>0</v>
      </c>
      <c r="K534" s="2">
        <f t="shared" si="75"/>
        <v>0</v>
      </c>
      <c r="M534" s="42">
        <v>0</v>
      </c>
      <c r="O534" s="42">
        <v>0</v>
      </c>
      <c r="Q534" s="2">
        <f t="shared" si="73"/>
        <v>0</v>
      </c>
      <c r="S534" s="42">
        <v>0</v>
      </c>
      <c r="U534" s="42">
        <v>0</v>
      </c>
      <c r="W534" s="42">
        <v>0</v>
      </c>
      <c r="Y534" s="42">
        <v>0</v>
      </c>
      <c r="AA534" s="42">
        <v>0</v>
      </c>
      <c r="AC534" s="42">
        <v>0</v>
      </c>
      <c r="AE534" s="42">
        <v>0</v>
      </c>
      <c r="AG534" s="42">
        <v>0</v>
      </c>
      <c r="AI534" s="10">
        <f t="shared" si="74"/>
        <v>0</v>
      </c>
      <c r="AK534" s="42">
        <f t="shared" si="76"/>
        <v>0</v>
      </c>
    </row>
    <row r="535" spans="1:37">
      <c r="A535" s="9" t="s">
        <v>310</v>
      </c>
      <c r="B535" s="9"/>
      <c r="C535" s="9" t="s">
        <v>28</v>
      </c>
      <c r="D535" s="9"/>
      <c r="E535" s="23">
        <v>47092</v>
      </c>
      <c r="G535" s="42">
        <f>6337860+1230012</f>
        <v>7567872</v>
      </c>
      <c r="I535" s="42">
        <v>8520</v>
      </c>
      <c r="K535" s="2">
        <f t="shared" si="75"/>
        <v>5546098</v>
      </c>
      <c r="M535" s="42">
        <v>13122490</v>
      </c>
      <c r="O535" s="42">
        <v>0</v>
      </c>
      <c r="Q535" s="2">
        <f t="shared" si="73"/>
        <v>1437984</v>
      </c>
      <c r="S535" s="42">
        <v>0</v>
      </c>
      <c r="U535" s="42">
        <v>1437984</v>
      </c>
      <c r="W535" s="42">
        <v>4545970</v>
      </c>
      <c r="Y535" s="42">
        <v>61213</v>
      </c>
      <c r="AA535" s="42">
        <v>8520</v>
      </c>
      <c r="AC535" s="42">
        <v>0</v>
      </c>
      <c r="AE535" s="42">
        <v>2108419</v>
      </c>
      <c r="AG535" s="42">
        <v>4960384</v>
      </c>
      <c r="AI535" s="10">
        <f t="shared" si="74"/>
        <v>7138536</v>
      </c>
      <c r="AK535" s="42">
        <f t="shared" si="76"/>
        <v>0</v>
      </c>
    </row>
    <row r="536" spans="1:37">
      <c r="A536" s="9" t="s">
        <v>623</v>
      </c>
      <c r="B536" s="9"/>
      <c r="C536" s="9" t="s">
        <v>49</v>
      </c>
      <c r="D536" s="9"/>
      <c r="E536" s="23">
        <v>48652</v>
      </c>
      <c r="G536" s="42">
        <v>796374</v>
      </c>
      <c r="I536" s="42">
        <v>491</v>
      </c>
      <c r="K536" s="2">
        <f t="shared" si="75"/>
        <v>9439507</v>
      </c>
      <c r="M536" s="42">
        <v>10236372</v>
      </c>
      <c r="O536" s="42">
        <v>0</v>
      </c>
      <c r="Q536" s="2">
        <f t="shared" si="73"/>
        <v>2712544</v>
      </c>
      <c r="S536" s="42">
        <v>0</v>
      </c>
      <c r="U536" s="42">
        <v>2712544</v>
      </c>
      <c r="W536" s="42">
        <v>8634075</v>
      </c>
      <c r="Y536" s="42">
        <f>28986+491</f>
        <v>29477</v>
      </c>
      <c r="AA536" s="42">
        <v>0</v>
      </c>
      <c r="AC536" s="42">
        <v>0</v>
      </c>
      <c r="AE536" s="42">
        <v>45027</v>
      </c>
      <c r="AG536" s="42">
        <v>-1184751</v>
      </c>
      <c r="AI536" s="10">
        <f t="shared" si="74"/>
        <v>-1110247</v>
      </c>
      <c r="AK536" s="42">
        <f t="shared" si="76"/>
        <v>0</v>
      </c>
    </row>
    <row r="537" spans="1:37">
      <c r="A537" s="8" t="s">
        <v>828</v>
      </c>
      <c r="B537" s="9"/>
      <c r="C537" s="9" t="s">
        <v>32</v>
      </c>
      <c r="D537" s="9"/>
      <c r="E537" s="23">
        <v>44867</v>
      </c>
      <c r="G537" s="42">
        <f>37853987+60951</f>
        <v>37914938</v>
      </c>
      <c r="I537" s="42">
        <v>468958</v>
      </c>
      <c r="K537" s="2">
        <f t="shared" si="75"/>
        <v>55821508</v>
      </c>
      <c r="M537" s="42">
        <v>94205404</v>
      </c>
      <c r="O537" s="42">
        <v>0</v>
      </c>
      <c r="Q537" s="2">
        <f t="shared" si="73"/>
        <v>9061420</v>
      </c>
      <c r="S537" s="42">
        <v>0</v>
      </c>
      <c r="U537" s="42">
        <f>43699562-34638142</f>
        <v>9061420</v>
      </c>
      <c r="W537" s="42">
        <v>34638142</v>
      </c>
      <c r="Y537" s="42">
        <v>396</v>
      </c>
      <c r="AA537" s="42">
        <v>609051</v>
      </c>
      <c r="AC537" s="42">
        <v>0</v>
      </c>
      <c r="AE537" s="42">
        <v>4834875</v>
      </c>
      <c r="AG537" s="42">
        <v>45061520</v>
      </c>
      <c r="AI537" s="10">
        <f t="shared" si="74"/>
        <v>50505842</v>
      </c>
      <c r="AK537" s="42">
        <f t="shared" si="76"/>
        <v>0</v>
      </c>
    </row>
    <row r="538" spans="1:37">
      <c r="A538" s="9" t="s">
        <v>391</v>
      </c>
      <c r="B538" s="9"/>
      <c r="C538" s="9" t="s">
        <v>114</v>
      </c>
      <c r="D538" s="9"/>
      <c r="E538" s="23">
        <v>44875</v>
      </c>
      <c r="G538" s="42">
        <v>6787308</v>
      </c>
      <c r="I538" s="42">
        <v>0</v>
      </c>
      <c r="K538" s="2">
        <f t="shared" si="75"/>
        <v>54621728</v>
      </c>
      <c r="M538" s="42">
        <v>61409036</v>
      </c>
      <c r="O538" s="42">
        <v>0</v>
      </c>
      <c r="Q538" s="2">
        <f t="shared" si="73"/>
        <v>10580404</v>
      </c>
      <c r="S538" s="42">
        <v>0</v>
      </c>
      <c r="U538" s="42">
        <v>10580404</v>
      </c>
      <c r="W538" s="42">
        <v>51889016</v>
      </c>
      <c r="Y538" s="42">
        <v>0</v>
      </c>
      <c r="AA538" s="42">
        <v>0</v>
      </c>
      <c r="AC538" s="42">
        <v>0</v>
      </c>
      <c r="AE538" s="42">
        <v>0</v>
      </c>
      <c r="AG538" s="42">
        <v>-1060384</v>
      </c>
      <c r="AI538" s="10">
        <f t="shared" si="74"/>
        <v>-1060384</v>
      </c>
      <c r="AK538" s="42">
        <f t="shared" si="76"/>
        <v>0</v>
      </c>
    </row>
    <row r="539" spans="1:37">
      <c r="A539" s="9" t="s">
        <v>370</v>
      </c>
      <c r="B539" s="9"/>
      <c r="C539" s="9" t="s">
        <v>364</v>
      </c>
      <c r="D539" s="9"/>
      <c r="E539" s="23">
        <v>47969</v>
      </c>
      <c r="G539" s="42">
        <v>3194889</v>
      </c>
      <c r="I539" s="42">
        <v>43697</v>
      </c>
      <c r="K539" s="2">
        <f t="shared" si="75"/>
        <v>1134172</v>
      </c>
      <c r="M539" s="42">
        <v>4372758</v>
      </c>
      <c r="O539" s="42">
        <v>0</v>
      </c>
      <c r="Q539" s="2">
        <f t="shared" si="73"/>
        <v>872299</v>
      </c>
      <c r="S539" s="42">
        <v>0</v>
      </c>
      <c r="U539" s="42">
        <v>872299</v>
      </c>
      <c r="W539" s="42">
        <v>991001</v>
      </c>
      <c r="Y539" s="42">
        <v>0</v>
      </c>
      <c r="AA539" s="42">
        <v>43697</v>
      </c>
      <c r="AC539" s="42">
        <v>40994</v>
      </c>
      <c r="AE539" s="42">
        <v>62292</v>
      </c>
      <c r="AG539" s="42">
        <v>2362475</v>
      </c>
      <c r="AI539" s="10">
        <f t="shared" si="74"/>
        <v>2509458</v>
      </c>
      <c r="AK539" s="42">
        <f t="shared" si="76"/>
        <v>0</v>
      </c>
    </row>
    <row r="540" spans="1:37">
      <c r="A540" s="9" t="s">
        <v>711</v>
      </c>
      <c r="B540" s="9"/>
      <c r="C540" s="9" t="s">
        <v>220</v>
      </c>
      <c r="D540" s="9"/>
      <c r="E540" s="23">
        <v>46151</v>
      </c>
      <c r="G540" s="42">
        <v>21404610</v>
      </c>
      <c r="I540" s="42">
        <v>275990</v>
      </c>
      <c r="K540" s="2">
        <f t="shared" si="75"/>
        <v>17711952</v>
      </c>
      <c r="M540" s="42">
        <v>39392552</v>
      </c>
      <c r="O540" s="42">
        <v>0</v>
      </c>
      <c r="Q540" s="2">
        <f t="shared" si="73"/>
        <v>3550296</v>
      </c>
      <c r="S540" s="42">
        <v>0</v>
      </c>
      <c r="U540" s="42">
        <f>18504907-14954611</f>
        <v>3550296</v>
      </c>
      <c r="W540" s="42">
        <v>14954611</v>
      </c>
      <c r="Y540" s="42">
        <v>98905</v>
      </c>
      <c r="AA540" s="42">
        <v>0</v>
      </c>
      <c r="AC540" s="42">
        <v>0</v>
      </c>
      <c r="AE540" s="42">
        <v>769117</v>
      </c>
      <c r="AG540" s="42">
        <v>20019623</v>
      </c>
      <c r="AI540" s="10">
        <f t="shared" si="74"/>
        <v>20887645</v>
      </c>
      <c r="AK540" s="42">
        <f t="shared" si="76"/>
        <v>0</v>
      </c>
    </row>
    <row r="541" spans="1:37">
      <c r="A541" s="9" t="s">
        <v>511</v>
      </c>
      <c r="B541" s="9"/>
      <c r="C541" s="9" t="s">
        <v>63</v>
      </c>
      <c r="D541" s="9"/>
      <c r="E541" s="23">
        <v>44883</v>
      </c>
      <c r="G541" s="42">
        <f>3479702+12681</f>
        <v>3492383</v>
      </c>
      <c r="I541" s="42">
        <v>72479</v>
      </c>
      <c r="K541" s="2">
        <f t="shared" si="75"/>
        <v>15794675</v>
      </c>
      <c r="M541" s="42">
        <v>19359537</v>
      </c>
      <c r="O541" s="42">
        <v>0</v>
      </c>
      <c r="Q541" s="2">
        <f t="shared" si="73"/>
        <v>2773328</v>
      </c>
      <c r="S541" s="42">
        <v>0</v>
      </c>
      <c r="U541" s="42">
        <v>2773328</v>
      </c>
      <c r="W541" s="42">
        <v>14473114</v>
      </c>
      <c r="Y541" s="42">
        <v>0</v>
      </c>
      <c r="AA541" s="42">
        <v>72479</v>
      </c>
      <c r="AC541" s="42">
        <v>17579</v>
      </c>
      <c r="AE541" s="42">
        <f>115776+179669</f>
        <v>295445</v>
      </c>
      <c r="AG541" s="42">
        <v>1727592</v>
      </c>
      <c r="AI541" s="10">
        <f t="shared" si="74"/>
        <v>2113095</v>
      </c>
      <c r="AK541" s="42">
        <f t="shared" si="76"/>
        <v>0</v>
      </c>
    </row>
    <row r="542" spans="1:37">
      <c r="A542" s="9" t="s">
        <v>451</v>
      </c>
      <c r="B542" s="9"/>
      <c r="C542" s="9" t="s">
        <v>54</v>
      </c>
      <c r="D542" s="9"/>
      <c r="E542" s="23">
        <v>49098</v>
      </c>
      <c r="G542" s="42">
        <v>5658466</v>
      </c>
      <c r="I542" s="42">
        <v>0</v>
      </c>
      <c r="K542" s="2">
        <f t="shared" si="75"/>
        <v>11079603</v>
      </c>
      <c r="M542" s="42">
        <v>16738069</v>
      </c>
      <c r="O542" s="42">
        <v>0</v>
      </c>
      <c r="Q542" s="2">
        <f t="shared" ref="Q542:Q608" si="77">+U542-S542</f>
        <v>3813944</v>
      </c>
      <c r="S542" s="42">
        <v>0</v>
      </c>
      <c r="U542" s="42">
        <v>3813944</v>
      </c>
      <c r="W542" s="42">
        <v>8509077</v>
      </c>
      <c r="Y542" s="42">
        <f>54364+9479+5471</f>
        <v>69314</v>
      </c>
      <c r="AA542" s="42">
        <v>0</v>
      </c>
      <c r="AC542" s="42">
        <v>11000</v>
      </c>
      <c r="AE542" s="42">
        <f>34608+245039+761+2186720</f>
        <v>2467128</v>
      </c>
      <c r="AG542" s="42">
        <v>1867606</v>
      </c>
      <c r="AI542" s="10">
        <f t="shared" ref="AI542:AI608" si="78">+AC542+AA542++Y542+AE542+AG542</f>
        <v>4415048</v>
      </c>
      <c r="AK542" s="42">
        <f t="shared" si="76"/>
        <v>0</v>
      </c>
    </row>
    <row r="543" spans="1:37">
      <c r="A543" s="9" t="s">
        <v>234</v>
      </c>
      <c r="B543" s="9"/>
      <c r="C543" s="9" t="s">
        <v>17</v>
      </c>
      <c r="D543" s="9"/>
      <c r="E543" s="23">
        <v>46243</v>
      </c>
      <c r="G543" s="42">
        <v>1724725</v>
      </c>
      <c r="I543" s="42">
        <v>0</v>
      </c>
      <c r="K543" s="2">
        <f t="shared" si="75"/>
        <v>8492215</v>
      </c>
      <c r="M543" s="42">
        <v>10216940</v>
      </c>
      <c r="O543" s="42">
        <v>0</v>
      </c>
      <c r="Q543" s="2">
        <f t="shared" si="77"/>
        <v>3088712</v>
      </c>
      <c r="S543" s="42">
        <v>0</v>
      </c>
      <c r="U543" s="42">
        <v>3088712</v>
      </c>
      <c r="W543" s="42">
        <v>6298248</v>
      </c>
      <c r="Y543" s="42">
        <v>154294</v>
      </c>
      <c r="AA543" s="42">
        <v>0</v>
      </c>
      <c r="AC543" s="42">
        <v>0</v>
      </c>
      <c r="AE543" s="42">
        <v>1359436</v>
      </c>
      <c r="AG543" s="42">
        <v>-683750</v>
      </c>
      <c r="AI543" s="10">
        <f t="shared" si="78"/>
        <v>829980</v>
      </c>
      <c r="AK543" s="42">
        <f t="shared" si="76"/>
        <v>0</v>
      </c>
    </row>
    <row r="544" spans="1:37">
      <c r="A544" s="9" t="s">
        <v>719</v>
      </c>
      <c r="B544" s="9"/>
      <c r="C544" s="9" t="s">
        <v>32</v>
      </c>
      <c r="D544" s="9"/>
      <c r="E544" s="23">
        <v>47399</v>
      </c>
      <c r="G544" s="42">
        <v>10057120</v>
      </c>
      <c r="I544" s="42">
        <v>0</v>
      </c>
      <c r="K544" s="2">
        <f t="shared" ref="K544:K610" si="79">+M544-I544-G544</f>
        <v>13530499</v>
      </c>
      <c r="M544" s="42">
        <v>23587619</v>
      </c>
      <c r="O544" s="42">
        <v>0</v>
      </c>
      <c r="Q544" s="2">
        <f t="shared" si="77"/>
        <v>2128829</v>
      </c>
      <c r="S544" s="42">
        <v>0</v>
      </c>
      <c r="U544" s="42">
        <f>11199955-9071126</f>
        <v>2128829</v>
      </c>
      <c r="W544" s="42">
        <v>9071126</v>
      </c>
      <c r="Y544" s="42">
        <v>0</v>
      </c>
      <c r="AA544" s="42">
        <v>0</v>
      </c>
      <c r="AC544" s="42">
        <v>0</v>
      </c>
      <c r="AE544" s="42">
        <v>2226875</v>
      </c>
      <c r="AG544" s="42">
        <v>10160789</v>
      </c>
      <c r="AI544" s="10">
        <f t="shared" si="78"/>
        <v>12387664</v>
      </c>
      <c r="AK544" s="42">
        <f t="shared" si="76"/>
        <v>0</v>
      </c>
    </row>
    <row r="545" spans="1:37">
      <c r="A545" s="9" t="s">
        <v>485</v>
      </c>
      <c r="B545" s="9"/>
      <c r="C545" s="9" t="s">
        <v>60</v>
      </c>
      <c r="D545" s="9"/>
      <c r="E545" s="23">
        <v>44891</v>
      </c>
      <c r="G545" s="42">
        <v>3199206</v>
      </c>
      <c r="I545" s="42">
        <v>0</v>
      </c>
      <c r="K545" s="2">
        <f t="shared" si="79"/>
        <v>14177043</v>
      </c>
      <c r="M545" s="42">
        <v>17376249</v>
      </c>
      <c r="O545" s="42">
        <v>0</v>
      </c>
      <c r="Q545" s="2">
        <f t="shared" si="77"/>
        <v>2085656</v>
      </c>
      <c r="S545" s="42">
        <v>0</v>
      </c>
      <c r="U545" s="42">
        <v>2085656</v>
      </c>
      <c r="W545" s="42">
        <v>12485116</v>
      </c>
      <c r="Y545" s="42">
        <v>96244</v>
      </c>
      <c r="AA545" s="42">
        <v>0</v>
      </c>
      <c r="AC545" s="42">
        <v>0</v>
      </c>
      <c r="AE545" s="42">
        <f>63241+137577+1607</f>
        <v>202425</v>
      </c>
      <c r="AG545" s="42">
        <v>2506808</v>
      </c>
      <c r="AI545" s="10">
        <f t="shared" si="78"/>
        <v>2805477</v>
      </c>
      <c r="AK545" s="42">
        <f t="shared" si="76"/>
        <v>0</v>
      </c>
    </row>
    <row r="546" spans="1:37">
      <c r="A546" s="9" t="s">
        <v>772</v>
      </c>
      <c r="B546" s="9"/>
      <c r="C546" s="9" t="s">
        <v>48</v>
      </c>
      <c r="D546" s="9"/>
      <c r="E546" s="23">
        <v>45617</v>
      </c>
      <c r="G546" s="42">
        <v>1429336</v>
      </c>
      <c r="I546" s="42">
        <v>0</v>
      </c>
      <c r="K546" s="2">
        <f t="shared" si="79"/>
        <v>11604888</v>
      </c>
      <c r="M546" s="42">
        <v>13034224</v>
      </c>
      <c r="O546" s="42">
        <v>0</v>
      </c>
      <c r="Q546" s="2">
        <f t="shared" si="77"/>
        <v>2200566</v>
      </c>
      <c r="S546" s="42">
        <v>0</v>
      </c>
      <c r="U546" s="42">
        <v>2200566</v>
      </c>
      <c r="W546" s="42">
        <v>9734238</v>
      </c>
      <c r="Y546" s="42">
        <v>58618</v>
      </c>
      <c r="AA546" s="42">
        <v>0</v>
      </c>
      <c r="AC546" s="42">
        <v>11000</v>
      </c>
      <c r="AE546" s="42">
        <v>224484</v>
      </c>
      <c r="AG546" s="42">
        <v>805318</v>
      </c>
      <c r="AI546" s="10">
        <f t="shared" si="78"/>
        <v>1099420</v>
      </c>
      <c r="AK546" s="42">
        <f t="shared" si="76"/>
        <v>0</v>
      </c>
    </row>
    <row r="547" spans="1:37">
      <c r="A547" s="9" t="s">
        <v>392</v>
      </c>
      <c r="B547" s="9"/>
      <c r="C547" s="9" t="s">
        <v>114</v>
      </c>
      <c r="D547" s="9"/>
      <c r="E547" s="23">
        <v>44909</v>
      </c>
      <c r="G547" s="42">
        <v>20235889</v>
      </c>
      <c r="I547" s="42">
        <v>0</v>
      </c>
      <c r="K547" s="2">
        <f t="shared" si="79"/>
        <v>96734461</v>
      </c>
      <c r="M547" s="42">
        <v>116970350</v>
      </c>
      <c r="O547" s="42">
        <v>0</v>
      </c>
      <c r="Q547" s="2">
        <f t="shared" si="77"/>
        <v>28379202</v>
      </c>
      <c r="S547" s="42">
        <v>0</v>
      </c>
      <c r="U547" s="42">
        <v>28379202</v>
      </c>
      <c r="W547" s="42">
        <v>88466691</v>
      </c>
      <c r="Y547" s="42">
        <v>64409</v>
      </c>
      <c r="AA547" s="42">
        <v>0</v>
      </c>
      <c r="AC547" s="42">
        <v>0</v>
      </c>
      <c r="AE547" s="42">
        <v>60048</v>
      </c>
      <c r="AG547" s="42">
        <v>0</v>
      </c>
      <c r="AI547" s="10">
        <f t="shared" si="78"/>
        <v>124457</v>
      </c>
      <c r="AK547" s="42">
        <f t="shared" si="76"/>
        <v>0</v>
      </c>
    </row>
    <row r="548" spans="1:37" hidden="1">
      <c r="A548" s="9" t="s">
        <v>882</v>
      </c>
      <c r="B548" s="9"/>
      <c r="C548" s="9" t="s">
        <v>114</v>
      </c>
      <c r="D548" s="9"/>
      <c r="E548" s="23"/>
      <c r="G548" s="42">
        <v>0</v>
      </c>
      <c r="I548" s="42">
        <v>0</v>
      </c>
      <c r="K548" s="2">
        <f t="shared" si="79"/>
        <v>0</v>
      </c>
      <c r="M548" s="42">
        <v>0</v>
      </c>
      <c r="O548" s="42">
        <v>0</v>
      </c>
      <c r="Q548" s="2">
        <f t="shared" si="77"/>
        <v>0</v>
      </c>
      <c r="S548" s="42">
        <v>0</v>
      </c>
      <c r="U548" s="42">
        <v>0</v>
      </c>
      <c r="W548" s="42">
        <v>0</v>
      </c>
      <c r="Y548" s="42">
        <v>0</v>
      </c>
      <c r="AA548" s="42">
        <v>0</v>
      </c>
      <c r="AC548" s="42">
        <v>0</v>
      </c>
      <c r="AE548" s="42">
        <v>0</v>
      </c>
      <c r="AG548" s="42">
        <v>0</v>
      </c>
      <c r="AI548" s="10">
        <f t="shared" si="78"/>
        <v>0</v>
      </c>
      <c r="AK548" s="42">
        <f t="shared" si="76"/>
        <v>0</v>
      </c>
    </row>
    <row r="549" spans="1:37">
      <c r="A549" s="9" t="s">
        <v>720</v>
      </c>
      <c r="B549" s="9"/>
      <c r="C549" s="9" t="s">
        <v>39</v>
      </c>
      <c r="D549" s="9"/>
      <c r="E549" s="23">
        <v>44917</v>
      </c>
      <c r="G549" s="42">
        <v>966827</v>
      </c>
      <c r="I549" s="42">
        <v>0</v>
      </c>
      <c r="K549" s="2">
        <f t="shared" si="79"/>
        <v>1811331</v>
      </c>
      <c r="M549" s="42">
        <v>2778158</v>
      </c>
      <c r="O549" s="42">
        <v>0</v>
      </c>
      <c r="Q549" s="2">
        <f t="shared" si="77"/>
        <v>767891</v>
      </c>
      <c r="S549" s="42">
        <v>0</v>
      </c>
      <c r="U549" s="42">
        <v>767891</v>
      </c>
      <c r="W549" s="42">
        <v>1598110</v>
      </c>
      <c r="Y549" s="42">
        <v>13619</v>
      </c>
      <c r="AA549" s="42">
        <v>0</v>
      </c>
      <c r="AC549" s="42">
        <v>0</v>
      </c>
      <c r="AE549" s="42">
        <v>124754</v>
      </c>
      <c r="AG549" s="42">
        <v>273784</v>
      </c>
      <c r="AI549" s="10">
        <f t="shared" si="78"/>
        <v>412157</v>
      </c>
      <c r="AK549" s="42">
        <f t="shared" si="76"/>
        <v>0</v>
      </c>
    </row>
    <row r="550" spans="1:37">
      <c r="A550" s="9" t="s">
        <v>228</v>
      </c>
      <c r="B550" s="9"/>
      <c r="C550" s="9" t="s">
        <v>227</v>
      </c>
      <c r="D550" s="9"/>
      <c r="E550" s="23">
        <v>46201</v>
      </c>
      <c r="G550" s="42">
        <v>476343</v>
      </c>
      <c r="I550" s="42">
        <v>2500</v>
      </c>
      <c r="K550" s="2">
        <f>+M550-I550-G550</f>
        <v>3135377</v>
      </c>
      <c r="M550" s="42">
        <v>3614220</v>
      </c>
      <c r="O550" s="42">
        <v>0</v>
      </c>
      <c r="Q550" s="2">
        <f t="shared" si="77"/>
        <v>1118873</v>
      </c>
      <c r="S550" s="42">
        <v>0</v>
      </c>
      <c r="U550" s="42">
        <v>1118873</v>
      </c>
      <c r="W550" s="42">
        <v>2011266</v>
      </c>
      <c r="Y550" s="42">
        <v>57422</v>
      </c>
      <c r="AA550" s="42">
        <v>2500</v>
      </c>
      <c r="AC550" s="42">
        <v>11000</v>
      </c>
      <c r="AE550" s="42">
        <f>1811+36838+236873+1591+877</f>
        <v>277990</v>
      </c>
      <c r="AG550" s="42">
        <v>135169</v>
      </c>
      <c r="AI550" s="10">
        <f t="shared" si="78"/>
        <v>484081</v>
      </c>
      <c r="AK550" s="42">
        <f t="shared" si="76"/>
        <v>0</v>
      </c>
    </row>
    <row r="551" spans="1:37" s="24" customFormat="1">
      <c r="A551" s="51" t="s">
        <v>463</v>
      </c>
      <c r="B551" s="51"/>
      <c r="C551" s="51" t="s">
        <v>57</v>
      </c>
      <c r="D551" s="51"/>
      <c r="E551" s="23">
        <v>91397</v>
      </c>
      <c r="G551" s="42">
        <v>1177439</v>
      </c>
      <c r="H551" s="42"/>
      <c r="I551" s="42">
        <v>79364</v>
      </c>
      <c r="J551" s="42"/>
      <c r="K551" s="2">
        <f t="shared" si="79"/>
        <v>4097182</v>
      </c>
      <c r="L551" s="42"/>
      <c r="M551" s="42">
        <v>5353985</v>
      </c>
      <c r="N551" s="42"/>
      <c r="O551" s="42">
        <v>0</v>
      </c>
      <c r="P551" s="42"/>
      <c r="Q551" s="2">
        <f t="shared" si="77"/>
        <v>1097655</v>
      </c>
      <c r="R551" s="42"/>
      <c r="S551" s="42">
        <v>0</v>
      </c>
      <c r="T551" s="42"/>
      <c r="U551" s="42">
        <v>1097655</v>
      </c>
      <c r="V551" s="42"/>
      <c r="W551" s="42">
        <v>3816787</v>
      </c>
      <c r="X551" s="42"/>
      <c r="Y551" s="42">
        <v>39383</v>
      </c>
      <c r="Z551" s="42"/>
      <c r="AA551" s="42">
        <v>81885</v>
      </c>
      <c r="AB551" s="42"/>
      <c r="AC551" s="42">
        <v>0</v>
      </c>
      <c r="AD551" s="42"/>
      <c r="AE551" s="42">
        <v>186355</v>
      </c>
      <c r="AF551" s="42"/>
      <c r="AG551" s="42">
        <v>131920</v>
      </c>
      <c r="AH551" s="42"/>
      <c r="AI551" s="10">
        <f t="shared" si="78"/>
        <v>439543</v>
      </c>
      <c r="AJ551" s="42"/>
      <c r="AK551" s="42">
        <f t="shared" si="76"/>
        <v>0</v>
      </c>
    </row>
    <row r="552" spans="1:37">
      <c r="A552" s="9" t="s">
        <v>211</v>
      </c>
      <c r="B552" s="9"/>
      <c r="C552" s="9" t="s">
        <v>13</v>
      </c>
      <c r="D552" s="9"/>
      <c r="E552" s="23">
        <v>45922</v>
      </c>
      <c r="G552" s="42">
        <v>2724135</v>
      </c>
      <c r="I552" s="42">
        <v>0</v>
      </c>
      <c r="K552" s="2">
        <f t="shared" si="79"/>
        <v>1014429</v>
      </c>
      <c r="M552" s="42">
        <v>3738564</v>
      </c>
      <c r="O552" s="42">
        <v>0</v>
      </c>
      <c r="Q552" s="2">
        <f t="shared" si="77"/>
        <v>840130</v>
      </c>
      <c r="S552" s="42">
        <v>0</v>
      </c>
      <c r="U552" s="42">
        <f>1687650-847520</f>
        <v>840130</v>
      </c>
      <c r="W552" s="42">
        <v>847520</v>
      </c>
      <c r="Y552" s="42">
        <v>17773</v>
      </c>
      <c r="AA552" s="42">
        <v>0</v>
      </c>
      <c r="AC552" s="42">
        <v>0</v>
      </c>
      <c r="AE552" s="42">
        <v>232156</v>
      </c>
      <c r="AG552" s="42">
        <v>1800985</v>
      </c>
      <c r="AI552" s="10">
        <f t="shared" si="78"/>
        <v>2050914</v>
      </c>
      <c r="AK552" s="42">
        <f t="shared" si="76"/>
        <v>0</v>
      </c>
    </row>
    <row r="553" spans="1:37">
      <c r="A553" s="9" t="s">
        <v>443</v>
      </c>
      <c r="B553" s="9"/>
      <c r="C553" s="9" t="s">
        <v>51</v>
      </c>
      <c r="D553" s="9"/>
      <c r="E553" s="23">
        <v>48876</v>
      </c>
      <c r="G553" s="42">
        <v>3086093</v>
      </c>
      <c r="I553" s="42">
        <v>0</v>
      </c>
      <c r="K553" s="2">
        <f t="shared" si="79"/>
        <v>7976242</v>
      </c>
      <c r="M553" s="42">
        <v>11062335</v>
      </c>
      <c r="O553" s="42">
        <v>0</v>
      </c>
      <c r="Q553" s="2">
        <f t="shared" si="77"/>
        <v>2831200</v>
      </c>
      <c r="S553" s="42">
        <v>0</v>
      </c>
      <c r="U553" s="42">
        <f>8326505-5495305</f>
        <v>2831200</v>
      </c>
      <c r="W553" s="42">
        <v>5495305</v>
      </c>
      <c r="Y553" s="42">
        <v>658409</v>
      </c>
      <c r="AA553" s="42">
        <v>0</v>
      </c>
      <c r="AC553" s="42">
        <v>11000</v>
      </c>
      <c r="AE553" s="42">
        <v>1104877</v>
      </c>
      <c r="AG553" s="42">
        <v>961544</v>
      </c>
      <c r="AI553" s="10">
        <f t="shared" si="78"/>
        <v>2735830</v>
      </c>
      <c r="AK553" s="42">
        <f t="shared" si="76"/>
        <v>0</v>
      </c>
    </row>
    <row r="554" spans="1:37" hidden="1">
      <c r="A554" s="9" t="s">
        <v>685</v>
      </c>
      <c r="B554" s="9"/>
      <c r="C554" s="9" t="s">
        <v>21</v>
      </c>
      <c r="D554" s="9"/>
      <c r="E554" s="23">
        <v>46680</v>
      </c>
      <c r="G554" s="42">
        <v>0</v>
      </c>
      <c r="I554" s="42">
        <v>0</v>
      </c>
      <c r="K554" s="2">
        <f t="shared" si="79"/>
        <v>0</v>
      </c>
      <c r="M554" s="42">
        <v>0</v>
      </c>
      <c r="O554" s="42">
        <v>0</v>
      </c>
      <c r="Q554" s="2">
        <f t="shared" si="77"/>
        <v>0</v>
      </c>
      <c r="S554" s="42">
        <v>0</v>
      </c>
      <c r="U554" s="42">
        <v>0</v>
      </c>
      <c r="W554" s="42">
        <v>0</v>
      </c>
      <c r="Y554" s="42">
        <v>0</v>
      </c>
      <c r="AA554" s="42">
        <v>0</v>
      </c>
      <c r="AC554" s="42">
        <v>0</v>
      </c>
      <c r="AE554" s="42">
        <v>0</v>
      </c>
      <c r="AG554" s="42">
        <v>0</v>
      </c>
      <c r="AI554" s="10">
        <f t="shared" si="78"/>
        <v>0</v>
      </c>
      <c r="AK554" s="42">
        <f t="shared" si="76"/>
        <v>0</v>
      </c>
    </row>
    <row r="555" spans="1:37" hidden="1">
      <c r="A555" s="8" t="s">
        <v>829</v>
      </c>
      <c r="B555" s="9"/>
      <c r="C555" s="9" t="s">
        <v>71</v>
      </c>
      <c r="D555" s="9"/>
      <c r="E555" s="23">
        <v>50591</v>
      </c>
      <c r="G555" s="42">
        <v>0</v>
      </c>
      <c r="I555" s="42">
        <v>0</v>
      </c>
      <c r="K555" s="2">
        <f t="shared" si="79"/>
        <v>0</v>
      </c>
      <c r="M555" s="42">
        <v>0</v>
      </c>
      <c r="O555" s="42">
        <v>0</v>
      </c>
      <c r="Q555" s="2">
        <f t="shared" si="77"/>
        <v>0</v>
      </c>
      <c r="S555" s="42">
        <v>0</v>
      </c>
      <c r="U555" s="42">
        <v>0</v>
      </c>
      <c r="W555" s="42">
        <v>0</v>
      </c>
      <c r="Y555" s="42">
        <v>0</v>
      </c>
      <c r="AA555" s="42">
        <v>0</v>
      </c>
      <c r="AC555" s="42">
        <v>0</v>
      </c>
      <c r="AE555" s="42">
        <v>0</v>
      </c>
      <c r="AG555" s="42">
        <v>0</v>
      </c>
      <c r="AI555" s="10">
        <f t="shared" si="78"/>
        <v>0</v>
      </c>
      <c r="AK555" s="42">
        <f t="shared" si="76"/>
        <v>0</v>
      </c>
    </row>
    <row r="556" spans="1:37">
      <c r="A556" s="9" t="s">
        <v>433</v>
      </c>
      <c r="B556" s="9"/>
      <c r="C556" s="9" t="s">
        <v>50</v>
      </c>
      <c r="D556" s="9"/>
      <c r="E556" s="23">
        <v>48694</v>
      </c>
      <c r="G556" s="42">
        <v>19325900</v>
      </c>
      <c r="I556" s="42">
        <v>81076</v>
      </c>
      <c r="K556" s="2">
        <f t="shared" si="79"/>
        <v>10341339</v>
      </c>
      <c r="M556" s="42">
        <v>29748315</v>
      </c>
      <c r="O556" s="42">
        <v>0</v>
      </c>
      <c r="Q556" s="2">
        <f t="shared" si="77"/>
        <v>1411419</v>
      </c>
      <c r="S556" s="42">
        <v>0</v>
      </c>
      <c r="U556" s="42">
        <f>10911973-9500554</f>
        <v>1411419</v>
      </c>
      <c r="W556" s="42">
        <v>9500554</v>
      </c>
      <c r="Y556" s="42">
        <v>0</v>
      </c>
      <c r="AA556" s="42">
        <v>0</v>
      </c>
      <c r="AC556" s="42">
        <v>0</v>
      </c>
      <c r="AE556" s="42">
        <v>33845</v>
      </c>
      <c r="AG556" s="42">
        <v>18802497</v>
      </c>
      <c r="AI556" s="10">
        <f t="shared" si="78"/>
        <v>18836342</v>
      </c>
      <c r="AK556" s="42">
        <f t="shared" si="76"/>
        <v>0</v>
      </c>
    </row>
    <row r="557" spans="1:37" s="24" customFormat="1">
      <c r="A557" s="51" t="s">
        <v>423</v>
      </c>
      <c r="B557" s="51"/>
      <c r="C557" s="51" t="s">
        <v>48</v>
      </c>
      <c r="D557" s="51"/>
      <c r="E557" s="51">
        <v>44925</v>
      </c>
      <c r="G557" s="24">
        <v>8663056</v>
      </c>
      <c r="I557" s="24">
        <v>0</v>
      </c>
      <c r="K557" s="60">
        <f t="shared" si="79"/>
        <v>19465293</v>
      </c>
      <c r="M557" s="24">
        <v>28128349</v>
      </c>
      <c r="O557" s="24">
        <v>0</v>
      </c>
      <c r="Q557" s="60">
        <f t="shared" si="77"/>
        <v>3765739</v>
      </c>
      <c r="S557" s="24">
        <v>0</v>
      </c>
      <c r="U557" s="24">
        <v>3765739</v>
      </c>
      <c r="W557" s="24">
        <v>14084100</v>
      </c>
      <c r="Y557" s="24">
        <v>159231</v>
      </c>
      <c r="AA557" s="24">
        <v>0</v>
      </c>
      <c r="AC557" s="24">
        <v>0</v>
      </c>
      <c r="AE557" s="24">
        <v>2950571</v>
      </c>
      <c r="AG557" s="24">
        <v>7168708</v>
      </c>
      <c r="AI557" s="61">
        <f t="shared" si="78"/>
        <v>10278510</v>
      </c>
      <c r="AK557" s="24">
        <f t="shared" si="76"/>
        <v>0</v>
      </c>
    </row>
    <row r="558" spans="1:37">
      <c r="A558" s="9" t="s">
        <v>534</v>
      </c>
      <c r="B558" s="9"/>
      <c r="C558" s="9" t="s">
        <v>65</v>
      </c>
      <c r="D558" s="9"/>
      <c r="E558" s="23">
        <v>50302</v>
      </c>
      <c r="G558" s="42">
        <v>1640893</v>
      </c>
      <c r="I558" s="42">
        <v>0</v>
      </c>
      <c r="K558" s="2">
        <f t="shared" si="79"/>
        <v>5707322</v>
      </c>
      <c r="M558" s="42">
        <v>7348215</v>
      </c>
      <c r="O558" s="42">
        <v>0</v>
      </c>
      <c r="Q558" s="2">
        <f t="shared" si="77"/>
        <v>1312847</v>
      </c>
      <c r="S558" s="42">
        <v>0</v>
      </c>
      <c r="U558" s="42">
        <v>1312847</v>
      </c>
      <c r="W558" s="42">
        <v>4802937</v>
      </c>
      <c r="Y558" s="42">
        <f>57581+19106</f>
        <v>76687</v>
      </c>
      <c r="AA558" s="42">
        <v>0</v>
      </c>
      <c r="AC558" s="42">
        <v>0</v>
      </c>
      <c r="AE558" s="42">
        <f>300+6528+693040+18377+56</f>
        <v>718301</v>
      </c>
      <c r="AG558" s="42">
        <v>437443</v>
      </c>
      <c r="AI558" s="10">
        <f t="shared" si="78"/>
        <v>1232431</v>
      </c>
      <c r="AK558" s="42">
        <f t="shared" si="76"/>
        <v>0</v>
      </c>
    </row>
    <row r="559" spans="1:37">
      <c r="A559" s="9" t="s">
        <v>501</v>
      </c>
      <c r="B559" s="9"/>
      <c r="C559" s="9" t="s">
        <v>62</v>
      </c>
      <c r="D559" s="9"/>
      <c r="E559" s="23">
        <v>49957</v>
      </c>
      <c r="G559" s="42">
        <v>3131825</v>
      </c>
      <c r="I559" s="42">
        <v>0</v>
      </c>
      <c r="K559" s="2">
        <f t="shared" si="79"/>
        <v>4997527</v>
      </c>
      <c r="M559" s="42">
        <v>8129352</v>
      </c>
      <c r="O559" s="42">
        <v>0</v>
      </c>
      <c r="Q559" s="2">
        <f t="shared" si="77"/>
        <v>1315444</v>
      </c>
      <c r="S559" s="42">
        <v>0</v>
      </c>
      <c r="U559" s="42">
        <v>1315444</v>
      </c>
      <c r="W559" s="42">
        <v>4843431</v>
      </c>
      <c r="Y559" s="42">
        <v>0</v>
      </c>
      <c r="AA559" s="42">
        <v>0</v>
      </c>
      <c r="AC559" s="42">
        <v>0</v>
      </c>
      <c r="AE559" s="42">
        <v>288655</v>
      </c>
      <c r="AG559" s="42">
        <v>1681822</v>
      </c>
      <c r="AI559" s="10">
        <f t="shared" si="78"/>
        <v>1970477</v>
      </c>
      <c r="AK559" s="42">
        <f t="shared" si="76"/>
        <v>0</v>
      </c>
    </row>
    <row r="560" spans="1:37" hidden="1">
      <c r="A560" s="9" t="s">
        <v>689</v>
      </c>
      <c r="B560" s="9"/>
      <c r="C560" s="9" t="s">
        <v>57</v>
      </c>
      <c r="D560" s="9"/>
      <c r="E560" s="23">
        <v>49296</v>
      </c>
      <c r="G560" s="42">
        <v>0</v>
      </c>
      <c r="I560" s="42">
        <v>0</v>
      </c>
      <c r="K560" s="2">
        <f t="shared" si="79"/>
        <v>0</v>
      </c>
      <c r="M560" s="42">
        <v>0</v>
      </c>
      <c r="O560" s="42">
        <v>0</v>
      </c>
      <c r="Q560" s="2">
        <f t="shared" si="77"/>
        <v>0</v>
      </c>
      <c r="S560" s="42">
        <v>0</v>
      </c>
      <c r="U560" s="42">
        <v>0</v>
      </c>
      <c r="W560" s="42">
        <v>0</v>
      </c>
      <c r="Y560" s="42">
        <v>0</v>
      </c>
      <c r="AA560" s="42">
        <v>0</v>
      </c>
      <c r="AC560" s="42">
        <v>0</v>
      </c>
      <c r="AE560" s="42">
        <v>0</v>
      </c>
      <c r="AG560" s="42">
        <v>0</v>
      </c>
      <c r="AI560" s="10">
        <f t="shared" si="78"/>
        <v>0</v>
      </c>
      <c r="AK560" s="42">
        <f t="shared" si="76"/>
        <v>0</v>
      </c>
    </row>
    <row r="561" spans="1:37">
      <c r="A561" s="9" t="s">
        <v>512</v>
      </c>
      <c r="B561" s="9"/>
      <c r="C561" s="9" t="s">
        <v>63</v>
      </c>
      <c r="D561" s="9"/>
      <c r="E561" s="23">
        <v>50070</v>
      </c>
      <c r="G561" s="42">
        <v>27357246</v>
      </c>
      <c r="I561" s="42">
        <v>0</v>
      </c>
      <c r="K561" s="2">
        <f t="shared" si="79"/>
        <v>26230971</v>
      </c>
      <c r="M561" s="42">
        <v>53588217</v>
      </c>
      <c r="O561" s="42">
        <v>0</v>
      </c>
      <c r="Q561" s="2">
        <f t="shared" si="77"/>
        <v>4741324</v>
      </c>
      <c r="S561" s="42">
        <v>0</v>
      </c>
      <c r="U561" s="42">
        <v>4741324</v>
      </c>
      <c r="W561" s="42">
        <v>24746855</v>
      </c>
      <c r="Y561" s="42">
        <v>0</v>
      </c>
      <c r="AA561" s="42">
        <v>0</v>
      </c>
      <c r="AC561" s="42">
        <v>0</v>
      </c>
      <c r="AE561" s="42">
        <v>7625557</v>
      </c>
      <c r="AG561" s="42">
        <v>16474481</v>
      </c>
      <c r="AI561" s="10">
        <f t="shared" si="78"/>
        <v>24100038</v>
      </c>
      <c r="AK561" s="42">
        <f t="shared" si="76"/>
        <v>0</v>
      </c>
    </row>
    <row r="562" spans="1:37">
      <c r="A562" s="8" t="s">
        <v>907</v>
      </c>
      <c r="B562" s="9"/>
      <c r="C562" s="9" t="s">
        <v>15</v>
      </c>
      <c r="D562" s="9"/>
      <c r="E562" s="23">
        <v>46011</v>
      </c>
      <c r="G562" s="42">
        <v>601992</v>
      </c>
      <c r="I562" s="42">
        <v>11000</v>
      </c>
      <c r="K562" s="2">
        <f t="shared" si="79"/>
        <v>3659311</v>
      </c>
      <c r="M562" s="42">
        <v>4272303</v>
      </c>
      <c r="O562" s="42">
        <v>0</v>
      </c>
      <c r="Q562" s="2">
        <f t="shared" si="77"/>
        <v>1645968</v>
      </c>
      <c r="S562" s="42">
        <v>0</v>
      </c>
      <c r="U562" s="42">
        <v>1645968</v>
      </c>
      <c r="W562" s="42">
        <v>3234690</v>
      </c>
      <c r="Y562" s="42">
        <v>10225</v>
      </c>
      <c r="AA562" s="42">
        <v>11000</v>
      </c>
      <c r="AC562" s="42">
        <v>0</v>
      </c>
      <c r="AE562" s="42">
        <v>0</v>
      </c>
      <c r="AG562" s="42">
        <v>-629580</v>
      </c>
      <c r="AI562" s="10">
        <f t="shared" si="78"/>
        <v>-608355</v>
      </c>
      <c r="AK562" s="42">
        <f t="shared" si="76"/>
        <v>0</v>
      </c>
    </row>
    <row r="563" spans="1:37">
      <c r="A563" s="9" t="s">
        <v>473</v>
      </c>
      <c r="B563" s="9"/>
      <c r="C563" s="9" t="s">
        <v>58</v>
      </c>
      <c r="D563" s="9"/>
      <c r="E563" s="23">
        <v>49536</v>
      </c>
      <c r="G563" s="42">
        <v>12830965</v>
      </c>
      <c r="I563" s="42">
        <v>4006</v>
      </c>
      <c r="K563" s="2">
        <f t="shared" si="79"/>
        <v>3541525</v>
      </c>
      <c r="M563" s="42">
        <v>16376496</v>
      </c>
      <c r="O563" s="42">
        <v>0</v>
      </c>
      <c r="Q563" s="2">
        <f t="shared" si="77"/>
        <v>2171950</v>
      </c>
      <c r="S563" s="42">
        <v>0</v>
      </c>
      <c r="U563" s="42">
        <v>2171950</v>
      </c>
      <c r="W563" s="42">
        <v>2642956</v>
      </c>
      <c r="Y563" s="42">
        <v>17189</v>
      </c>
      <c r="AA563" s="42">
        <v>0</v>
      </c>
      <c r="AC563" s="42">
        <v>0</v>
      </c>
      <c r="AE563" s="42">
        <v>1018698</v>
      </c>
      <c r="AG563" s="42">
        <v>10525703</v>
      </c>
      <c r="AI563" s="10">
        <f t="shared" si="78"/>
        <v>11561590</v>
      </c>
      <c r="AK563" s="42">
        <f t="shared" si="76"/>
        <v>0</v>
      </c>
    </row>
    <row r="564" spans="1:37">
      <c r="A564" s="9" t="s">
        <v>249</v>
      </c>
      <c r="B564" s="9"/>
      <c r="C564" s="9" t="s">
        <v>111</v>
      </c>
      <c r="D564" s="9"/>
      <c r="E564" s="23">
        <v>46458</v>
      </c>
      <c r="G564" s="42">
        <v>4535674</v>
      </c>
      <c r="I564" s="42">
        <v>0</v>
      </c>
      <c r="K564" s="2">
        <f t="shared" si="79"/>
        <v>3127447</v>
      </c>
      <c r="M564" s="42">
        <v>7663121</v>
      </c>
      <c r="O564" s="42">
        <v>0</v>
      </c>
      <c r="Q564" s="2">
        <f t="shared" si="77"/>
        <v>1455305</v>
      </c>
      <c r="S564" s="42">
        <v>0</v>
      </c>
      <c r="U564" s="42">
        <v>1455305</v>
      </c>
      <c r="W564" s="42">
        <v>2555674</v>
      </c>
      <c r="Y564" s="42">
        <v>13293</v>
      </c>
      <c r="AA564" s="42">
        <v>0</v>
      </c>
      <c r="AC564" s="42">
        <v>11000</v>
      </c>
      <c r="AE564" s="42">
        <f>756+19423+247803+320+2296+29867+7243</f>
        <v>307708</v>
      </c>
      <c r="AG564" s="42">
        <v>3320141</v>
      </c>
      <c r="AI564" s="10">
        <f t="shared" si="78"/>
        <v>3652142</v>
      </c>
      <c r="AK564" s="42">
        <f t="shared" si="76"/>
        <v>0</v>
      </c>
    </row>
    <row r="565" spans="1:37">
      <c r="A565" s="9" t="s">
        <v>306</v>
      </c>
      <c r="B565" s="9"/>
      <c r="C565" s="9" t="s">
        <v>27</v>
      </c>
      <c r="D565" s="9"/>
      <c r="E565" s="23">
        <v>44933</v>
      </c>
      <c r="G565" s="42">
        <v>31570470</v>
      </c>
      <c r="I565" s="42">
        <v>0</v>
      </c>
      <c r="K565" s="2">
        <f t="shared" si="79"/>
        <v>62644829</v>
      </c>
      <c r="M565" s="42">
        <v>94215299</v>
      </c>
      <c r="O565" s="42">
        <v>0</v>
      </c>
      <c r="Q565" s="2">
        <f t="shared" si="77"/>
        <v>9711904</v>
      </c>
      <c r="S565" s="42">
        <v>0</v>
      </c>
      <c r="U565" s="42">
        <v>9711904</v>
      </c>
      <c r="W565" s="42">
        <v>36389444</v>
      </c>
      <c r="Y565" s="42">
        <v>94966</v>
      </c>
      <c r="AA565" s="42">
        <v>0</v>
      </c>
      <c r="AC565" s="42">
        <v>344555</v>
      </c>
      <c r="AE565" s="42">
        <v>742771</v>
      </c>
      <c r="AG565" s="42">
        <v>46931659</v>
      </c>
      <c r="AI565" s="10">
        <f t="shared" si="78"/>
        <v>48113951</v>
      </c>
      <c r="AK565" s="42">
        <f t="shared" si="76"/>
        <v>0</v>
      </c>
    </row>
    <row r="566" spans="1:37" hidden="1">
      <c r="A566" s="9" t="s">
        <v>773</v>
      </c>
      <c r="B566" s="9"/>
      <c r="C566" s="9" t="s">
        <v>553</v>
      </c>
      <c r="D566" s="9"/>
      <c r="E566" s="23">
        <v>45625</v>
      </c>
      <c r="G566" s="42">
        <v>0</v>
      </c>
      <c r="I566" s="42">
        <v>0</v>
      </c>
      <c r="K566" s="2">
        <f t="shared" si="79"/>
        <v>0</v>
      </c>
      <c r="M566" s="42">
        <v>0</v>
      </c>
      <c r="O566" s="42">
        <v>0</v>
      </c>
      <c r="Q566" s="2">
        <f t="shared" si="77"/>
        <v>0</v>
      </c>
      <c r="S566" s="42">
        <v>0</v>
      </c>
      <c r="U566" s="42">
        <v>0</v>
      </c>
      <c r="W566" s="42">
        <v>0</v>
      </c>
      <c r="Y566" s="42">
        <v>0</v>
      </c>
      <c r="AA566" s="42">
        <v>0</v>
      </c>
      <c r="AC566" s="42">
        <v>0</v>
      </c>
      <c r="AE566" s="42">
        <v>0</v>
      </c>
      <c r="AG566" s="42">
        <v>0</v>
      </c>
      <c r="AI566" s="10">
        <f t="shared" si="78"/>
        <v>0</v>
      </c>
      <c r="AK566" s="42">
        <f t="shared" si="76"/>
        <v>0</v>
      </c>
    </row>
    <row r="567" spans="1:37" hidden="1">
      <c r="A567" s="9" t="s">
        <v>690</v>
      </c>
      <c r="B567" s="9"/>
      <c r="C567" s="9" t="s">
        <v>337</v>
      </c>
      <c r="D567" s="9"/>
      <c r="E567" s="23">
        <v>47522</v>
      </c>
      <c r="G567" s="42">
        <v>0</v>
      </c>
      <c r="I567" s="42">
        <v>0</v>
      </c>
      <c r="K567" s="2">
        <f t="shared" si="79"/>
        <v>0</v>
      </c>
      <c r="M567" s="42">
        <v>0</v>
      </c>
      <c r="O567" s="42">
        <v>0</v>
      </c>
      <c r="Q567" s="2">
        <f t="shared" si="77"/>
        <v>0</v>
      </c>
      <c r="S567" s="42">
        <v>0</v>
      </c>
      <c r="U567" s="42">
        <v>0</v>
      </c>
      <c r="W567" s="42">
        <v>0</v>
      </c>
      <c r="Y567" s="42">
        <v>0</v>
      </c>
      <c r="AA567" s="42">
        <v>0</v>
      </c>
      <c r="AC567" s="42">
        <v>0</v>
      </c>
      <c r="AE567" s="42">
        <v>0</v>
      </c>
      <c r="AG567" s="42">
        <v>0</v>
      </c>
      <c r="AI567" s="10">
        <f t="shared" si="78"/>
        <v>0</v>
      </c>
      <c r="AK567" s="42">
        <f t="shared" si="76"/>
        <v>0</v>
      </c>
    </row>
    <row r="568" spans="1:37" hidden="1">
      <c r="A568" s="9" t="s">
        <v>883</v>
      </c>
      <c r="B568" s="9"/>
      <c r="C568" s="9" t="s">
        <v>227</v>
      </c>
      <c r="D568" s="9"/>
      <c r="E568" s="23">
        <v>44941</v>
      </c>
      <c r="G568" s="42">
        <v>0</v>
      </c>
      <c r="I568" s="42">
        <v>0</v>
      </c>
      <c r="K568" s="2">
        <f t="shared" si="79"/>
        <v>0</v>
      </c>
      <c r="M568" s="42">
        <v>0</v>
      </c>
      <c r="O568" s="42">
        <v>0</v>
      </c>
      <c r="Q568" s="2">
        <f t="shared" si="77"/>
        <v>0</v>
      </c>
      <c r="S568" s="42">
        <v>0</v>
      </c>
      <c r="U568" s="42">
        <v>0</v>
      </c>
      <c r="W568" s="42">
        <v>0</v>
      </c>
      <c r="Y568" s="42">
        <v>0</v>
      </c>
      <c r="AA568" s="42">
        <v>0</v>
      </c>
      <c r="AC568" s="42">
        <v>0</v>
      </c>
      <c r="AE568" s="42">
        <v>0</v>
      </c>
      <c r="AG568" s="42">
        <v>0</v>
      </c>
      <c r="AI568" s="10">
        <f t="shared" si="78"/>
        <v>0</v>
      </c>
      <c r="AK568" s="42">
        <f t="shared" si="76"/>
        <v>0</v>
      </c>
    </row>
    <row r="569" spans="1:37" hidden="1">
      <c r="A569" s="9" t="s">
        <v>691</v>
      </c>
      <c r="B569" s="9"/>
      <c r="C569" s="9" t="s">
        <v>59</v>
      </c>
      <c r="D569" s="9"/>
      <c r="E569" s="23">
        <v>49643</v>
      </c>
      <c r="G569" s="42">
        <v>0</v>
      </c>
      <c r="I569" s="42">
        <v>0</v>
      </c>
      <c r="K569" s="2">
        <f t="shared" si="79"/>
        <v>0</v>
      </c>
      <c r="M569" s="42">
        <v>0</v>
      </c>
      <c r="O569" s="42">
        <v>0</v>
      </c>
      <c r="Q569" s="2">
        <f t="shared" si="77"/>
        <v>0</v>
      </c>
      <c r="S569" s="42">
        <v>0</v>
      </c>
      <c r="U569" s="42">
        <v>0</v>
      </c>
      <c r="W569" s="42">
        <v>0</v>
      </c>
      <c r="Y569" s="42">
        <v>0</v>
      </c>
      <c r="AA569" s="42">
        <v>0</v>
      </c>
      <c r="AC569" s="42">
        <v>0</v>
      </c>
      <c r="AE569" s="42">
        <v>0</v>
      </c>
      <c r="AG569" s="42">
        <v>0</v>
      </c>
      <c r="AI569" s="10">
        <f t="shared" si="78"/>
        <v>0</v>
      </c>
      <c r="AK569" s="42">
        <f t="shared" si="76"/>
        <v>0</v>
      </c>
    </row>
    <row r="570" spans="1:37">
      <c r="A570" s="9" t="s">
        <v>434</v>
      </c>
      <c r="B570" s="9"/>
      <c r="C570" s="9" t="s">
        <v>50</v>
      </c>
      <c r="D570" s="9"/>
      <c r="E570" s="23">
        <v>48744</v>
      </c>
      <c r="G570" s="42">
        <v>563804</v>
      </c>
      <c r="I570" s="42">
        <v>0</v>
      </c>
      <c r="K570" s="2">
        <f t="shared" si="79"/>
        <v>6369936</v>
      </c>
      <c r="M570" s="42">
        <v>6933740</v>
      </c>
      <c r="O570" s="42">
        <v>0</v>
      </c>
      <c r="Q570" s="2">
        <f t="shared" si="77"/>
        <v>2466263</v>
      </c>
      <c r="S570" s="42">
        <v>0</v>
      </c>
      <c r="U570" s="42">
        <v>2466263</v>
      </c>
      <c r="W570" s="42">
        <v>4980772</v>
      </c>
      <c r="Y570" s="42">
        <f>17306+5940</f>
        <v>23246</v>
      </c>
      <c r="AA570" s="42">
        <v>0</v>
      </c>
      <c r="AC570" s="42">
        <v>48375</v>
      </c>
      <c r="AE570" s="42">
        <f>2372+42081+219</f>
        <v>44672</v>
      </c>
      <c r="AG570" s="42">
        <v>-629588</v>
      </c>
      <c r="AI570" s="10">
        <f t="shared" si="78"/>
        <v>-513295</v>
      </c>
      <c r="AK570" s="42">
        <f t="shared" si="76"/>
        <v>0</v>
      </c>
    </row>
    <row r="571" spans="1:37">
      <c r="A571" s="9" t="s">
        <v>336</v>
      </c>
      <c r="B571" s="9"/>
      <c r="C571" s="9" t="s">
        <v>33</v>
      </c>
      <c r="D571" s="9"/>
      <c r="E571" s="23">
        <v>47464</v>
      </c>
      <c r="G571" s="42">
        <v>7474358</v>
      </c>
      <c r="I571" s="42">
        <v>0</v>
      </c>
      <c r="K571" s="2">
        <f t="shared" si="79"/>
        <v>6877090</v>
      </c>
      <c r="M571" s="42">
        <v>14351448</v>
      </c>
      <c r="O571" s="42">
        <v>0</v>
      </c>
      <c r="Q571" s="2">
        <f t="shared" si="77"/>
        <v>1041138</v>
      </c>
      <c r="S571" s="42">
        <v>0</v>
      </c>
      <c r="U571" s="42">
        <v>1041138</v>
      </c>
      <c r="W571" s="42">
        <v>5964846</v>
      </c>
      <c r="Y571" s="42">
        <v>3764</v>
      </c>
      <c r="AA571" s="42">
        <v>55755</v>
      </c>
      <c r="AC571" s="42">
        <v>147146</v>
      </c>
      <c r="AE571" s="42">
        <v>489830</v>
      </c>
      <c r="AG571" s="42">
        <v>6648969</v>
      </c>
      <c r="AI571" s="10">
        <f t="shared" si="78"/>
        <v>7345464</v>
      </c>
      <c r="AK571" s="42">
        <f t="shared" si="76"/>
        <v>0</v>
      </c>
    </row>
    <row r="572" spans="1:37" hidden="1">
      <c r="A572" s="9" t="s">
        <v>824</v>
      </c>
      <c r="B572" s="9"/>
      <c r="C572" s="9" t="s">
        <v>67</v>
      </c>
      <c r="D572" s="9"/>
      <c r="E572" s="23">
        <v>44966</v>
      </c>
      <c r="G572" s="42">
        <v>0</v>
      </c>
      <c r="I572" s="42">
        <v>0</v>
      </c>
      <c r="K572" s="2">
        <f t="shared" si="79"/>
        <v>0</v>
      </c>
      <c r="M572" s="42">
        <v>0</v>
      </c>
      <c r="O572" s="42">
        <v>0</v>
      </c>
      <c r="Q572" s="2">
        <f t="shared" si="77"/>
        <v>0</v>
      </c>
      <c r="S572" s="42">
        <v>0</v>
      </c>
      <c r="U572" s="42">
        <v>0</v>
      </c>
      <c r="W572" s="42">
        <v>0</v>
      </c>
      <c r="Y572" s="42">
        <v>0</v>
      </c>
      <c r="AA572" s="42">
        <v>0</v>
      </c>
      <c r="AC572" s="42">
        <v>0</v>
      </c>
      <c r="AE572" s="42">
        <v>0</v>
      </c>
      <c r="AG572" s="42">
        <v>0</v>
      </c>
      <c r="AI572" s="10">
        <f t="shared" si="78"/>
        <v>0</v>
      </c>
      <c r="AK572" s="42">
        <f t="shared" si="76"/>
        <v>0</v>
      </c>
    </row>
    <row r="573" spans="1:37">
      <c r="A573" s="9" t="s">
        <v>435</v>
      </c>
      <c r="B573" s="9"/>
      <c r="C573" s="9" t="s">
        <v>50</v>
      </c>
      <c r="D573" s="9"/>
      <c r="E573" s="23">
        <v>44958</v>
      </c>
      <c r="G573" s="42">
        <v>7916898</v>
      </c>
      <c r="I573" s="42">
        <v>0</v>
      </c>
      <c r="K573" s="2">
        <f t="shared" si="79"/>
        <v>17808377</v>
      </c>
      <c r="M573" s="42">
        <v>25725275</v>
      </c>
      <c r="O573" s="42">
        <v>0</v>
      </c>
      <c r="Q573" s="2">
        <f t="shared" si="77"/>
        <v>7888092</v>
      </c>
      <c r="S573" s="42">
        <v>0</v>
      </c>
      <c r="U573" s="42">
        <v>7888092</v>
      </c>
      <c r="W573" s="42">
        <v>16805854</v>
      </c>
      <c r="Y573" s="42">
        <v>11692</v>
      </c>
      <c r="AA573" s="42">
        <v>0</v>
      </c>
      <c r="AC573" s="42">
        <v>0</v>
      </c>
      <c r="AE573" s="42">
        <f>524302+320082+175253</f>
        <v>1019637</v>
      </c>
      <c r="AG573" s="42">
        <v>0</v>
      </c>
      <c r="AI573" s="10">
        <f t="shared" si="78"/>
        <v>1031329</v>
      </c>
      <c r="AK573" s="42">
        <f t="shared" si="76"/>
        <v>0</v>
      </c>
    </row>
    <row r="574" spans="1:37" hidden="1">
      <c r="A574" s="9" t="s">
        <v>692</v>
      </c>
      <c r="B574" s="9"/>
      <c r="C574" s="9" t="s">
        <v>33</v>
      </c>
      <c r="D574" s="9"/>
      <c r="E574" s="23">
        <v>47472</v>
      </c>
      <c r="G574" s="42">
        <v>0</v>
      </c>
      <c r="I574" s="42">
        <v>0</v>
      </c>
      <c r="K574" s="2">
        <f t="shared" si="79"/>
        <v>0</v>
      </c>
      <c r="M574" s="42">
        <v>0</v>
      </c>
      <c r="O574" s="42">
        <v>0</v>
      </c>
      <c r="Q574" s="2">
        <f t="shared" si="77"/>
        <v>0</v>
      </c>
      <c r="S574" s="42">
        <v>0</v>
      </c>
      <c r="U574" s="42">
        <v>0</v>
      </c>
      <c r="W574" s="42">
        <v>0</v>
      </c>
      <c r="Y574" s="42">
        <v>0</v>
      </c>
      <c r="AA574" s="42">
        <v>0</v>
      </c>
      <c r="AC574" s="42">
        <v>0</v>
      </c>
      <c r="AE574" s="42">
        <v>0</v>
      </c>
      <c r="AG574" s="42">
        <v>0</v>
      </c>
      <c r="AI574" s="10">
        <f t="shared" si="78"/>
        <v>0</v>
      </c>
      <c r="AK574" s="42">
        <f t="shared" si="76"/>
        <v>0</v>
      </c>
    </row>
    <row r="575" spans="1:37">
      <c r="A575" s="9" t="s">
        <v>289</v>
      </c>
      <c r="B575" s="9"/>
      <c r="C575" s="9" t="s">
        <v>24</v>
      </c>
      <c r="D575" s="9"/>
      <c r="E575" s="23">
        <v>46821</v>
      </c>
      <c r="G575" s="42">
        <v>14513679</v>
      </c>
      <c r="I575" s="42">
        <v>0</v>
      </c>
      <c r="K575" s="2">
        <f t="shared" si="79"/>
        <v>16718880</v>
      </c>
      <c r="M575" s="42">
        <v>31232559</v>
      </c>
      <c r="O575" s="42">
        <v>0</v>
      </c>
      <c r="Q575" s="2">
        <f t="shared" si="77"/>
        <v>2389316</v>
      </c>
      <c r="S575" s="42">
        <v>0</v>
      </c>
      <c r="U575" s="42">
        <v>2389316</v>
      </c>
      <c r="W575" s="42">
        <v>13477824</v>
      </c>
      <c r="Y575" s="42">
        <v>57758</v>
      </c>
      <c r="AA575" s="42">
        <v>0</v>
      </c>
      <c r="AC575" s="42">
        <v>11700</v>
      </c>
      <c r="AE575" s="42">
        <v>178774</v>
      </c>
      <c r="AG575" s="42">
        <v>15117187</v>
      </c>
      <c r="AI575" s="10">
        <f t="shared" si="78"/>
        <v>15365419</v>
      </c>
      <c r="AK575" s="42">
        <f t="shared" si="76"/>
        <v>0</v>
      </c>
    </row>
    <row r="576" spans="1:37" hidden="1">
      <c r="A576" s="9" t="s">
        <v>693</v>
      </c>
      <c r="B576" s="9"/>
      <c r="C576" s="9" t="s">
        <v>21</v>
      </c>
      <c r="D576" s="9"/>
      <c r="E576" s="23">
        <v>45633</v>
      </c>
      <c r="G576" s="42">
        <v>0</v>
      </c>
      <c r="I576" s="42">
        <v>0</v>
      </c>
      <c r="K576" s="2">
        <f t="shared" si="79"/>
        <v>0</v>
      </c>
      <c r="M576" s="42">
        <v>0</v>
      </c>
      <c r="O576" s="42">
        <v>0</v>
      </c>
      <c r="Q576" s="2">
        <f t="shared" si="77"/>
        <v>0</v>
      </c>
      <c r="S576" s="42">
        <v>0</v>
      </c>
      <c r="U576" s="42">
        <v>0</v>
      </c>
      <c r="W576" s="42">
        <v>0</v>
      </c>
      <c r="Y576" s="42">
        <v>0</v>
      </c>
      <c r="AA576" s="42">
        <v>0</v>
      </c>
      <c r="AC576" s="42">
        <v>0</v>
      </c>
      <c r="AE576" s="42">
        <v>0</v>
      </c>
      <c r="AG576" s="42">
        <v>0</v>
      </c>
      <c r="AI576" s="10">
        <f t="shared" si="78"/>
        <v>0</v>
      </c>
      <c r="AK576" s="42">
        <f t="shared" si="76"/>
        <v>0</v>
      </c>
    </row>
    <row r="577" spans="1:37">
      <c r="A577" s="9" t="s">
        <v>538</v>
      </c>
      <c r="B577" s="9"/>
      <c r="C577" s="9" t="s">
        <v>68</v>
      </c>
      <c r="D577" s="9"/>
      <c r="E577" s="23">
        <v>50393</v>
      </c>
      <c r="G577" s="42">
        <v>14757531</v>
      </c>
      <c r="I577" s="42">
        <v>144895</v>
      </c>
      <c r="K577" s="2">
        <f t="shared" si="79"/>
        <v>5997862</v>
      </c>
      <c r="M577" s="42">
        <v>20900288</v>
      </c>
      <c r="O577" s="42">
        <v>0</v>
      </c>
      <c r="Q577" s="2">
        <f t="shared" si="77"/>
        <v>2984283</v>
      </c>
      <c r="S577" s="42">
        <v>0</v>
      </c>
      <c r="U577" s="42">
        <v>2984283</v>
      </c>
      <c r="W577" s="42">
        <v>5144003</v>
      </c>
      <c r="Y577" s="42">
        <v>43954</v>
      </c>
      <c r="AA577" s="42">
        <v>142917</v>
      </c>
      <c r="AC577" s="42">
        <v>109499</v>
      </c>
      <c r="AE577" s="42">
        <v>231280</v>
      </c>
      <c r="AG577" s="42">
        <v>12244352</v>
      </c>
      <c r="AI577" s="10">
        <f t="shared" si="78"/>
        <v>12772002</v>
      </c>
      <c r="AK577" s="42">
        <f t="shared" si="76"/>
        <v>0</v>
      </c>
    </row>
    <row r="578" spans="1:37">
      <c r="A578" s="9" t="s">
        <v>416</v>
      </c>
      <c r="B578" s="9"/>
      <c r="C578" s="9" t="s">
        <v>47</v>
      </c>
      <c r="D578" s="9"/>
      <c r="E578" s="23">
        <v>44974</v>
      </c>
      <c r="G578" s="42">
        <f>7634327+224132</f>
        <v>7858459</v>
      </c>
      <c r="I578" s="42">
        <v>0</v>
      </c>
      <c r="K578" s="2">
        <f t="shared" si="79"/>
        <v>18248879</v>
      </c>
      <c r="M578" s="42">
        <v>26107338</v>
      </c>
      <c r="O578" s="42">
        <v>0</v>
      </c>
      <c r="Q578" s="2">
        <f t="shared" si="77"/>
        <v>4864109</v>
      </c>
      <c r="S578" s="42">
        <v>0</v>
      </c>
      <c r="U578" s="42">
        <v>4864109</v>
      </c>
      <c r="W578" s="42">
        <v>14580091</v>
      </c>
      <c r="Y578" s="42">
        <v>137472</v>
      </c>
      <c r="AA578" s="42">
        <v>0</v>
      </c>
      <c r="AC578" s="42">
        <f>23519+7389</f>
        <v>30908</v>
      </c>
      <c r="AE578" s="42">
        <f>35647+826327+1981+93535+13730+933016+3302+40896+156724</f>
        <v>2105158</v>
      </c>
      <c r="AG578" s="42">
        <v>4389600</v>
      </c>
      <c r="AI578" s="10">
        <f t="shared" si="78"/>
        <v>6663138</v>
      </c>
      <c r="AK578" s="42">
        <f t="shared" si="76"/>
        <v>0</v>
      </c>
    </row>
    <row r="579" spans="1:37" hidden="1">
      <c r="A579" s="9" t="s">
        <v>862</v>
      </c>
      <c r="B579" s="9"/>
      <c r="C579" s="9" t="s">
        <v>25</v>
      </c>
      <c r="D579" s="9"/>
      <c r="E579" s="23">
        <v>46904</v>
      </c>
      <c r="G579" s="42">
        <v>0</v>
      </c>
      <c r="I579" s="42">
        <v>0</v>
      </c>
      <c r="K579" s="2">
        <f t="shared" ref="K579:K581" si="80">+M579-I579-G579</f>
        <v>0</v>
      </c>
      <c r="M579" s="42">
        <v>0</v>
      </c>
      <c r="O579" s="42">
        <v>0</v>
      </c>
      <c r="Q579" s="2">
        <f t="shared" ref="Q579:Q581" si="81">+U579-S579</f>
        <v>0</v>
      </c>
      <c r="S579" s="42">
        <v>0</v>
      </c>
      <c r="U579" s="42">
        <v>0</v>
      </c>
      <c r="W579" s="42">
        <v>0</v>
      </c>
      <c r="Y579" s="42">
        <v>0</v>
      </c>
      <c r="AA579" s="42">
        <v>0</v>
      </c>
      <c r="AC579" s="42">
        <v>0</v>
      </c>
      <c r="AE579" s="42">
        <v>0</v>
      </c>
      <c r="AG579" s="42">
        <v>0</v>
      </c>
      <c r="AI579" s="10">
        <f t="shared" ref="AI579:AI581" si="82">+AC579+AA579++Y579+AE579+AG579</f>
        <v>0</v>
      </c>
      <c r="AK579" s="42">
        <f t="shared" si="76"/>
        <v>0</v>
      </c>
    </row>
    <row r="580" spans="1:37" hidden="1">
      <c r="A580" s="9" t="s">
        <v>863</v>
      </c>
      <c r="B580" s="9"/>
      <c r="C580" s="9" t="s">
        <v>14</v>
      </c>
      <c r="D580" s="9"/>
      <c r="E580" s="23">
        <v>44982</v>
      </c>
      <c r="G580" s="42">
        <v>0</v>
      </c>
      <c r="I580" s="42">
        <v>0</v>
      </c>
      <c r="K580" s="2">
        <f t="shared" si="80"/>
        <v>0</v>
      </c>
      <c r="M580" s="42">
        <v>0</v>
      </c>
      <c r="O580" s="42">
        <v>0</v>
      </c>
      <c r="Q580" s="2">
        <f t="shared" si="81"/>
        <v>0</v>
      </c>
      <c r="S580" s="42">
        <v>0</v>
      </c>
      <c r="U580" s="42">
        <v>0</v>
      </c>
      <c r="W580" s="42">
        <v>0</v>
      </c>
      <c r="Y580" s="42">
        <v>0</v>
      </c>
      <c r="AA580" s="42">
        <v>0</v>
      </c>
      <c r="AC580" s="42">
        <v>0</v>
      </c>
      <c r="AE580" s="42">
        <v>0</v>
      </c>
      <c r="AG580" s="42">
        <v>0</v>
      </c>
      <c r="AI580" s="10">
        <f t="shared" si="82"/>
        <v>0</v>
      </c>
      <c r="AK580" s="42">
        <f t="shared" si="76"/>
        <v>0</v>
      </c>
    </row>
    <row r="581" spans="1:37" hidden="1">
      <c r="A581" s="8" t="s">
        <v>864</v>
      </c>
      <c r="B581" s="8"/>
      <c r="C581" s="8" t="s">
        <v>63</v>
      </c>
      <c r="D581" s="9"/>
      <c r="E581" s="23"/>
      <c r="G581" s="42">
        <v>0</v>
      </c>
      <c r="I581" s="42">
        <v>0</v>
      </c>
      <c r="K581" s="2">
        <f t="shared" si="80"/>
        <v>0</v>
      </c>
      <c r="M581" s="42">
        <v>0</v>
      </c>
      <c r="O581" s="42">
        <v>0</v>
      </c>
      <c r="Q581" s="2">
        <f t="shared" si="81"/>
        <v>0</v>
      </c>
      <c r="S581" s="42">
        <v>0</v>
      </c>
      <c r="U581" s="42">
        <v>0</v>
      </c>
      <c r="W581" s="42">
        <v>0</v>
      </c>
      <c r="Y581" s="42">
        <v>0</v>
      </c>
      <c r="AA581" s="42">
        <v>0</v>
      </c>
      <c r="AC581" s="42">
        <v>0</v>
      </c>
      <c r="AE581" s="42">
        <v>0</v>
      </c>
      <c r="AG581" s="42">
        <v>0</v>
      </c>
      <c r="AI581" s="10">
        <f t="shared" si="82"/>
        <v>0</v>
      </c>
      <c r="AK581" s="42">
        <f t="shared" si="76"/>
        <v>0</v>
      </c>
    </row>
    <row r="582" spans="1:37">
      <c r="A582" s="9" t="s">
        <v>527</v>
      </c>
      <c r="B582" s="9"/>
      <c r="C582" s="9" t="s">
        <v>64</v>
      </c>
      <c r="D582" s="9"/>
      <c r="E582" s="23">
        <v>44990</v>
      </c>
      <c r="G582" s="42">
        <v>14077249</v>
      </c>
      <c r="I582" s="42">
        <v>0</v>
      </c>
      <c r="K582" s="2">
        <f t="shared" si="79"/>
        <v>16017048</v>
      </c>
      <c r="M582" s="42">
        <v>30094297</v>
      </c>
      <c r="O582" s="42">
        <v>0</v>
      </c>
      <c r="Q582" s="2">
        <f t="shared" si="77"/>
        <v>6579168</v>
      </c>
      <c r="S582" s="42">
        <v>0</v>
      </c>
      <c r="U582" s="42">
        <v>6579168</v>
      </c>
      <c r="W582" s="42">
        <v>15642281</v>
      </c>
      <c r="Y582" s="42">
        <v>0</v>
      </c>
      <c r="AA582" s="42">
        <v>0</v>
      </c>
      <c r="AC582" s="42">
        <v>149870</v>
      </c>
      <c r="AE582" s="42">
        <v>4832693</v>
      </c>
      <c r="AG582" s="42">
        <v>2890285</v>
      </c>
      <c r="AI582" s="10">
        <f t="shared" si="78"/>
        <v>7872848</v>
      </c>
      <c r="AK582" s="42">
        <f t="shared" si="76"/>
        <v>0</v>
      </c>
    </row>
    <row r="583" spans="1:37">
      <c r="A583" s="9" t="s">
        <v>545</v>
      </c>
      <c r="B583" s="9"/>
      <c r="C583" s="9" t="s">
        <v>70</v>
      </c>
      <c r="D583" s="9"/>
      <c r="E583" s="23">
        <v>50500</v>
      </c>
      <c r="G583" s="42">
        <v>5425724</v>
      </c>
      <c r="I583" s="42">
        <v>7752</v>
      </c>
      <c r="K583" s="2">
        <f t="shared" si="79"/>
        <v>6686203</v>
      </c>
      <c r="M583" s="42">
        <v>12119679</v>
      </c>
      <c r="O583" s="42">
        <v>0</v>
      </c>
      <c r="Q583" s="2">
        <f t="shared" si="77"/>
        <v>2150537</v>
      </c>
      <c r="S583" s="42">
        <v>0</v>
      </c>
      <c r="U583" s="42">
        <v>2150537</v>
      </c>
      <c r="W583" s="42">
        <v>6087956</v>
      </c>
      <c r="Y583" s="42">
        <v>127672</v>
      </c>
      <c r="AA583" s="42">
        <v>7752</v>
      </c>
      <c r="AC583" s="42">
        <v>410370</v>
      </c>
      <c r="AE583" s="42">
        <v>65261</v>
      </c>
      <c r="AG583" s="42">
        <v>3270131</v>
      </c>
      <c r="AI583" s="10">
        <f t="shared" si="78"/>
        <v>3881186</v>
      </c>
      <c r="AK583" s="42">
        <f t="shared" si="76"/>
        <v>0</v>
      </c>
    </row>
    <row r="584" spans="1:37">
      <c r="A584" s="9" t="s">
        <v>278</v>
      </c>
      <c r="B584" s="9"/>
      <c r="C584" s="9" t="s">
        <v>20</v>
      </c>
      <c r="D584" s="9"/>
      <c r="E584" s="23">
        <v>45005</v>
      </c>
      <c r="G584" s="42">
        <v>14335841</v>
      </c>
      <c r="I584" s="42">
        <v>0</v>
      </c>
      <c r="K584" s="2">
        <f t="shared" si="79"/>
        <v>17725590</v>
      </c>
      <c r="M584" s="42">
        <v>32061431</v>
      </c>
      <c r="O584" s="42">
        <v>0</v>
      </c>
      <c r="Q584" s="2">
        <f t="shared" si="77"/>
        <v>2677261</v>
      </c>
      <c r="S584" s="42">
        <v>0</v>
      </c>
      <c r="U584" s="42">
        <v>2677261</v>
      </c>
      <c r="W584" s="42">
        <v>13941324</v>
      </c>
      <c r="Y584" s="42">
        <v>0</v>
      </c>
      <c r="AA584" s="42">
        <v>13465</v>
      </c>
      <c r="AC584" s="42">
        <v>0</v>
      </c>
      <c r="AE584" s="42">
        <v>14428875</v>
      </c>
      <c r="AG584" s="42">
        <v>1000506</v>
      </c>
      <c r="AI584" s="10">
        <f t="shared" si="78"/>
        <v>15442846</v>
      </c>
      <c r="AK584" s="42">
        <f t="shared" si="76"/>
        <v>0</v>
      </c>
    </row>
    <row r="585" spans="1:37">
      <c r="A585" s="9" t="s">
        <v>296</v>
      </c>
      <c r="B585" s="9"/>
      <c r="C585" s="9" t="s">
        <v>26</v>
      </c>
      <c r="D585" s="9"/>
      <c r="E585" s="23">
        <v>45013</v>
      </c>
      <c r="G585" s="42">
        <f>568601+1905985</f>
        <v>2474586</v>
      </c>
      <c r="I585" s="42">
        <v>3336</v>
      </c>
      <c r="K585" s="2">
        <f t="shared" si="79"/>
        <v>4474306</v>
      </c>
      <c r="M585" s="42">
        <v>6952228</v>
      </c>
      <c r="O585" s="42">
        <v>0</v>
      </c>
      <c r="Q585" s="2">
        <f t="shared" si="77"/>
        <v>1990109</v>
      </c>
      <c r="S585" s="42">
        <v>0</v>
      </c>
      <c r="U585" s="42">
        <v>1990109</v>
      </c>
      <c r="W585" s="42">
        <v>2465425</v>
      </c>
      <c r="Y585" s="42">
        <v>0</v>
      </c>
      <c r="AA585" s="42">
        <v>3336</v>
      </c>
      <c r="AC585" s="42">
        <v>39159</v>
      </c>
      <c r="AE585" s="42">
        <v>147531</v>
      </c>
      <c r="AG585" s="42">
        <v>2306668</v>
      </c>
      <c r="AI585" s="10">
        <f t="shared" si="78"/>
        <v>2496694</v>
      </c>
      <c r="AK585" s="42">
        <f t="shared" si="76"/>
        <v>0</v>
      </c>
    </row>
    <row r="586" spans="1:37">
      <c r="A586" s="9" t="s">
        <v>393</v>
      </c>
      <c r="B586" s="9"/>
      <c r="C586" s="9" t="s">
        <v>114</v>
      </c>
      <c r="D586" s="9"/>
      <c r="E586" s="23">
        <v>48231</v>
      </c>
      <c r="G586" s="42">
        <f>32456464+5528</f>
        <v>32461992</v>
      </c>
      <c r="I586" s="42">
        <v>0</v>
      </c>
      <c r="K586" s="2">
        <f t="shared" si="79"/>
        <v>41839531</v>
      </c>
      <c r="M586" s="42">
        <v>74301523</v>
      </c>
      <c r="O586" s="42">
        <v>0</v>
      </c>
      <c r="Q586" s="2">
        <f t="shared" si="77"/>
        <v>10832693</v>
      </c>
      <c r="S586" s="42">
        <v>0</v>
      </c>
      <c r="U586" s="42">
        <v>10832693</v>
      </c>
      <c r="W586" s="42">
        <v>38968477</v>
      </c>
      <c r="Y586" s="42">
        <f>96619+190049</f>
        <v>286668</v>
      </c>
      <c r="AA586" s="42">
        <v>0</v>
      </c>
      <c r="AC586" s="42">
        <v>55000</v>
      </c>
      <c r="AE586" s="42">
        <f>245740+438966+31655+16830+3974379+169332</f>
        <v>4876902</v>
      </c>
      <c r="AG586" s="42">
        <v>19281783</v>
      </c>
      <c r="AI586" s="10">
        <f t="shared" si="78"/>
        <v>24500353</v>
      </c>
      <c r="AK586" s="42">
        <f t="shared" si="76"/>
        <v>0</v>
      </c>
    </row>
    <row r="587" spans="1:37">
      <c r="A587" s="9" t="s">
        <v>482</v>
      </c>
      <c r="B587" s="9"/>
      <c r="C587" s="9" t="s">
        <v>59</v>
      </c>
      <c r="D587" s="9"/>
      <c r="E587" s="23">
        <v>49650</v>
      </c>
      <c r="G587" s="42">
        <v>3303148</v>
      </c>
      <c r="I587" s="42">
        <v>0</v>
      </c>
      <c r="K587" s="2">
        <f t="shared" si="79"/>
        <v>1966143</v>
      </c>
      <c r="M587" s="42">
        <v>5269291</v>
      </c>
      <c r="O587" s="42">
        <v>0</v>
      </c>
      <c r="Q587" s="2">
        <f t="shared" si="77"/>
        <v>1457338</v>
      </c>
      <c r="S587" s="42">
        <v>0</v>
      </c>
      <c r="U587" s="42">
        <v>1457338</v>
      </c>
      <c r="W587" s="42">
        <v>1711869</v>
      </c>
      <c r="Y587" s="42">
        <v>44245</v>
      </c>
      <c r="AA587" s="42">
        <v>0</v>
      </c>
      <c r="AC587" s="42">
        <v>39498</v>
      </c>
      <c r="AE587" s="42">
        <v>1728347</v>
      </c>
      <c r="AG587" s="42">
        <v>287994</v>
      </c>
      <c r="AI587" s="10">
        <f t="shared" si="78"/>
        <v>2100084</v>
      </c>
      <c r="AK587" s="42">
        <f t="shared" si="76"/>
        <v>0</v>
      </c>
    </row>
    <row r="588" spans="1:37">
      <c r="A588" s="9" t="s">
        <v>462</v>
      </c>
      <c r="B588" s="9"/>
      <c r="C588" s="9" t="s">
        <v>56</v>
      </c>
      <c r="D588" s="9"/>
      <c r="E588" s="23">
        <v>49247</v>
      </c>
      <c r="G588" s="42">
        <v>1530269</v>
      </c>
      <c r="I588" s="42">
        <v>0</v>
      </c>
      <c r="K588" s="2">
        <f t="shared" si="79"/>
        <v>3590712</v>
      </c>
      <c r="M588" s="42">
        <v>5120981</v>
      </c>
      <c r="O588" s="42">
        <v>0</v>
      </c>
      <c r="Q588" s="2">
        <f t="shared" si="77"/>
        <v>972551</v>
      </c>
      <c r="S588" s="42">
        <v>0</v>
      </c>
      <c r="U588" s="42">
        <v>972551</v>
      </c>
      <c r="W588" s="42">
        <v>3278149</v>
      </c>
      <c r="Y588" s="42">
        <v>25618</v>
      </c>
      <c r="AA588" s="42">
        <v>0</v>
      </c>
      <c r="AC588" s="42">
        <v>11000</v>
      </c>
      <c r="AE588" s="42">
        <f>175765+190899+642+21003</f>
        <v>388309</v>
      </c>
      <c r="AG588" s="42">
        <v>445354</v>
      </c>
      <c r="AI588" s="10">
        <f t="shared" si="78"/>
        <v>870281</v>
      </c>
      <c r="AK588" s="42">
        <f t="shared" si="76"/>
        <v>0</v>
      </c>
    </row>
    <row r="589" spans="1:37">
      <c r="A589" s="9" t="s">
        <v>774</v>
      </c>
      <c r="B589" s="9"/>
      <c r="C589" s="9" t="s">
        <v>28</v>
      </c>
      <c r="D589" s="9"/>
      <c r="E589" s="23">
        <v>45641</v>
      </c>
      <c r="G589" s="42">
        <v>1972576</v>
      </c>
      <c r="I589" s="42">
        <v>0</v>
      </c>
      <c r="K589" s="2">
        <f t="shared" si="79"/>
        <v>5208990</v>
      </c>
      <c r="M589" s="42">
        <v>7181566</v>
      </c>
      <c r="O589" s="42">
        <v>0</v>
      </c>
      <c r="Q589" s="2">
        <f t="shared" si="77"/>
        <v>1618015</v>
      </c>
      <c r="S589" s="42">
        <v>0</v>
      </c>
      <c r="U589" s="42">
        <v>1618015</v>
      </c>
      <c r="W589" s="42">
        <v>4747614</v>
      </c>
      <c r="Y589" s="42">
        <v>96536</v>
      </c>
      <c r="AA589" s="42">
        <v>0</v>
      </c>
      <c r="AC589" s="42">
        <v>11000</v>
      </c>
      <c r="AE589" s="42">
        <v>708401</v>
      </c>
      <c r="AG589" s="42">
        <v>0</v>
      </c>
      <c r="AI589" s="10">
        <f t="shared" si="78"/>
        <v>815937</v>
      </c>
      <c r="AK589" s="42">
        <f t="shared" si="76"/>
        <v>0</v>
      </c>
    </row>
    <row r="590" spans="1:37">
      <c r="A590" s="9" t="s">
        <v>454</v>
      </c>
      <c r="B590" s="9"/>
      <c r="C590" s="9" t="s">
        <v>55</v>
      </c>
      <c r="D590" s="9"/>
      <c r="E590" s="23">
        <v>49148</v>
      </c>
      <c r="G590" s="42">
        <v>3015987</v>
      </c>
      <c r="I590" s="42">
        <v>57076</v>
      </c>
      <c r="K590" s="2">
        <f t="shared" si="79"/>
        <v>3781142</v>
      </c>
      <c r="M590" s="42">
        <v>6854205</v>
      </c>
      <c r="O590" s="42">
        <v>0</v>
      </c>
      <c r="Q590" s="2">
        <f t="shared" si="77"/>
        <v>1314293</v>
      </c>
      <c r="S590" s="42">
        <v>0</v>
      </c>
      <c r="U590" s="42">
        <v>1314293</v>
      </c>
      <c r="W590" s="42">
        <v>3396064</v>
      </c>
      <c r="Y590" s="42">
        <v>61196</v>
      </c>
      <c r="AA590" s="42">
        <v>0</v>
      </c>
      <c r="AC590" s="42">
        <v>11000</v>
      </c>
      <c r="AE590" s="42">
        <v>682172</v>
      </c>
      <c r="AG590" s="42">
        <v>1389480</v>
      </c>
      <c r="AI590" s="10">
        <f t="shared" si="78"/>
        <v>2143848</v>
      </c>
      <c r="AK590" s="42">
        <f t="shared" si="76"/>
        <v>0</v>
      </c>
    </row>
    <row r="591" spans="1:37" hidden="1">
      <c r="A591" s="9" t="s">
        <v>702</v>
      </c>
      <c r="B591" s="9"/>
      <c r="C591" s="9" t="s">
        <v>69</v>
      </c>
      <c r="D591" s="9"/>
      <c r="E591" s="23">
        <v>50468</v>
      </c>
      <c r="G591" s="42">
        <v>0</v>
      </c>
      <c r="I591" s="42">
        <v>0</v>
      </c>
      <c r="K591" s="2">
        <f t="shared" si="79"/>
        <v>0</v>
      </c>
      <c r="M591" s="42">
        <v>0</v>
      </c>
      <c r="O591" s="42">
        <v>0</v>
      </c>
      <c r="Q591" s="2">
        <f t="shared" si="77"/>
        <v>0</v>
      </c>
      <c r="S591" s="42">
        <v>0</v>
      </c>
      <c r="U591" s="42">
        <v>0</v>
      </c>
      <c r="W591" s="42">
        <v>0</v>
      </c>
      <c r="Y591" s="42">
        <v>0</v>
      </c>
      <c r="AA591" s="42">
        <v>0</v>
      </c>
      <c r="AC591" s="42">
        <v>0</v>
      </c>
      <c r="AE591" s="42">
        <v>0</v>
      </c>
      <c r="AG591" s="42">
        <v>0</v>
      </c>
      <c r="AI591" s="10">
        <f t="shared" si="78"/>
        <v>0</v>
      </c>
      <c r="AK591" s="42">
        <f t="shared" ref="AK591:AK632" si="83">+G591+I591+K591+O591-U591-W591-AC591-AA591-Y591-AE591-AG591</f>
        <v>0</v>
      </c>
    </row>
    <row r="592" spans="1:37" hidden="1">
      <c r="A592" s="9" t="s">
        <v>797</v>
      </c>
      <c r="B592" s="9"/>
      <c r="C592" s="9" t="s">
        <v>447</v>
      </c>
      <c r="D592" s="9"/>
      <c r="E592" s="23">
        <v>49031</v>
      </c>
      <c r="G592" s="42">
        <v>0</v>
      </c>
      <c r="I592" s="42">
        <v>0</v>
      </c>
      <c r="K592" s="2">
        <f t="shared" si="79"/>
        <v>0</v>
      </c>
      <c r="M592" s="42">
        <v>0</v>
      </c>
      <c r="O592" s="42">
        <v>0</v>
      </c>
      <c r="Q592" s="2">
        <f t="shared" si="77"/>
        <v>0</v>
      </c>
      <c r="S592" s="42">
        <v>0</v>
      </c>
      <c r="U592" s="42">
        <v>0</v>
      </c>
      <c r="W592" s="42">
        <v>0</v>
      </c>
      <c r="Y592" s="42">
        <v>0</v>
      </c>
      <c r="AA592" s="42">
        <v>0</v>
      </c>
      <c r="AC592" s="42">
        <v>0</v>
      </c>
      <c r="AE592" s="42">
        <v>0</v>
      </c>
      <c r="AG592" s="42">
        <v>0</v>
      </c>
      <c r="AI592" s="10">
        <f t="shared" si="78"/>
        <v>0</v>
      </c>
      <c r="AK592" s="42">
        <f t="shared" si="83"/>
        <v>0</v>
      </c>
    </row>
    <row r="593" spans="1:37" hidden="1">
      <c r="A593" s="9" t="s">
        <v>641</v>
      </c>
      <c r="B593" s="9"/>
      <c r="C593" s="9" t="s">
        <v>14</v>
      </c>
      <c r="D593" s="9"/>
      <c r="E593" s="23">
        <v>45971</v>
      </c>
      <c r="G593" s="42">
        <v>0</v>
      </c>
      <c r="I593" s="42">
        <v>0</v>
      </c>
      <c r="K593" s="2">
        <f t="shared" si="79"/>
        <v>0</v>
      </c>
      <c r="M593" s="42">
        <v>0</v>
      </c>
      <c r="O593" s="42">
        <v>0</v>
      </c>
      <c r="Q593" s="2">
        <f t="shared" si="77"/>
        <v>0</v>
      </c>
      <c r="S593" s="42">
        <v>0</v>
      </c>
      <c r="U593" s="42">
        <v>0</v>
      </c>
      <c r="W593" s="42">
        <v>0</v>
      </c>
      <c r="Y593" s="42">
        <v>0</v>
      </c>
      <c r="AA593" s="42">
        <v>0</v>
      </c>
      <c r="AC593" s="42">
        <v>0</v>
      </c>
      <c r="AE593" s="42">
        <v>0</v>
      </c>
      <c r="AG593" s="42">
        <v>0</v>
      </c>
      <c r="AI593" s="10">
        <f t="shared" si="78"/>
        <v>0</v>
      </c>
      <c r="AK593" s="42">
        <f t="shared" si="83"/>
        <v>0</v>
      </c>
    </row>
    <row r="594" spans="1:37">
      <c r="A594" s="9" t="s">
        <v>528</v>
      </c>
      <c r="B594" s="9"/>
      <c r="C594" s="9" t="s">
        <v>64</v>
      </c>
      <c r="D594" s="9"/>
      <c r="E594" s="23">
        <v>50252</v>
      </c>
      <c r="G594" s="42">
        <f>1258435+5140</f>
        <v>1263575</v>
      </c>
      <c r="I594" s="42">
        <v>0</v>
      </c>
      <c r="K594" s="2">
        <f t="shared" si="79"/>
        <v>2850487</v>
      </c>
      <c r="M594" s="42">
        <v>4114062</v>
      </c>
      <c r="O594" s="42">
        <v>0</v>
      </c>
      <c r="Q594" s="2">
        <f t="shared" si="77"/>
        <v>883274</v>
      </c>
      <c r="S594" s="42">
        <v>0</v>
      </c>
      <c r="U594" s="42">
        <v>883274</v>
      </c>
      <c r="W594" s="42">
        <v>2784365</v>
      </c>
      <c r="Y594" s="42">
        <v>35427</v>
      </c>
      <c r="AA594" s="42">
        <v>0</v>
      </c>
      <c r="AC594" s="42">
        <v>0</v>
      </c>
      <c r="AE594" s="42">
        <f>783+60101+323+26076</f>
        <v>87283</v>
      </c>
      <c r="AG594" s="42">
        <v>323713</v>
      </c>
      <c r="AI594" s="10">
        <f t="shared" si="78"/>
        <v>446423</v>
      </c>
      <c r="AK594" s="42">
        <f t="shared" si="83"/>
        <v>0</v>
      </c>
    </row>
    <row r="595" spans="1:37">
      <c r="A595" s="9" t="s">
        <v>775</v>
      </c>
      <c r="B595" s="9"/>
      <c r="C595" s="9" t="s">
        <v>44</v>
      </c>
      <c r="D595" s="9"/>
      <c r="E595" s="23">
        <v>45658</v>
      </c>
      <c r="G595" s="42">
        <v>3588965</v>
      </c>
      <c r="I595" s="42">
        <v>0</v>
      </c>
      <c r="K595" s="2">
        <f t="shared" si="79"/>
        <v>5396197</v>
      </c>
      <c r="M595" s="42">
        <v>8985162</v>
      </c>
      <c r="O595" s="42">
        <v>0</v>
      </c>
      <c r="Q595" s="2">
        <f t="shared" si="77"/>
        <v>1413562</v>
      </c>
      <c r="S595" s="42">
        <v>0</v>
      </c>
      <c r="U595" s="42">
        <v>1413562</v>
      </c>
      <c r="W595" s="42">
        <v>4123120</v>
      </c>
      <c r="Y595" s="42">
        <v>42351</v>
      </c>
      <c r="AA595" s="42">
        <v>0</v>
      </c>
      <c r="AC595" s="42">
        <v>0</v>
      </c>
      <c r="AE595" s="42">
        <v>1077720</v>
      </c>
      <c r="AG595" s="42">
        <v>2328409</v>
      </c>
      <c r="AI595" s="10">
        <f t="shared" si="78"/>
        <v>3448480</v>
      </c>
      <c r="AK595" s="42">
        <f t="shared" si="83"/>
        <v>0</v>
      </c>
    </row>
    <row r="596" spans="1:37">
      <c r="A596" s="9" t="s">
        <v>359</v>
      </c>
      <c r="B596" s="9"/>
      <c r="C596" s="9" t="s">
        <v>38</v>
      </c>
      <c r="D596" s="9"/>
      <c r="E596" s="23">
        <v>45021</v>
      </c>
      <c r="G596" s="42">
        <v>6375402</v>
      </c>
      <c r="I596" s="42">
        <v>56688</v>
      </c>
      <c r="K596" s="2">
        <f t="shared" si="79"/>
        <v>3059244</v>
      </c>
      <c r="M596" s="42">
        <v>9491334</v>
      </c>
      <c r="O596" s="42">
        <v>0</v>
      </c>
      <c r="Q596" s="2">
        <f t="shared" si="77"/>
        <v>1537290</v>
      </c>
      <c r="S596" s="42">
        <v>0</v>
      </c>
      <c r="U596" s="42">
        <v>1537290</v>
      </c>
      <c r="W596" s="42">
        <v>2451576</v>
      </c>
      <c r="Y596" s="42">
        <v>0</v>
      </c>
      <c r="AA596" s="42">
        <v>56688</v>
      </c>
      <c r="AC596" s="42">
        <v>0</v>
      </c>
      <c r="AE596" s="42">
        <v>1898546</v>
      </c>
      <c r="AG596" s="42">
        <v>3547234</v>
      </c>
      <c r="AI596" s="10">
        <f t="shared" si="78"/>
        <v>5502468</v>
      </c>
      <c r="AK596" s="42">
        <f t="shared" si="83"/>
        <v>0</v>
      </c>
    </row>
    <row r="597" spans="1:37">
      <c r="A597" s="9" t="s">
        <v>250</v>
      </c>
      <c r="B597" s="9"/>
      <c r="C597" s="9" t="s">
        <v>111</v>
      </c>
      <c r="D597" s="9"/>
      <c r="E597" s="23">
        <v>45039</v>
      </c>
      <c r="G597" s="42">
        <v>1237996</v>
      </c>
      <c r="I597" s="42">
        <v>0</v>
      </c>
      <c r="K597" s="2">
        <f t="shared" si="79"/>
        <v>1208518</v>
      </c>
      <c r="M597" s="42">
        <v>2446514</v>
      </c>
      <c r="O597" s="42">
        <v>0</v>
      </c>
      <c r="Q597" s="2">
        <f t="shared" si="77"/>
        <v>746634</v>
      </c>
      <c r="S597" s="42">
        <v>0</v>
      </c>
      <c r="U597" s="42">
        <v>746634</v>
      </c>
      <c r="W597" s="42">
        <v>1115516</v>
      </c>
      <c r="Y597" s="42">
        <v>18322</v>
      </c>
      <c r="AA597" s="42">
        <v>0</v>
      </c>
      <c r="AC597" s="42">
        <v>11000</v>
      </c>
      <c r="AE597" s="42">
        <f>27016+67859+2741+50+457376</f>
        <v>555042</v>
      </c>
      <c r="AG597" s="42">
        <v>0</v>
      </c>
      <c r="AI597" s="10">
        <f t="shared" si="78"/>
        <v>584364</v>
      </c>
      <c r="AK597" s="42">
        <f t="shared" si="83"/>
        <v>0</v>
      </c>
    </row>
    <row r="598" spans="1:37">
      <c r="A598" s="9" t="s">
        <v>405</v>
      </c>
      <c r="B598" s="9"/>
      <c r="C598" s="9" t="s">
        <v>45</v>
      </c>
      <c r="D598" s="9"/>
      <c r="E598" s="23">
        <v>48389</v>
      </c>
      <c r="G598" s="42">
        <v>3201163</v>
      </c>
      <c r="I598" s="42">
        <v>0</v>
      </c>
      <c r="K598" s="2">
        <f t="shared" si="79"/>
        <v>5296998</v>
      </c>
      <c r="M598" s="42">
        <v>8498161</v>
      </c>
      <c r="O598" s="42">
        <v>0</v>
      </c>
      <c r="Q598" s="2">
        <f t="shared" si="77"/>
        <v>2814490</v>
      </c>
      <c r="S598" s="42">
        <v>0</v>
      </c>
      <c r="U598" s="42">
        <v>2814490</v>
      </c>
      <c r="W598" s="42">
        <v>5039965</v>
      </c>
      <c r="Y598" s="42">
        <v>43043</v>
      </c>
      <c r="AA598" s="42">
        <v>0</v>
      </c>
      <c r="AC598" s="42">
        <v>0</v>
      </c>
      <c r="AE598" s="42">
        <f>81376+82773+2423+108354+4225</f>
        <v>279151</v>
      </c>
      <c r="AG598" s="42">
        <v>321512</v>
      </c>
      <c r="AI598" s="10">
        <f t="shared" si="78"/>
        <v>643706</v>
      </c>
      <c r="AK598" s="42">
        <f t="shared" si="83"/>
        <v>0</v>
      </c>
    </row>
    <row r="599" spans="1:37">
      <c r="A599" s="9" t="s">
        <v>701</v>
      </c>
      <c r="B599" s="9"/>
      <c r="C599" s="9" t="s">
        <v>50</v>
      </c>
      <c r="D599" s="9"/>
      <c r="E599" s="23">
        <v>45054</v>
      </c>
      <c r="G599" s="42">
        <v>11744821</v>
      </c>
      <c r="I599" s="42">
        <v>0</v>
      </c>
      <c r="K599" s="2">
        <f t="shared" si="79"/>
        <v>17865248</v>
      </c>
      <c r="M599" s="42">
        <v>29610069</v>
      </c>
      <c r="O599" s="42">
        <v>0</v>
      </c>
      <c r="Q599" s="2">
        <f t="shared" si="77"/>
        <v>4664684</v>
      </c>
      <c r="S599" s="42">
        <v>0</v>
      </c>
      <c r="U599" s="42">
        <v>4664684</v>
      </c>
      <c r="W599" s="42">
        <v>16724887</v>
      </c>
      <c r="Y599" s="42">
        <v>273845</v>
      </c>
      <c r="AA599" s="42">
        <v>0</v>
      </c>
      <c r="AC599" s="42">
        <v>0</v>
      </c>
      <c r="AE599" s="42">
        <f>185114+502218+1250872+21552</f>
        <v>1959756</v>
      </c>
      <c r="AG599" s="42">
        <v>5986897</v>
      </c>
      <c r="AI599" s="10">
        <f t="shared" si="78"/>
        <v>8220498</v>
      </c>
      <c r="AK599" s="42">
        <f t="shared" si="83"/>
        <v>0</v>
      </c>
    </row>
    <row r="600" spans="1:37">
      <c r="A600" s="9" t="s">
        <v>239</v>
      </c>
      <c r="B600" s="9"/>
      <c r="C600" s="9" t="s">
        <v>112</v>
      </c>
      <c r="D600" s="9"/>
      <c r="E600" s="23">
        <v>46359</v>
      </c>
      <c r="G600" s="42">
        <v>5444054</v>
      </c>
      <c r="I600" s="42">
        <v>0</v>
      </c>
      <c r="K600" s="2">
        <f t="shared" si="79"/>
        <v>36919424</v>
      </c>
      <c r="M600" s="42">
        <v>42363478</v>
      </c>
      <c r="O600" s="42">
        <v>0</v>
      </c>
      <c r="Q600" s="2">
        <f t="shared" si="77"/>
        <v>7463261</v>
      </c>
      <c r="S600" s="42">
        <v>0</v>
      </c>
      <c r="U600" s="42">
        <v>7463261</v>
      </c>
      <c r="W600" s="42">
        <v>33369715</v>
      </c>
      <c r="Y600" s="42">
        <v>0</v>
      </c>
      <c r="AA600" s="42">
        <v>0</v>
      </c>
      <c r="AC600" s="42">
        <v>775186</v>
      </c>
      <c r="AE600" s="42">
        <v>755316</v>
      </c>
      <c r="AG600" s="42">
        <v>0</v>
      </c>
      <c r="AI600" s="10">
        <f t="shared" si="78"/>
        <v>1530502</v>
      </c>
      <c r="AK600" s="42">
        <f t="shared" si="83"/>
        <v>0</v>
      </c>
    </row>
    <row r="601" spans="1:37">
      <c r="A601" s="9" t="s">
        <v>314</v>
      </c>
      <c r="B601" s="9"/>
      <c r="C601" s="9" t="s">
        <v>30</v>
      </c>
      <c r="D601" s="9"/>
      <c r="E601" s="23">
        <v>47225</v>
      </c>
      <c r="G601" s="42">
        <v>8588569</v>
      </c>
      <c r="I601" s="42">
        <v>0</v>
      </c>
      <c r="K601" s="2">
        <f t="shared" si="79"/>
        <v>17703204</v>
      </c>
      <c r="M601" s="42">
        <v>26291773</v>
      </c>
      <c r="O601" s="42">
        <v>0</v>
      </c>
      <c r="Q601" s="2">
        <f t="shared" si="77"/>
        <v>2617362</v>
      </c>
      <c r="S601" s="42">
        <v>0</v>
      </c>
      <c r="U601" s="42">
        <f>17938364-15321002</f>
        <v>2617362</v>
      </c>
      <c r="W601" s="42">
        <v>15321002</v>
      </c>
      <c r="Y601" s="42">
        <v>0</v>
      </c>
      <c r="AA601" s="42">
        <v>0</v>
      </c>
      <c r="AC601" s="42">
        <v>0</v>
      </c>
      <c r="AE601" s="42">
        <v>789734</v>
      </c>
      <c r="AG601" s="42">
        <v>7563675</v>
      </c>
      <c r="AI601" s="10">
        <f t="shared" si="78"/>
        <v>8353409</v>
      </c>
      <c r="AK601" s="42">
        <f t="shared" si="83"/>
        <v>0</v>
      </c>
    </row>
    <row r="602" spans="1:37">
      <c r="A602" s="9" t="s">
        <v>352</v>
      </c>
      <c r="B602" s="9"/>
      <c r="C602" s="9" t="s">
        <v>36</v>
      </c>
      <c r="D602" s="9"/>
      <c r="E602" s="23">
        <v>47696</v>
      </c>
      <c r="G602" s="42">
        <v>9090479</v>
      </c>
      <c r="I602" s="42">
        <v>0</v>
      </c>
      <c r="K602" s="2">
        <f t="shared" si="79"/>
        <v>8473119</v>
      </c>
      <c r="M602" s="42">
        <v>17563598</v>
      </c>
      <c r="O602" s="42">
        <v>0</v>
      </c>
      <c r="Q602" s="2">
        <f t="shared" si="77"/>
        <v>2474209</v>
      </c>
      <c r="S602" s="42">
        <v>0</v>
      </c>
      <c r="U602" s="42">
        <f>10189263-7715054</f>
        <v>2474209</v>
      </c>
      <c r="W602" s="42">
        <v>7715054</v>
      </c>
      <c r="Y602" s="42">
        <v>39298</v>
      </c>
      <c r="AA602" s="42">
        <v>0</v>
      </c>
      <c r="AC602" s="42">
        <v>0</v>
      </c>
      <c r="AE602" s="42">
        <v>329904</v>
      </c>
      <c r="AG602" s="42">
        <v>7005133</v>
      </c>
      <c r="AI602" s="10">
        <f t="shared" si="78"/>
        <v>7374335</v>
      </c>
      <c r="AK602" s="42">
        <f t="shared" si="83"/>
        <v>0</v>
      </c>
    </row>
    <row r="603" spans="1:37" hidden="1">
      <c r="A603" s="8" t="s">
        <v>908</v>
      </c>
      <c r="B603" s="9"/>
      <c r="C603" s="9" t="s">
        <v>227</v>
      </c>
      <c r="D603" s="9"/>
      <c r="E603" s="23">
        <v>46219</v>
      </c>
      <c r="G603" s="42">
        <v>0</v>
      </c>
      <c r="I603" s="42">
        <v>0</v>
      </c>
      <c r="K603" s="2">
        <f t="shared" si="79"/>
        <v>0</v>
      </c>
      <c r="M603" s="42">
        <v>0</v>
      </c>
      <c r="O603" s="42">
        <v>0</v>
      </c>
      <c r="Q603" s="2">
        <f t="shared" si="77"/>
        <v>0</v>
      </c>
      <c r="S603" s="42">
        <v>0</v>
      </c>
      <c r="U603" s="42">
        <v>0</v>
      </c>
      <c r="W603" s="42">
        <v>0</v>
      </c>
      <c r="Y603" s="42">
        <v>0</v>
      </c>
      <c r="AA603" s="42">
        <v>0</v>
      </c>
      <c r="AC603" s="42">
        <v>0</v>
      </c>
      <c r="AE603" s="42">
        <v>0</v>
      </c>
      <c r="AG603" s="42">
        <v>0</v>
      </c>
      <c r="AI603" s="10">
        <f t="shared" si="78"/>
        <v>0</v>
      </c>
      <c r="AK603" s="42">
        <f t="shared" si="83"/>
        <v>0</v>
      </c>
    </row>
    <row r="604" spans="1:37">
      <c r="A604" s="9" t="s">
        <v>444</v>
      </c>
      <c r="B604" s="9"/>
      <c r="C604" s="9" t="s">
        <v>51</v>
      </c>
      <c r="D604" s="9"/>
      <c r="E604" s="23">
        <v>48884</v>
      </c>
      <c r="G604" s="42">
        <v>1582858</v>
      </c>
      <c r="I604" s="42">
        <v>0</v>
      </c>
      <c r="K604" s="2">
        <f t="shared" si="79"/>
        <v>6478504</v>
      </c>
      <c r="M604" s="42">
        <v>8061362</v>
      </c>
      <c r="O604" s="42">
        <v>0</v>
      </c>
      <c r="Q604" s="2">
        <f t="shared" si="77"/>
        <v>1201466</v>
      </c>
      <c r="S604" s="42">
        <v>0</v>
      </c>
      <c r="U604" s="42">
        <v>1201466</v>
      </c>
      <c r="W604" s="42">
        <v>4538915</v>
      </c>
      <c r="Y604" s="42">
        <v>92848</v>
      </c>
      <c r="AA604" s="42">
        <v>0</v>
      </c>
      <c r="AC604" s="42">
        <v>169729</v>
      </c>
      <c r="AE604" s="42">
        <v>1855811</v>
      </c>
      <c r="AG604" s="42">
        <v>202593</v>
      </c>
      <c r="AI604" s="10">
        <f t="shared" si="78"/>
        <v>2320981</v>
      </c>
      <c r="AK604" s="42">
        <f t="shared" si="83"/>
        <v>0</v>
      </c>
    </row>
    <row r="605" spans="1:37">
      <c r="A605" s="9" t="s">
        <v>219</v>
      </c>
      <c r="B605" s="9"/>
      <c r="C605" s="9" t="s">
        <v>77</v>
      </c>
      <c r="D605" s="9"/>
      <c r="E605" s="23">
        <v>46060</v>
      </c>
      <c r="G605" s="42">
        <v>2510921</v>
      </c>
      <c r="I605" s="42">
        <v>0</v>
      </c>
      <c r="K605" s="2">
        <f t="shared" si="79"/>
        <v>4766323</v>
      </c>
      <c r="M605" s="42">
        <v>7277244</v>
      </c>
      <c r="O605" s="42">
        <v>0</v>
      </c>
      <c r="Q605" s="2">
        <f t="shared" si="77"/>
        <v>2459476</v>
      </c>
      <c r="S605" s="42">
        <v>0</v>
      </c>
      <c r="U605" s="42">
        <v>2459476</v>
      </c>
      <c r="W605" s="42">
        <v>3516997</v>
      </c>
      <c r="Y605" s="42">
        <v>11812</v>
      </c>
      <c r="AA605" s="42">
        <v>0</v>
      </c>
      <c r="AC605" s="42">
        <v>0</v>
      </c>
      <c r="AE605" s="42">
        <v>603017</v>
      </c>
      <c r="AG605" s="42">
        <v>685942</v>
      </c>
      <c r="AI605" s="10">
        <f t="shared" si="78"/>
        <v>1300771</v>
      </c>
      <c r="AK605" s="42">
        <f t="shared" si="83"/>
        <v>0</v>
      </c>
    </row>
    <row r="606" spans="1:37">
      <c r="A606" s="9" t="s">
        <v>455</v>
      </c>
      <c r="B606" s="9"/>
      <c r="C606" s="9" t="s">
        <v>55</v>
      </c>
      <c r="D606" s="9"/>
      <c r="E606" s="23">
        <v>49155</v>
      </c>
      <c r="G606" s="42">
        <f>2261606+88485</f>
        <v>2350091</v>
      </c>
      <c r="I606" s="42">
        <v>0</v>
      </c>
      <c r="K606" s="2">
        <f t="shared" si="79"/>
        <v>1466456</v>
      </c>
      <c r="M606" s="42">
        <v>3816547</v>
      </c>
      <c r="O606" s="42">
        <v>0</v>
      </c>
      <c r="Q606" s="2">
        <f t="shared" si="77"/>
        <v>664057</v>
      </c>
      <c r="S606" s="42">
        <v>0</v>
      </c>
      <c r="U606" s="42">
        <v>664057</v>
      </c>
      <c r="W606" s="42">
        <v>1262366</v>
      </c>
      <c r="Y606" s="42">
        <v>0</v>
      </c>
      <c r="AA606" s="42">
        <v>88485</v>
      </c>
      <c r="AC606" s="42">
        <v>0</v>
      </c>
      <c r="AE606" s="42">
        <v>182834</v>
      </c>
      <c r="AG606" s="42">
        <v>1618805</v>
      </c>
      <c r="AI606" s="10">
        <f t="shared" si="78"/>
        <v>1890124</v>
      </c>
      <c r="AK606" s="42">
        <f t="shared" si="83"/>
        <v>0</v>
      </c>
    </row>
    <row r="607" spans="1:37">
      <c r="A607" s="9" t="s">
        <v>357</v>
      </c>
      <c r="B607" s="9"/>
      <c r="C607" s="9" t="s">
        <v>37</v>
      </c>
      <c r="D607" s="9"/>
      <c r="E607" s="23">
        <v>47746</v>
      </c>
      <c r="G607" s="42">
        <v>1104673</v>
      </c>
      <c r="I607" s="42">
        <v>0</v>
      </c>
      <c r="K607" s="2">
        <f t="shared" si="79"/>
        <v>3385082</v>
      </c>
      <c r="M607" s="42">
        <v>4489755</v>
      </c>
      <c r="O607" s="42">
        <v>0</v>
      </c>
      <c r="Q607" s="2">
        <f t="shared" si="77"/>
        <v>1444054</v>
      </c>
      <c r="S607" s="42">
        <v>0</v>
      </c>
      <c r="U607" s="42">
        <v>1444054</v>
      </c>
      <c r="W607" s="42">
        <v>2417919</v>
      </c>
      <c r="Y607" s="42">
        <v>31744</v>
      </c>
      <c r="AA607" s="42">
        <v>0</v>
      </c>
      <c r="AC607" s="42">
        <v>0</v>
      </c>
      <c r="AE607" s="42">
        <f>46520+113618+1364+2745</f>
        <v>164247</v>
      </c>
      <c r="AG607" s="42">
        <v>431791</v>
      </c>
      <c r="AI607" s="10">
        <f t="shared" si="78"/>
        <v>627782</v>
      </c>
      <c r="AK607" s="42">
        <f t="shared" si="83"/>
        <v>0</v>
      </c>
    </row>
    <row r="608" spans="1:37">
      <c r="A608" s="9" t="s">
        <v>357</v>
      </c>
      <c r="B608" s="9"/>
      <c r="C608" s="9" t="s">
        <v>45</v>
      </c>
      <c r="D608" s="9"/>
      <c r="E608" s="23">
        <v>48397</v>
      </c>
      <c r="G608" s="42">
        <v>1413806</v>
      </c>
      <c r="I608" s="42">
        <v>67313</v>
      </c>
      <c r="K608" s="2">
        <f t="shared" si="79"/>
        <v>3238513</v>
      </c>
      <c r="M608" s="42">
        <v>4719632</v>
      </c>
      <c r="O608" s="42">
        <v>0</v>
      </c>
      <c r="Q608" s="2">
        <f t="shared" si="77"/>
        <v>864067</v>
      </c>
      <c r="S608" s="42">
        <v>0</v>
      </c>
      <c r="U608" s="42">
        <v>864067</v>
      </c>
      <c r="W608" s="42">
        <v>3056043</v>
      </c>
      <c r="Y608" s="42">
        <v>84845</v>
      </c>
      <c r="AA608" s="42">
        <v>0</v>
      </c>
      <c r="AC608" s="42">
        <v>103340</v>
      </c>
      <c r="AE608" s="42">
        <v>34198</v>
      </c>
      <c r="AG608" s="42">
        <v>577139</v>
      </c>
      <c r="AI608" s="10">
        <f t="shared" si="78"/>
        <v>799522</v>
      </c>
      <c r="AK608" s="42">
        <f t="shared" si="83"/>
        <v>0</v>
      </c>
    </row>
    <row r="609" spans="1:37">
      <c r="A609" s="9" t="s">
        <v>307</v>
      </c>
      <c r="B609" s="9"/>
      <c r="C609" s="9" t="s">
        <v>27</v>
      </c>
      <c r="D609" s="9"/>
      <c r="E609" s="23">
        <v>45047</v>
      </c>
      <c r="G609" s="42">
        <v>17006816</v>
      </c>
      <c r="I609" s="42">
        <v>0</v>
      </c>
      <c r="K609" s="2">
        <f t="shared" si="79"/>
        <v>124347220</v>
      </c>
      <c r="M609" s="42">
        <v>141354036</v>
      </c>
      <c r="O609" s="42">
        <v>0</v>
      </c>
      <c r="Q609" s="2">
        <f t="shared" ref="Q609:Q632" si="84">+U609-S609</f>
        <v>13097945</v>
      </c>
      <c r="S609" s="42">
        <v>0</v>
      </c>
      <c r="U609" s="42">
        <v>13097945</v>
      </c>
      <c r="W609" s="42">
        <v>88733845</v>
      </c>
      <c r="Y609" s="42">
        <f>66959+372119</f>
        <v>439078</v>
      </c>
      <c r="AA609" s="42">
        <v>0</v>
      </c>
      <c r="AC609" s="42">
        <v>0</v>
      </c>
      <c r="AE609" s="42">
        <f>154707+1392411</f>
        <v>1547118</v>
      </c>
      <c r="AG609" s="42">
        <v>37536050</v>
      </c>
      <c r="AI609" s="10">
        <f t="shared" ref="AI609:AI632" si="85">+AC609+AA609++Y609+AE609+AG609</f>
        <v>39522246</v>
      </c>
      <c r="AK609" s="42">
        <f t="shared" si="83"/>
        <v>0</v>
      </c>
    </row>
    <row r="610" spans="1:37">
      <c r="A610" s="9" t="s">
        <v>452</v>
      </c>
      <c r="B610" s="9"/>
      <c r="C610" s="9" t="s">
        <v>54</v>
      </c>
      <c r="D610" s="9"/>
      <c r="E610" s="23">
        <v>49106</v>
      </c>
      <c r="G610" s="42">
        <v>7617921</v>
      </c>
      <c r="I610" s="42">
        <v>908</v>
      </c>
      <c r="K610" s="2">
        <f t="shared" si="79"/>
        <v>5755023</v>
      </c>
      <c r="M610" s="42">
        <v>13373852</v>
      </c>
      <c r="O610" s="42">
        <v>0</v>
      </c>
      <c r="Q610" s="2">
        <f t="shared" si="84"/>
        <v>1459458</v>
      </c>
      <c r="S610" s="42">
        <v>0</v>
      </c>
      <c r="U610" s="42">
        <v>1459458</v>
      </c>
      <c r="W610" s="42">
        <v>5229560</v>
      </c>
      <c r="Y610" s="42">
        <v>0</v>
      </c>
      <c r="AA610" s="42">
        <v>908</v>
      </c>
      <c r="AC610" s="42">
        <v>0</v>
      </c>
      <c r="AE610" s="42">
        <f>27613+34514+23168</f>
        <v>85295</v>
      </c>
      <c r="AG610" s="42">
        <v>6598631</v>
      </c>
      <c r="AI610" s="10">
        <f>+AC610+AA610++Y610+AE610+AG610</f>
        <v>6684834</v>
      </c>
      <c r="AK610" s="42">
        <f t="shared" si="83"/>
        <v>0</v>
      </c>
    </row>
    <row r="611" spans="1:37">
      <c r="A611" s="9" t="s">
        <v>279</v>
      </c>
      <c r="B611" s="9"/>
      <c r="C611" s="9" t="s">
        <v>20</v>
      </c>
      <c r="D611" s="9"/>
      <c r="E611" s="23">
        <v>45062</v>
      </c>
      <c r="G611" s="42">
        <v>19532743</v>
      </c>
      <c r="I611" s="42">
        <v>0</v>
      </c>
      <c r="K611" s="2">
        <f t="shared" ref="K611:K632" si="86">+M611-I611-G611</f>
        <v>40445584</v>
      </c>
      <c r="M611" s="42">
        <v>59978327</v>
      </c>
      <c r="O611" s="42">
        <v>0</v>
      </c>
      <c r="Q611" s="2">
        <f t="shared" si="84"/>
        <v>7556826</v>
      </c>
      <c r="S611" s="42">
        <v>0</v>
      </c>
      <c r="U611" s="42">
        <v>7556826</v>
      </c>
      <c r="W611" s="42">
        <v>35187644</v>
      </c>
      <c r="Y611" s="42">
        <v>4546</v>
      </c>
      <c r="AA611" s="42">
        <v>0</v>
      </c>
      <c r="AC611" s="42">
        <v>0</v>
      </c>
      <c r="AE611" s="42">
        <f>1777484+1376687+272962+26129+6945611+44279</f>
        <v>10443152</v>
      </c>
      <c r="AG611" s="42">
        <v>6786159</v>
      </c>
      <c r="AI611" s="10">
        <f t="shared" si="85"/>
        <v>17233857</v>
      </c>
      <c r="AK611" s="42">
        <f t="shared" si="83"/>
        <v>0</v>
      </c>
    </row>
    <row r="612" spans="1:37">
      <c r="A612" s="9" t="s">
        <v>483</v>
      </c>
      <c r="B612" s="9"/>
      <c r="C612" s="9" t="s">
        <v>59</v>
      </c>
      <c r="D612" s="9"/>
      <c r="E612" s="23">
        <v>49668</v>
      </c>
      <c r="G612" s="42">
        <v>1786665</v>
      </c>
      <c r="I612" s="42">
        <v>0</v>
      </c>
      <c r="K612" s="2">
        <f t="shared" si="86"/>
        <v>2982887</v>
      </c>
      <c r="M612" s="42">
        <v>4769552</v>
      </c>
      <c r="O612" s="42">
        <v>0</v>
      </c>
      <c r="Q612" s="2">
        <f t="shared" si="84"/>
        <v>1307579</v>
      </c>
      <c r="S612" s="42">
        <v>0</v>
      </c>
      <c r="U612" s="42">
        <v>1307579</v>
      </c>
      <c r="W612" s="42">
        <v>2781184</v>
      </c>
      <c r="Y612" s="42">
        <v>33092</v>
      </c>
      <c r="AA612" s="42">
        <v>0</v>
      </c>
      <c r="AC612" s="42">
        <v>0</v>
      </c>
      <c r="AE612" s="42">
        <v>372566</v>
      </c>
      <c r="AG612" s="42">
        <v>275131</v>
      </c>
      <c r="AI612" s="10">
        <f t="shared" si="85"/>
        <v>680789</v>
      </c>
      <c r="AK612" s="42">
        <f t="shared" si="83"/>
        <v>0</v>
      </c>
    </row>
    <row r="613" spans="1:37">
      <c r="A613" s="9" t="s">
        <v>308</v>
      </c>
      <c r="B613" s="9"/>
      <c r="C613" s="9" t="s">
        <v>27</v>
      </c>
      <c r="D613" s="9"/>
      <c r="E613" s="23">
        <v>45070</v>
      </c>
      <c r="G613" s="42">
        <v>13536038</v>
      </c>
      <c r="I613" s="42">
        <v>0</v>
      </c>
      <c r="K613" s="2">
        <f t="shared" si="86"/>
        <v>11717796</v>
      </c>
      <c r="M613" s="42">
        <v>25253834</v>
      </c>
      <c r="O613" s="42">
        <v>0</v>
      </c>
      <c r="Q613" s="2">
        <f t="shared" si="84"/>
        <v>3272546</v>
      </c>
      <c r="S613" s="42">
        <v>0</v>
      </c>
      <c r="U613" s="42">
        <v>3272546</v>
      </c>
      <c r="W613" s="42">
        <v>9071640</v>
      </c>
      <c r="Y613" s="42">
        <v>77753</v>
      </c>
      <c r="AA613" s="42">
        <v>0</v>
      </c>
      <c r="AC613" s="42">
        <v>0</v>
      </c>
      <c r="AE613" s="42">
        <f>1965445+93274</f>
        <v>2058719</v>
      </c>
      <c r="AG613" s="42">
        <v>10773176</v>
      </c>
      <c r="AI613" s="10">
        <f t="shared" si="85"/>
        <v>12909648</v>
      </c>
      <c r="AK613" s="42">
        <f t="shared" si="83"/>
        <v>0</v>
      </c>
    </row>
    <row r="614" spans="1:37" hidden="1">
      <c r="A614" s="9" t="s">
        <v>617</v>
      </c>
      <c r="B614" s="9"/>
      <c r="C614" s="9" t="s">
        <v>41</v>
      </c>
      <c r="D614" s="9"/>
      <c r="E614" s="23">
        <v>45088</v>
      </c>
      <c r="G614" s="42">
        <v>0</v>
      </c>
      <c r="I614" s="42">
        <v>0</v>
      </c>
      <c r="K614" s="2">
        <f t="shared" si="86"/>
        <v>0</v>
      </c>
      <c r="M614" s="42">
        <v>0</v>
      </c>
      <c r="O614" s="42">
        <v>0</v>
      </c>
      <c r="Q614" s="2">
        <f t="shared" si="84"/>
        <v>0</v>
      </c>
      <c r="S614" s="42">
        <v>0</v>
      </c>
      <c r="U614" s="42">
        <v>0</v>
      </c>
      <c r="W614" s="42">
        <v>0</v>
      </c>
      <c r="Y614" s="42">
        <v>0</v>
      </c>
      <c r="AA614" s="42">
        <v>0</v>
      </c>
      <c r="AC614" s="42">
        <v>0</v>
      </c>
      <c r="AE614" s="42">
        <v>0</v>
      </c>
      <c r="AG614" s="42">
        <v>0</v>
      </c>
      <c r="AI614" s="10">
        <f t="shared" si="85"/>
        <v>0</v>
      </c>
      <c r="AK614" s="42">
        <f t="shared" si="83"/>
        <v>0</v>
      </c>
    </row>
    <row r="615" spans="1:37">
      <c r="A615" s="9" t="s">
        <v>358</v>
      </c>
      <c r="B615" s="9"/>
      <c r="C615" s="9" t="s">
        <v>37</v>
      </c>
      <c r="D615" s="9"/>
      <c r="E615" s="23">
        <v>45096</v>
      </c>
      <c r="G615" s="42">
        <v>612588</v>
      </c>
      <c r="I615" s="42">
        <v>0</v>
      </c>
      <c r="K615" s="2">
        <f t="shared" si="86"/>
        <v>5915305</v>
      </c>
      <c r="M615" s="42">
        <v>6527893</v>
      </c>
      <c r="O615" s="42">
        <v>0</v>
      </c>
      <c r="Q615" s="2">
        <f t="shared" si="84"/>
        <v>2202086</v>
      </c>
      <c r="S615" s="42">
        <v>0</v>
      </c>
      <c r="U615" s="42">
        <v>2202086</v>
      </c>
      <c r="W615" s="42">
        <v>4855223</v>
      </c>
      <c r="Y615" s="42">
        <f>20729+59571</f>
        <v>80300</v>
      </c>
      <c r="AA615" s="42">
        <v>0</v>
      </c>
      <c r="AC615" s="42">
        <v>0</v>
      </c>
      <c r="AE615" s="42">
        <f>15434+400763+17279</f>
        <v>433476</v>
      </c>
      <c r="AG615" s="42">
        <v>-1043192</v>
      </c>
      <c r="AI615" s="10">
        <f t="shared" si="85"/>
        <v>-529416</v>
      </c>
      <c r="AK615" s="42">
        <f t="shared" si="83"/>
        <v>0</v>
      </c>
    </row>
    <row r="616" spans="1:37" hidden="1">
      <c r="A616" s="9" t="s">
        <v>881</v>
      </c>
      <c r="B616" s="9"/>
      <c r="C616" s="9" t="s">
        <v>112</v>
      </c>
      <c r="D616" s="9"/>
      <c r="E616" s="23">
        <v>46367</v>
      </c>
      <c r="G616" s="42">
        <v>0</v>
      </c>
      <c r="I616" s="42">
        <v>0</v>
      </c>
      <c r="K616" s="2">
        <f t="shared" si="86"/>
        <v>0</v>
      </c>
      <c r="M616" s="42">
        <v>0</v>
      </c>
      <c r="O616" s="42">
        <v>0</v>
      </c>
      <c r="Q616" s="2">
        <f t="shared" si="84"/>
        <v>0</v>
      </c>
      <c r="S616" s="42">
        <v>0</v>
      </c>
      <c r="U616" s="42">
        <v>0</v>
      </c>
      <c r="W616" s="42">
        <v>0</v>
      </c>
      <c r="Y616" s="42">
        <v>0</v>
      </c>
      <c r="AA616" s="42">
        <v>0</v>
      </c>
      <c r="AC616" s="42">
        <v>0</v>
      </c>
      <c r="AE616" s="42">
        <v>0</v>
      </c>
      <c r="AG616" s="42">
        <v>0</v>
      </c>
      <c r="AI616" s="10">
        <f t="shared" si="85"/>
        <v>0</v>
      </c>
      <c r="AK616" s="42">
        <f t="shared" si="83"/>
        <v>0</v>
      </c>
    </row>
    <row r="617" spans="1:37">
      <c r="A617" s="9" t="s">
        <v>363</v>
      </c>
      <c r="B617" s="9"/>
      <c r="C617" s="9" t="s">
        <v>41</v>
      </c>
      <c r="D617" s="9"/>
      <c r="E617" s="23">
        <v>45104</v>
      </c>
      <c r="G617" s="42">
        <v>11623672</v>
      </c>
      <c r="I617" s="42">
        <v>0</v>
      </c>
      <c r="K617" s="2">
        <f t="shared" si="86"/>
        <v>61169072</v>
      </c>
      <c r="M617" s="42">
        <v>72792744</v>
      </c>
      <c r="O617" s="42">
        <v>0</v>
      </c>
      <c r="Q617" s="2">
        <f t="shared" si="84"/>
        <v>10807179</v>
      </c>
      <c r="S617" s="42">
        <v>0</v>
      </c>
      <c r="U617" s="42">
        <f>66958563-56151384</f>
        <v>10807179</v>
      </c>
      <c r="W617" s="42">
        <v>56151384</v>
      </c>
      <c r="Y617" s="42">
        <v>477</v>
      </c>
      <c r="AA617" s="42">
        <v>0</v>
      </c>
      <c r="AC617" s="42">
        <v>1698610</v>
      </c>
      <c r="AE617" s="42">
        <v>3724176</v>
      </c>
      <c r="AG617" s="42">
        <v>410918</v>
      </c>
      <c r="AI617" s="10">
        <f t="shared" si="85"/>
        <v>5834181</v>
      </c>
      <c r="AK617" s="42">
        <f t="shared" si="83"/>
        <v>0</v>
      </c>
    </row>
    <row r="618" spans="1:37">
      <c r="A618" s="9" t="s">
        <v>243</v>
      </c>
      <c r="B618" s="9"/>
      <c r="C618" s="9" t="s">
        <v>18</v>
      </c>
      <c r="D618" s="9"/>
      <c r="E618" s="23">
        <v>45112</v>
      </c>
      <c r="G618" s="42">
        <v>3143861</v>
      </c>
      <c r="I618" s="42">
        <v>57982</v>
      </c>
      <c r="K618" s="2">
        <f t="shared" si="86"/>
        <v>15202099</v>
      </c>
      <c r="M618" s="42">
        <v>18403942</v>
      </c>
      <c r="O618" s="42">
        <v>0</v>
      </c>
      <c r="Q618" s="2">
        <f t="shared" si="84"/>
        <v>2630247</v>
      </c>
      <c r="S618" s="42">
        <v>0</v>
      </c>
      <c r="U618" s="42">
        <f>15365064-12734817</f>
        <v>2630247</v>
      </c>
      <c r="W618" s="42">
        <v>12734817</v>
      </c>
      <c r="Y618" s="42">
        <v>0</v>
      </c>
      <c r="AA618" s="42">
        <v>0</v>
      </c>
      <c r="AC618" s="42">
        <v>0</v>
      </c>
      <c r="AE618" s="42">
        <v>1717821</v>
      </c>
      <c r="AG618" s="42">
        <v>1321057</v>
      </c>
      <c r="AI618" s="10">
        <f t="shared" si="85"/>
        <v>3038878</v>
      </c>
      <c r="AK618" s="42">
        <f t="shared" si="83"/>
        <v>0</v>
      </c>
    </row>
    <row r="619" spans="1:37">
      <c r="A619" s="9" t="s">
        <v>776</v>
      </c>
      <c r="B619" s="9"/>
      <c r="C619" s="9" t="s">
        <v>56</v>
      </c>
      <c r="D619" s="9"/>
      <c r="E619" s="23">
        <v>45666</v>
      </c>
      <c r="G619" s="42">
        <f>2888477+198921</f>
        <v>3087398</v>
      </c>
      <c r="I619" s="42">
        <v>0</v>
      </c>
      <c r="K619" s="2">
        <f t="shared" si="86"/>
        <v>1662386</v>
      </c>
      <c r="M619" s="42">
        <v>4749784</v>
      </c>
      <c r="O619" s="42">
        <v>0</v>
      </c>
      <c r="Q619" s="2">
        <f t="shared" si="84"/>
        <v>863215</v>
      </c>
      <c r="S619" s="42">
        <v>0</v>
      </c>
      <c r="U619" s="42">
        <v>863215</v>
      </c>
      <c r="W619" s="42">
        <v>1385242</v>
      </c>
      <c r="Y619" s="42">
        <v>19450</v>
      </c>
      <c r="AA619" s="42">
        <v>0</v>
      </c>
      <c r="AC619" s="42">
        <v>0</v>
      </c>
      <c r="AE619" s="42">
        <f>6809+5661+217619</f>
        <v>230089</v>
      </c>
      <c r="AG619" s="42">
        <v>2251788</v>
      </c>
      <c r="AI619" s="10">
        <f t="shared" si="85"/>
        <v>2501327</v>
      </c>
      <c r="AK619" s="42">
        <f t="shared" si="83"/>
        <v>0</v>
      </c>
    </row>
    <row r="620" spans="1:37">
      <c r="A620" s="9" t="s">
        <v>330</v>
      </c>
      <c r="B620" s="9"/>
      <c r="C620" s="9" t="s">
        <v>32</v>
      </c>
      <c r="D620" s="9"/>
      <c r="E620" s="23">
        <v>44081</v>
      </c>
      <c r="G620" s="42">
        <v>10383500</v>
      </c>
      <c r="I620" s="42">
        <v>0</v>
      </c>
      <c r="K620" s="2">
        <f t="shared" si="86"/>
        <v>24849973</v>
      </c>
      <c r="M620" s="42">
        <v>35233473</v>
      </c>
      <c r="O620" s="42">
        <v>0</v>
      </c>
      <c r="Q620" s="2">
        <f t="shared" si="84"/>
        <v>3652869</v>
      </c>
      <c r="S620" s="42">
        <v>0</v>
      </c>
      <c r="U620" s="42">
        <f>20032998-16380129</f>
        <v>3652869</v>
      </c>
      <c r="W620" s="42">
        <v>16380129</v>
      </c>
      <c r="Y620" s="42">
        <v>0</v>
      </c>
      <c r="AA620" s="42">
        <v>0</v>
      </c>
      <c r="AC620" s="42">
        <v>0</v>
      </c>
      <c r="AE620" s="42">
        <v>121974</v>
      </c>
      <c r="AG620" s="42">
        <v>15078501</v>
      </c>
      <c r="AI620" s="10">
        <f t="shared" si="85"/>
        <v>15200475</v>
      </c>
      <c r="AK620" s="42">
        <f t="shared" si="83"/>
        <v>0</v>
      </c>
    </row>
    <row r="621" spans="1:37">
      <c r="A621" s="9" t="s">
        <v>546</v>
      </c>
      <c r="B621" s="9"/>
      <c r="C621" s="9" t="s">
        <v>70</v>
      </c>
      <c r="D621" s="9"/>
      <c r="E621" s="23">
        <v>50518</v>
      </c>
      <c r="G621" s="42">
        <v>7816694</v>
      </c>
      <c r="I621" s="42">
        <v>0</v>
      </c>
      <c r="K621" s="2">
        <f t="shared" si="86"/>
        <v>4887913</v>
      </c>
      <c r="M621" s="42">
        <v>12704607</v>
      </c>
      <c r="O621" s="42">
        <v>0</v>
      </c>
      <c r="Q621" s="2">
        <f t="shared" si="84"/>
        <v>710261</v>
      </c>
      <c r="S621" s="42">
        <v>0</v>
      </c>
      <c r="U621" s="42">
        <v>710261</v>
      </c>
      <c r="W621" s="42">
        <v>4719295</v>
      </c>
      <c r="Y621" s="42">
        <v>89956</v>
      </c>
      <c r="AA621" s="42">
        <v>0</v>
      </c>
      <c r="AC621" s="42">
        <v>34108</v>
      </c>
      <c r="AE621" s="42">
        <v>528782</v>
      </c>
      <c r="AG621" s="42">
        <v>6622205</v>
      </c>
      <c r="AI621" s="10">
        <f t="shared" si="85"/>
        <v>7275051</v>
      </c>
      <c r="AK621" s="42">
        <f t="shared" si="83"/>
        <v>0</v>
      </c>
    </row>
    <row r="622" spans="1:37">
      <c r="A622" s="9" t="s">
        <v>475</v>
      </c>
      <c r="B622" s="9"/>
      <c r="C622" s="9" t="s">
        <v>79</v>
      </c>
      <c r="D622" s="9"/>
      <c r="E622" s="23">
        <v>49577</v>
      </c>
      <c r="G622" s="42">
        <v>400076</v>
      </c>
      <c r="I622" s="42">
        <v>430</v>
      </c>
      <c r="K622" s="2">
        <f t="shared" si="86"/>
        <v>4186636</v>
      </c>
      <c r="M622" s="42">
        <v>4587142</v>
      </c>
      <c r="O622" s="42">
        <v>0</v>
      </c>
      <c r="Q622" s="2">
        <f t="shared" si="84"/>
        <v>879739</v>
      </c>
      <c r="S622" s="42">
        <v>0</v>
      </c>
      <c r="U622" s="42">
        <v>879739</v>
      </c>
      <c r="W622" s="42">
        <v>3353812</v>
      </c>
      <c r="Y622" s="42">
        <f>17249+11688+36735</f>
        <v>65672</v>
      </c>
      <c r="AA622" s="42">
        <f>430+6429</f>
        <v>6859</v>
      </c>
      <c r="AC622" s="42">
        <v>0</v>
      </c>
      <c r="AE622" s="42">
        <f>2192+18618+21178+43284</f>
        <v>85272</v>
      </c>
      <c r="AG622" s="42">
        <v>195788</v>
      </c>
      <c r="AI622" s="10">
        <f t="shared" si="85"/>
        <v>353591</v>
      </c>
      <c r="AK622" s="42">
        <f t="shared" si="83"/>
        <v>0</v>
      </c>
    </row>
    <row r="623" spans="1:37">
      <c r="A623" s="9" t="s">
        <v>513</v>
      </c>
      <c r="B623" s="9"/>
      <c r="C623" s="9" t="s">
        <v>63</v>
      </c>
      <c r="D623" s="9"/>
      <c r="E623" s="23">
        <v>49973</v>
      </c>
      <c r="G623" s="42">
        <f>5612274+1094101</f>
        <v>6706375</v>
      </c>
      <c r="I623" s="42">
        <v>0</v>
      </c>
      <c r="K623" s="2">
        <f t="shared" si="86"/>
        <v>17421407</v>
      </c>
      <c r="M623" s="42">
        <v>24127782</v>
      </c>
      <c r="O623" s="42">
        <v>0</v>
      </c>
      <c r="Q623" s="2">
        <f t="shared" si="84"/>
        <v>2962629</v>
      </c>
      <c r="S623" s="42">
        <v>0</v>
      </c>
      <c r="U623" s="42">
        <v>2962629</v>
      </c>
      <c r="W623" s="42">
        <v>16702042</v>
      </c>
      <c r="Y623" s="42">
        <v>11195</v>
      </c>
      <c r="AA623" s="42">
        <v>0</v>
      </c>
      <c r="AC623" s="42">
        <v>0</v>
      </c>
      <c r="AE623" s="42">
        <v>641928</v>
      </c>
      <c r="AG623" s="42">
        <v>3809988</v>
      </c>
      <c r="AI623" s="10">
        <f t="shared" si="85"/>
        <v>4463111</v>
      </c>
      <c r="AK623" s="42">
        <f t="shared" si="83"/>
        <v>0</v>
      </c>
    </row>
    <row r="624" spans="1:37">
      <c r="A624" s="9" t="s">
        <v>618</v>
      </c>
      <c r="B624" s="9"/>
      <c r="C624" s="9" t="s">
        <v>71</v>
      </c>
      <c r="D624" s="9"/>
      <c r="E624" s="23">
        <v>45120</v>
      </c>
      <c r="G624" s="42">
        <v>25595368</v>
      </c>
      <c r="I624" s="42">
        <v>0</v>
      </c>
      <c r="K624" s="2">
        <f t="shared" si="86"/>
        <v>25810288</v>
      </c>
      <c r="M624" s="42">
        <v>51405656</v>
      </c>
      <c r="O624" s="42">
        <v>0</v>
      </c>
      <c r="Q624" s="2">
        <f t="shared" si="84"/>
        <v>4582386</v>
      </c>
      <c r="S624" s="42">
        <v>0</v>
      </c>
      <c r="U624" s="42">
        <f>27994414-23412028</f>
        <v>4582386</v>
      </c>
      <c r="W624" s="42">
        <v>23412028</v>
      </c>
      <c r="Y624" s="42">
        <v>0</v>
      </c>
      <c r="AA624" s="42">
        <v>0</v>
      </c>
      <c r="AC624" s="42">
        <v>303240</v>
      </c>
      <c r="AE624" s="42">
        <v>948066</v>
      </c>
      <c r="AG624" s="42">
        <v>22159936</v>
      </c>
      <c r="AI624" s="10">
        <f t="shared" si="85"/>
        <v>23411242</v>
      </c>
      <c r="AK624" s="42">
        <f t="shared" si="83"/>
        <v>0</v>
      </c>
    </row>
    <row r="625" spans="1:37">
      <c r="A625" s="9" t="s">
        <v>309</v>
      </c>
      <c r="B625" s="9"/>
      <c r="C625" s="9" t="s">
        <v>27</v>
      </c>
      <c r="D625" s="9"/>
      <c r="E625" s="23">
        <v>45138</v>
      </c>
      <c r="G625" s="42">
        <v>58648106</v>
      </c>
      <c r="I625" s="42">
        <v>0</v>
      </c>
      <c r="K625" s="2">
        <f t="shared" si="86"/>
        <v>87599542</v>
      </c>
      <c r="M625" s="42">
        <v>146247648</v>
      </c>
      <c r="O625" s="42">
        <v>0</v>
      </c>
      <c r="Q625" s="2">
        <f t="shared" si="84"/>
        <v>16668241</v>
      </c>
      <c r="S625" s="42">
        <v>0</v>
      </c>
      <c r="U625" s="42">
        <v>16668241</v>
      </c>
      <c r="W625" s="42">
        <v>59019730</v>
      </c>
      <c r="Y625" s="42">
        <v>142703</v>
      </c>
      <c r="AA625" s="42">
        <v>0</v>
      </c>
      <c r="AC625" s="42">
        <v>3118000</v>
      </c>
      <c r="AE625" s="42">
        <v>2350474</v>
      </c>
      <c r="AG625" s="42">
        <v>64948500</v>
      </c>
      <c r="AI625" s="10">
        <f t="shared" si="85"/>
        <v>70559677</v>
      </c>
      <c r="AK625" s="42">
        <f t="shared" si="83"/>
        <v>0</v>
      </c>
    </row>
    <row r="626" spans="1:37">
      <c r="A626" s="9" t="s">
        <v>258</v>
      </c>
      <c r="B626" s="9"/>
      <c r="C626" s="9" t="s">
        <v>110</v>
      </c>
      <c r="D626" s="9"/>
      <c r="E626" s="23">
        <v>46524</v>
      </c>
      <c r="G626" s="42">
        <v>247676</v>
      </c>
      <c r="I626" s="42">
        <v>0</v>
      </c>
      <c r="K626" s="2">
        <f t="shared" si="86"/>
        <v>3575615</v>
      </c>
      <c r="M626" s="42">
        <v>3823291</v>
      </c>
      <c r="O626" s="42">
        <v>0</v>
      </c>
      <c r="Q626" s="2">
        <f t="shared" si="84"/>
        <v>1035833</v>
      </c>
      <c r="S626" s="42">
        <v>0</v>
      </c>
      <c r="U626" s="42">
        <v>1035833</v>
      </c>
      <c r="W626" s="42">
        <v>2464284</v>
      </c>
      <c r="Y626" s="42">
        <v>8235</v>
      </c>
      <c r="AA626" s="42">
        <v>0</v>
      </c>
      <c r="AC626" s="42">
        <f>5619+5842</f>
        <v>11461</v>
      </c>
      <c r="AE626" s="42">
        <f>58615+2820+147616</f>
        <v>209051</v>
      </c>
      <c r="AG626" s="42">
        <v>94427</v>
      </c>
      <c r="AI626" s="10">
        <f t="shared" si="85"/>
        <v>323174</v>
      </c>
      <c r="AK626" s="42">
        <f t="shared" si="83"/>
        <v>0</v>
      </c>
    </row>
    <row r="627" spans="1:37">
      <c r="A627" s="9" t="s">
        <v>331</v>
      </c>
      <c r="B627" s="9"/>
      <c r="C627" s="9" t="s">
        <v>32</v>
      </c>
      <c r="D627" s="9"/>
      <c r="E627" s="23">
        <v>45146</v>
      </c>
      <c r="G627" s="42">
        <v>10205003</v>
      </c>
      <c r="I627" s="42">
        <v>0</v>
      </c>
      <c r="K627" s="2">
        <f t="shared" si="86"/>
        <v>11930150</v>
      </c>
      <c r="M627" s="42">
        <v>22135153</v>
      </c>
      <c r="O627" s="42">
        <v>0</v>
      </c>
      <c r="Q627" s="2">
        <f t="shared" si="84"/>
        <v>2499910</v>
      </c>
      <c r="S627" s="42">
        <v>0</v>
      </c>
      <c r="U627" s="42">
        <f>7737051-5237141</f>
        <v>2499910</v>
      </c>
      <c r="W627" s="42">
        <v>5237141</v>
      </c>
      <c r="Y627" s="42">
        <v>0</v>
      </c>
      <c r="AA627" s="42">
        <v>0</v>
      </c>
      <c r="AC627" s="42">
        <v>0</v>
      </c>
      <c r="AE627" s="42">
        <v>631605</v>
      </c>
      <c r="AG627" s="42">
        <v>13766497</v>
      </c>
      <c r="AI627" s="10">
        <f t="shared" si="85"/>
        <v>14398102</v>
      </c>
      <c r="AK627" s="42">
        <f t="shared" si="83"/>
        <v>0</v>
      </c>
    </row>
    <row r="628" spans="1:37">
      <c r="A628" s="8" t="s">
        <v>872</v>
      </c>
      <c r="B628" s="8"/>
      <c r="C628" s="8" t="s">
        <v>113</v>
      </c>
      <c r="D628" s="8"/>
      <c r="E628" s="23">
        <v>45153</v>
      </c>
      <c r="G628" s="42">
        <v>6950967</v>
      </c>
      <c r="I628" s="42">
        <v>0</v>
      </c>
      <c r="K628" s="2">
        <f t="shared" ref="K628" si="87">+M628-I628-G628</f>
        <v>20483531</v>
      </c>
      <c r="M628" s="42">
        <v>27434498</v>
      </c>
      <c r="O628" s="42">
        <v>0</v>
      </c>
      <c r="Q628" s="2">
        <f t="shared" ref="Q628" si="88">+U628-S628</f>
        <v>4427252</v>
      </c>
      <c r="S628" s="42">
        <v>0</v>
      </c>
      <c r="U628" s="42">
        <v>4427252</v>
      </c>
      <c r="W628" s="42">
        <v>17388852</v>
      </c>
      <c r="Y628" s="42">
        <v>3579</v>
      </c>
      <c r="AA628" s="42">
        <v>0</v>
      </c>
      <c r="AC628" s="42">
        <v>0</v>
      </c>
      <c r="AE628" s="42">
        <f>42583+629561+60+350+1524808+69515</f>
        <v>2266877</v>
      </c>
      <c r="AG628" s="42">
        <v>3347938</v>
      </c>
      <c r="AI628" s="10">
        <f t="shared" ref="AI628" si="89">+AC628+AA628++Y628+AE628+AG628</f>
        <v>5618394</v>
      </c>
      <c r="AK628" s="42">
        <f t="shared" si="83"/>
        <v>0</v>
      </c>
    </row>
    <row r="629" spans="1:37">
      <c r="A629" s="9" t="s">
        <v>777</v>
      </c>
      <c r="B629" s="9"/>
      <c r="C629" s="9" t="s">
        <v>113</v>
      </c>
      <c r="D629" s="9"/>
      <c r="E629" s="23">
        <v>45674</v>
      </c>
      <c r="G629" s="42">
        <v>2055598</v>
      </c>
      <c r="I629" s="42">
        <v>0</v>
      </c>
      <c r="K629" s="2">
        <f t="shared" si="86"/>
        <v>4623158</v>
      </c>
      <c r="M629" s="42">
        <v>6678756</v>
      </c>
      <c r="O629" s="42">
        <v>0</v>
      </c>
      <c r="Q629" s="2">
        <f t="shared" si="84"/>
        <v>893205</v>
      </c>
      <c r="S629" s="42">
        <v>0</v>
      </c>
      <c r="U629" s="42">
        <v>893205</v>
      </c>
      <c r="W629" s="42">
        <v>3569821</v>
      </c>
      <c r="Y629" s="42">
        <v>0</v>
      </c>
      <c r="AA629" s="42">
        <v>0</v>
      </c>
      <c r="AC629" s="42">
        <v>0</v>
      </c>
      <c r="AE629" s="42">
        <v>1589056</v>
      </c>
      <c r="AG629" s="42">
        <v>626674</v>
      </c>
      <c r="AI629" s="10">
        <f t="shared" si="85"/>
        <v>2215730</v>
      </c>
      <c r="AK629" s="42">
        <f t="shared" si="83"/>
        <v>0</v>
      </c>
    </row>
    <row r="630" spans="1:37">
      <c r="A630" s="9" t="s">
        <v>406</v>
      </c>
      <c r="B630" s="9"/>
      <c r="C630" s="9" t="s">
        <v>45</v>
      </c>
      <c r="D630" s="9"/>
      <c r="E630" s="23">
        <v>45161</v>
      </c>
      <c r="G630" s="42">
        <v>9034836</v>
      </c>
      <c r="I630" s="42">
        <v>139539</v>
      </c>
      <c r="K630" s="2">
        <f t="shared" si="86"/>
        <v>26027733</v>
      </c>
      <c r="M630" s="42">
        <v>35202108</v>
      </c>
      <c r="O630" s="42">
        <v>0</v>
      </c>
      <c r="Q630" s="2">
        <f t="shared" si="84"/>
        <v>7940929</v>
      </c>
      <c r="S630" s="42">
        <v>0</v>
      </c>
      <c r="U630" s="42">
        <v>7940929</v>
      </c>
      <c r="W630" s="42">
        <v>24714432</v>
      </c>
      <c r="Y630" s="42">
        <v>575954</v>
      </c>
      <c r="AA630" s="42">
        <v>0</v>
      </c>
      <c r="AC630" s="42">
        <v>25519</v>
      </c>
      <c r="AE630" s="42">
        <v>1583368</v>
      </c>
      <c r="AG630" s="42">
        <v>361906</v>
      </c>
      <c r="AI630" s="10">
        <f t="shared" si="85"/>
        <v>2546747</v>
      </c>
      <c r="AK630" s="42">
        <f t="shared" si="83"/>
        <v>0</v>
      </c>
    </row>
    <row r="631" spans="1:37">
      <c r="A631" s="9" t="s">
        <v>474</v>
      </c>
      <c r="B631" s="9"/>
      <c r="C631" s="9" t="s">
        <v>58</v>
      </c>
      <c r="D631" s="9"/>
      <c r="E631" s="23">
        <v>49544</v>
      </c>
      <c r="G631" s="42">
        <v>2022657</v>
      </c>
      <c r="I631" s="42">
        <v>744260</v>
      </c>
      <c r="K631" s="2">
        <f t="shared" si="86"/>
        <v>4259193</v>
      </c>
      <c r="M631" s="42">
        <v>7026110</v>
      </c>
      <c r="O631" s="42">
        <v>0</v>
      </c>
      <c r="Q631" s="2">
        <f t="shared" si="84"/>
        <v>1389547</v>
      </c>
      <c r="S631" s="42">
        <v>0</v>
      </c>
      <c r="U631" s="42">
        <v>1389547</v>
      </c>
      <c r="W631" s="42">
        <v>3861722</v>
      </c>
      <c r="Y631" s="42">
        <v>67518</v>
      </c>
      <c r="AA631" s="42">
        <v>744260</v>
      </c>
      <c r="AC631" s="42">
        <v>0</v>
      </c>
      <c r="AE631" s="42">
        <v>428344</v>
      </c>
      <c r="AG631" s="42">
        <v>534719</v>
      </c>
      <c r="AI631" s="10">
        <f t="shared" si="85"/>
        <v>1774841</v>
      </c>
      <c r="AK631" s="42">
        <f t="shared" si="83"/>
        <v>0</v>
      </c>
    </row>
    <row r="632" spans="1:37">
      <c r="A632" s="9" t="s">
        <v>445</v>
      </c>
      <c r="B632" s="9"/>
      <c r="C632" s="9" t="s">
        <v>51</v>
      </c>
      <c r="D632" s="9"/>
      <c r="E632" s="23">
        <v>45179</v>
      </c>
      <c r="G632" s="42">
        <v>4589393</v>
      </c>
      <c r="I632" s="42">
        <v>1492</v>
      </c>
      <c r="K632" s="2">
        <f t="shared" si="86"/>
        <v>11590350</v>
      </c>
      <c r="M632" s="42">
        <v>16181235</v>
      </c>
      <c r="O632" s="42">
        <v>0</v>
      </c>
      <c r="Q632" s="2">
        <f t="shared" si="84"/>
        <v>4125854</v>
      </c>
      <c r="S632" s="42">
        <v>0</v>
      </c>
      <c r="U632" s="42">
        <v>4125854</v>
      </c>
      <c r="W632" s="42">
        <v>8237377</v>
      </c>
      <c r="Y632" s="42">
        <f>30146+1492</f>
        <v>31638</v>
      </c>
      <c r="AA632" s="42">
        <v>0</v>
      </c>
      <c r="AC632" s="42">
        <v>0</v>
      </c>
      <c r="AE632" s="42">
        <f>1210352+135627+28584</f>
        <v>1374563</v>
      </c>
      <c r="AG632" s="42">
        <v>2411803</v>
      </c>
      <c r="AI632" s="10">
        <f t="shared" si="85"/>
        <v>3818004</v>
      </c>
      <c r="AK632" s="42">
        <f t="shared" si="83"/>
        <v>0</v>
      </c>
    </row>
    <row r="633" spans="1:37">
      <c r="A633" s="9"/>
      <c r="B633" s="9"/>
      <c r="C633" s="9"/>
      <c r="D633" s="9"/>
    </row>
  </sheetData>
  <mergeCells count="2">
    <mergeCell ref="G8:K8"/>
    <mergeCell ref="Y8:AG8"/>
  </mergeCells>
  <phoneticPr fontId="3" type="noConversion"/>
  <pageMargins left="0.75" right="0.5" top="0.5" bottom="0.5" header="0.25" footer="0.25"/>
  <pageSetup scale="76" firstPageNumber="78" pageOrder="overThenDown" orientation="portrait" useFirstPageNumber="1" r:id="rId1"/>
  <headerFooter scaleWithDoc="0" alignWithMargins="0"/>
  <rowBreaks count="6" manualBreakCount="6">
    <brk id="100" max="35" man="1"/>
    <brk id="192" max="35" man="1"/>
    <brk id="282" max="35" man="1"/>
    <brk id="371" max="35" man="1"/>
    <brk id="472" max="35" man="1"/>
    <brk id="556" max="3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33"/>
  <sheetViews>
    <sheetView zoomScaleNormal="100" zoomScaleSheetLayoutView="100" workbookViewId="0">
      <pane xSplit="5" ySplit="11" topLeftCell="F12" activePane="bottomRight" state="frozen"/>
      <selection activeCell="K503" sqref="K503"/>
      <selection pane="topRight" activeCell="K503" sqref="K503"/>
      <selection pane="bottomLeft" activeCell="K503" sqref="K503"/>
      <selection pane="bottomRight" activeCell="F12" sqref="F12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1.7109375" style="42" customWidth="1"/>
    <col min="8" max="8" width="1.7109375" style="42" customWidth="1"/>
    <col min="9" max="9" width="11.7109375" style="42" customWidth="1"/>
    <col min="10" max="10" width="1.5703125" style="42" customWidth="1"/>
    <col min="11" max="11" width="10.28515625" style="42" bestFit="1" customWidth="1"/>
    <col min="12" max="12" width="1.5703125" style="42" customWidth="1"/>
    <col min="13" max="13" width="9.5703125" style="42" bestFit="1" customWidth="1"/>
    <col min="14" max="14" width="1.5703125" style="42" customWidth="1"/>
    <col min="15" max="15" width="11.7109375" style="42" customWidth="1"/>
    <col min="16" max="16" width="1.5703125" style="42" customWidth="1"/>
    <col min="17" max="17" width="11.7109375" style="42" customWidth="1"/>
    <col min="18" max="18" width="1.7109375" style="42" customWidth="1"/>
    <col min="19" max="19" width="9.28515625" style="42" bestFit="1" customWidth="1"/>
    <col min="20" max="20" width="1.7109375" style="42" customWidth="1"/>
    <col min="21" max="21" width="10.5703125" style="42" bestFit="1" customWidth="1"/>
    <col min="22" max="22" width="1.7109375" style="42" customWidth="1"/>
    <col min="23" max="23" width="9.28515625" style="42" bestFit="1" customWidth="1"/>
    <col min="24" max="24" width="1.7109375" style="42" customWidth="1"/>
    <col min="25" max="25" width="10.140625" style="42" bestFit="1" customWidth="1"/>
    <col min="26" max="26" width="1.7109375" style="42" customWidth="1"/>
    <col min="27" max="27" width="9.28515625" style="42" bestFit="1" customWidth="1"/>
    <col min="28" max="28" width="1.7109375" style="42" customWidth="1"/>
    <col min="29" max="29" width="9.42578125" style="42" hidden="1" customWidth="1"/>
    <col min="30" max="30" width="1.7109375" style="42" hidden="1" customWidth="1"/>
    <col min="31" max="31" width="9.28515625" style="42" bestFit="1" customWidth="1"/>
    <col min="32" max="32" width="1.7109375" style="42" customWidth="1"/>
    <col min="33" max="33" width="9" style="42" customWidth="1"/>
    <col min="34" max="34" width="1.7109375" style="42" customWidth="1"/>
    <col min="35" max="35" width="10.85546875" style="42" bestFit="1" customWidth="1"/>
    <col min="36" max="36" width="1.7109375" style="42" hidden="1" customWidth="1"/>
    <col min="37" max="37" width="8.42578125" style="42" hidden="1" customWidth="1"/>
    <col min="38" max="38" width="1.5703125" style="42" customWidth="1"/>
    <col min="39" max="39" width="12" style="42" customWidth="1"/>
    <col min="40" max="40" width="6.7109375" style="42" customWidth="1"/>
    <col min="41" max="16384" width="9.140625" style="42"/>
  </cols>
  <sheetData>
    <row r="1" spans="1:40" s="11" customFormat="1">
      <c r="A1" s="20" t="s">
        <v>124</v>
      </c>
      <c r="B1" s="20"/>
      <c r="C1" s="20"/>
      <c r="D1" s="20"/>
      <c r="E1" s="20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20"/>
      <c r="AA1" s="20"/>
    </row>
    <row r="2" spans="1:40" s="11" customFormat="1">
      <c r="A2" s="25" t="s">
        <v>899</v>
      </c>
      <c r="B2" s="20"/>
      <c r="C2" s="20"/>
      <c r="D2" s="20"/>
      <c r="E2" s="20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20"/>
      <c r="AA2" s="20"/>
    </row>
    <row r="3" spans="1:40" s="11" customFormat="1">
      <c r="A3" s="27"/>
      <c r="B3" s="20"/>
      <c r="C3" s="20"/>
      <c r="D3" s="20"/>
      <c r="E3" s="20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0"/>
      <c r="AA3" s="20"/>
    </row>
    <row r="4" spans="1:40">
      <c r="A4" s="20" t="s">
        <v>167</v>
      </c>
      <c r="B4" s="20"/>
      <c r="C4" s="20"/>
      <c r="D4" s="20"/>
      <c r="E4" s="20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7"/>
      <c r="AA4" s="7"/>
      <c r="AM4" s="47"/>
      <c r="AN4" s="47"/>
    </row>
    <row r="5" spans="1:40">
      <c r="A5" s="20"/>
      <c r="B5" s="20"/>
      <c r="C5" s="20"/>
      <c r="D5" s="20"/>
      <c r="E5" s="20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7"/>
      <c r="AA5" s="7"/>
      <c r="AM5" s="47"/>
      <c r="AN5" s="47"/>
    </row>
    <row r="6" spans="1:40">
      <c r="A6" s="38" t="s">
        <v>721</v>
      </c>
      <c r="B6" s="20"/>
      <c r="C6" s="20"/>
      <c r="D6" s="20"/>
      <c r="E6" s="2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7"/>
      <c r="AA6" s="7"/>
      <c r="AM6" s="47" t="s">
        <v>3</v>
      </c>
      <c r="AN6" s="47"/>
    </row>
    <row r="7" spans="1:40">
      <c r="A7" s="11"/>
      <c r="AM7" s="47" t="s">
        <v>595</v>
      </c>
      <c r="AN7" s="47"/>
    </row>
    <row r="8" spans="1:40">
      <c r="A8" s="38"/>
      <c r="B8" s="28"/>
      <c r="C8" s="28"/>
      <c r="D8" s="28"/>
      <c r="E8" s="2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7"/>
      <c r="AA8" s="74" t="s">
        <v>186</v>
      </c>
      <c r="AB8" s="74"/>
      <c r="AC8" s="74"/>
      <c r="AD8" s="74"/>
      <c r="AE8" s="74"/>
      <c r="AF8" s="74"/>
      <c r="AG8" s="74"/>
      <c r="AH8" s="17"/>
      <c r="AI8" s="17"/>
      <c r="AK8" s="47" t="s">
        <v>3</v>
      </c>
      <c r="AL8" s="47"/>
      <c r="AM8" s="47" t="s">
        <v>620</v>
      </c>
      <c r="AN8" s="47"/>
    </row>
    <row r="9" spans="1:40">
      <c r="A9" s="38"/>
      <c r="B9" s="28"/>
      <c r="C9" s="28"/>
      <c r="D9" s="28"/>
      <c r="E9" s="2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 t="s">
        <v>170</v>
      </c>
      <c r="R9" s="50"/>
      <c r="S9" s="50" t="s">
        <v>172</v>
      </c>
      <c r="T9" s="50"/>
      <c r="U9" s="50" t="s">
        <v>108</v>
      </c>
      <c r="V9" s="50"/>
      <c r="W9" s="50"/>
      <c r="X9" s="50"/>
      <c r="Y9" s="50"/>
      <c r="Z9" s="7"/>
      <c r="AA9" s="47"/>
      <c r="AB9" s="47"/>
      <c r="AC9" s="47"/>
      <c r="AD9" s="47"/>
      <c r="AE9" s="47"/>
      <c r="AF9" s="47"/>
      <c r="AG9" s="47" t="s">
        <v>125</v>
      </c>
      <c r="AH9" s="47"/>
      <c r="AK9" s="47" t="s">
        <v>82</v>
      </c>
      <c r="AL9" s="47"/>
      <c r="AM9" s="47" t="s">
        <v>597</v>
      </c>
      <c r="AN9" s="47"/>
    </row>
    <row r="10" spans="1:40">
      <c r="B10" s="50"/>
      <c r="C10" s="50"/>
      <c r="D10" s="50"/>
      <c r="E10" s="50"/>
      <c r="F10" s="50"/>
      <c r="G10" s="50" t="s">
        <v>104</v>
      </c>
      <c r="H10" s="50"/>
      <c r="I10" s="50" t="s">
        <v>568</v>
      </c>
      <c r="J10" s="50"/>
      <c r="K10" s="50" t="s">
        <v>1</v>
      </c>
      <c r="L10" s="50"/>
      <c r="M10" s="50" t="s">
        <v>591</v>
      </c>
      <c r="N10" s="50"/>
      <c r="O10" s="50" t="s">
        <v>168</v>
      </c>
      <c r="P10" s="50"/>
      <c r="Q10" s="50" t="s">
        <v>171</v>
      </c>
      <c r="R10" s="50"/>
      <c r="S10" s="50" t="s">
        <v>173</v>
      </c>
      <c r="T10" s="50"/>
      <c r="U10" s="50" t="s">
        <v>175</v>
      </c>
      <c r="V10" s="50"/>
      <c r="W10" s="50" t="s">
        <v>125</v>
      </c>
      <c r="X10" s="50"/>
      <c r="Y10" s="50" t="s">
        <v>3</v>
      </c>
      <c r="Z10" s="7"/>
      <c r="AA10" s="50"/>
      <c r="AB10" s="47"/>
      <c r="AC10" s="47"/>
      <c r="AD10" s="47"/>
      <c r="AE10" s="47" t="s">
        <v>596</v>
      </c>
      <c r="AF10" s="47"/>
      <c r="AG10" s="47" t="s">
        <v>191</v>
      </c>
      <c r="AH10" s="47"/>
      <c r="AI10" s="47" t="s">
        <v>850</v>
      </c>
      <c r="AK10" s="47" t="s">
        <v>191</v>
      </c>
      <c r="AL10" s="47"/>
      <c r="AM10" s="47" t="s">
        <v>850</v>
      </c>
      <c r="AN10" s="47"/>
    </row>
    <row r="11" spans="1:40">
      <c r="A11" s="48" t="s">
        <v>198</v>
      </c>
      <c r="B11" s="47"/>
      <c r="C11" s="48" t="s">
        <v>4</v>
      </c>
      <c r="D11" s="47"/>
      <c r="E11" s="48" t="s">
        <v>197</v>
      </c>
      <c r="F11" s="7"/>
      <c r="G11" s="48" t="s">
        <v>840</v>
      </c>
      <c r="H11" s="7"/>
      <c r="I11" s="48" t="s">
        <v>5</v>
      </c>
      <c r="J11" s="7"/>
      <c r="K11" s="48" t="s">
        <v>7</v>
      </c>
      <c r="L11" s="7"/>
      <c r="M11" s="48" t="s">
        <v>91</v>
      </c>
      <c r="N11" s="7"/>
      <c r="O11" s="48" t="s">
        <v>169</v>
      </c>
      <c r="P11" s="7"/>
      <c r="Q11" s="48" t="s">
        <v>158</v>
      </c>
      <c r="R11" s="7"/>
      <c r="S11" s="48" t="s">
        <v>174</v>
      </c>
      <c r="T11" s="50"/>
      <c r="U11" s="48" t="s">
        <v>176</v>
      </c>
      <c r="V11" s="7"/>
      <c r="W11" s="48" t="s">
        <v>8</v>
      </c>
      <c r="X11" s="7"/>
      <c r="Y11" s="48" t="s">
        <v>9</v>
      </c>
      <c r="Z11" s="7"/>
      <c r="AA11" s="48" t="s">
        <v>187</v>
      </c>
      <c r="AB11" s="47"/>
      <c r="AC11" s="48" t="s">
        <v>188</v>
      </c>
      <c r="AD11" s="47"/>
      <c r="AE11" s="48" t="s">
        <v>841</v>
      </c>
      <c r="AF11" s="47"/>
      <c r="AG11" s="48" t="s">
        <v>192</v>
      </c>
      <c r="AH11" s="47"/>
      <c r="AI11" s="48" t="s">
        <v>585</v>
      </c>
      <c r="AK11" s="48" t="s">
        <v>192</v>
      </c>
      <c r="AL11" s="47"/>
      <c r="AM11" s="48" t="s">
        <v>585</v>
      </c>
      <c r="AN11" s="50"/>
    </row>
    <row r="12" spans="1:40">
      <c r="A12" s="9"/>
      <c r="B12" s="9"/>
      <c r="C12" s="9"/>
      <c r="D12" s="9"/>
      <c r="E12" s="9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0"/>
      <c r="X12" s="10"/>
      <c r="Y12" s="2"/>
      <c r="Z12" s="7"/>
      <c r="AA12" s="7"/>
    </row>
    <row r="13" spans="1:40" hidden="1">
      <c r="A13" s="9" t="s">
        <v>851</v>
      </c>
      <c r="B13" s="9"/>
      <c r="C13" s="9" t="s">
        <v>337</v>
      </c>
      <c r="D13" s="9"/>
      <c r="E13" s="23">
        <v>45187</v>
      </c>
      <c r="G13" s="42">
        <v>0</v>
      </c>
      <c r="I13" s="42">
        <v>0</v>
      </c>
      <c r="K13" s="42">
        <v>0</v>
      </c>
      <c r="M13" s="42">
        <v>0</v>
      </c>
      <c r="O13" s="42">
        <v>0</v>
      </c>
      <c r="Q13" s="42">
        <v>0</v>
      </c>
      <c r="S13" s="42">
        <v>0</v>
      </c>
      <c r="U13" s="42">
        <v>0</v>
      </c>
      <c r="W13" s="42">
        <v>0</v>
      </c>
      <c r="Y13" s="2">
        <f t="shared" ref="Y13" si="0">SUM(G13:X13)</f>
        <v>0</v>
      </c>
      <c r="AA13" s="42">
        <v>0</v>
      </c>
      <c r="AC13" s="42">
        <v>0</v>
      </c>
      <c r="AE13" s="42">
        <v>0</v>
      </c>
      <c r="AG13" s="42">
        <v>0</v>
      </c>
      <c r="AI13" s="42">
        <v>0</v>
      </c>
      <c r="AK13" s="42">
        <f t="shared" ref="AK13" si="1">SUM(AA13:AJ13)</f>
        <v>0</v>
      </c>
      <c r="AM13" s="42">
        <f t="shared" ref="AM13" si="2">+AK13+Y13</f>
        <v>0</v>
      </c>
    </row>
    <row r="14" spans="1:40" s="24" customFormat="1">
      <c r="A14" s="51" t="s">
        <v>782</v>
      </c>
      <c r="B14" s="51"/>
      <c r="C14" s="51" t="s">
        <v>199</v>
      </c>
      <c r="D14" s="51"/>
      <c r="E14" s="51">
        <v>61903</v>
      </c>
      <c r="F14" s="52"/>
      <c r="G14" s="24">
        <v>5928715</v>
      </c>
      <c r="I14" s="24">
        <v>0</v>
      </c>
      <c r="K14" s="24">
        <v>27042019</v>
      </c>
      <c r="M14" s="24">
        <v>11868</v>
      </c>
      <c r="O14" s="24">
        <f>1286367+119342</f>
        <v>1405709</v>
      </c>
      <c r="Q14" s="24">
        <v>159109</v>
      </c>
      <c r="S14" s="24">
        <v>0</v>
      </c>
      <c r="U14" s="24">
        <v>0</v>
      </c>
      <c r="W14" s="24">
        <v>468895</v>
      </c>
      <c r="Y14" s="60">
        <f>SUM(G14:X14)</f>
        <v>35016315</v>
      </c>
      <c r="AA14" s="24">
        <v>0</v>
      </c>
      <c r="AC14" s="24">
        <v>0</v>
      </c>
      <c r="AE14" s="24">
        <v>0</v>
      </c>
      <c r="AG14" s="24">
        <v>850</v>
      </c>
      <c r="AI14" s="24">
        <v>0</v>
      </c>
      <c r="AK14" s="24">
        <f>SUM(AA14:AJ14)</f>
        <v>850</v>
      </c>
      <c r="AM14" s="24">
        <f t="shared" ref="AM14:AM48" si="3">+AK14+Y14</f>
        <v>35017165</v>
      </c>
    </row>
    <row r="15" spans="1:40">
      <c r="A15" s="9" t="s">
        <v>582</v>
      </c>
      <c r="B15" s="9"/>
      <c r="C15" s="9" t="s">
        <v>58</v>
      </c>
      <c r="D15" s="9"/>
      <c r="E15" s="23">
        <v>49494</v>
      </c>
      <c r="G15" s="42">
        <v>2205026</v>
      </c>
      <c r="I15" s="42">
        <v>0</v>
      </c>
      <c r="K15" s="42">
        <v>6941324</v>
      </c>
      <c r="M15" s="42">
        <v>8466</v>
      </c>
      <c r="O15" s="42">
        <f>731082+3055</f>
        <v>734137</v>
      </c>
      <c r="Q15" s="42">
        <v>74813</v>
      </c>
      <c r="S15" s="42">
        <v>0</v>
      </c>
      <c r="U15" s="42">
        <v>5123</v>
      </c>
      <c r="W15" s="42">
        <v>67839</v>
      </c>
      <c r="Y15" s="2">
        <f t="shared" ref="Y15:Y85" si="4">SUM(G15:X15)</f>
        <v>10036728</v>
      </c>
      <c r="AA15" s="42">
        <v>0</v>
      </c>
      <c r="AC15" s="42">
        <v>0</v>
      </c>
      <c r="AE15" s="42">
        <v>0</v>
      </c>
      <c r="AG15" s="42">
        <v>0</v>
      </c>
      <c r="AI15" s="42">
        <v>0</v>
      </c>
      <c r="AK15" s="42">
        <f t="shared" ref="AK15:AK85" si="5">SUM(AA15:AJ15)</f>
        <v>0</v>
      </c>
      <c r="AM15" s="42">
        <f t="shared" si="3"/>
        <v>10036728</v>
      </c>
    </row>
    <row r="16" spans="1:40">
      <c r="A16" s="9" t="s">
        <v>502</v>
      </c>
      <c r="B16" s="9"/>
      <c r="C16" s="9" t="s">
        <v>63</v>
      </c>
      <c r="D16" s="9"/>
      <c r="E16" s="23">
        <v>43489</v>
      </c>
      <c r="G16" s="42">
        <v>93615953</v>
      </c>
      <c r="I16" s="42">
        <v>0</v>
      </c>
      <c r="K16" s="42">
        <v>174932157</v>
      </c>
      <c r="M16" s="42">
        <v>81457</v>
      </c>
      <c r="O16" s="42">
        <f>5278658+330378+3694234</f>
        <v>9303270</v>
      </c>
      <c r="Q16" s="42">
        <v>299739</v>
      </c>
      <c r="S16" s="42">
        <v>0</v>
      </c>
      <c r="U16" s="42">
        <v>950167</v>
      </c>
      <c r="W16" s="42">
        <f>1197386+445231+1678571</f>
        <v>3321188</v>
      </c>
      <c r="Y16" s="2">
        <f t="shared" si="4"/>
        <v>282503931</v>
      </c>
      <c r="AA16" s="42">
        <v>3551</v>
      </c>
      <c r="AC16" s="42">
        <v>0</v>
      </c>
      <c r="AE16" s="42">
        <v>0</v>
      </c>
      <c r="AG16" s="42">
        <v>0</v>
      </c>
      <c r="AI16" s="42">
        <v>0</v>
      </c>
      <c r="AK16" s="42">
        <f t="shared" si="5"/>
        <v>3551</v>
      </c>
      <c r="AM16" s="42">
        <f t="shared" si="3"/>
        <v>282507482</v>
      </c>
    </row>
    <row r="17" spans="1:39" hidden="1">
      <c r="A17" s="9" t="s">
        <v>612</v>
      </c>
      <c r="B17" s="9"/>
      <c r="C17" s="9" t="s">
        <v>13</v>
      </c>
      <c r="D17" s="9"/>
      <c r="E17" s="23">
        <v>45906</v>
      </c>
      <c r="F17" s="7"/>
      <c r="G17" s="42">
        <v>0</v>
      </c>
      <c r="I17" s="42">
        <v>0</v>
      </c>
      <c r="K17" s="42">
        <v>0</v>
      </c>
      <c r="M17" s="42">
        <v>0</v>
      </c>
      <c r="O17" s="42">
        <v>0</v>
      </c>
      <c r="Q17" s="42">
        <v>0</v>
      </c>
      <c r="S17" s="42">
        <v>0</v>
      </c>
      <c r="U17" s="42">
        <v>0</v>
      </c>
      <c r="W17" s="42">
        <v>0</v>
      </c>
      <c r="Y17" s="2">
        <f t="shared" si="4"/>
        <v>0</v>
      </c>
      <c r="AA17" s="42">
        <v>0</v>
      </c>
      <c r="AC17" s="42">
        <v>0</v>
      </c>
      <c r="AE17" s="42">
        <v>0</v>
      </c>
      <c r="AG17" s="42">
        <v>0</v>
      </c>
      <c r="AI17" s="42">
        <v>0</v>
      </c>
      <c r="AK17" s="42">
        <f t="shared" si="5"/>
        <v>0</v>
      </c>
      <c r="AM17" s="42">
        <f t="shared" si="3"/>
        <v>0</v>
      </c>
    </row>
    <row r="18" spans="1:39" hidden="1">
      <c r="A18" s="9" t="s">
        <v>852</v>
      </c>
      <c r="B18" s="9"/>
      <c r="C18" s="9" t="s">
        <v>10</v>
      </c>
      <c r="D18" s="9"/>
      <c r="E18" s="23">
        <v>45757</v>
      </c>
      <c r="G18" s="42">
        <v>0</v>
      </c>
      <c r="I18" s="42">
        <v>0</v>
      </c>
      <c r="K18" s="42">
        <v>0</v>
      </c>
      <c r="M18" s="42">
        <v>0</v>
      </c>
      <c r="O18" s="42">
        <v>0</v>
      </c>
      <c r="Q18" s="42">
        <v>0</v>
      </c>
      <c r="S18" s="42">
        <v>0</v>
      </c>
      <c r="U18" s="42">
        <v>0</v>
      </c>
      <c r="W18" s="42">
        <v>0</v>
      </c>
      <c r="Y18" s="2">
        <f t="shared" ref="Y18" si="6">SUM(G18:X18)</f>
        <v>0</v>
      </c>
      <c r="AA18" s="42">
        <v>0</v>
      </c>
      <c r="AC18" s="42">
        <v>0</v>
      </c>
      <c r="AE18" s="42">
        <v>0</v>
      </c>
      <c r="AG18" s="42">
        <v>0</v>
      </c>
      <c r="AI18" s="42">
        <v>0</v>
      </c>
      <c r="AK18" s="42">
        <f t="shared" ref="AK18" si="7">SUM(AA18:AJ18)</f>
        <v>0</v>
      </c>
      <c r="AM18" s="42">
        <f t="shared" ref="AM18" si="8">+AK18+Y18</f>
        <v>0</v>
      </c>
    </row>
    <row r="19" spans="1:39">
      <c r="A19" s="9" t="s">
        <v>489</v>
      </c>
      <c r="B19" s="9"/>
      <c r="C19" s="9" t="s">
        <v>62</v>
      </c>
      <c r="D19" s="9"/>
      <c r="E19" s="23">
        <v>43497</v>
      </c>
      <c r="G19" s="42">
        <v>6183057</v>
      </c>
      <c r="I19" s="42">
        <v>0</v>
      </c>
      <c r="K19" s="42">
        <v>19799025</v>
      </c>
      <c r="M19" s="42">
        <v>40441</v>
      </c>
      <c r="O19" s="42">
        <f>1070996+45602+45257</f>
        <v>1161855</v>
      </c>
      <c r="Q19" s="42">
        <v>50910</v>
      </c>
      <c r="S19" s="42">
        <v>0</v>
      </c>
      <c r="U19" s="42">
        <v>47948</v>
      </c>
      <c r="W19" s="42">
        <v>173533</v>
      </c>
      <c r="Y19" s="2">
        <f t="shared" si="4"/>
        <v>27456769</v>
      </c>
      <c r="AA19" s="42">
        <v>0</v>
      </c>
      <c r="AC19" s="42">
        <v>0</v>
      </c>
      <c r="AE19" s="42">
        <v>0</v>
      </c>
      <c r="AG19" s="42">
        <v>0</v>
      </c>
      <c r="AI19" s="42">
        <v>0</v>
      </c>
      <c r="AK19" s="42">
        <f t="shared" si="5"/>
        <v>0</v>
      </c>
      <c r="AM19" s="42">
        <f t="shared" si="3"/>
        <v>27456769</v>
      </c>
    </row>
    <row r="20" spans="1:39">
      <c r="A20" s="9" t="s">
        <v>290</v>
      </c>
      <c r="B20" s="9"/>
      <c r="C20" s="9" t="s">
        <v>25</v>
      </c>
      <c r="D20" s="9"/>
      <c r="E20" s="23">
        <v>46847</v>
      </c>
      <c r="G20" s="42">
        <v>2770869</v>
      </c>
      <c r="I20" s="42">
        <v>1967350</v>
      </c>
      <c r="K20" s="42">
        <v>9626874</v>
      </c>
      <c r="M20" s="42">
        <v>21638</v>
      </c>
      <c r="O20" s="42">
        <v>986935</v>
      </c>
      <c r="Q20" s="42">
        <v>24056</v>
      </c>
      <c r="S20" s="42">
        <v>0</v>
      </c>
      <c r="U20" s="42">
        <v>0</v>
      </c>
      <c r="W20" s="42">
        <v>151398</v>
      </c>
      <c r="Y20" s="2">
        <f t="shared" si="4"/>
        <v>15549120</v>
      </c>
      <c r="AA20" s="42">
        <v>0</v>
      </c>
      <c r="AC20" s="42">
        <v>0</v>
      </c>
      <c r="AE20" s="42">
        <v>0</v>
      </c>
      <c r="AG20" s="42">
        <v>0</v>
      </c>
      <c r="AI20" s="42">
        <v>0</v>
      </c>
      <c r="AK20" s="42">
        <f t="shared" si="5"/>
        <v>0</v>
      </c>
      <c r="AM20" s="42">
        <f t="shared" si="3"/>
        <v>15549120</v>
      </c>
    </row>
    <row r="21" spans="1:39">
      <c r="A21" s="9" t="s">
        <v>743</v>
      </c>
      <c r="B21" s="9"/>
      <c r="C21" s="9" t="s">
        <v>44</v>
      </c>
      <c r="D21" s="9"/>
      <c r="E21" s="23">
        <v>45195</v>
      </c>
      <c r="F21" s="7"/>
      <c r="G21" s="42">
        <v>16117733</v>
      </c>
      <c r="I21" s="42">
        <v>0</v>
      </c>
      <c r="K21" s="42">
        <v>17300758</v>
      </c>
      <c r="M21" s="42">
        <v>10981</v>
      </c>
      <c r="O21" s="42">
        <f>1274123+17030+8133</f>
        <v>1299286</v>
      </c>
      <c r="Q21" s="42">
        <v>438195</v>
      </c>
      <c r="S21" s="42">
        <v>63015</v>
      </c>
      <c r="U21" s="42">
        <v>18641</v>
      </c>
      <c r="W21" s="42">
        <v>128805</v>
      </c>
      <c r="Y21" s="2">
        <f>SUM(G21:X21)</f>
        <v>35377414</v>
      </c>
      <c r="AA21" s="42">
        <v>0</v>
      </c>
      <c r="AC21" s="42">
        <v>0</v>
      </c>
      <c r="AE21" s="42">
        <v>0</v>
      </c>
      <c r="AG21" s="42">
        <v>0</v>
      </c>
      <c r="AI21" s="42">
        <v>0</v>
      </c>
      <c r="AK21" s="42">
        <f>SUM(AA21:AJ21)</f>
        <v>0</v>
      </c>
      <c r="AM21" s="42">
        <f t="shared" si="3"/>
        <v>35377414</v>
      </c>
    </row>
    <row r="22" spans="1:39">
      <c r="A22" s="9" t="s">
        <v>798</v>
      </c>
      <c r="B22" s="9"/>
      <c r="C22" s="9" t="s">
        <v>61</v>
      </c>
      <c r="D22" s="9"/>
      <c r="E22" s="23">
        <v>49759</v>
      </c>
      <c r="G22" s="42">
        <v>2980192</v>
      </c>
      <c r="I22" s="42">
        <v>1816615</v>
      </c>
      <c r="K22" s="42">
        <v>4889435</v>
      </c>
      <c r="M22" s="42">
        <v>44294</v>
      </c>
      <c r="O22" s="42">
        <f>641185+45500</f>
        <v>686685</v>
      </c>
      <c r="Q22" s="42">
        <v>47378</v>
      </c>
      <c r="S22" s="42">
        <v>1250</v>
      </c>
      <c r="U22" s="42">
        <v>99355</v>
      </c>
      <c r="W22" s="42">
        <f>79407-54973</f>
        <v>24434</v>
      </c>
      <c r="Y22" s="2">
        <f t="shared" si="4"/>
        <v>10589638</v>
      </c>
      <c r="AA22" s="42">
        <v>0</v>
      </c>
      <c r="AC22" s="42">
        <v>0</v>
      </c>
      <c r="AE22" s="42">
        <v>0</v>
      </c>
      <c r="AG22" s="42">
        <v>1026</v>
      </c>
      <c r="AI22" s="42">
        <v>0</v>
      </c>
      <c r="AK22" s="42">
        <f t="shared" si="5"/>
        <v>1026</v>
      </c>
      <c r="AM22" s="42">
        <f t="shared" si="3"/>
        <v>10590664</v>
      </c>
    </row>
    <row r="23" spans="1:39" hidden="1">
      <c r="A23" s="9" t="s">
        <v>686</v>
      </c>
      <c r="B23" s="9"/>
      <c r="C23" s="9" t="s">
        <v>598</v>
      </c>
      <c r="D23" s="9"/>
      <c r="E23" s="23">
        <v>46623</v>
      </c>
      <c r="G23" s="42">
        <v>0</v>
      </c>
      <c r="I23" s="42">
        <v>0</v>
      </c>
      <c r="K23" s="42">
        <v>0</v>
      </c>
      <c r="M23" s="42">
        <v>0</v>
      </c>
      <c r="O23" s="42">
        <v>0</v>
      </c>
      <c r="Q23" s="42">
        <v>0</v>
      </c>
      <c r="S23" s="42">
        <v>0</v>
      </c>
      <c r="U23" s="42">
        <v>0</v>
      </c>
      <c r="W23" s="42">
        <v>0</v>
      </c>
      <c r="Y23" s="2">
        <f t="shared" si="4"/>
        <v>0</v>
      </c>
      <c r="AA23" s="42">
        <v>0</v>
      </c>
      <c r="AC23" s="42">
        <v>0</v>
      </c>
      <c r="AE23" s="42">
        <v>0</v>
      </c>
      <c r="AG23" s="42">
        <v>0</v>
      </c>
      <c r="AI23" s="42">
        <v>0</v>
      </c>
      <c r="AM23" s="42">
        <f t="shared" si="3"/>
        <v>0</v>
      </c>
    </row>
    <row r="24" spans="1:39">
      <c r="A24" s="9" t="s">
        <v>387</v>
      </c>
      <c r="B24" s="9"/>
      <c r="C24" s="9" t="s">
        <v>114</v>
      </c>
      <c r="D24" s="9"/>
      <c r="E24" s="23">
        <v>48207</v>
      </c>
      <c r="G24" s="42">
        <v>20139466</v>
      </c>
      <c r="I24" s="42">
        <v>0</v>
      </c>
      <c r="K24" s="42">
        <v>10605514</v>
      </c>
      <c r="M24" s="42">
        <v>7545</v>
      </c>
      <c r="O24" s="42">
        <f>489092+245618</f>
        <v>734710</v>
      </c>
      <c r="Q24" s="42">
        <v>78521</v>
      </c>
      <c r="S24" s="42">
        <v>758268</v>
      </c>
      <c r="U24" s="42">
        <v>0</v>
      </c>
      <c r="W24" s="42">
        <v>227870</v>
      </c>
      <c r="Y24" s="2">
        <f t="shared" si="4"/>
        <v>32551894</v>
      </c>
      <c r="AA24" s="42">
        <v>0</v>
      </c>
      <c r="AC24" s="42">
        <v>0</v>
      </c>
      <c r="AE24" s="42">
        <v>0</v>
      </c>
      <c r="AG24" s="42">
        <v>28987</v>
      </c>
      <c r="AI24" s="42">
        <v>0</v>
      </c>
      <c r="AK24" s="42">
        <f t="shared" si="5"/>
        <v>28987</v>
      </c>
      <c r="AM24" s="42">
        <f t="shared" si="3"/>
        <v>32580881</v>
      </c>
    </row>
    <row r="25" spans="1:39" hidden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42">
        <v>0</v>
      </c>
      <c r="M25" s="42">
        <v>0</v>
      </c>
      <c r="O25" s="42">
        <v>0</v>
      </c>
      <c r="Q25" s="42">
        <v>0</v>
      </c>
      <c r="S25" s="42">
        <v>0</v>
      </c>
      <c r="U25" s="42">
        <v>0</v>
      </c>
      <c r="W25" s="42">
        <v>0</v>
      </c>
      <c r="Y25" s="2">
        <f t="shared" ref="Y25" si="9">SUM(G25:X25)</f>
        <v>0</v>
      </c>
      <c r="AA25" s="42">
        <v>0</v>
      </c>
      <c r="AC25" s="42">
        <v>0</v>
      </c>
      <c r="AE25" s="42">
        <v>0</v>
      </c>
      <c r="AG25" s="42">
        <v>0</v>
      </c>
      <c r="AI25" s="42">
        <v>0</v>
      </c>
      <c r="AK25" s="42">
        <f t="shared" ref="AK25" si="10">SUM(AA25:AJ25)</f>
        <v>0</v>
      </c>
      <c r="AM25" s="42">
        <f t="shared" ref="AM25" si="11">+AK25+Y25</f>
        <v>0</v>
      </c>
    </row>
    <row r="26" spans="1:39">
      <c r="A26" s="9" t="s">
        <v>332</v>
      </c>
      <c r="B26" s="9"/>
      <c r="C26" s="9" t="s">
        <v>33</v>
      </c>
      <c r="D26" s="9"/>
      <c r="E26" s="23">
        <v>47415</v>
      </c>
      <c r="G26" s="42">
        <v>2138641</v>
      </c>
      <c r="I26" s="42">
        <v>743960</v>
      </c>
      <c r="K26" s="42">
        <v>2118114</v>
      </c>
      <c r="M26" s="42">
        <v>9061</v>
      </c>
      <c r="O26" s="42">
        <f>769279+25649</f>
        <v>794928</v>
      </c>
      <c r="Q26" s="42">
        <v>2189</v>
      </c>
      <c r="S26" s="42">
        <v>0</v>
      </c>
      <c r="U26" s="42">
        <v>8356</v>
      </c>
      <c r="W26" s="42">
        <v>16924</v>
      </c>
      <c r="Y26" s="2">
        <f t="shared" si="4"/>
        <v>5832173</v>
      </c>
      <c r="AA26" s="42">
        <v>0</v>
      </c>
      <c r="AC26" s="42">
        <v>0</v>
      </c>
      <c r="AE26" s="42">
        <v>0</v>
      </c>
      <c r="AG26" s="42">
        <v>0</v>
      </c>
      <c r="AI26" s="42">
        <v>0</v>
      </c>
      <c r="AK26" s="42">
        <f t="shared" si="5"/>
        <v>0</v>
      </c>
      <c r="AM26" s="42">
        <f t="shared" si="3"/>
        <v>5832173</v>
      </c>
    </row>
    <row r="27" spans="1:39" hidden="1">
      <c r="A27" s="9" t="s">
        <v>665</v>
      </c>
      <c r="B27" s="9"/>
      <c r="C27" s="9" t="s">
        <v>21</v>
      </c>
      <c r="D27" s="9"/>
      <c r="E27" s="23">
        <v>46631</v>
      </c>
      <c r="G27" s="42">
        <v>0</v>
      </c>
      <c r="I27" s="42">
        <v>0</v>
      </c>
      <c r="K27" s="42">
        <v>0</v>
      </c>
      <c r="M27" s="42">
        <v>0</v>
      </c>
      <c r="O27" s="42">
        <v>0</v>
      </c>
      <c r="Q27" s="42">
        <v>0</v>
      </c>
      <c r="S27" s="42">
        <v>0</v>
      </c>
      <c r="U27" s="42">
        <v>0</v>
      </c>
      <c r="W27" s="42">
        <v>0</v>
      </c>
      <c r="Y27" s="2">
        <f t="shared" si="4"/>
        <v>0</v>
      </c>
      <c r="AA27" s="42">
        <v>0</v>
      </c>
      <c r="AC27" s="42">
        <v>0</v>
      </c>
      <c r="AE27" s="42">
        <v>0</v>
      </c>
      <c r="AG27" s="42">
        <v>0</v>
      </c>
      <c r="AI27" s="42">
        <v>0</v>
      </c>
      <c r="AK27" s="42">
        <f t="shared" si="5"/>
        <v>0</v>
      </c>
      <c r="AM27" s="42">
        <f t="shared" si="3"/>
        <v>0</v>
      </c>
    </row>
    <row r="28" spans="1:39">
      <c r="A28" s="9" t="s">
        <v>854</v>
      </c>
      <c r="B28" s="9"/>
      <c r="C28" s="9" t="s">
        <v>28</v>
      </c>
      <c r="D28" s="9"/>
      <c r="E28" s="23">
        <v>47043</v>
      </c>
      <c r="G28" s="42">
        <v>5244347</v>
      </c>
      <c r="I28" s="42">
        <v>0</v>
      </c>
      <c r="K28" s="42">
        <v>5290755</v>
      </c>
      <c r="M28" s="42">
        <f>24373-9665</f>
        <v>14708</v>
      </c>
      <c r="O28" s="42">
        <f>424690+6586</f>
        <v>431276</v>
      </c>
      <c r="Q28" s="42">
        <v>51125</v>
      </c>
      <c r="S28" s="42">
        <v>72150</v>
      </c>
      <c r="U28" s="42">
        <v>145</v>
      </c>
      <c r="W28" s="42">
        <v>89877</v>
      </c>
      <c r="Y28" s="2">
        <f t="shared" si="4"/>
        <v>11194383</v>
      </c>
      <c r="AA28" s="42">
        <v>0</v>
      </c>
      <c r="AC28" s="42">
        <v>0</v>
      </c>
      <c r="AE28" s="42">
        <v>0</v>
      </c>
      <c r="AG28" s="42">
        <v>0</v>
      </c>
      <c r="AI28" s="42">
        <v>0</v>
      </c>
      <c r="AK28" s="42">
        <f t="shared" si="5"/>
        <v>0</v>
      </c>
      <c r="AM28" s="42">
        <f t="shared" si="3"/>
        <v>11194383</v>
      </c>
    </row>
    <row r="29" spans="1:39">
      <c r="A29" s="9" t="s">
        <v>333</v>
      </c>
      <c r="B29" s="9"/>
      <c r="C29" s="9" t="s">
        <v>33</v>
      </c>
      <c r="D29" s="9"/>
      <c r="E29" s="23">
        <v>47423</v>
      </c>
      <c r="G29" s="42">
        <v>1274859</v>
      </c>
      <c r="I29" s="42">
        <v>1086726</v>
      </c>
      <c r="K29" s="42">
        <v>3108072</v>
      </c>
      <c r="M29" s="42">
        <v>4981</v>
      </c>
      <c r="O29" s="42">
        <v>299492</v>
      </c>
      <c r="Q29" s="42">
        <v>555</v>
      </c>
      <c r="S29" s="42">
        <v>0</v>
      </c>
      <c r="U29" s="42">
        <v>2109</v>
      </c>
      <c r="W29" s="42">
        <v>42037</v>
      </c>
      <c r="Y29" s="2">
        <f t="shared" si="4"/>
        <v>5818831</v>
      </c>
      <c r="AA29" s="42">
        <v>0</v>
      </c>
      <c r="AC29" s="42">
        <v>0</v>
      </c>
      <c r="AE29" s="42">
        <v>0</v>
      </c>
      <c r="AG29" s="42">
        <v>1000</v>
      </c>
      <c r="AI29" s="42">
        <v>0</v>
      </c>
      <c r="AK29" s="42">
        <f t="shared" si="5"/>
        <v>1000</v>
      </c>
      <c r="AM29" s="42">
        <f t="shared" si="3"/>
        <v>5819831</v>
      </c>
    </row>
    <row r="30" spans="1:39">
      <c r="A30" s="9" t="s">
        <v>202</v>
      </c>
      <c r="B30" s="9"/>
      <c r="C30" s="9" t="s">
        <v>11</v>
      </c>
      <c r="D30" s="9"/>
      <c r="E30" s="23">
        <v>43505</v>
      </c>
      <c r="F30" s="7"/>
      <c r="G30" s="42">
        <v>14319199</v>
      </c>
      <c r="I30" s="42">
        <v>0</v>
      </c>
      <c r="K30" s="42">
        <v>13936826</v>
      </c>
      <c r="M30" s="42">
        <v>4529</v>
      </c>
      <c r="O30" s="42">
        <f>527555+15098+8971</f>
        <v>551624</v>
      </c>
      <c r="Q30" s="42">
        <v>200243</v>
      </c>
      <c r="S30" s="42">
        <v>0</v>
      </c>
      <c r="U30" s="42">
        <v>16030</v>
      </c>
      <c r="W30" s="42">
        <v>371965</v>
      </c>
      <c r="Y30" s="2">
        <f t="shared" si="4"/>
        <v>29400416</v>
      </c>
      <c r="AA30" s="42">
        <v>0</v>
      </c>
      <c r="AC30" s="42">
        <v>0</v>
      </c>
      <c r="AE30" s="42">
        <v>0</v>
      </c>
      <c r="AG30" s="42">
        <v>0</v>
      </c>
      <c r="AI30" s="42">
        <v>0</v>
      </c>
      <c r="AK30" s="42">
        <f t="shared" si="5"/>
        <v>0</v>
      </c>
      <c r="AM30" s="42">
        <f t="shared" si="3"/>
        <v>29400416</v>
      </c>
    </row>
    <row r="31" spans="1:39">
      <c r="A31" s="9" t="s">
        <v>664</v>
      </c>
      <c r="B31" s="9"/>
      <c r="C31" s="9" t="s">
        <v>12</v>
      </c>
      <c r="D31" s="9"/>
      <c r="E31" s="23">
        <v>43513</v>
      </c>
      <c r="F31" s="7"/>
      <c r="G31" s="42">
        <v>6892486</v>
      </c>
      <c r="I31" s="42">
        <v>0</v>
      </c>
      <c r="K31" s="42">
        <v>25112287</v>
      </c>
      <c r="M31" s="42">
        <v>8293</v>
      </c>
      <c r="O31" s="42">
        <v>297608</v>
      </c>
      <c r="Q31" s="42">
        <v>83551</v>
      </c>
      <c r="S31" s="42">
        <v>0</v>
      </c>
      <c r="U31" s="42">
        <v>0</v>
      </c>
      <c r="W31" s="42">
        <v>258804</v>
      </c>
      <c r="Y31" s="2">
        <f t="shared" si="4"/>
        <v>32653029</v>
      </c>
      <c r="AA31" s="42">
        <v>0</v>
      </c>
      <c r="AC31" s="42">
        <v>0</v>
      </c>
      <c r="AE31" s="42">
        <v>0</v>
      </c>
      <c r="AG31" s="42">
        <v>17614</v>
      </c>
      <c r="AI31" s="42">
        <v>0</v>
      </c>
      <c r="AK31" s="42">
        <f t="shared" si="5"/>
        <v>17614</v>
      </c>
      <c r="AM31" s="42">
        <f t="shared" si="3"/>
        <v>32670643</v>
      </c>
    </row>
    <row r="32" spans="1:39">
      <c r="A32" s="9" t="s">
        <v>209</v>
      </c>
      <c r="B32" s="9"/>
      <c r="C32" s="9" t="s">
        <v>13</v>
      </c>
      <c r="D32" s="9"/>
      <c r="E32" s="23">
        <v>43521</v>
      </c>
      <c r="F32" s="7"/>
      <c r="G32" s="42">
        <v>13522565</v>
      </c>
      <c r="I32" s="42">
        <v>3534523</v>
      </c>
      <c r="K32" s="42">
        <v>9282222</v>
      </c>
      <c r="M32" s="42">
        <v>40977</v>
      </c>
      <c r="O32" s="42">
        <f>2578629+71494</f>
        <v>2650123</v>
      </c>
      <c r="Q32" s="42">
        <v>24211</v>
      </c>
      <c r="S32" s="42">
        <v>256784</v>
      </c>
      <c r="U32" s="42">
        <v>2841</v>
      </c>
      <c r="W32" s="42">
        <v>86883</v>
      </c>
      <c r="Y32" s="2">
        <f t="shared" si="4"/>
        <v>29401129</v>
      </c>
      <c r="AA32" s="42">
        <v>0</v>
      </c>
      <c r="AC32" s="42">
        <v>0</v>
      </c>
      <c r="AE32" s="42">
        <v>0</v>
      </c>
      <c r="AG32" s="42">
        <v>0</v>
      </c>
      <c r="AI32" s="42">
        <v>0</v>
      </c>
      <c r="AK32" s="42">
        <f t="shared" si="5"/>
        <v>0</v>
      </c>
      <c r="AM32" s="42">
        <f t="shared" si="3"/>
        <v>29401129</v>
      </c>
    </row>
    <row r="33" spans="1:39">
      <c r="A33" s="9" t="s">
        <v>456</v>
      </c>
      <c r="B33" s="9"/>
      <c r="C33" s="9" t="s">
        <v>56</v>
      </c>
      <c r="D33" s="9"/>
      <c r="E33" s="23">
        <v>49171</v>
      </c>
      <c r="G33" s="42">
        <v>21612359</v>
      </c>
      <c r="I33" s="42">
        <v>0</v>
      </c>
      <c r="K33" s="42">
        <v>7867253</v>
      </c>
      <c r="M33" s="42">
        <v>4585</v>
      </c>
      <c r="O33" s="42">
        <f>508206+6849</f>
        <v>515055</v>
      </c>
      <c r="Q33" s="42">
        <v>100061</v>
      </c>
      <c r="S33" s="42">
        <v>0</v>
      </c>
      <c r="U33" s="42">
        <v>22415</v>
      </c>
      <c r="W33" s="42">
        <v>27135</v>
      </c>
      <c r="Y33" s="2">
        <f t="shared" si="4"/>
        <v>30148863</v>
      </c>
      <c r="AA33" s="42">
        <v>0</v>
      </c>
      <c r="AC33" s="42">
        <v>0</v>
      </c>
      <c r="AE33" s="42">
        <v>0</v>
      </c>
      <c r="AG33" s="42">
        <v>71649</v>
      </c>
      <c r="AI33" s="42">
        <v>0</v>
      </c>
      <c r="AK33" s="42">
        <f t="shared" si="5"/>
        <v>71649</v>
      </c>
      <c r="AM33" s="42">
        <f t="shared" si="3"/>
        <v>30220512</v>
      </c>
    </row>
    <row r="34" spans="1:39">
      <c r="A34" s="9" t="s">
        <v>398</v>
      </c>
      <c r="B34" s="9"/>
      <c r="C34" s="9" t="s">
        <v>45</v>
      </c>
      <c r="D34" s="9"/>
      <c r="E34" s="23">
        <v>48298</v>
      </c>
      <c r="G34" s="42">
        <v>15631401</v>
      </c>
      <c r="I34" s="42">
        <v>0</v>
      </c>
      <c r="K34" s="42">
        <v>20656509</v>
      </c>
      <c r="M34" s="42">
        <v>5057</v>
      </c>
      <c r="O34" s="42">
        <f>3505796+776+144373</f>
        <v>3650945</v>
      </c>
      <c r="Q34" s="42">
        <v>237151</v>
      </c>
      <c r="S34" s="42">
        <v>0</v>
      </c>
      <c r="U34" s="42">
        <v>0</v>
      </c>
      <c r="W34" s="42">
        <v>106020</v>
      </c>
      <c r="Y34" s="2">
        <f t="shared" si="4"/>
        <v>40287083</v>
      </c>
      <c r="AA34" s="42">
        <v>0</v>
      </c>
      <c r="AC34" s="42">
        <v>0</v>
      </c>
      <c r="AE34" s="42">
        <v>0</v>
      </c>
      <c r="AG34" s="42">
        <v>18132</v>
      </c>
      <c r="AI34" s="42">
        <v>0</v>
      </c>
      <c r="AK34" s="42">
        <f t="shared" si="5"/>
        <v>18132</v>
      </c>
      <c r="AM34" s="42">
        <f t="shared" si="3"/>
        <v>40305215</v>
      </c>
    </row>
    <row r="35" spans="1:39">
      <c r="A35" s="9" t="s">
        <v>378</v>
      </c>
      <c r="B35" s="9"/>
      <c r="C35" s="9" t="s">
        <v>44</v>
      </c>
      <c r="D35" s="9"/>
      <c r="E35" s="23">
        <v>48124</v>
      </c>
      <c r="G35" s="42">
        <v>25776618</v>
      </c>
      <c r="I35" s="42">
        <v>0</v>
      </c>
      <c r="K35" s="42">
        <v>7591212</v>
      </c>
      <c r="M35" s="42">
        <v>48922</v>
      </c>
      <c r="O35" s="42">
        <v>670144</v>
      </c>
      <c r="Q35" s="42">
        <v>30979</v>
      </c>
      <c r="S35" s="42">
        <v>0</v>
      </c>
      <c r="U35" s="42">
        <v>0</v>
      </c>
      <c r="W35" s="42">
        <v>343927</v>
      </c>
      <c r="Y35" s="2">
        <f t="shared" si="4"/>
        <v>34461802</v>
      </c>
      <c r="AA35" s="42">
        <v>0</v>
      </c>
      <c r="AC35" s="42">
        <v>0</v>
      </c>
      <c r="AE35" s="42">
        <v>0</v>
      </c>
      <c r="AG35" s="42">
        <v>0</v>
      </c>
      <c r="AI35" s="42">
        <v>0</v>
      </c>
      <c r="AK35" s="42">
        <f t="shared" si="5"/>
        <v>0</v>
      </c>
      <c r="AM35" s="42">
        <f t="shared" si="3"/>
        <v>34461802</v>
      </c>
    </row>
    <row r="36" spans="1:39">
      <c r="A36" s="9" t="s">
        <v>379</v>
      </c>
      <c r="B36" s="9"/>
      <c r="C36" s="9" t="s">
        <v>44</v>
      </c>
      <c r="D36" s="9"/>
      <c r="E36" s="23">
        <v>48116</v>
      </c>
      <c r="G36" s="42">
        <v>22604981</v>
      </c>
      <c r="I36" s="42">
        <v>0</v>
      </c>
      <c r="K36" s="42">
        <v>6769378</v>
      </c>
      <c r="M36" s="42">
        <v>32222</v>
      </c>
      <c r="O36" s="42">
        <v>759053</v>
      </c>
      <c r="Q36" s="42">
        <v>188973</v>
      </c>
      <c r="S36" s="42">
        <v>0</v>
      </c>
      <c r="U36" s="42">
        <v>0</v>
      </c>
      <c r="W36" s="42">
        <v>1457402</v>
      </c>
      <c r="Y36" s="2">
        <f t="shared" si="4"/>
        <v>31812009</v>
      </c>
      <c r="AA36" s="42">
        <v>0</v>
      </c>
      <c r="AC36" s="42">
        <v>0</v>
      </c>
      <c r="AE36" s="42">
        <v>0</v>
      </c>
      <c r="AG36" s="42">
        <v>0</v>
      </c>
      <c r="AI36" s="42">
        <v>0</v>
      </c>
      <c r="AK36" s="42">
        <f t="shared" si="5"/>
        <v>0</v>
      </c>
      <c r="AM36" s="42">
        <f t="shared" si="3"/>
        <v>31812009</v>
      </c>
    </row>
    <row r="37" spans="1:39">
      <c r="A37" s="9" t="s">
        <v>281</v>
      </c>
      <c r="B37" s="9"/>
      <c r="C37" s="9" t="s">
        <v>22</v>
      </c>
      <c r="D37" s="9"/>
      <c r="E37" s="23">
        <v>46706</v>
      </c>
      <c r="G37" s="42">
        <v>2230662</v>
      </c>
      <c r="I37" s="42">
        <v>845876</v>
      </c>
      <c r="K37" s="42">
        <f>3037904+12578</f>
        <v>3050482</v>
      </c>
      <c r="M37" s="42">
        <v>4306</v>
      </c>
      <c r="O37" s="42">
        <f>1168707+50141</f>
        <v>1218848</v>
      </c>
      <c r="Q37" s="42">
        <v>0</v>
      </c>
      <c r="S37" s="42">
        <v>21911</v>
      </c>
      <c r="U37" s="42">
        <v>0</v>
      </c>
      <c r="W37" s="42">
        <f>50727-5191</f>
        <v>45536</v>
      </c>
      <c r="Y37" s="2">
        <f t="shared" si="4"/>
        <v>7417621</v>
      </c>
      <c r="AA37" s="42">
        <v>0</v>
      </c>
      <c r="AC37" s="42">
        <v>0</v>
      </c>
      <c r="AE37" s="42">
        <v>0</v>
      </c>
      <c r="AG37" s="42">
        <v>95304</v>
      </c>
      <c r="AI37" s="42">
        <v>0</v>
      </c>
      <c r="AK37" s="42">
        <f t="shared" si="5"/>
        <v>95304</v>
      </c>
      <c r="AM37" s="42">
        <f t="shared" si="3"/>
        <v>7512925</v>
      </c>
    </row>
    <row r="38" spans="1:39">
      <c r="A38" s="9" t="s">
        <v>503</v>
      </c>
      <c r="B38" s="9"/>
      <c r="C38" s="9" t="s">
        <v>63</v>
      </c>
      <c r="D38" s="9"/>
      <c r="E38" s="23">
        <v>43539</v>
      </c>
      <c r="G38" s="42">
        <v>9639929</v>
      </c>
      <c r="I38" s="42">
        <v>0</v>
      </c>
      <c r="K38" s="42">
        <f>23368731+210331</f>
        <v>23579062</v>
      </c>
      <c r="M38" s="42">
        <v>5487</v>
      </c>
      <c r="O38" s="42">
        <f>1956037+78605</f>
        <v>2034642</v>
      </c>
      <c r="Q38" s="42">
        <v>191275</v>
      </c>
      <c r="S38" s="42">
        <v>0</v>
      </c>
      <c r="U38" s="42">
        <v>0</v>
      </c>
      <c r="W38" s="42">
        <v>669511</v>
      </c>
      <c r="Y38" s="2">
        <f t="shared" si="4"/>
        <v>36119906</v>
      </c>
      <c r="AA38" s="42">
        <v>0</v>
      </c>
      <c r="AC38" s="42">
        <v>0</v>
      </c>
      <c r="AE38" s="42">
        <v>0</v>
      </c>
      <c r="AG38" s="42">
        <v>0</v>
      </c>
      <c r="AI38" s="42">
        <v>0</v>
      </c>
      <c r="AK38" s="42">
        <f t="shared" si="5"/>
        <v>0</v>
      </c>
      <c r="AM38" s="42">
        <f t="shared" si="3"/>
        <v>36119906</v>
      </c>
    </row>
    <row r="39" spans="1:39">
      <c r="A39" s="9" t="s">
        <v>744</v>
      </c>
      <c r="B39" s="9"/>
      <c r="C39" s="9" t="s">
        <v>15</v>
      </c>
      <c r="D39" s="9"/>
      <c r="E39" s="23">
        <v>45203</v>
      </c>
      <c r="G39" s="42">
        <v>3702449</v>
      </c>
      <c r="I39" s="42">
        <v>0</v>
      </c>
      <c r="K39" s="42">
        <v>6294471</v>
      </c>
      <c r="M39" s="42">
        <v>8188</v>
      </c>
      <c r="O39" s="42">
        <f>646943+362602+4245</f>
        <v>1013790</v>
      </c>
      <c r="Q39" s="42">
        <v>66765</v>
      </c>
      <c r="S39" s="42">
        <v>0</v>
      </c>
      <c r="U39" s="42">
        <v>42299</v>
      </c>
      <c r="W39" s="42">
        <v>45109</v>
      </c>
      <c r="Y39" s="2">
        <f t="shared" si="4"/>
        <v>11173071</v>
      </c>
      <c r="AA39" s="42">
        <v>0</v>
      </c>
      <c r="AC39" s="42">
        <v>0</v>
      </c>
      <c r="AE39" s="42">
        <v>0</v>
      </c>
      <c r="AG39" s="42">
        <v>151506</v>
      </c>
      <c r="AI39" s="42">
        <v>0</v>
      </c>
      <c r="AK39" s="42">
        <f t="shared" si="5"/>
        <v>151506</v>
      </c>
      <c r="AM39" s="42">
        <f t="shared" si="3"/>
        <v>11324577</v>
      </c>
    </row>
    <row r="40" spans="1:39">
      <c r="A40" s="9" t="s">
        <v>235</v>
      </c>
      <c r="B40" s="9"/>
      <c r="C40" s="9" t="s">
        <v>112</v>
      </c>
      <c r="D40" s="9"/>
      <c r="E40" s="23">
        <v>46300</v>
      </c>
      <c r="F40" s="7"/>
      <c r="G40" s="42">
        <v>6349542</v>
      </c>
      <c r="I40" s="42">
        <v>0</v>
      </c>
      <c r="K40" s="42">
        <v>9082748</v>
      </c>
      <c r="M40" s="42">
        <v>982</v>
      </c>
      <c r="O40" s="42">
        <v>1088215</v>
      </c>
      <c r="Q40" s="42">
        <v>0</v>
      </c>
      <c r="S40" s="42">
        <v>833823</v>
      </c>
      <c r="U40" s="42">
        <v>0</v>
      </c>
      <c r="W40" s="42">
        <v>373051</v>
      </c>
      <c r="Y40" s="2">
        <f t="shared" si="4"/>
        <v>17728361</v>
      </c>
      <c r="AA40" s="42">
        <v>0</v>
      </c>
      <c r="AC40" s="42">
        <v>0</v>
      </c>
      <c r="AE40" s="42">
        <v>0</v>
      </c>
      <c r="AG40" s="42">
        <v>300820</v>
      </c>
      <c r="AI40" s="42">
        <v>0</v>
      </c>
      <c r="AK40" s="42">
        <f t="shared" si="5"/>
        <v>300820</v>
      </c>
      <c r="AM40" s="42">
        <f t="shared" si="3"/>
        <v>18029181</v>
      </c>
    </row>
    <row r="41" spans="1:39" hidden="1">
      <c r="A41" s="9" t="s">
        <v>666</v>
      </c>
      <c r="B41" s="9"/>
      <c r="C41" s="9" t="s">
        <v>10</v>
      </c>
      <c r="D41" s="9"/>
      <c r="E41" s="23">
        <v>45765</v>
      </c>
      <c r="F41" s="7"/>
      <c r="G41" s="42">
        <v>0</v>
      </c>
      <c r="I41" s="42">
        <v>0</v>
      </c>
      <c r="K41" s="42">
        <v>0</v>
      </c>
      <c r="M41" s="42">
        <v>0</v>
      </c>
      <c r="O41" s="42">
        <v>0</v>
      </c>
      <c r="Q41" s="42">
        <v>0</v>
      </c>
      <c r="S41" s="42">
        <v>0</v>
      </c>
      <c r="U41" s="42">
        <v>0</v>
      </c>
      <c r="W41" s="42">
        <v>0</v>
      </c>
      <c r="Y41" s="2">
        <f t="shared" si="4"/>
        <v>0</v>
      </c>
      <c r="AA41" s="42">
        <v>0</v>
      </c>
      <c r="AC41" s="42">
        <v>0</v>
      </c>
      <c r="AE41" s="42">
        <v>0</v>
      </c>
      <c r="AG41" s="42">
        <v>0</v>
      </c>
      <c r="AI41" s="42">
        <v>0</v>
      </c>
      <c r="AK41" s="42">
        <f t="shared" si="5"/>
        <v>0</v>
      </c>
      <c r="AM41" s="42">
        <f t="shared" si="3"/>
        <v>0</v>
      </c>
    </row>
    <row r="42" spans="1:39">
      <c r="A42" s="9" t="s">
        <v>629</v>
      </c>
      <c r="B42" s="9"/>
      <c r="C42" s="9" t="s">
        <v>20</v>
      </c>
      <c r="D42" s="9"/>
      <c r="E42" s="23">
        <v>43547</v>
      </c>
      <c r="G42" s="42">
        <v>22077917</v>
      </c>
      <c r="I42" s="42">
        <v>0</v>
      </c>
      <c r="K42" s="42">
        <v>7652608</v>
      </c>
      <c r="M42" s="42">
        <v>142951</v>
      </c>
      <c r="O42" s="42">
        <f>1280694+1546</f>
        <v>1282240</v>
      </c>
      <c r="Q42" s="42">
        <v>237869</v>
      </c>
      <c r="S42" s="42">
        <v>0</v>
      </c>
      <c r="U42" s="42">
        <v>0</v>
      </c>
      <c r="W42" s="42">
        <v>343870</v>
      </c>
      <c r="Y42" s="2">
        <f t="shared" si="4"/>
        <v>31737455</v>
      </c>
      <c r="AA42" s="42">
        <v>0</v>
      </c>
      <c r="AC42" s="42">
        <v>0</v>
      </c>
      <c r="AE42" s="42">
        <v>0</v>
      </c>
      <c r="AG42" s="42">
        <v>0</v>
      </c>
      <c r="AI42" s="42">
        <v>0</v>
      </c>
      <c r="AK42" s="42">
        <f t="shared" si="5"/>
        <v>0</v>
      </c>
      <c r="AM42" s="42">
        <f t="shared" si="3"/>
        <v>31737455</v>
      </c>
    </row>
    <row r="43" spans="1:39">
      <c r="A43" s="9" t="s">
        <v>259</v>
      </c>
      <c r="B43" s="9"/>
      <c r="C43" s="9" t="s">
        <v>20</v>
      </c>
      <c r="D43" s="9"/>
      <c r="E43" s="23">
        <v>43554</v>
      </c>
      <c r="G43" s="42">
        <v>23971690</v>
      </c>
      <c r="I43" s="42">
        <v>0</v>
      </c>
      <c r="K43" s="42">
        <v>5444047</v>
      </c>
      <c r="M43" s="42">
        <v>34848</v>
      </c>
      <c r="O43" s="42">
        <f>913624+300182+173652</f>
        <v>1387458</v>
      </c>
      <c r="Q43" s="42">
        <v>10</v>
      </c>
      <c r="S43" s="42">
        <v>0</v>
      </c>
      <c r="U43" s="42">
        <v>3856</v>
      </c>
      <c r="W43" s="42">
        <v>4348726</v>
      </c>
      <c r="Y43" s="2">
        <f t="shared" si="4"/>
        <v>35190635</v>
      </c>
      <c r="AA43" s="42">
        <v>0</v>
      </c>
      <c r="AC43" s="42">
        <v>0</v>
      </c>
      <c r="AE43" s="42">
        <v>0</v>
      </c>
      <c r="AG43" s="42">
        <v>157750</v>
      </c>
      <c r="AI43" s="42">
        <v>0</v>
      </c>
      <c r="AK43" s="42">
        <f t="shared" si="5"/>
        <v>157750</v>
      </c>
      <c r="AM43" s="42">
        <f t="shared" si="3"/>
        <v>35348385</v>
      </c>
    </row>
    <row r="44" spans="1:39">
      <c r="A44" s="9" t="s">
        <v>244</v>
      </c>
      <c r="B44" s="9"/>
      <c r="C44" s="9" t="s">
        <v>111</v>
      </c>
      <c r="D44" s="9"/>
      <c r="E44" s="23">
        <v>46425</v>
      </c>
      <c r="F44" s="7"/>
      <c r="G44" s="42">
        <v>5447667</v>
      </c>
      <c r="I44" s="42">
        <v>0</v>
      </c>
      <c r="K44" s="42">
        <v>10417714</v>
      </c>
      <c r="M44" s="42">
        <v>4306</v>
      </c>
      <c r="O44" s="42">
        <f>1528915+12971</f>
        <v>1541886</v>
      </c>
      <c r="Q44" s="42">
        <v>114294</v>
      </c>
      <c r="S44" s="42">
        <v>0</v>
      </c>
      <c r="U44" s="42">
        <v>0</v>
      </c>
      <c r="W44" s="42">
        <v>65764</v>
      </c>
      <c r="Y44" s="2">
        <f t="shared" si="4"/>
        <v>17591631</v>
      </c>
      <c r="AA44" s="42">
        <v>0</v>
      </c>
      <c r="AC44" s="42">
        <v>0</v>
      </c>
      <c r="AE44" s="42">
        <v>0</v>
      </c>
      <c r="AG44" s="42">
        <v>1977</v>
      </c>
      <c r="AI44" s="42">
        <v>0</v>
      </c>
      <c r="AK44" s="42">
        <f t="shared" si="5"/>
        <v>1977</v>
      </c>
      <c r="AM44" s="42">
        <f t="shared" si="3"/>
        <v>17593608</v>
      </c>
    </row>
    <row r="45" spans="1:39">
      <c r="A45" s="9" t="s">
        <v>315</v>
      </c>
      <c r="B45" s="9"/>
      <c r="C45" s="9" t="s">
        <v>113</v>
      </c>
      <c r="D45" s="9"/>
      <c r="E45" s="23">
        <v>47241</v>
      </c>
      <c r="G45" s="42">
        <v>47611369</v>
      </c>
      <c r="I45" s="42">
        <v>0</v>
      </c>
      <c r="K45" s="42">
        <v>17279446</v>
      </c>
      <c r="M45" s="42">
        <v>126664</v>
      </c>
      <c r="O45" s="42">
        <f>1583549+26087+36947</f>
        <v>1646583</v>
      </c>
      <c r="Q45" s="42">
        <v>444450</v>
      </c>
      <c r="S45" s="42">
        <v>0</v>
      </c>
      <c r="U45" s="42">
        <v>31564</v>
      </c>
      <c r="W45" s="42">
        <v>108917</v>
      </c>
      <c r="Y45" s="2">
        <f t="shared" si="4"/>
        <v>67248993</v>
      </c>
      <c r="AA45" s="42">
        <v>0</v>
      </c>
      <c r="AC45" s="42">
        <v>0</v>
      </c>
      <c r="AE45" s="42">
        <v>0</v>
      </c>
      <c r="AG45" s="42">
        <v>0</v>
      </c>
      <c r="AI45" s="42">
        <v>0</v>
      </c>
      <c r="AK45" s="42">
        <f t="shared" si="5"/>
        <v>0</v>
      </c>
      <c r="AM45" s="42">
        <f t="shared" si="3"/>
        <v>67248993</v>
      </c>
    </row>
    <row r="46" spans="1:39">
      <c r="A46" s="9" t="s">
        <v>260</v>
      </c>
      <c r="B46" s="9"/>
      <c r="C46" s="9" t="s">
        <v>20</v>
      </c>
      <c r="D46" s="9"/>
      <c r="E46" s="23">
        <v>43562</v>
      </c>
      <c r="G46" s="42">
        <v>26736670</v>
      </c>
      <c r="I46" s="42">
        <v>0</v>
      </c>
      <c r="K46" s="42">
        <v>15373844</v>
      </c>
      <c r="M46" s="42">
        <v>17847</v>
      </c>
      <c r="O46" s="42">
        <f>1517077+11015+38204</f>
        <v>1566296</v>
      </c>
      <c r="Q46" s="42">
        <v>98496</v>
      </c>
      <c r="S46" s="42">
        <v>0</v>
      </c>
      <c r="U46" s="42">
        <v>15938</v>
      </c>
      <c r="W46" s="42">
        <v>97443</v>
      </c>
      <c r="Y46" s="2">
        <f t="shared" si="4"/>
        <v>43906534</v>
      </c>
      <c r="AA46" s="42">
        <v>0</v>
      </c>
      <c r="AC46" s="42">
        <v>0</v>
      </c>
      <c r="AE46" s="42">
        <v>0</v>
      </c>
      <c r="AG46" s="42">
        <v>12508</v>
      </c>
      <c r="AI46" s="42">
        <v>0</v>
      </c>
      <c r="AK46" s="42">
        <f t="shared" si="5"/>
        <v>12508</v>
      </c>
      <c r="AM46" s="42">
        <f t="shared" si="3"/>
        <v>43919042</v>
      </c>
    </row>
    <row r="47" spans="1:39">
      <c r="A47" s="9" t="s">
        <v>214</v>
      </c>
      <c r="B47" s="9"/>
      <c r="C47" s="9" t="s">
        <v>15</v>
      </c>
      <c r="D47" s="9"/>
      <c r="E47" s="23">
        <v>43570</v>
      </c>
      <c r="F47" s="7"/>
      <c r="G47" s="42">
        <v>2088233</v>
      </c>
      <c r="I47" s="42">
        <v>0</v>
      </c>
      <c r="K47" s="42">
        <v>9654021</v>
      </c>
      <c r="M47" s="42">
        <v>9279</v>
      </c>
      <c r="O47" s="42">
        <f>810225+6000+4974</f>
        <v>821199</v>
      </c>
      <c r="Q47" s="42">
        <v>74095</v>
      </c>
      <c r="S47" s="42">
        <v>0</v>
      </c>
      <c r="U47" s="42">
        <v>851</v>
      </c>
      <c r="W47" s="42">
        <v>23279</v>
      </c>
      <c r="Y47" s="2">
        <f t="shared" si="4"/>
        <v>12670957</v>
      </c>
      <c r="AA47" s="42">
        <v>0</v>
      </c>
      <c r="AC47" s="42">
        <v>0</v>
      </c>
      <c r="AE47" s="42">
        <v>0</v>
      </c>
      <c r="AG47" s="42">
        <v>0</v>
      </c>
      <c r="AI47" s="42">
        <v>0</v>
      </c>
      <c r="AK47" s="42">
        <f t="shared" si="5"/>
        <v>0</v>
      </c>
      <c r="AM47" s="42">
        <f t="shared" si="3"/>
        <v>12670957</v>
      </c>
    </row>
    <row r="48" spans="1:39">
      <c r="A48" s="9" t="s">
        <v>729</v>
      </c>
      <c r="B48" s="9"/>
      <c r="C48" s="9" t="s">
        <v>113</v>
      </c>
      <c r="D48" s="9"/>
      <c r="E48" s="23">
        <v>47274</v>
      </c>
      <c r="F48" s="7"/>
      <c r="G48" s="42">
        <v>14815999</v>
      </c>
      <c r="I48" s="42">
        <v>0</v>
      </c>
      <c r="K48" s="42">
        <v>7732975</v>
      </c>
      <c r="M48" s="42">
        <v>726</v>
      </c>
      <c r="O48" s="42">
        <f>4775+440496+51455</f>
        <v>496726</v>
      </c>
      <c r="Q48" s="42">
        <v>84281</v>
      </c>
      <c r="S48" s="42">
        <v>0</v>
      </c>
      <c r="U48" s="42">
        <v>11095</v>
      </c>
      <c r="W48" s="42">
        <v>390598</v>
      </c>
      <c r="Y48" s="2">
        <f t="shared" si="4"/>
        <v>23532400</v>
      </c>
      <c r="AA48" s="42">
        <v>0</v>
      </c>
      <c r="AC48" s="42">
        <v>0</v>
      </c>
      <c r="AE48" s="42">
        <v>0</v>
      </c>
      <c r="AG48" s="42">
        <f>362973+600</f>
        <v>363573</v>
      </c>
      <c r="AI48" s="42">
        <v>0</v>
      </c>
      <c r="AK48" s="42">
        <f t="shared" si="5"/>
        <v>363573</v>
      </c>
      <c r="AM48" s="42">
        <f t="shared" si="3"/>
        <v>23895973</v>
      </c>
    </row>
    <row r="49" spans="1:39" hidden="1">
      <c r="A49" s="9" t="s">
        <v>873</v>
      </c>
      <c r="B49" s="9"/>
      <c r="C49" s="9" t="s">
        <v>43</v>
      </c>
      <c r="D49" s="9"/>
      <c r="E49" s="23">
        <v>43588</v>
      </c>
      <c r="F49" s="7"/>
      <c r="G49" s="42">
        <v>0</v>
      </c>
      <c r="I49" s="42">
        <v>0</v>
      </c>
      <c r="K49" s="42">
        <v>0</v>
      </c>
      <c r="M49" s="42">
        <v>0</v>
      </c>
      <c r="O49" s="42">
        <v>0</v>
      </c>
      <c r="Q49" s="42">
        <v>0</v>
      </c>
      <c r="S49" s="42">
        <v>0</v>
      </c>
      <c r="U49" s="42">
        <v>0</v>
      </c>
      <c r="W49" s="42">
        <v>0</v>
      </c>
      <c r="Y49" s="2">
        <f t="shared" ref="Y49" si="12">SUM(G49:X49)</f>
        <v>0</v>
      </c>
      <c r="AA49" s="42">
        <v>0</v>
      </c>
      <c r="AC49" s="42">
        <v>0</v>
      </c>
      <c r="AE49" s="42">
        <v>0</v>
      </c>
      <c r="AG49" s="42">
        <v>0</v>
      </c>
      <c r="AI49" s="42">
        <v>0</v>
      </c>
      <c r="AK49" s="42">
        <f t="shared" ref="AK49" si="13">SUM(AA49:AJ49)</f>
        <v>0</v>
      </c>
      <c r="AM49" s="42">
        <f t="shared" ref="AM49" si="14">+AK49+Y49</f>
        <v>0</v>
      </c>
    </row>
    <row r="50" spans="1:39">
      <c r="A50" s="9" t="s">
        <v>353</v>
      </c>
      <c r="B50" s="9"/>
      <c r="C50" s="9" t="s">
        <v>37</v>
      </c>
      <c r="D50" s="9"/>
      <c r="E50" s="23">
        <v>43596</v>
      </c>
      <c r="G50" s="42">
        <v>6698408</v>
      </c>
      <c r="I50" s="42">
        <v>1323420</v>
      </c>
      <c r="K50" s="42">
        <f>2423+10193924+57558</f>
        <v>10253905</v>
      </c>
      <c r="M50" s="42">
        <v>24149</v>
      </c>
      <c r="O50" s="42">
        <f>454028+70218+26329</f>
        <v>550575</v>
      </c>
      <c r="Q50" s="42">
        <v>28069</v>
      </c>
      <c r="S50" s="42">
        <v>0</v>
      </c>
      <c r="U50" s="42">
        <v>3402</v>
      </c>
      <c r="W50" s="42">
        <v>188200</v>
      </c>
      <c r="Y50" s="2">
        <f t="shared" si="4"/>
        <v>19070128</v>
      </c>
      <c r="AA50" s="42">
        <v>0</v>
      </c>
      <c r="AC50" s="42">
        <v>0</v>
      </c>
      <c r="AE50" s="42">
        <v>0</v>
      </c>
      <c r="AG50" s="42">
        <f>130+260231</f>
        <v>260361</v>
      </c>
      <c r="AI50" s="42">
        <v>0</v>
      </c>
      <c r="AK50" s="42">
        <f t="shared" si="5"/>
        <v>260361</v>
      </c>
      <c r="AM50" s="42">
        <f t="shared" ref="AM50:AM82" si="15">+AK50+Y50</f>
        <v>19330489</v>
      </c>
    </row>
    <row r="51" spans="1:39">
      <c r="A51" s="9" t="s">
        <v>543</v>
      </c>
      <c r="B51" s="9"/>
      <c r="C51" s="9" t="s">
        <v>70</v>
      </c>
      <c r="D51" s="9"/>
      <c r="E51" s="23">
        <v>43604</v>
      </c>
      <c r="G51" s="42">
        <v>3424777</v>
      </c>
      <c r="I51" s="42">
        <v>0</v>
      </c>
      <c r="K51" s="42">
        <f>5331293+9836</f>
        <v>5341129</v>
      </c>
      <c r="M51" s="42">
        <v>38535</v>
      </c>
      <c r="O51" s="42">
        <f>483213+18627+2000</f>
        <v>503840</v>
      </c>
      <c r="Q51" s="42">
        <v>4689</v>
      </c>
      <c r="S51" s="42">
        <v>0</v>
      </c>
      <c r="U51" s="42">
        <v>0</v>
      </c>
      <c r="W51" s="42">
        <v>42679</v>
      </c>
      <c r="Y51" s="2">
        <f t="shared" si="4"/>
        <v>9355649</v>
      </c>
      <c r="AA51" s="42">
        <v>0</v>
      </c>
      <c r="AC51" s="42">
        <v>0</v>
      </c>
      <c r="AE51" s="42">
        <v>0</v>
      </c>
      <c r="AG51" s="42">
        <v>0</v>
      </c>
      <c r="AI51" s="42">
        <v>0</v>
      </c>
      <c r="AK51" s="42">
        <f t="shared" si="5"/>
        <v>0</v>
      </c>
      <c r="AM51" s="42">
        <f t="shared" si="15"/>
        <v>9355649</v>
      </c>
    </row>
    <row r="52" spans="1:39" hidden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42">
        <v>0</v>
      </c>
      <c r="M52" s="42">
        <v>0</v>
      </c>
      <c r="O52" s="42">
        <v>0</v>
      </c>
      <c r="Q52" s="42">
        <v>0</v>
      </c>
      <c r="S52" s="42">
        <v>0</v>
      </c>
      <c r="U52" s="42">
        <v>0</v>
      </c>
      <c r="W52" s="42">
        <v>0</v>
      </c>
      <c r="Y52" s="2">
        <f t="shared" ref="Y52" si="16">SUM(G52:X52)</f>
        <v>0</v>
      </c>
      <c r="AA52" s="42">
        <v>0</v>
      </c>
      <c r="AC52" s="42">
        <v>0</v>
      </c>
      <c r="AE52" s="42">
        <v>0</v>
      </c>
      <c r="AG52" s="42">
        <v>0</v>
      </c>
      <c r="AI52" s="42">
        <v>0</v>
      </c>
      <c r="AK52" s="42">
        <f t="shared" ref="AK52" si="17">SUM(AA52:AJ52)</f>
        <v>0</v>
      </c>
      <c r="AM52" s="42">
        <f t="shared" ref="AM52" si="18">+AK52+Y52</f>
        <v>0</v>
      </c>
    </row>
    <row r="53" spans="1:39" hidden="1">
      <c r="A53" s="9" t="s">
        <v>857</v>
      </c>
      <c r="B53" s="9"/>
      <c r="C53" s="9" t="s">
        <v>53</v>
      </c>
      <c r="D53" s="9"/>
      <c r="E53" s="23">
        <v>48926</v>
      </c>
      <c r="G53" s="42">
        <v>0</v>
      </c>
      <c r="I53" s="42">
        <v>0</v>
      </c>
      <c r="K53" s="42">
        <v>0</v>
      </c>
      <c r="M53" s="42">
        <v>0</v>
      </c>
      <c r="O53" s="42">
        <v>0</v>
      </c>
      <c r="Q53" s="42">
        <v>0</v>
      </c>
      <c r="S53" s="42">
        <v>0</v>
      </c>
      <c r="U53" s="42">
        <v>0</v>
      </c>
      <c r="W53" s="42">
        <v>0</v>
      </c>
      <c r="Y53" s="2">
        <f t="shared" si="4"/>
        <v>0</v>
      </c>
      <c r="AA53" s="42">
        <v>0</v>
      </c>
      <c r="AC53" s="42">
        <v>0</v>
      </c>
      <c r="AE53" s="42">
        <v>0</v>
      </c>
      <c r="AG53" s="42">
        <v>0</v>
      </c>
      <c r="AI53" s="42">
        <v>0</v>
      </c>
      <c r="AK53" s="42">
        <f t="shared" si="5"/>
        <v>0</v>
      </c>
      <c r="AM53" s="42">
        <f t="shared" si="15"/>
        <v>0</v>
      </c>
    </row>
    <row r="54" spans="1:39">
      <c r="A54" s="9" t="s">
        <v>261</v>
      </c>
      <c r="B54" s="9"/>
      <c r="C54" s="9" t="s">
        <v>20</v>
      </c>
      <c r="D54" s="9"/>
      <c r="E54" s="23">
        <v>43612</v>
      </c>
      <c r="G54" s="42">
        <v>52667153</v>
      </c>
      <c r="I54" s="42">
        <v>0</v>
      </c>
      <c r="K54" s="42">
        <v>22158334</v>
      </c>
      <c r="M54" s="42">
        <v>19852</v>
      </c>
      <c r="O54" s="42">
        <f>3008199+68650+12515</f>
        <v>3089364</v>
      </c>
      <c r="Q54" s="42">
        <v>297096</v>
      </c>
      <c r="S54" s="42">
        <v>0</v>
      </c>
      <c r="U54" s="42">
        <v>51316</v>
      </c>
      <c r="W54" s="42">
        <v>903701</v>
      </c>
      <c r="Y54" s="2">
        <f t="shared" si="4"/>
        <v>79186816</v>
      </c>
      <c r="AA54" s="42">
        <v>0</v>
      </c>
      <c r="AC54" s="42">
        <v>0</v>
      </c>
      <c r="AE54" s="42">
        <v>0</v>
      </c>
      <c r="AG54" s="42">
        <v>0</v>
      </c>
      <c r="AI54" s="42">
        <v>0</v>
      </c>
      <c r="AK54" s="42">
        <f t="shared" si="5"/>
        <v>0</v>
      </c>
      <c r="AM54" s="42">
        <f t="shared" si="15"/>
        <v>79186816</v>
      </c>
    </row>
    <row r="55" spans="1:39">
      <c r="A55" s="9" t="s">
        <v>634</v>
      </c>
      <c r="B55" s="9"/>
      <c r="C55" s="9" t="s">
        <v>30</v>
      </c>
      <c r="D55" s="9"/>
      <c r="E55" s="23">
        <v>47167</v>
      </c>
      <c r="G55" s="42">
        <v>4154554</v>
      </c>
      <c r="I55" s="42">
        <v>1735507</v>
      </c>
      <c r="K55" s="42">
        <v>3982532</v>
      </c>
      <c r="M55" s="42">
        <v>4079</v>
      </c>
      <c r="O55" s="42">
        <f>498588+1880</f>
        <v>500468</v>
      </c>
      <c r="Q55" s="42">
        <v>102397</v>
      </c>
      <c r="S55" s="42">
        <v>0</v>
      </c>
      <c r="U55" s="42">
        <v>29522</v>
      </c>
      <c r="W55" s="42">
        <v>39446</v>
      </c>
      <c r="Y55" s="2">
        <f t="shared" si="4"/>
        <v>10548505</v>
      </c>
      <c r="AA55" s="42">
        <v>0</v>
      </c>
      <c r="AC55" s="42">
        <v>0</v>
      </c>
      <c r="AE55" s="42">
        <v>0</v>
      </c>
      <c r="AG55" s="42">
        <v>146624</v>
      </c>
      <c r="AI55" s="42">
        <v>0</v>
      </c>
      <c r="AK55" s="42">
        <f t="shared" si="5"/>
        <v>146624</v>
      </c>
      <c r="AM55" s="42">
        <f t="shared" si="15"/>
        <v>10695129</v>
      </c>
    </row>
    <row r="56" spans="1:39" hidden="1">
      <c r="A56" s="9" t="s">
        <v>283</v>
      </c>
      <c r="B56" s="9"/>
      <c r="C56" s="9" t="s">
        <v>24</v>
      </c>
      <c r="D56" s="9"/>
      <c r="E56" s="23">
        <v>46789</v>
      </c>
      <c r="G56" s="42">
        <v>0</v>
      </c>
      <c r="I56" s="42">
        <v>0</v>
      </c>
      <c r="K56" s="42">
        <v>0</v>
      </c>
      <c r="M56" s="42">
        <v>0</v>
      </c>
      <c r="O56" s="42">
        <v>0</v>
      </c>
      <c r="Q56" s="42">
        <v>0</v>
      </c>
      <c r="S56" s="42">
        <v>0</v>
      </c>
      <c r="U56" s="42">
        <v>0</v>
      </c>
      <c r="W56" s="42">
        <v>0</v>
      </c>
      <c r="Y56" s="2">
        <f t="shared" si="4"/>
        <v>0</v>
      </c>
      <c r="AA56" s="42">
        <v>0</v>
      </c>
      <c r="AC56" s="42">
        <v>0</v>
      </c>
      <c r="AE56" s="42">
        <v>0</v>
      </c>
      <c r="AG56" s="42">
        <v>0</v>
      </c>
      <c r="AI56" s="42">
        <v>0</v>
      </c>
      <c r="AK56" s="42">
        <f t="shared" si="5"/>
        <v>0</v>
      </c>
      <c r="AM56" s="42">
        <f t="shared" si="15"/>
        <v>0</v>
      </c>
    </row>
    <row r="57" spans="1:39" hidden="1">
      <c r="A57" s="9" t="s">
        <v>786</v>
      </c>
      <c r="B57" s="9"/>
      <c r="C57" s="9" t="s">
        <v>25</v>
      </c>
      <c r="D57" s="9"/>
      <c r="E57" s="23">
        <v>46854</v>
      </c>
      <c r="G57" s="42">
        <v>0</v>
      </c>
      <c r="I57" s="42">
        <v>0</v>
      </c>
      <c r="K57" s="42">
        <v>0</v>
      </c>
      <c r="M57" s="42">
        <v>0</v>
      </c>
      <c r="O57" s="42">
        <v>0</v>
      </c>
      <c r="Q57" s="42">
        <v>0</v>
      </c>
      <c r="S57" s="42">
        <v>0</v>
      </c>
      <c r="U57" s="42">
        <v>0</v>
      </c>
      <c r="W57" s="42">
        <v>0</v>
      </c>
      <c r="Y57" s="2">
        <f t="shared" si="4"/>
        <v>0</v>
      </c>
      <c r="AA57" s="42">
        <v>0</v>
      </c>
      <c r="AC57" s="42">
        <v>0</v>
      </c>
      <c r="AE57" s="42">
        <v>0</v>
      </c>
      <c r="AG57" s="42">
        <v>0</v>
      </c>
      <c r="AI57" s="42">
        <v>0</v>
      </c>
      <c r="AK57" s="42">
        <f t="shared" si="5"/>
        <v>0</v>
      </c>
      <c r="AM57" s="42">
        <f t="shared" si="15"/>
        <v>0</v>
      </c>
    </row>
    <row r="58" spans="1:39">
      <c r="A58" s="9" t="s">
        <v>420</v>
      </c>
      <c r="B58" s="9"/>
      <c r="C58" s="9" t="s">
        <v>48</v>
      </c>
      <c r="D58" s="9"/>
      <c r="E58" s="23">
        <v>48611</v>
      </c>
      <c r="G58" s="42">
        <v>3488702</v>
      </c>
      <c r="I58" s="42">
        <v>821461</v>
      </c>
      <c r="K58" s="42">
        <v>3149185</v>
      </c>
      <c r="M58" s="42">
        <v>42942</v>
      </c>
      <c r="O58" s="42">
        <v>837038</v>
      </c>
      <c r="Q58" s="42">
        <v>23502</v>
      </c>
      <c r="S58" s="42">
        <v>0</v>
      </c>
      <c r="U58" s="42">
        <v>0</v>
      </c>
      <c r="W58" s="42">
        <v>135219</v>
      </c>
      <c r="Y58" s="2">
        <f t="shared" ref="Y58" si="19">SUM(G58:X58)</f>
        <v>8498049</v>
      </c>
      <c r="AA58" s="42">
        <v>0</v>
      </c>
      <c r="AC58" s="42">
        <v>0</v>
      </c>
      <c r="AE58" s="42">
        <v>0</v>
      </c>
      <c r="AG58" s="42">
        <v>0</v>
      </c>
      <c r="AI58" s="42">
        <v>0</v>
      </c>
      <c r="AK58" s="42">
        <f t="shared" ref="AK58" si="20">SUM(AA58:AJ58)</f>
        <v>0</v>
      </c>
      <c r="AM58" s="42">
        <f t="shared" ref="AM58" si="21">+AK58+Y58</f>
        <v>8498049</v>
      </c>
    </row>
    <row r="59" spans="1:39">
      <c r="A59" s="9" t="s">
        <v>236</v>
      </c>
      <c r="B59" s="9"/>
      <c r="C59" s="9" t="s">
        <v>112</v>
      </c>
      <c r="D59" s="9"/>
      <c r="E59" s="23">
        <v>46318</v>
      </c>
      <c r="F59" s="7"/>
      <c r="G59" s="42">
        <v>3002514</v>
      </c>
      <c r="I59" s="42">
        <v>0</v>
      </c>
      <c r="K59" s="42">
        <v>9712019</v>
      </c>
      <c r="M59" s="42">
        <v>2332</v>
      </c>
      <c r="O59" s="42">
        <f>1135275+11036+18785</f>
        <v>1165096</v>
      </c>
      <c r="Q59" s="42">
        <v>45097</v>
      </c>
      <c r="S59" s="42">
        <v>0</v>
      </c>
      <c r="U59" s="42">
        <v>10926</v>
      </c>
      <c r="W59" s="42">
        <v>36461</v>
      </c>
      <c r="Y59" s="2">
        <f t="shared" si="4"/>
        <v>13974445</v>
      </c>
      <c r="AA59" s="42">
        <v>17815</v>
      </c>
      <c r="AC59" s="42">
        <v>0</v>
      </c>
      <c r="AE59" s="42">
        <v>0</v>
      </c>
      <c r="AG59" s="42">
        <v>7500</v>
      </c>
      <c r="AI59" s="42">
        <v>0</v>
      </c>
      <c r="AK59" s="42">
        <f t="shared" si="5"/>
        <v>25315</v>
      </c>
      <c r="AM59" s="42">
        <f t="shared" si="15"/>
        <v>13999760</v>
      </c>
    </row>
    <row r="60" spans="1:39" hidden="1">
      <c r="A60" s="9" t="s">
        <v>667</v>
      </c>
      <c r="B60" s="9"/>
      <c r="C60" s="9" t="s">
        <v>60</v>
      </c>
      <c r="D60" s="9"/>
      <c r="E60" s="23">
        <v>49692</v>
      </c>
      <c r="G60" s="42">
        <v>0</v>
      </c>
      <c r="I60" s="42">
        <v>0</v>
      </c>
      <c r="K60" s="42">
        <v>0</v>
      </c>
      <c r="M60" s="42">
        <v>0</v>
      </c>
      <c r="O60" s="42">
        <v>0</v>
      </c>
      <c r="Q60" s="42">
        <v>0</v>
      </c>
      <c r="S60" s="42">
        <v>0</v>
      </c>
      <c r="U60" s="42">
        <v>0</v>
      </c>
      <c r="W60" s="42">
        <v>0</v>
      </c>
      <c r="Y60" s="2">
        <f t="shared" si="4"/>
        <v>0</v>
      </c>
      <c r="AA60" s="42">
        <v>0</v>
      </c>
      <c r="AC60" s="42">
        <v>0</v>
      </c>
      <c r="AE60" s="42">
        <v>0</v>
      </c>
      <c r="AG60" s="42">
        <v>0</v>
      </c>
      <c r="AI60" s="42">
        <v>0</v>
      </c>
      <c r="AK60" s="42">
        <f t="shared" si="5"/>
        <v>0</v>
      </c>
      <c r="AM60" s="42">
        <f t="shared" si="15"/>
        <v>0</v>
      </c>
    </row>
    <row r="61" spans="1:39">
      <c r="A61" s="9" t="s">
        <v>297</v>
      </c>
      <c r="B61" s="9"/>
      <c r="C61" s="9" t="s">
        <v>27</v>
      </c>
      <c r="D61" s="9"/>
      <c r="E61" s="23">
        <v>43620</v>
      </c>
      <c r="G61" s="42">
        <v>19547889</v>
      </c>
      <c r="I61" s="42">
        <v>7187761</v>
      </c>
      <c r="K61" s="42">
        <v>6686195</v>
      </c>
      <c r="M61" s="42">
        <v>61182</v>
      </c>
      <c r="O61" s="42">
        <v>105803</v>
      </c>
      <c r="Q61" s="42">
        <v>54107</v>
      </c>
      <c r="S61" s="42">
        <v>0</v>
      </c>
      <c r="U61" s="42">
        <v>0</v>
      </c>
      <c r="W61" s="42">
        <v>173783</v>
      </c>
      <c r="Y61" s="2">
        <f t="shared" si="4"/>
        <v>33816720</v>
      </c>
      <c r="AA61" s="42">
        <v>0</v>
      </c>
      <c r="AC61" s="42">
        <v>0</v>
      </c>
      <c r="AE61" s="42">
        <v>0</v>
      </c>
      <c r="AG61" s="42">
        <v>0</v>
      </c>
      <c r="AI61" s="42">
        <v>0</v>
      </c>
      <c r="AK61" s="42">
        <f t="shared" si="5"/>
        <v>0</v>
      </c>
      <c r="AM61" s="42">
        <f t="shared" si="15"/>
        <v>33816720</v>
      </c>
    </row>
    <row r="62" spans="1:39">
      <c r="A62" s="9" t="s">
        <v>630</v>
      </c>
      <c r="B62" s="9"/>
      <c r="C62" s="9" t="s">
        <v>23</v>
      </c>
      <c r="D62" s="9"/>
      <c r="E62" s="23">
        <v>46748</v>
      </c>
      <c r="G62" s="42">
        <v>17184917</v>
      </c>
      <c r="I62" s="42">
        <v>5082396</v>
      </c>
      <c r="K62" s="42">
        <v>6979081</v>
      </c>
      <c r="M62" s="42">
        <v>19630</v>
      </c>
      <c r="O62" s="42">
        <f>382112+19498</f>
        <v>401610</v>
      </c>
      <c r="Q62" s="42">
        <v>1604</v>
      </c>
      <c r="S62" s="42">
        <v>0</v>
      </c>
      <c r="U62" s="42">
        <v>144931</v>
      </c>
      <c r="W62" s="42">
        <v>288269</v>
      </c>
      <c r="Y62" s="2">
        <f t="shared" si="4"/>
        <v>30102438</v>
      </c>
      <c r="AA62" s="42">
        <v>0</v>
      </c>
      <c r="AC62" s="42">
        <v>0</v>
      </c>
      <c r="AE62" s="42">
        <v>0</v>
      </c>
      <c r="AG62" s="42">
        <v>1854</v>
      </c>
      <c r="AI62" s="42">
        <v>0</v>
      </c>
      <c r="AK62" s="42">
        <f t="shared" si="5"/>
        <v>1854</v>
      </c>
      <c r="AM62" s="42">
        <f t="shared" si="15"/>
        <v>30104292</v>
      </c>
    </row>
    <row r="63" spans="1:39">
      <c r="A63" s="9" t="s">
        <v>411</v>
      </c>
      <c r="B63" s="9"/>
      <c r="C63" s="9" t="s">
        <v>47</v>
      </c>
      <c r="D63" s="9"/>
      <c r="E63" s="23">
        <v>48462</v>
      </c>
      <c r="G63" s="42">
        <v>3605659</v>
      </c>
      <c r="I63" s="42">
        <v>0</v>
      </c>
      <c r="K63" s="42">
        <f>7605114+20169</f>
        <v>7625283</v>
      </c>
      <c r="M63" s="42">
        <v>18519</v>
      </c>
      <c r="O63" s="42">
        <f>354271+46678+16731+3489</f>
        <v>421169</v>
      </c>
      <c r="Q63" s="42">
        <v>141172</v>
      </c>
      <c r="S63" s="42">
        <v>0</v>
      </c>
      <c r="U63" s="42">
        <v>388</v>
      </c>
      <c r="W63" s="42">
        <v>10815</v>
      </c>
      <c r="Y63" s="2">
        <f t="shared" si="4"/>
        <v>11823005</v>
      </c>
      <c r="AA63" s="42">
        <v>1923</v>
      </c>
      <c r="AC63" s="42">
        <v>0</v>
      </c>
      <c r="AE63" s="42">
        <v>0</v>
      </c>
      <c r="AG63" s="42">
        <v>0</v>
      </c>
      <c r="AI63" s="42">
        <v>0</v>
      </c>
      <c r="AK63" s="42">
        <f t="shared" si="5"/>
        <v>1923</v>
      </c>
      <c r="AM63" s="42">
        <f t="shared" si="15"/>
        <v>11824928</v>
      </c>
    </row>
    <row r="64" spans="1:39">
      <c r="A64" s="9" t="s">
        <v>240</v>
      </c>
      <c r="B64" s="9"/>
      <c r="C64" s="9" t="s">
        <v>18</v>
      </c>
      <c r="D64" s="9"/>
      <c r="E64" s="23">
        <v>46383</v>
      </c>
      <c r="F64" s="7"/>
      <c r="G64" s="42">
        <v>2700280</v>
      </c>
      <c r="I64" s="42">
        <v>0</v>
      </c>
      <c r="K64" s="42">
        <v>9590047</v>
      </c>
      <c r="M64" s="42">
        <v>31418</v>
      </c>
      <c r="O64" s="42">
        <f>1551634+200</f>
        <v>1551834</v>
      </c>
      <c r="Q64" s="42">
        <v>4522</v>
      </c>
      <c r="S64" s="42">
        <v>0</v>
      </c>
      <c r="U64" s="42">
        <v>0</v>
      </c>
      <c r="W64" s="42">
        <v>134227</v>
      </c>
      <c r="Y64" s="2">
        <f t="shared" si="4"/>
        <v>14012328</v>
      </c>
      <c r="AA64" s="42">
        <v>0</v>
      </c>
      <c r="AC64" s="42">
        <v>0</v>
      </c>
      <c r="AE64" s="42">
        <v>0</v>
      </c>
      <c r="AG64" s="42">
        <v>0</v>
      </c>
      <c r="AI64" s="42">
        <v>0</v>
      </c>
      <c r="AK64" s="42">
        <f t="shared" si="5"/>
        <v>0</v>
      </c>
      <c r="AM64" s="42">
        <f t="shared" si="15"/>
        <v>14012328</v>
      </c>
    </row>
    <row r="65" spans="1:39">
      <c r="A65" s="9" t="s">
        <v>291</v>
      </c>
      <c r="B65" s="9"/>
      <c r="C65" s="9" t="s">
        <v>25</v>
      </c>
      <c r="D65" s="9"/>
      <c r="E65" s="23">
        <v>46862</v>
      </c>
      <c r="G65" s="42">
        <v>6595973</v>
      </c>
      <c r="I65" s="42">
        <v>3855565</v>
      </c>
      <c r="K65" s="42">
        <v>4154058</v>
      </c>
      <c r="M65" s="42">
        <v>30503</v>
      </c>
      <c r="O65" s="42">
        <v>1098321</v>
      </c>
      <c r="Q65" s="42">
        <v>24994</v>
      </c>
      <c r="S65" s="42">
        <v>0</v>
      </c>
      <c r="U65" s="42">
        <v>26667</v>
      </c>
      <c r="W65" s="42">
        <v>71460</v>
      </c>
      <c r="Y65" s="2">
        <f t="shared" si="4"/>
        <v>15857541</v>
      </c>
      <c r="AA65" s="42">
        <v>0</v>
      </c>
      <c r="AC65" s="42">
        <v>0</v>
      </c>
      <c r="AE65" s="42">
        <v>0</v>
      </c>
      <c r="AG65" s="42">
        <f>870+3592</f>
        <v>4462</v>
      </c>
      <c r="AI65" s="42">
        <v>0</v>
      </c>
      <c r="AK65" s="42">
        <f t="shared" si="5"/>
        <v>4462</v>
      </c>
      <c r="AM65" s="42">
        <f t="shared" si="15"/>
        <v>15862003</v>
      </c>
    </row>
    <row r="66" spans="1:39">
      <c r="A66" s="9" t="s">
        <v>514</v>
      </c>
      <c r="B66" s="9"/>
      <c r="C66" s="9" t="s">
        <v>64</v>
      </c>
      <c r="D66" s="9"/>
      <c r="E66" s="23">
        <v>50096</v>
      </c>
      <c r="G66" s="42">
        <v>1227867</v>
      </c>
      <c r="I66" s="42">
        <v>0</v>
      </c>
      <c r="K66" s="42">
        <v>1596402</v>
      </c>
      <c r="M66" s="42">
        <v>486</v>
      </c>
      <c r="O66" s="42">
        <f>183096+2972+10320+46</f>
        <v>196434</v>
      </c>
      <c r="Q66" s="42">
        <v>4189</v>
      </c>
      <c r="S66" s="42">
        <v>0</v>
      </c>
      <c r="U66" s="42">
        <v>0</v>
      </c>
      <c r="W66" s="42">
        <v>4738</v>
      </c>
      <c r="Y66" s="2">
        <f t="shared" si="4"/>
        <v>3030116</v>
      </c>
      <c r="AA66" s="42">
        <v>0</v>
      </c>
      <c r="AC66" s="42">
        <v>0</v>
      </c>
      <c r="AE66" s="42">
        <v>0</v>
      </c>
      <c r="AG66" s="42">
        <v>0</v>
      </c>
      <c r="AI66" s="42">
        <v>0</v>
      </c>
      <c r="AK66" s="42">
        <f t="shared" si="5"/>
        <v>0</v>
      </c>
      <c r="AM66" s="42">
        <f t="shared" si="15"/>
        <v>3030116</v>
      </c>
    </row>
    <row r="67" spans="1:39">
      <c r="A67" s="9" t="s">
        <v>476</v>
      </c>
      <c r="B67" s="9"/>
      <c r="C67" s="9" t="s">
        <v>59</v>
      </c>
      <c r="D67" s="9"/>
      <c r="E67" s="23">
        <v>49593</v>
      </c>
      <c r="G67" s="42">
        <v>1071331</v>
      </c>
      <c r="I67" s="42">
        <v>0</v>
      </c>
      <c r="K67" s="42">
        <v>6465627</v>
      </c>
      <c r="M67" s="42">
        <v>4692</v>
      </c>
      <c r="O67" s="42">
        <f>871163+400</f>
        <v>871563</v>
      </c>
      <c r="Q67" s="42">
        <v>7451</v>
      </c>
      <c r="S67" s="42">
        <v>0</v>
      </c>
      <c r="U67" s="42">
        <v>10655</v>
      </c>
      <c r="W67" s="42">
        <v>232157</v>
      </c>
      <c r="Y67" s="2">
        <f t="shared" ref="Y67" si="22">SUM(G67:X67)</f>
        <v>8663476</v>
      </c>
      <c r="AA67" s="42">
        <v>0</v>
      </c>
      <c r="AC67" s="42">
        <v>0</v>
      </c>
      <c r="AE67" s="42">
        <v>0</v>
      </c>
      <c r="AG67" s="42">
        <v>4948</v>
      </c>
      <c r="AI67" s="42">
        <v>0</v>
      </c>
      <c r="AK67" s="42">
        <f t="shared" ref="AK67" si="23">SUM(AA67:AJ67)</f>
        <v>4948</v>
      </c>
      <c r="AM67" s="42">
        <f t="shared" si="15"/>
        <v>8668424</v>
      </c>
    </row>
    <row r="68" spans="1:39" hidden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42">
        <v>0</v>
      </c>
      <c r="M68" s="42">
        <v>0</v>
      </c>
      <c r="O68" s="42">
        <v>0</v>
      </c>
      <c r="Q68" s="42">
        <v>0</v>
      </c>
      <c r="S68" s="42">
        <v>0</v>
      </c>
      <c r="U68" s="42">
        <v>0</v>
      </c>
      <c r="W68" s="42">
        <v>0</v>
      </c>
      <c r="Y68" s="2">
        <f>SUM(G68:X68)</f>
        <v>0</v>
      </c>
      <c r="AA68" s="42">
        <v>0</v>
      </c>
      <c r="AC68" s="42">
        <v>0</v>
      </c>
      <c r="AE68" s="42">
        <v>0</v>
      </c>
      <c r="AG68" s="42">
        <v>0</v>
      </c>
      <c r="AI68" s="42">
        <v>0</v>
      </c>
      <c r="AK68" s="42">
        <f>SUM(AA68:AJ68)</f>
        <v>0</v>
      </c>
      <c r="AM68" s="42">
        <f t="shared" si="15"/>
        <v>0</v>
      </c>
    </row>
    <row r="69" spans="1:39">
      <c r="A69" s="9" t="s">
        <v>399</v>
      </c>
      <c r="B69" s="9"/>
      <c r="C69" s="9" t="s">
        <v>45</v>
      </c>
      <c r="D69" s="9"/>
      <c r="E69" s="23">
        <v>48306</v>
      </c>
      <c r="G69" s="42">
        <v>26649384</v>
      </c>
      <c r="I69" s="42">
        <v>0</v>
      </c>
      <c r="K69" s="42">
        <v>12759400</v>
      </c>
      <c r="M69" s="42">
        <v>9085</v>
      </c>
      <c r="O69" s="42">
        <f>639864+1328153+140241</f>
        <v>2108258</v>
      </c>
      <c r="Q69" s="42">
        <v>142209</v>
      </c>
      <c r="S69" s="42">
        <v>0</v>
      </c>
      <c r="U69" s="42">
        <v>32332</v>
      </c>
      <c r="W69" s="42">
        <v>268821</v>
      </c>
      <c r="Y69" s="2">
        <f t="shared" si="4"/>
        <v>41969489</v>
      </c>
      <c r="AA69" s="42">
        <v>0</v>
      </c>
      <c r="AC69" s="42">
        <v>0</v>
      </c>
      <c r="AE69" s="42">
        <v>0</v>
      </c>
      <c r="AG69" s="42">
        <f>516910+13745</f>
        <v>530655</v>
      </c>
      <c r="AI69" s="42">
        <v>0</v>
      </c>
      <c r="AK69" s="42">
        <f t="shared" si="5"/>
        <v>530655</v>
      </c>
      <c r="AM69" s="42">
        <f t="shared" si="15"/>
        <v>42500144</v>
      </c>
    </row>
    <row r="70" spans="1:39" hidden="1">
      <c r="A70" s="9" t="s">
        <v>900</v>
      </c>
      <c r="B70" s="9"/>
      <c r="C70" s="9" t="s">
        <v>61</v>
      </c>
      <c r="D70" s="9"/>
      <c r="E70" s="23">
        <v>49767</v>
      </c>
      <c r="G70" s="42">
        <v>0</v>
      </c>
      <c r="I70" s="42">
        <v>0</v>
      </c>
      <c r="K70" s="42">
        <v>0</v>
      </c>
      <c r="M70" s="42">
        <v>0</v>
      </c>
      <c r="O70" s="42">
        <v>0</v>
      </c>
      <c r="Q70" s="42">
        <v>0</v>
      </c>
      <c r="S70" s="42">
        <v>0</v>
      </c>
      <c r="U70" s="42">
        <v>0</v>
      </c>
      <c r="W70" s="42">
        <v>0</v>
      </c>
      <c r="Y70" s="2">
        <f t="shared" si="4"/>
        <v>0</v>
      </c>
      <c r="AA70" s="42">
        <v>0</v>
      </c>
      <c r="AC70" s="42">
        <v>0</v>
      </c>
      <c r="AE70" s="42">
        <v>0</v>
      </c>
      <c r="AG70" s="42">
        <v>0</v>
      </c>
      <c r="AI70" s="42">
        <v>0</v>
      </c>
      <c r="AK70" s="42">
        <f>SUM(AA70:AJ70)</f>
        <v>0</v>
      </c>
      <c r="AM70" s="42">
        <f t="shared" si="15"/>
        <v>0</v>
      </c>
    </row>
    <row r="71" spans="1:39">
      <c r="A71" s="9" t="s">
        <v>549</v>
      </c>
      <c r="B71" s="9"/>
      <c r="C71" s="9" t="s">
        <v>72</v>
      </c>
      <c r="D71" s="9"/>
      <c r="E71" s="23">
        <v>43638</v>
      </c>
      <c r="G71" s="42">
        <v>16868582</v>
      </c>
      <c r="I71" s="42">
        <v>3060887</v>
      </c>
      <c r="K71" s="42">
        <v>9929352</v>
      </c>
      <c r="M71" s="42">
        <v>31342</v>
      </c>
      <c r="O71" s="42">
        <f>429065+4925</f>
        <v>433990</v>
      </c>
      <c r="Q71" s="42">
        <v>45585</v>
      </c>
      <c r="S71" s="42">
        <v>0</v>
      </c>
      <c r="U71" s="42">
        <v>0</v>
      </c>
      <c r="W71" s="42">
        <v>89271</v>
      </c>
      <c r="Y71" s="2">
        <f t="shared" si="4"/>
        <v>30459009</v>
      </c>
      <c r="AA71" s="42">
        <v>0</v>
      </c>
      <c r="AC71" s="42">
        <v>0</v>
      </c>
      <c r="AE71" s="42">
        <v>0</v>
      </c>
      <c r="AG71" s="42">
        <v>77566</v>
      </c>
      <c r="AI71" s="42">
        <v>0</v>
      </c>
      <c r="AK71" s="42">
        <f t="shared" si="5"/>
        <v>77566</v>
      </c>
      <c r="AM71" s="42">
        <f t="shared" si="15"/>
        <v>30536575</v>
      </c>
    </row>
    <row r="72" spans="1:39" hidden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42">
        <v>0</v>
      </c>
      <c r="M72" s="42">
        <v>0</v>
      </c>
      <c r="O72" s="42">
        <v>0</v>
      </c>
      <c r="Q72" s="42">
        <v>0</v>
      </c>
      <c r="S72" s="42">
        <v>0</v>
      </c>
      <c r="U72" s="42">
        <v>0</v>
      </c>
      <c r="W72" s="42">
        <v>0</v>
      </c>
      <c r="Y72" s="2">
        <f>SUM(G72:X72)</f>
        <v>0</v>
      </c>
      <c r="AA72" s="42">
        <v>0</v>
      </c>
      <c r="AC72" s="42">
        <v>0</v>
      </c>
      <c r="AE72" s="42">
        <v>0</v>
      </c>
      <c r="AG72" s="42">
        <v>0</v>
      </c>
      <c r="AI72" s="42">
        <v>0</v>
      </c>
      <c r="AK72" s="42">
        <f>SUM(AA72:AJ72)</f>
        <v>0</v>
      </c>
      <c r="AM72" s="42">
        <f t="shared" si="15"/>
        <v>0</v>
      </c>
    </row>
    <row r="73" spans="1:39">
      <c r="A73" s="9" t="s">
        <v>779</v>
      </c>
      <c r="B73" s="9"/>
      <c r="C73" s="9" t="s">
        <v>20</v>
      </c>
      <c r="D73" s="9"/>
      <c r="E73" s="23">
        <v>43646</v>
      </c>
      <c r="G73" s="42">
        <v>32416407</v>
      </c>
      <c r="I73" s="42">
        <v>0</v>
      </c>
      <c r="K73" s="42">
        <v>11093264</v>
      </c>
      <c r="M73" s="42">
        <v>30164</v>
      </c>
      <c r="O73" s="42">
        <f>921032+77824+32087</f>
        <v>1030943</v>
      </c>
      <c r="Q73" s="42">
        <v>943858</v>
      </c>
      <c r="S73" s="42">
        <v>465063</v>
      </c>
      <c r="U73" s="42">
        <v>28507</v>
      </c>
      <c r="W73" s="42">
        <v>24662</v>
      </c>
      <c r="Y73" s="2">
        <f t="shared" si="4"/>
        <v>46032868</v>
      </c>
      <c r="AA73" s="42">
        <v>0</v>
      </c>
      <c r="AC73" s="42">
        <v>0</v>
      </c>
      <c r="AE73" s="42">
        <v>0</v>
      </c>
      <c r="AG73" s="42">
        <v>0</v>
      </c>
      <c r="AI73" s="42">
        <v>0</v>
      </c>
      <c r="AK73" s="42">
        <f t="shared" si="5"/>
        <v>0</v>
      </c>
      <c r="AM73" s="42">
        <f t="shared" si="15"/>
        <v>46032868</v>
      </c>
    </row>
    <row r="74" spans="1:39">
      <c r="A74" s="9" t="s">
        <v>745</v>
      </c>
      <c r="B74" s="9"/>
      <c r="C74" s="9" t="s">
        <v>15</v>
      </c>
      <c r="D74" s="9"/>
      <c r="E74" s="23">
        <v>45237</v>
      </c>
      <c r="F74" s="7"/>
      <c r="G74" s="42">
        <v>1657221</v>
      </c>
      <c r="I74" s="42">
        <v>0</v>
      </c>
      <c r="K74" s="42">
        <f>4498223+34550</f>
        <v>4532773</v>
      </c>
      <c r="M74" s="42">
        <v>3630</v>
      </c>
      <c r="O74" s="42">
        <v>682864</v>
      </c>
      <c r="Q74" s="42">
        <v>2496</v>
      </c>
      <c r="S74" s="42">
        <v>0</v>
      </c>
      <c r="U74" s="42">
        <v>0</v>
      </c>
      <c r="W74" s="42">
        <v>88437</v>
      </c>
      <c r="Y74" s="2">
        <f t="shared" si="4"/>
        <v>6967421</v>
      </c>
      <c r="AA74" s="42">
        <v>0</v>
      </c>
      <c r="AC74" s="42">
        <v>0</v>
      </c>
      <c r="AE74" s="42">
        <v>0</v>
      </c>
      <c r="AG74" s="42">
        <v>0</v>
      </c>
      <c r="AI74" s="42">
        <v>0</v>
      </c>
      <c r="AK74" s="42">
        <f t="shared" si="5"/>
        <v>0</v>
      </c>
      <c r="AM74" s="42">
        <f t="shared" si="15"/>
        <v>6967421</v>
      </c>
    </row>
    <row r="75" spans="1:39" hidden="1">
      <c r="A75" s="9" t="s">
        <v>787</v>
      </c>
      <c r="B75" s="9"/>
      <c r="C75" s="9" t="s">
        <v>346</v>
      </c>
      <c r="D75" s="9"/>
      <c r="E75" s="23">
        <v>47613</v>
      </c>
      <c r="G75" s="42">
        <v>0</v>
      </c>
      <c r="I75" s="42">
        <v>0</v>
      </c>
      <c r="K75" s="42">
        <v>0</v>
      </c>
      <c r="M75" s="42">
        <v>0</v>
      </c>
      <c r="O75" s="42">
        <v>0</v>
      </c>
      <c r="Q75" s="42">
        <v>0</v>
      </c>
      <c r="S75" s="42">
        <v>0</v>
      </c>
      <c r="U75" s="42">
        <v>0</v>
      </c>
      <c r="W75" s="42">
        <v>0</v>
      </c>
      <c r="Y75" s="2">
        <f t="shared" si="4"/>
        <v>0</v>
      </c>
      <c r="AA75" s="42">
        <v>0</v>
      </c>
      <c r="AC75" s="42">
        <v>0</v>
      </c>
      <c r="AE75" s="42">
        <v>0</v>
      </c>
      <c r="AG75" s="42">
        <v>0</v>
      </c>
      <c r="AI75" s="42">
        <v>0</v>
      </c>
      <c r="AK75" s="42">
        <f t="shared" si="5"/>
        <v>0</v>
      </c>
      <c r="AM75" s="42">
        <f t="shared" si="15"/>
        <v>0</v>
      </c>
    </row>
    <row r="76" spans="1:39">
      <c r="A76" s="9" t="s">
        <v>515</v>
      </c>
      <c r="B76" s="9"/>
      <c r="C76" s="9" t="s">
        <v>64</v>
      </c>
      <c r="D76" s="9"/>
      <c r="E76" s="23">
        <v>50112</v>
      </c>
      <c r="G76" s="42">
        <v>2247678</v>
      </c>
      <c r="I76" s="42">
        <v>0</v>
      </c>
      <c r="K76" s="42">
        <v>3753681</v>
      </c>
      <c r="M76" s="42">
        <v>4756</v>
      </c>
      <c r="O76" s="42">
        <f>272224+1358+9360</f>
        <v>282942</v>
      </c>
      <c r="Q76" s="42">
        <v>42286</v>
      </c>
      <c r="S76" s="42">
        <v>0</v>
      </c>
      <c r="U76" s="42">
        <v>216037</v>
      </c>
      <c r="W76" s="42">
        <v>23486</v>
      </c>
      <c r="Y76" s="2">
        <f t="shared" si="4"/>
        <v>6570866</v>
      </c>
      <c r="AA76" s="42">
        <v>0</v>
      </c>
      <c r="AC76" s="42">
        <v>0</v>
      </c>
      <c r="AE76" s="42">
        <v>0</v>
      </c>
      <c r="AG76" s="42">
        <v>2000</v>
      </c>
      <c r="AI76" s="42">
        <v>0</v>
      </c>
      <c r="AK76" s="42">
        <f t="shared" si="5"/>
        <v>2000</v>
      </c>
      <c r="AM76" s="42">
        <f t="shared" si="15"/>
        <v>6572866</v>
      </c>
    </row>
    <row r="77" spans="1:39">
      <c r="A77" s="9" t="s">
        <v>668</v>
      </c>
      <c r="B77" s="9"/>
      <c r="C77" s="9" t="s">
        <v>64</v>
      </c>
      <c r="D77" s="9"/>
      <c r="E77" s="23">
        <v>50120</v>
      </c>
      <c r="G77" s="42">
        <v>2664010</v>
      </c>
      <c r="I77" s="42">
        <v>0</v>
      </c>
      <c r="K77" s="42">
        <v>5925625</v>
      </c>
      <c r="M77" s="42">
        <v>825</v>
      </c>
      <c r="O77" s="42">
        <f>318622+103+17804</f>
        <v>336529</v>
      </c>
      <c r="Q77" s="42">
        <v>51952</v>
      </c>
      <c r="S77" s="42">
        <v>0</v>
      </c>
      <c r="U77" s="42">
        <v>19576</v>
      </c>
      <c r="W77" s="42">
        <v>161284</v>
      </c>
      <c r="Y77" s="2">
        <f t="shared" si="4"/>
        <v>9159801</v>
      </c>
      <c r="AA77" s="42">
        <v>0</v>
      </c>
      <c r="AC77" s="42">
        <v>0</v>
      </c>
      <c r="AE77" s="42">
        <v>0</v>
      </c>
      <c r="AG77" s="42">
        <v>0</v>
      </c>
      <c r="AI77" s="42">
        <v>0</v>
      </c>
      <c r="AK77" s="42">
        <f t="shared" si="5"/>
        <v>0</v>
      </c>
      <c r="AM77" s="42">
        <f t="shared" si="15"/>
        <v>9159801</v>
      </c>
    </row>
    <row r="78" spans="1:39">
      <c r="A78" s="9" t="s">
        <v>262</v>
      </c>
      <c r="B78" s="9"/>
      <c r="C78" s="9" t="s">
        <v>20</v>
      </c>
      <c r="D78" s="9"/>
      <c r="E78" s="23">
        <v>43653</v>
      </c>
      <c r="G78" s="42">
        <v>10030637</v>
      </c>
      <c r="I78" s="42">
        <v>0</v>
      </c>
      <c r="K78" s="42">
        <v>3531904</v>
      </c>
      <c r="M78" s="42">
        <v>0</v>
      </c>
      <c r="O78" s="42">
        <f>189440+12237+3915</f>
        <v>205592</v>
      </c>
      <c r="Q78" s="42">
        <v>0</v>
      </c>
      <c r="S78" s="42">
        <v>0</v>
      </c>
      <c r="U78" s="42">
        <v>6303</v>
      </c>
      <c r="W78" s="42">
        <v>364939</v>
      </c>
      <c r="Y78" s="2">
        <f t="shared" si="4"/>
        <v>14139375</v>
      </c>
      <c r="AA78" s="42">
        <v>0</v>
      </c>
      <c r="AC78" s="42">
        <v>0</v>
      </c>
      <c r="AE78" s="42">
        <v>0</v>
      </c>
      <c r="AG78" s="42">
        <v>0</v>
      </c>
      <c r="AI78" s="42">
        <v>0</v>
      </c>
      <c r="AK78" s="42">
        <f t="shared" si="5"/>
        <v>0</v>
      </c>
      <c r="AM78" s="42">
        <f t="shared" si="15"/>
        <v>14139375</v>
      </c>
    </row>
    <row r="79" spans="1:39">
      <c r="A79" s="9" t="s">
        <v>425</v>
      </c>
      <c r="B79" s="9"/>
      <c r="C79" s="9" t="s">
        <v>50</v>
      </c>
      <c r="D79" s="9"/>
      <c r="E79" s="23">
        <v>48678</v>
      </c>
      <c r="G79" s="42">
        <v>4966831</v>
      </c>
      <c r="I79" s="42">
        <v>0</v>
      </c>
      <c r="K79" s="42">
        <v>6067352</v>
      </c>
      <c r="M79" s="42">
        <v>0</v>
      </c>
      <c r="O79" s="42">
        <f>393581+69535</f>
        <v>463116</v>
      </c>
      <c r="Q79" s="42">
        <v>111208</v>
      </c>
      <c r="S79" s="42">
        <v>155220</v>
      </c>
      <c r="U79" s="42">
        <v>0</v>
      </c>
      <c r="W79" s="42">
        <v>62592</v>
      </c>
      <c r="Y79" s="2">
        <f t="shared" si="4"/>
        <v>11826319</v>
      </c>
      <c r="AA79" s="42">
        <v>0</v>
      </c>
      <c r="AC79" s="42">
        <v>0</v>
      </c>
      <c r="AE79" s="42">
        <v>0</v>
      </c>
      <c r="AG79" s="42">
        <v>0</v>
      </c>
      <c r="AI79" s="42">
        <v>0</v>
      </c>
      <c r="AK79" s="42">
        <f t="shared" si="5"/>
        <v>0</v>
      </c>
      <c r="AM79" s="42">
        <f t="shared" si="15"/>
        <v>11826319</v>
      </c>
    </row>
    <row r="80" spans="1:39">
      <c r="A80" s="9" t="s">
        <v>226</v>
      </c>
      <c r="B80" s="9"/>
      <c r="C80" s="9" t="s">
        <v>16</v>
      </c>
      <c r="D80" s="9"/>
      <c r="E80" s="23">
        <v>46177</v>
      </c>
      <c r="F80" s="7"/>
      <c r="G80" s="42">
        <v>3416772</v>
      </c>
      <c r="I80" s="42">
        <v>0</v>
      </c>
      <c r="K80" s="42">
        <v>3109145</v>
      </c>
      <c r="M80" s="42">
        <v>11409</v>
      </c>
      <c r="O80" s="42">
        <f>319522+16422</f>
        <v>335944</v>
      </c>
      <c r="Q80" s="42">
        <v>25299</v>
      </c>
      <c r="S80" s="42">
        <v>0</v>
      </c>
      <c r="U80" s="42">
        <v>150</v>
      </c>
      <c r="W80" s="42">
        <v>46678</v>
      </c>
      <c r="Y80" s="2">
        <f t="shared" si="4"/>
        <v>6945397</v>
      </c>
      <c r="AA80" s="42">
        <v>0</v>
      </c>
      <c r="AC80" s="42">
        <v>0</v>
      </c>
      <c r="AE80" s="42">
        <v>0</v>
      </c>
      <c r="AG80" s="42">
        <v>69677</v>
      </c>
      <c r="AI80" s="42">
        <v>0</v>
      </c>
      <c r="AK80" s="42">
        <f t="shared" si="5"/>
        <v>69677</v>
      </c>
      <c r="AM80" s="42">
        <f t="shared" si="15"/>
        <v>7015074</v>
      </c>
    </row>
    <row r="81" spans="1:39">
      <c r="A81" s="9" t="s">
        <v>412</v>
      </c>
      <c r="B81" s="9"/>
      <c r="C81" s="9" t="s">
        <v>47</v>
      </c>
      <c r="D81" s="9"/>
      <c r="E81" s="23">
        <v>43661</v>
      </c>
      <c r="G81" s="42">
        <v>32960246</v>
      </c>
      <c r="I81" s="42">
        <v>0</v>
      </c>
      <c r="K81" s="42">
        <v>26510078</v>
      </c>
      <c r="M81" s="42">
        <v>18106</v>
      </c>
      <c r="O81" s="42">
        <f>820152+65342</f>
        <v>885494</v>
      </c>
      <c r="Q81" s="42">
        <v>841978</v>
      </c>
      <c r="S81" s="42">
        <v>0</v>
      </c>
      <c r="U81" s="42">
        <v>26537</v>
      </c>
      <c r="W81" s="42">
        <v>306782</v>
      </c>
      <c r="Y81" s="2">
        <f t="shared" si="4"/>
        <v>61549221</v>
      </c>
      <c r="AA81" s="42">
        <v>0</v>
      </c>
      <c r="AC81" s="42">
        <v>0</v>
      </c>
      <c r="AE81" s="42">
        <v>0</v>
      </c>
      <c r="AG81" s="42">
        <v>0</v>
      </c>
      <c r="AI81" s="42">
        <v>0</v>
      </c>
      <c r="AK81" s="42">
        <f t="shared" si="5"/>
        <v>0</v>
      </c>
      <c r="AM81" s="42">
        <f t="shared" si="15"/>
        <v>61549221</v>
      </c>
    </row>
    <row r="82" spans="1:39" hidden="1">
      <c r="A82" s="9" t="s">
        <v>669</v>
      </c>
      <c r="B82" s="9"/>
      <c r="C82" s="9" t="s">
        <v>548</v>
      </c>
      <c r="D82" s="9"/>
      <c r="E82" s="23">
        <v>43679</v>
      </c>
      <c r="G82" s="42">
        <v>0</v>
      </c>
      <c r="I82" s="42">
        <v>0</v>
      </c>
      <c r="K82" s="42">
        <v>0</v>
      </c>
      <c r="M82" s="42">
        <v>0</v>
      </c>
      <c r="O82" s="42">
        <v>0</v>
      </c>
      <c r="Q82" s="42">
        <v>0</v>
      </c>
      <c r="S82" s="42">
        <v>0</v>
      </c>
      <c r="U82" s="42">
        <v>0</v>
      </c>
      <c r="W82" s="42">
        <v>0</v>
      </c>
      <c r="Y82" s="2">
        <f t="shared" si="4"/>
        <v>0</v>
      </c>
      <c r="AA82" s="42">
        <v>0</v>
      </c>
      <c r="AC82" s="42">
        <v>0</v>
      </c>
      <c r="AE82" s="42">
        <v>0</v>
      </c>
      <c r="AG82" s="42">
        <v>0</v>
      </c>
      <c r="AI82" s="42">
        <v>0</v>
      </c>
      <c r="AK82" s="42">
        <f t="shared" si="5"/>
        <v>0</v>
      </c>
      <c r="AM82" s="42">
        <f t="shared" si="15"/>
        <v>0</v>
      </c>
    </row>
    <row r="83" spans="1:39">
      <c r="A83" s="9" t="s">
        <v>254</v>
      </c>
      <c r="B83" s="9"/>
      <c r="C83" s="9" t="s">
        <v>110</v>
      </c>
      <c r="D83" s="9"/>
      <c r="E83" s="23">
        <v>46508</v>
      </c>
      <c r="F83" s="7"/>
      <c r="G83" s="42">
        <v>2231692</v>
      </c>
      <c r="I83" s="42">
        <v>1569540</v>
      </c>
      <c r="K83" s="42">
        <f>4309654+11395</f>
        <v>4321049</v>
      </c>
      <c r="M83" s="42">
        <v>6055</v>
      </c>
      <c r="O83" s="42">
        <f>188757+21643+1432</f>
        <v>211832</v>
      </c>
      <c r="Q83" s="42">
        <v>12305</v>
      </c>
      <c r="S83" s="42">
        <v>0</v>
      </c>
      <c r="U83" s="42">
        <v>0</v>
      </c>
      <c r="W83" s="42">
        <v>42168</v>
      </c>
      <c r="Y83" s="2">
        <f t="shared" si="4"/>
        <v>8394641</v>
      </c>
      <c r="AA83" s="42">
        <v>0</v>
      </c>
      <c r="AC83" s="42">
        <v>0</v>
      </c>
      <c r="AE83" s="42">
        <v>0</v>
      </c>
      <c r="AG83" s="42">
        <v>111922</v>
      </c>
      <c r="AI83" s="42">
        <v>0</v>
      </c>
      <c r="AK83" s="42">
        <f t="shared" si="5"/>
        <v>111922</v>
      </c>
      <c r="AM83" s="42">
        <f t="shared" ref="AM83:AM114" si="24">+AK83+Y83</f>
        <v>8506563</v>
      </c>
    </row>
    <row r="84" spans="1:39">
      <c r="A84" s="9" t="s">
        <v>205</v>
      </c>
      <c r="B84" s="9"/>
      <c r="C84" s="9" t="s">
        <v>12</v>
      </c>
      <c r="D84" s="9"/>
      <c r="E84" s="23">
        <v>45856</v>
      </c>
      <c r="F84" s="7"/>
      <c r="G84" s="42">
        <v>3905950</v>
      </c>
      <c r="I84" s="42">
        <v>0</v>
      </c>
      <c r="K84" s="42">
        <v>8914859</v>
      </c>
      <c r="M84" s="42">
        <v>22252</v>
      </c>
      <c r="O84" s="42">
        <f>1170943+2145</f>
        <v>1173088</v>
      </c>
      <c r="Q84" s="42">
        <v>0</v>
      </c>
      <c r="S84" s="42">
        <v>0</v>
      </c>
      <c r="U84" s="42">
        <v>1350</v>
      </c>
      <c r="W84" s="42">
        <v>14749</v>
      </c>
      <c r="Y84" s="2">
        <f t="shared" si="4"/>
        <v>14032248</v>
      </c>
      <c r="AA84" s="42">
        <v>0</v>
      </c>
      <c r="AC84" s="42">
        <v>0</v>
      </c>
      <c r="AE84" s="42">
        <v>0</v>
      </c>
      <c r="AG84" s="42">
        <v>0</v>
      </c>
      <c r="AI84" s="42">
        <v>0</v>
      </c>
      <c r="AK84" s="42">
        <f t="shared" si="5"/>
        <v>0</v>
      </c>
      <c r="AM84" s="42">
        <f t="shared" si="24"/>
        <v>14032248</v>
      </c>
    </row>
    <row r="85" spans="1:39">
      <c r="A85" s="9" t="s">
        <v>205</v>
      </c>
      <c r="B85" s="9"/>
      <c r="C85" s="9" t="s">
        <v>39</v>
      </c>
      <c r="D85" s="9"/>
      <c r="E85" s="23">
        <v>47787</v>
      </c>
      <c r="G85" s="42">
        <v>6868434</v>
      </c>
      <c r="I85" s="42">
        <v>0</v>
      </c>
      <c r="K85" s="42">
        <v>10095663</v>
      </c>
      <c r="M85" s="42">
        <v>1669</v>
      </c>
      <c r="O85" s="42">
        <f>471673+806870</f>
        <v>1278543</v>
      </c>
      <c r="Q85" s="42">
        <v>20446</v>
      </c>
      <c r="S85" s="42">
        <v>0</v>
      </c>
      <c r="U85" s="42">
        <v>18304</v>
      </c>
      <c r="W85" s="42">
        <v>32901</v>
      </c>
      <c r="Y85" s="2">
        <f t="shared" si="4"/>
        <v>18315960</v>
      </c>
      <c r="AA85" s="42">
        <v>0</v>
      </c>
      <c r="AC85" s="42">
        <v>0</v>
      </c>
      <c r="AE85" s="42">
        <v>0</v>
      </c>
      <c r="AG85" s="42">
        <v>19100</v>
      </c>
      <c r="AI85" s="42">
        <v>0</v>
      </c>
      <c r="AK85" s="42">
        <f t="shared" si="5"/>
        <v>19100</v>
      </c>
      <c r="AM85" s="42">
        <f t="shared" si="24"/>
        <v>18335060</v>
      </c>
    </row>
    <row r="86" spans="1:39">
      <c r="A86" s="9" t="s">
        <v>670</v>
      </c>
      <c r="B86" s="9"/>
      <c r="C86" s="9" t="s">
        <v>47</v>
      </c>
      <c r="D86" s="9"/>
      <c r="E86" s="23">
        <v>48470</v>
      </c>
      <c r="G86" s="42">
        <v>10360504</v>
      </c>
      <c r="I86" s="42">
        <v>0</v>
      </c>
      <c r="K86" s="42">
        <v>8452452</v>
      </c>
      <c r="M86" s="42">
        <v>2981</v>
      </c>
      <c r="O86" s="42">
        <f>243953+38794</f>
        <v>282747</v>
      </c>
      <c r="Q86" s="42">
        <v>226617</v>
      </c>
      <c r="S86" s="42">
        <v>0</v>
      </c>
      <c r="U86" s="42">
        <v>2325</v>
      </c>
      <c r="W86" s="42">
        <v>6284</v>
      </c>
      <c r="Y86" s="2">
        <f>SUM(G86:X86)</f>
        <v>19333910</v>
      </c>
      <c r="AA86" s="42">
        <v>0</v>
      </c>
      <c r="AC86" s="42">
        <v>0</v>
      </c>
      <c r="AE86" s="42">
        <v>0</v>
      </c>
      <c r="AG86" s="42">
        <v>0</v>
      </c>
      <c r="AI86" s="42">
        <v>0</v>
      </c>
      <c r="AK86" s="42">
        <f>SUM(AA86:AJ86)</f>
        <v>0</v>
      </c>
      <c r="AM86" s="42">
        <f t="shared" si="24"/>
        <v>19333910</v>
      </c>
    </row>
    <row r="87" spans="1:39" hidden="1">
      <c r="A87" s="35" t="s">
        <v>788</v>
      </c>
      <c r="B87" s="9"/>
      <c r="C87" s="9" t="s">
        <v>111</v>
      </c>
      <c r="D87" s="9"/>
      <c r="E87" s="54" t="s">
        <v>871</v>
      </c>
      <c r="G87" s="42">
        <v>0</v>
      </c>
      <c r="I87" s="42">
        <v>0</v>
      </c>
      <c r="K87" s="42">
        <v>0</v>
      </c>
      <c r="M87" s="42">
        <v>0</v>
      </c>
      <c r="O87" s="42">
        <v>0</v>
      </c>
      <c r="Q87" s="42">
        <v>0</v>
      </c>
      <c r="S87" s="42">
        <v>0</v>
      </c>
      <c r="U87" s="42">
        <v>0</v>
      </c>
      <c r="W87" s="42">
        <v>0</v>
      </c>
      <c r="Y87" s="2">
        <f>SUM(G87:X87)</f>
        <v>0</v>
      </c>
      <c r="AA87" s="42">
        <v>0</v>
      </c>
      <c r="AC87" s="42">
        <v>0</v>
      </c>
      <c r="AE87" s="42">
        <v>0</v>
      </c>
      <c r="AG87" s="42">
        <v>0</v>
      </c>
      <c r="AI87" s="42">
        <v>0</v>
      </c>
      <c r="AK87" s="42">
        <f>SUM(AA87:AJ87)</f>
        <v>0</v>
      </c>
      <c r="AM87" s="42">
        <f t="shared" si="24"/>
        <v>0</v>
      </c>
    </row>
    <row r="88" spans="1:39">
      <c r="A88" s="9" t="s">
        <v>631</v>
      </c>
      <c r="B88" s="9"/>
      <c r="C88" s="9" t="s">
        <v>23</v>
      </c>
      <c r="D88" s="9"/>
      <c r="E88" s="23">
        <v>46755</v>
      </c>
      <c r="G88" s="42">
        <v>9733357</v>
      </c>
      <c r="I88" s="42">
        <v>5346248</v>
      </c>
      <c r="K88" s="42">
        <f>5877489+20363</f>
        <v>5897852</v>
      </c>
      <c r="M88" s="42">
        <v>9591</v>
      </c>
      <c r="O88" s="42">
        <f>796218+84729+8250</f>
        <v>889197</v>
      </c>
      <c r="Q88" s="42">
        <v>146878</v>
      </c>
      <c r="S88" s="42">
        <v>0</v>
      </c>
      <c r="U88" s="42">
        <v>8317</v>
      </c>
      <c r="W88" s="42">
        <f>1450+94725</f>
        <v>96175</v>
      </c>
      <c r="Y88" s="2">
        <f>SUM(G88:X88)</f>
        <v>22127615</v>
      </c>
      <c r="AA88" s="42">
        <v>0</v>
      </c>
      <c r="AC88" s="42">
        <v>0</v>
      </c>
      <c r="AE88" s="42">
        <v>0</v>
      </c>
      <c r="AG88" s="42">
        <v>0</v>
      </c>
      <c r="AI88" s="42">
        <v>0</v>
      </c>
      <c r="AK88" s="42">
        <f>SUM(AA88:AJ88)</f>
        <v>0</v>
      </c>
      <c r="AM88" s="42">
        <f t="shared" si="24"/>
        <v>22127615</v>
      </c>
    </row>
    <row r="89" spans="1:39">
      <c r="A89" s="9" t="s">
        <v>255</v>
      </c>
      <c r="B89" s="9"/>
      <c r="C89" s="9" t="s">
        <v>110</v>
      </c>
      <c r="D89" s="9"/>
      <c r="E89" s="23">
        <v>43687</v>
      </c>
      <c r="F89" s="7"/>
      <c r="G89" s="42">
        <v>3663409</v>
      </c>
      <c r="I89" s="42">
        <v>0</v>
      </c>
      <c r="K89" s="42">
        <v>9358093</v>
      </c>
      <c r="M89" s="42">
        <v>27741</v>
      </c>
      <c r="O89" s="42">
        <v>525791</v>
      </c>
      <c r="Q89" s="42">
        <v>0</v>
      </c>
      <c r="S89" s="42">
        <v>45131</v>
      </c>
      <c r="U89" s="42">
        <v>1200</v>
      </c>
      <c r="W89" s="42">
        <v>122168</v>
      </c>
      <c r="Y89" s="2">
        <f>SUM(G89:X89)</f>
        <v>13743533</v>
      </c>
      <c r="AA89" s="42">
        <v>0</v>
      </c>
      <c r="AC89" s="42">
        <v>0</v>
      </c>
      <c r="AE89" s="42">
        <v>0</v>
      </c>
      <c r="AG89" s="42">
        <v>0</v>
      </c>
      <c r="AI89" s="42">
        <v>0</v>
      </c>
      <c r="AK89" s="42">
        <f>SUM(AA89:AJ89)</f>
        <v>0</v>
      </c>
      <c r="AM89" s="42">
        <f t="shared" si="24"/>
        <v>13743533</v>
      </c>
    </row>
    <row r="90" spans="1:39">
      <c r="A90" s="9" t="s">
        <v>746</v>
      </c>
      <c r="B90" s="9"/>
      <c r="C90" s="9" t="s">
        <v>52</v>
      </c>
      <c r="D90" s="9"/>
      <c r="E90" s="23">
        <v>45252</v>
      </c>
      <c r="G90" s="42">
        <v>2592313</v>
      </c>
      <c r="I90" s="42">
        <v>0</v>
      </c>
      <c r="K90" s="42">
        <v>4580012</v>
      </c>
      <c r="M90" s="42">
        <v>2717</v>
      </c>
      <c r="O90" s="42">
        <v>271869</v>
      </c>
      <c r="Q90" s="42">
        <v>47341</v>
      </c>
      <c r="S90" s="42">
        <v>0</v>
      </c>
      <c r="U90" s="42">
        <v>5473</v>
      </c>
      <c r="W90" s="42">
        <v>49165</v>
      </c>
      <c r="Y90" s="2">
        <f t="shared" ref="Y90" si="25">SUM(G90:X90)</f>
        <v>7548890</v>
      </c>
      <c r="AA90" s="42">
        <v>0</v>
      </c>
      <c r="AC90" s="42">
        <v>0</v>
      </c>
      <c r="AE90" s="42">
        <v>0</v>
      </c>
      <c r="AG90" s="42">
        <v>0</v>
      </c>
      <c r="AI90" s="42">
        <v>0</v>
      </c>
      <c r="AK90" s="42">
        <f t="shared" ref="AK90:AK106" si="26">SUM(AA90:AJ90)</f>
        <v>0</v>
      </c>
      <c r="AM90" s="42">
        <f t="shared" si="24"/>
        <v>7548890</v>
      </c>
    </row>
    <row r="91" spans="1:39">
      <c r="A91" s="9" t="s">
        <v>317</v>
      </c>
      <c r="B91" s="9"/>
      <c r="C91" s="9" t="s">
        <v>31</v>
      </c>
      <c r="D91" s="9"/>
      <c r="E91" s="23">
        <v>43695</v>
      </c>
      <c r="G91" s="42">
        <v>5450078</v>
      </c>
      <c r="I91" s="42">
        <v>0</v>
      </c>
      <c r="K91" s="42">
        <v>13681291</v>
      </c>
      <c r="M91" s="42">
        <v>17878</v>
      </c>
      <c r="O91" s="42">
        <f>642813+20100</f>
        <v>662913</v>
      </c>
      <c r="Q91" s="42">
        <v>59874</v>
      </c>
      <c r="S91" s="42">
        <v>0</v>
      </c>
      <c r="U91" s="42">
        <v>22730</v>
      </c>
      <c r="W91" s="42">
        <v>240942</v>
      </c>
      <c r="Y91" s="2">
        <f t="shared" ref="Y91:Y106" si="27">SUM(G91:X91)</f>
        <v>20135706</v>
      </c>
      <c r="AA91" s="42">
        <v>0</v>
      </c>
      <c r="AC91" s="42">
        <v>0</v>
      </c>
      <c r="AE91" s="42">
        <v>0</v>
      </c>
      <c r="AG91" s="42">
        <v>734</v>
      </c>
      <c r="AI91" s="42">
        <v>0</v>
      </c>
      <c r="AK91" s="42">
        <f>SUM(AA91:AJ91)</f>
        <v>734</v>
      </c>
      <c r="AM91" s="42">
        <f t="shared" si="24"/>
        <v>20136440</v>
      </c>
    </row>
    <row r="92" spans="1:39">
      <c r="A92" s="9" t="s">
        <v>642</v>
      </c>
      <c r="B92" s="9"/>
      <c r="C92" s="9" t="s">
        <v>45</v>
      </c>
      <c r="D92" s="9"/>
      <c r="E92" s="23">
        <v>43703</v>
      </c>
      <c r="G92" s="42">
        <v>1846782</v>
      </c>
      <c r="I92" s="42">
        <v>0</v>
      </c>
      <c r="K92" s="42">
        <v>11105375</v>
      </c>
      <c r="M92" s="42">
        <v>23</v>
      </c>
      <c r="O92" s="42">
        <f>41165+8000</f>
        <v>49165</v>
      </c>
      <c r="Q92" s="42">
        <v>20242</v>
      </c>
      <c r="S92" s="42">
        <v>0</v>
      </c>
      <c r="U92" s="42">
        <v>11660</v>
      </c>
      <c r="W92" s="42">
        <f>293646+65933</f>
        <v>359579</v>
      </c>
      <c r="Y92" s="2">
        <f t="shared" si="27"/>
        <v>13392826</v>
      </c>
      <c r="AA92" s="42">
        <v>0</v>
      </c>
      <c r="AC92" s="42">
        <v>0</v>
      </c>
      <c r="AE92" s="42">
        <v>0</v>
      </c>
      <c r="AG92" s="42">
        <v>0</v>
      </c>
      <c r="AI92" s="42">
        <v>0</v>
      </c>
      <c r="AK92" s="42">
        <f t="shared" si="26"/>
        <v>0</v>
      </c>
      <c r="AM92" s="42">
        <f t="shared" si="24"/>
        <v>13392826</v>
      </c>
    </row>
    <row r="93" spans="1:39">
      <c r="A93" s="9" t="s">
        <v>298</v>
      </c>
      <c r="B93" s="9"/>
      <c r="C93" s="9" t="s">
        <v>27</v>
      </c>
      <c r="D93" s="9"/>
      <c r="E93" s="23">
        <v>46946</v>
      </c>
      <c r="G93" s="42">
        <v>14684790</v>
      </c>
      <c r="I93" s="42">
        <v>3611985</v>
      </c>
      <c r="K93" s="42">
        <f>15179060+11847</f>
        <v>15190907</v>
      </c>
      <c r="M93" s="42">
        <v>37972</v>
      </c>
      <c r="O93" s="42">
        <f>158671+63032+175084+93194</f>
        <v>489981</v>
      </c>
      <c r="Q93" s="42">
        <v>365902</v>
      </c>
      <c r="S93" s="42">
        <v>248668</v>
      </c>
      <c r="U93" s="42">
        <v>30000</v>
      </c>
      <c r="W93" s="42">
        <v>110443</v>
      </c>
      <c r="Y93" s="2">
        <f t="shared" si="27"/>
        <v>34770648</v>
      </c>
      <c r="AA93" s="42">
        <v>750</v>
      </c>
      <c r="AC93" s="42">
        <v>0</v>
      </c>
      <c r="AE93" s="42">
        <v>0</v>
      </c>
      <c r="AG93" s="42">
        <f>135167+49501+641170</f>
        <v>825838</v>
      </c>
      <c r="AI93" s="42">
        <v>0</v>
      </c>
      <c r="AK93" s="42">
        <f t="shared" si="26"/>
        <v>826588</v>
      </c>
      <c r="AM93" s="42">
        <f t="shared" si="24"/>
        <v>35597236</v>
      </c>
    </row>
    <row r="94" spans="1:39">
      <c r="A94" s="9" t="s">
        <v>400</v>
      </c>
      <c r="B94" s="9"/>
      <c r="C94" s="9" t="s">
        <v>45</v>
      </c>
      <c r="D94" s="9"/>
      <c r="E94" s="23">
        <v>48314</v>
      </c>
      <c r="G94" s="42">
        <v>14784965</v>
      </c>
      <c r="I94" s="42">
        <v>0</v>
      </c>
      <c r="K94" s="42">
        <v>8266110</v>
      </c>
      <c r="M94" s="42">
        <v>5923</v>
      </c>
      <c r="O94" s="42">
        <f>246282+31317</f>
        <v>277599</v>
      </c>
      <c r="Q94" s="42">
        <v>177512</v>
      </c>
      <c r="S94" s="42">
        <v>0</v>
      </c>
      <c r="U94" s="42">
        <v>111373</v>
      </c>
      <c r="W94" s="42">
        <v>9988</v>
      </c>
      <c r="Y94" s="2">
        <f t="shared" si="27"/>
        <v>23633470</v>
      </c>
      <c r="AA94" s="42">
        <v>0</v>
      </c>
      <c r="AC94" s="42">
        <v>0</v>
      </c>
      <c r="AE94" s="42">
        <v>0</v>
      </c>
      <c r="AG94" s="42">
        <v>500</v>
      </c>
      <c r="AI94" s="42">
        <v>0</v>
      </c>
      <c r="AK94" s="42">
        <f t="shared" si="26"/>
        <v>500</v>
      </c>
      <c r="AM94" s="42">
        <f t="shared" si="24"/>
        <v>23633970</v>
      </c>
    </row>
    <row r="95" spans="1:39">
      <c r="A95" s="9" t="s">
        <v>490</v>
      </c>
      <c r="B95" s="9"/>
      <c r="C95" s="9" t="s">
        <v>62</v>
      </c>
      <c r="D95" s="9"/>
      <c r="E95" s="23">
        <v>43711</v>
      </c>
      <c r="G95" s="42">
        <v>24181000</v>
      </c>
      <c r="I95" s="42">
        <v>0</v>
      </c>
      <c r="K95" s="42">
        <f>76421000+510000</f>
        <v>76931000</v>
      </c>
      <c r="M95" s="42">
        <v>278000</v>
      </c>
      <c r="O95" s="42">
        <f>1016000+70000</f>
        <v>1086000</v>
      </c>
      <c r="Q95" s="42">
        <v>212000</v>
      </c>
      <c r="S95" s="42">
        <v>0</v>
      </c>
      <c r="U95" s="42">
        <v>0</v>
      </c>
      <c r="W95" s="42">
        <v>1234000</v>
      </c>
      <c r="Y95" s="2">
        <f>SUM(G95:X95)</f>
        <v>103922000</v>
      </c>
      <c r="AA95" s="42">
        <v>0</v>
      </c>
      <c r="AC95" s="42">
        <v>0</v>
      </c>
      <c r="AE95" s="42">
        <v>0</v>
      </c>
      <c r="AG95" s="42">
        <v>74000</v>
      </c>
      <c r="AI95" s="42">
        <v>0</v>
      </c>
      <c r="AK95" s="42">
        <f>SUM(AA95:AJ95)</f>
        <v>74000</v>
      </c>
      <c r="AM95" s="42">
        <f>+AK95+Y95</f>
        <v>103996000</v>
      </c>
    </row>
    <row r="96" spans="1:39">
      <c r="A96" s="9" t="s">
        <v>491</v>
      </c>
      <c r="B96" s="9"/>
      <c r="C96" s="9" t="s">
        <v>62</v>
      </c>
      <c r="D96" s="9"/>
      <c r="E96" s="23">
        <v>49833</v>
      </c>
      <c r="G96" s="42">
        <v>7454666</v>
      </c>
      <c r="I96" s="42">
        <v>0</v>
      </c>
      <c r="K96" s="42">
        <f>11797326+34335</f>
        <v>11831661</v>
      </c>
      <c r="M96" s="42">
        <v>604</v>
      </c>
      <c r="O96" s="42">
        <f>1107989+233073+74401+74058</f>
        <v>1489521</v>
      </c>
      <c r="Q96" s="42">
        <v>32805</v>
      </c>
      <c r="S96" s="42">
        <v>103975</v>
      </c>
      <c r="U96" s="42">
        <v>0</v>
      </c>
      <c r="W96" s="42">
        <v>83726</v>
      </c>
      <c r="Y96" s="2">
        <f t="shared" si="27"/>
        <v>20996958</v>
      </c>
      <c r="AA96" s="42">
        <v>0</v>
      </c>
      <c r="AC96" s="42">
        <v>0</v>
      </c>
      <c r="AE96" s="42">
        <v>0</v>
      </c>
      <c r="AG96" s="42">
        <v>57499</v>
      </c>
      <c r="AI96" s="42">
        <v>0</v>
      </c>
      <c r="AK96" s="42">
        <f t="shared" si="26"/>
        <v>57499</v>
      </c>
      <c r="AM96" s="42">
        <f t="shared" si="24"/>
        <v>21054457</v>
      </c>
    </row>
    <row r="97" spans="1:39">
      <c r="A97" s="9" t="s">
        <v>643</v>
      </c>
      <c r="B97" s="9"/>
      <c r="C97" s="9" t="s">
        <v>30</v>
      </c>
      <c r="D97" s="9"/>
      <c r="E97" s="23">
        <v>47175</v>
      </c>
      <c r="G97" s="42">
        <v>6181589</v>
      </c>
      <c r="I97" s="42">
        <v>0</v>
      </c>
      <c r="K97" s="42">
        <v>5107622</v>
      </c>
      <c r="M97" s="42">
        <v>8434</v>
      </c>
      <c r="O97" s="42">
        <f>753785+73737</f>
        <v>827522</v>
      </c>
      <c r="Q97" s="42">
        <v>172905</v>
      </c>
      <c r="S97" s="42">
        <v>0</v>
      </c>
      <c r="U97" s="42">
        <v>22605</v>
      </c>
      <c r="W97" s="42">
        <v>356228</v>
      </c>
      <c r="Y97" s="2">
        <f t="shared" si="27"/>
        <v>12676905</v>
      </c>
      <c r="AA97" s="42">
        <v>20745</v>
      </c>
      <c r="AC97" s="42">
        <v>0</v>
      </c>
      <c r="AE97" s="42">
        <v>0</v>
      </c>
      <c r="AG97" s="42">
        <v>0</v>
      </c>
      <c r="AI97" s="42">
        <v>0</v>
      </c>
      <c r="AK97" s="42">
        <f t="shared" si="26"/>
        <v>20745</v>
      </c>
      <c r="AM97" s="42">
        <f t="shared" si="24"/>
        <v>12697650</v>
      </c>
    </row>
    <row r="98" spans="1:39">
      <c r="A98" s="9" t="s">
        <v>438</v>
      </c>
      <c r="B98" s="9"/>
      <c r="C98" s="9" t="s">
        <v>78</v>
      </c>
      <c r="D98" s="9"/>
      <c r="E98" s="23">
        <v>48793</v>
      </c>
      <c r="G98" s="42">
        <v>2170467</v>
      </c>
      <c r="I98" s="42">
        <v>0</v>
      </c>
      <c r="K98" s="42">
        <f>7105453+16480</f>
        <v>7121933</v>
      </c>
      <c r="M98" s="42">
        <v>1389</v>
      </c>
      <c r="O98" s="42">
        <v>693374</v>
      </c>
      <c r="Q98" s="42">
        <v>25661</v>
      </c>
      <c r="S98" s="42">
        <v>174798</v>
      </c>
      <c r="U98" s="42">
        <v>0</v>
      </c>
      <c r="W98" s="42">
        <f>9237+80833</f>
        <v>90070</v>
      </c>
      <c r="Y98" s="2">
        <f t="shared" si="27"/>
        <v>10277692</v>
      </c>
      <c r="AA98" s="42">
        <v>0</v>
      </c>
      <c r="AC98" s="42">
        <v>0</v>
      </c>
      <c r="AE98" s="42">
        <v>0</v>
      </c>
      <c r="AG98" s="42">
        <v>2702</v>
      </c>
      <c r="AI98" s="42">
        <v>0</v>
      </c>
      <c r="AK98" s="42">
        <f t="shared" si="26"/>
        <v>2702</v>
      </c>
      <c r="AM98" s="42">
        <f t="shared" si="24"/>
        <v>10280394</v>
      </c>
    </row>
    <row r="99" spans="1:39" hidden="1">
      <c r="A99" s="9" t="s">
        <v>855</v>
      </c>
      <c r="B99" s="9"/>
      <c r="C99" s="9" t="s">
        <v>553</v>
      </c>
      <c r="D99" s="9"/>
      <c r="E99" s="23">
        <v>45260</v>
      </c>
      <c r="G99" s="42">
        <v>0</v>
      </c>
      <c r="I99" s="42">
        <v>0</v>
      </c>
      <c r="K99" s="42">
        <v>0</v>
      </c>
      <c r="M99" s="42">
        <v>0</v>
      </c>
      <c r="O99" s="42">
        <v>0</v>
      </c>
      <c r="Q99" s="42">
        <v>0</v>
      </c>
      <c r="S99" s="42">
        <v>0</v>
      </c>
      <c r="U99" s="42">
        <v>0</v>
      </c>
      <c r="W99" s="42">
        <v>0</v>
      </c>
      <c r="Y99" s="2">
        <f t="shared" si="27"/>
        <v>0</v>
      </c>
      <c r="AA99" s="42">
        <v>0</v>
      </c>
      <c r="AC99" s="42">
        <v>0</v>
      </c>
      <c r="AE99" s="42">
        <v>0</v>
      </c>
      <c r="AG99" s="42">
        <v>0</v>
      </c>
      <c r="AI99" s="42">
        <v>0</v>
      </c>
      <c r="AK99" s="42">
        <f t="shared" si="26"/>
        <v>0</v>
      </c>
      <c r="AM99" s="42">
        <f t="shared" si="24"/>
        <v>0</v>
      </c>
    </row>
    <row r="100" spans="1:39" s="24" customFormat="1">
      <c r="A100" s="51" t="s">
        <v>539</v>
      </c>
      <c r="B100" s="51"/>
      <c r="C100" s="51" t="s">
        <v>69</v>
      </c>
      <c r="D100" s="51"/>
      <c r="E100" s="23">
        <v>50419</v>
      </c>
      <c r="G100" s="42">
        <v>4242371</v>
      </c>
      <c r="H100" s="42"/>
      <c r="I100" s="42">
        <v>1859392</v>
      </c>
      <c r="J100" s="42"/>
      <c r="K100" s="42">
        <v>8443089</v>
      </c>
      <c r="L100" s="42"/>
      <c r="M100" s="42">
        <v>1748</v>
      </c>
      <c r="N100" s="42"/>
      <c r="O100" s="42">
        <f>229374+43336</f>
        <v>272710</v>
      </c>
      <c r="P100" s="42"/>
      <c r="Q100" s="42">
        <v>26437</v>
      </c>
      <c r="R100" s="42"/>
      <c r="S100" s="42">
        <v>221818</v>
      </c>
      <c r="T100" s="42"/>
      <c r="U100" s="42">
        <v>0</v>
      </c>
      <c r="V100" s="42"/>
      <c r="W100" s="42">
        <v>63833</v>
      </c>
      <c r="X100" s="42"/>
      <c r="Y100" s="2">
        <f t="shared" si="27"/>
        <v>15131398</v>
      </c>
      <c r="Z100" s="42"/>
      <c r="AA100" s="42">
        <v>0</v>
      </c>
      <c r="AB100" s="42"/>
      <c r="AC100" s="42">
        <v>0</v>
      </c>
      <c r="AD100" s="42"/>
      <c r="AE100" s="42">
        <v>0</v>
      </c>
      <c r="AF100" s="42"/>
      <c r="AG100" s="42">
        <v>127146</v>
      </c>
      <c r="AH100" s="42"/>
      <c r="AI100" s="42">
        <v>0</v>
      </c>
      <c r="AJ100" s="42"/>
      <c r="AK100" s="42">
        <f t="shared" si="26"/>
        <v>127146</v>
      </c>
      <c r="AL100" s="42"/>
      <c r="AM100" s="42">
        <f t="shared" si="24"/>
        <v>15258544</v>
      </c>
    </row>
    <row r="101" spans="1:39" s="24" customFormat="1">
      <c r="A101" s="51" t="s">
        <v>747</v>
      </c>
      <c r="B101" s="51"/>
      <c r="C101" s="51" t="s">
        <v>16</v>
      </c>
      <c r="D101" s="51"/>
      <c r="E101" s="51">
        <v>45278</v>
      </c>
      <c r="F101" s="52"/>
      <c r="G101" s="24">
        <v>6907336</v>
      </c>
      <c r="I101" s="24">
        <v>0</v>
      </c>
      <c r="K101" s="24">
        <v>11942895</v>
      </c>
      <c r="M101" s="24">
        <v>1773</v>
      </c>
      <c r="O101" s="24">
        <f>798347+49864+15168</f>
        <v>863379</v>
      </c>
      <c r="Q101" s="24">
        <v>15035</v>
      </c>
      <c r="S101" s="24">
        <v>0</v>
      </c>
      <c r="U101" s="24">
        <v>44630</v>
      </c>
      <c r="W101" s="24">
        <v>82190</v>
      </c>
      <c r="Y101" s="60">
        <f t="shared" si="27"/>
        <v>19857238</v>
      </c>
      <c r="AA101" s="24">
        <v>0</v>
      </c>
      <c r="AC101" s="24">
        <v>0</v>
      </c>
      <c r="AE101" s="24">
        <v>0</v>
      </c>
      <c r="AG101" s="24">
        <f>98850+10+778</f>
        <v>99638</v>
      </c>
      <c r="AI101" s="24">
        <v>0</v>
      </c>
      <c r="AK101" s="24">
        <f t="shared" si="26"/>
        <v>99638</v>
      </c>
      <c r="AM101" s="24">
        <f t="shared" si="24"/>
        <v>19956876</v>
      </c>
    </row>
    <row r="102" spans="1:39">
      <c r="A102" s="9" t="s">
        <v>644</v>
      </c>
      <c r="B102" s="9"/>
      <c r="C102" s="9" t="s">
        <v>113</v>
      </c>
      <c r="D102" s="9"/>
      <c r="E102" s="23">
        <v>47258</v>
      </c>
      <c r="G102" s="42">
        <v>1900310</v>
      </c>
      <c r="I102" s="42">
        <v>841982</v>
      </c>
      <c r="K102" s="42">
        <v>2822869</v>
      </c>
      <c r="M102" s="42">
        <v>4588</v>
      </c>
      <c r="O102" s="42">
        <f>461569+595</f>
        <v>462164</v>
      </c>
      <c r="Q102" s="42">
        <v>60571</v>
      </c>
      <c r="S102" s="42">
        <v>0</v>
      </c>
      <c r="U102" s="42">
        <v>9391</v>
      </c>
      <c r="W102" s="42">
        <v>59547</v>
      </c>
      <c r="Y102" s="2">
        <f t="shared" si="27"/>
        <v>6161422</v>
      </c>
      <c r="AA102" s="42">
        <v>0</v>
      </c>
      <c r="AC102" s="42">
        <v>0</v>
      </c>
      <c r="AE102" s="42">
        <v>0</v>
      </c>
      <c r="AG102" s="42">
        <v>0</v>
      </c>
      <c r="AI102" s="42">
        <v>0</v>
      </c>
      <c r="AK102" s="42">
        <f t="shared" si="26"/>
        <v>0</v>
      </c>
      <c r="AM102" s="42">
        <f t="shared" si="24"/>
        <v>6161422</v>
      </c>
    </row>
    <row r="103" spans="1:39" hidden="1">
      <c r="A103" s="9" t="s">
        <v>613</v>
      </c>
      <c r="B103" s="9"/>
      <c r="C103" s="9" t="s">
        <v>419</v>
      </c>
      <c r="D103" s="9"/>
      <c r="E103" s="23">
        <v>43729</v>
      </c>
      <c r="G103" s="42">
        <v>0</v>
      </c>
      <c r="I103" s="42">
        <v>0</v>
      </c>
      <c r="K103" s="42">
        <v>0</v>
      </c>
      <c r="M103" s="42">
        <v>0</v>
      </c>
      <c r="O103" s="42">
        <v>0</v>
      </c>
      <c r="Q103" s="42">
        <v>0</v>
      </c>
      <c r="S103" s="42">
        <v>0</v>
      </c>
      <c r="U103" s="42">
        <v>0</v>
      </c>
      <c r="W103" s="42">
        <v>0</v>
      </c>
      <c r="Y103" s="2">
        <f t="shared" si="27"/>
        <v>0</v>
      </c>
      <c r="AA103" s="42">
        <v>0</v>
      </c>
      <c r="AC103" s="42">
        <v>0</v>
      </c>
      <c r="AE103" s="42">
        <v>0</v>
      </c>
      <c r="AG103" s="42">
        <v>0</v>
      </c>
      <c r="AI103" s="42">
        <v>0</v>
      </c>
      <c r="AK103" s="42">
        <f t="shared" si="26"/>
        <v>0</v>
      </c>
      <c r="AM103" s="42">
        <f t="shared" si="24"/>
        <v>0</v>
      </c>
    </row>
    <row r="104" spans="1:39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v>0</v>
      </c>
      <c r="I104" s="42">
        <v>0</v>
      </c>
      <c r="K104" s="42">
        <v>0</v>
      </c>
      <c r="M104" s="42">
        <v>0</v>
      </c>
      <c r="O104" s="42">
        <v>0</v>
      </c>
      <c r="Q104" s="42">
        <v>0</v>
      </c>
      <c r="S104" s="42">
        <v>0</v>
      </c>
      <c r="U104" s="42">
        <v>0</v>
      </c>
      <c r="W104" s="42">
        <v>0</v>
      </c>
      <c r="Y104" s="2">
        <f t="shared" si="27"/>
        <v>0</v>
      </c>
      <c r="AA104" s="42">
        <v>0</v>
      </c>
      <c r="AC104" s="42">
        <v>0</v>
      </c>
      <c r="AE104" s="42">
        <v>0</v>
      </c>
      <c r="AG104" s="42">
        <v>0</v>
      </c>
      <c r="AI104" s="42">
        <v>0</v>
      </c>
      <c r="AK104" s="42">
        <f t="shared" si="26"/>
        <v>0</v>
      </c>
      <c r="AM104" s="42">
        <f t="shared" si="24"/>
        <v>0</v>
      </c>
    </row>
    <row r="105" spans="1:39">
      <c r="A105" s="9" t="s">
        <v>645</v>
      </c>
      <c r="B105" s="9"/>
      <c r="C105" s="9" t="s">
        <v>50</v>
      </c>
      <c r="D105" s="9"/>
      <c r="E105" s="23">
        <v>43737</v>
      </c>
      <c r="G105" s="42">
        <v>54550547</v>
      </c>
      <c r="I105" s="42">
        <v>0</v>
      </c>
      <c r="K105" s="42">
        <v>19767080</v>
      </c>
      <c r="M105" s="42">
        <v>580189</v>
      </c>
      <c r="O105" s="42">
        <v>1684719</v>
      </c>
      <c r="Q105" s="42">
        <v>588275</v>
      </c>
      <c r="S105" s="42">
        <v>0</v>
      </c>
      <c r="U105" s="42">
        <v>0</v>
      </c>
      <c r="W105" s="42">
        <v>273037</v>
      </c>
      <c r="Y105" s="2">
        <f t="shared" si="27"/>
        <v>77443847</v>
      </c>
      <c r="AA105" s="42">
        <v>0</v>
      </c>
      <c r="AC105" s="42">
        <v>0</v>
      </c>
      <c r="AE105" s="42">
        <v>0</v>
      </c>
      <c r="AG105" s="42">
        <v>14661</v>
      </c>
      <c r="AI105" s="42">
        <v>0</v>
      </c>
      <c r="AK105" s="42">
        <f t="shared" si="26"/>
        <v>14661</v>
      </c>
      <c r="AM105" s="42">
        <f t="shared" si="24"/>
        <v>77458508</v>
      </c>
    </row>
    <row r="106" spans="1:39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v>0</v>
      </c>
      <c r="I106" s="42">
        <v>0</v>
      </c>
      <c r="K106" s="42">
        <v>0</v>
      </c>
      <c r="M106" s="42">
        <v>0</v>
      </c>
      <c r="O106" s="42">
        <v>0</v>
      </c>
      <c r="Q106" s="42">
        <v>0</v>
      </c>
      <c r="S106" s="42">
        <v>0</v>
      </c>
      <c r="U106" s="42">
        <v>0</v>
      </c>
      <c r="W106" s="42">
        <v>0</v>
      </c>
      <c r="Y106" s="2">
        <f t="shared" si="27"/>
        <v>0</v>
      </c>
      <c r="AA106" s="42">
        <v>0</v>
      </c>
      <c r="AC106" s="42">
        <v>0</v>
      </c>
      <c r="AE106" s="42">
        <v>0</v>
      </c>
      <c r="AG106" s="42">
        <v>0</v>
      </c>
      <c r="AI106" s="42">
        <v>0</v>
      </c>
      <c r="AK106" s="42">
        <f t="shared" si="26"/>
        <v>0</v>
      </c>
      <c r="AM106" s="42">
        <f t="shared" si="24"/>
        <v>0</v>
      </c>
    </row>
    <row r="107" spans="1:39">
      <c r="A107" s="9" t="s">
        <v>748</v>
      </c>
      <c r="B107" s="9"/>
      <c r="C107" s="9" t="s">
        <v>20</v>
      </c>
      <c r="D107" s="9"/>
      <c r="E107" s="23">
        <v>45286</v>
      </c>
      <c r="G107" s="42">
        <v>20872996</v>
      </c>
      <c r="I107" s="42">
        <v>0</v>
      </c>
      <c r="K107" s="42">
        <v>4577697</v>
      </c>
      <c r="M107" s="42">
        <v>1135</v>
      </c>
      <c r="O107" s="42">
        <f>969366+4210</f>
        <v>973576</v>
      </c>
      <c r="Q107" s="42">
        <v>163700</v>
      </c>
      <c r="S107" s="42">
        <v>0</v>
      </c>
      <c r="U107" s="42">
        <v>28317</v>
      </c>
      <c r="W107" s="42">
        <v>28304</v>
      </c>
      <c r="Y107" s="2">
        <f>SUM(G107:X107)</f>
        <v>26645725</v>
      </c>
      <c r="AA107" s="42">
        <v>0</v>
      </c>
      <c r="AC107" s="42">
        <v>0</v>
      </c>
      <c r="AE107" s="42">
        <v>0</v>
      </c>
      <c r="AG107" s="42">
        <v>8210</v>
      </c>
      <c r="AI107" s="42">
        <v>0</v>
      </c>
      <c r="AK107" s="42">
        <f>SUM(AA107:AJ107)</f>
        <v>8210</v>
      </c>
      <c r="AM107" s="42">
        <f t="shared" si="24"/>
        <v>26653935</v>
      </c>
    </row>
    <row r="108" spans="1:39">
      <c r="A108" s="9" t="s">
        <v>516</v>
      </c>
      <c r="B108" s="9"/>
      <c r="C108" s="9" t="s">
        <v>64</v>
      </c>
      <c r="D108" s="9"/>
      <c r="E108" s="23">
        <v>50138</v>
      </c>
      <c r="G108" s="42">
        <v>4056667</v>
      </c>
      <c r="I108" s="42">
        <v>0</v>
      </c>
      <c r="K108" s="42">
        <v>7342334</v>
      </c>
      <c r="M108" s="42">
        <v>3247</v>
      </c>
      <c r="O108" s="42">
        <f>588815+29331+42990</f>
        <v>661136</v>
      </c>
      <c r="Q108" s="42">
        <v>0</v>
      </c>
      <c r="S108" s="42">
        <v>0</v>
      </c>
      <c r="U108" s="42">
        <v>20452</v>
      </c>
      <c r="W108" s="42">
        <f>20876+41213</f>
        <v>62089</v>
      </c>
      <c r="Y108" s="2">
        <f t="shared" ref="Y108:Y161" si="28">SUM(G108:X108)</f>
        <v>12145925</v>
      </c>
      <c r="AA108" s="42">
        <v>0</v>
      </c>
      <c r="AC108" s="42">
        <v>0</v>
      </c>
      <c r="AE108" s="42">
        <v>500000</v>
      </c>
      <c r="AG108" s="42">
        <v>99868</v>
      </c>
      <c r="AI108" s="42">
        <v>0</v>
      </c>
      <c r="AK108" s="42">
        <f t="shared" ref="AK108:AK155" si="29">SUM(AA108:AJ108)</f>
        <v>599868</v>
      </c>
      <c r="AM108" s="42">
        <f t="shared" si="24"/>
        <v>12745793</v>
      </c>
    </row>
    <row r="109" spans="1:39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v>0</v>
      </c>
      <c r="I109" s="42">
        <v>0</v>
      </c>
      <c r="K109" s="42">
        <v>0</v>
      </c>
      <c r="M109" s="42">
        <v>0</v>
      </c>
      <c r="O109" s="42">
        <v>0</v>
      </c>
      <c r="Q109" s="42">
        <v>0</v>
      </c>
      <c r="S109" s="42">
        <v>0</v>
      </c>
      <c r="U109" s="42">
        <v>0</v>
      </c>
      <c r="W109" s="42">
        <v>0</v>
      </c>
      <c r="Y109" s="2">
        <f t="shared" si="28"/>
        <v>0</v>
      </c>
      <c r="AA109" s="42">
        <v>0</v>
      </c>
      <c r="AC109" s="42">
        <v>0</v>
      </c>
      <c r="AE109" s="42">
        <v>0</v>
      </c>
      <c r="AG109" s="42">
        <v>0</v>
      </c>
      <c r="AI109" s="42">
        <v>0</v>
      </c>
      <c r="AK109" s="42">
        <f t="shared" si="29"/>
        <v>0</v>
      </c>
      <c r="AM109" s="42">
        <f t="shared" si="24"/>
        <v>0</v>
      </c>
    </row>
    <row r="110" spans="1:39">
      <c r="A110" s="9" t="s">
        <v>749</v>
      </c>
      <c r="B110" s="9"/>
      <c r="C110" s="9" t="s">
        <v>364</v>
      </c>
      <c r="D110" s="9"/>
      <c r="E110" s="23">
        <v>45294</v>
      </c>
      <c r="G110" s="42">
        <v>1810536</v>
      </c>
      <c r="I110" s="42">
        <v>0</v>
      </c>
      <c r="K110" s="42">
        <v>8590180</v>
      </c>
      <c r="M110" s="42">
        <v>3092</v>
      </c>
      <c r="O110" s="42">
        <v>1062279</v>
      </c>
      <c r="Q110" s="42">
        <v>4892</v>
      </c>
      <c r="S110" s="42">
        <v>0</v>
      </c>
      <c r="U110" s="42">
        <v>21897</v>
      </c>
      <c r="W110" s="42">
        <v>90042</v>
      </c>
      <c r="Y110" s="2">
        <f t="shared" si="28"/>
        <v>11582918</v>
      </c>
      <c r="AA110" s="42">
        <v>0</v>
      </c>
      <c r="AC110" s="42">
        <v>0</v>
      </c>
      <c r="AE110" s="42">
        <v>0</v>
      </c>
      <c r="AG110" s="42">
        <v>7000</v>
      </c>
      <c r="AI110" s="42">
        <v>0</v>
      </c>
      <c r="AK110" s="42">
        <f t="shared" si="29"/>
        <v>7000</v>
      </c>
      <c r="AM110" s="42">
        <f t="shared" si="24"/>
        <v>11589918</v>
      </c>
    </row>
    <row r="111" spans="1:39">
      <c r="A111" s="9" t="s">
        <v>470</v>
      </c>
      <c r="B111" s="9"/>
      <c r="C111" s="9" t="s">
        <v>58</v>
      </c>
      <c r="D111" s="9"/>
      <c r="E111" s="23">
        <v>43745</v>
      </c>
      <c r="G111" s="42">
        <v>9644975</v>
      </c>
      <c r="I111" s="42">
        <v>0</v>
      </c>
      <c r="K111" s="42">
        <v>14794544</v>
      </c>
      <c r="M111" s="42">
        <v>4447</v>
      </c>
      <c r="O111" s="42">
        <f>1300424+5181+43719</f>
        <v>1349324</v>
      </c>
      <c r="Q111" s="42">
        <v>48799</v>
      </c>
      <c r="S111" s="42">
        <v>0</v>
      </c>
      <c r="U111" s="42">
        <v>14426</v>
      </c>
      <c r="W111" s="42">
        <f>107509-8362</f>
        <v>99147</v>
      </c>
      <c r="Y111" s="2">
        <f t="shared" si="28"/>
        <v>25955662</v>
      </c>
      <c r="AA111" s="42">
        <v>0</v>
      </c>
      <c r="AC111" s="42">
        <v>0</v>
      </c>
      <c r="AE111" s="42">
        <v>1500000</v>
      </c>
      <c r="AG111" s="42">
        <v>11296</v>
      </c>
      <c r="AI111" s="42">
        <v>0</v>
      </c>
      <c r="AK111" s="42">
        <f t="shared" si="29"/>
        <v>1511296</v>
      </c>
      <c r="AM111" s="42">
        <f t="shared" si="24"/>
        <v>27466958</v>
      </c>
    </row>
    <row r="112" spans="1:39">
      <c r="A112" s="9" t="s">
        <v>547</v>
      </c>
      <c r="B112" s="9"/>
      <c r="C112" s="9" t="s">
        <v>71</v>
      </c>
      <c r="D112" s="9"/>
      <c r="E112" s="23">
        <v>50534</v>
      </c>
      <c r="G112" s="42">
        <v>3556619</v>
      </c>
      <c r="I112" s="42">
        <v>1753350</v>
      </c>
      <c r="K112" s="42">
        <f>3146+5443194</f>
        <v>5446340</v>
      </c>
      <c r="M112" s="42">
        <v>8570</v>
      </c>
      <c r="O112" s="42">
        <f>75918+11439</f>
        <v>87357</v>
      </c>
      <c r="Q112" s="42">
        <v>94161</v>
      </c>
      <c r="S112" s="42">
        <v>0</v>
      </c>
      <c r="U112" s="42">
        <v>4995</v>
      </c>
      <c r="W112" s="42">
        <v>21862</v>
      </c>
      <c r="Y112" s="2">
        <f t="shared" si="28"/>
        <v>10973254</v>
      </c>
      <c r="AA112" s="42">
        <v>0</v>
      </c>
      <c r="AC112" s="42">
        <v>0</v>
      </c>
      <c r="AE112" s="42">
        <v>0</v>
      </c>
      <c r="AG112" s="42">
        <v>0</v>
      </c>
      <c r="AI112" s="42">
        <v>0</v>
      </c>
      <c r="AK112" s="42">
        <f t="shared" si="29"/>
        <v>0</v>
      </c>
      <c r="AM112" s="42">
        <f t="shared" si="24"/>
        <v>10973254</v>
      </c>
    </row>
    <row r="113" spans="1:39">
      <c r="A113" s="9" t="s">
        <v>647</v>
      </c>
      <c r="B113" s="9"/>
      <c r="C113" s="9" t="s">
        <v>32</v>
      </c>
      <c r="D113" s="9"/>
      <c r="E113" s="23">
        <v>43752</v>
      </c>
      <c r="G113" s="42">
        <v>251538469</v>
      </c>
      <c r="I113" s="42">
        <v>0</v>
      </c>
      <c r="K113" s="42">
        <f>183288284+1817931</f>
        <v>185106215</v>
      </c>
      <c r="M113" s="42">
        <v>321343</v>
      </c>
      <c r="O113" s="42">
        <v>1662320</v>
      </c>
      <c r="Q113" s="42">
        <v>0</v>
      </c>
      <c r="S113" s="42">
        <v>8316098</v>
      </c>
      <c r="U113" s="42">
        <v>0</v>
      </c>
      <c r="W113" s="42">
        <v>7830008</v>
      </c>
      <c r="Y113" s="2">
        <f t="shared" si="28"/>
        <v>454774453</v>
      </c>
      <c r="AA113" s="42">
        <v>0</v>
      </c>
      <c r="AC113" s="42">
        <v>0</v>
      </c>
      <c r="AE113" s="42">
        <v>0</v>
      </c>
      <c r="AG113" s="42">
        <v>1364182</v>
      </c>
      <c r="AI113" s="42">
        <v>0</v>
      </c>
      <c r="AK113" s="42">
        <f t="shared" si="29"/>
        <v>1364182</v>
      </c>
      <c r="AM113" s="42">
        <f t="shared" si="24"/>
        <v>456138635</v>
      </c>
    </row>
    <row r="114" spans="1:39">
      <c r="A114" s="9" t="s">
        <v>449</v>
      </c>
      <c r="B114" s="9"/>
      <c r="C114" s="9" t="s">
        <v>54</v>
      </c>
      <c r="D114" s="9"/>
      <c r="E114" s="23">
        <v>43760</v>
      </c>
      <c r="G114" s="42">
        <v>7789514</v>
      </c>
      <c r="I114" s="42">
        <v>1539012</v>
      </c>
      <c r="K114" s="42">
        <f>10950988+68843</f>
        <v>11019831</v>
      </c>
      <c r="M114" s="42">
        <v>2056</v>
      </c>
      <c r="O114" s="42">
        <f>554550+2496+69340</f>
        <v>626386</v>
      </c>
      <c r="Q114" s="42">
        <v>26099</v>
      </c>
      <c r="S114" s="42">
        <v>114797</v>
      </c>
      <c r="U114" s="42">
        <v>700</v>
      </c>
      <c r="W114" s="42">
        <f>9486+164371</f>
        <v>173857</v>
      </c>
      <c r="Y114" s="2">
        <f t="shared" si="28"/>
        <v>21292252</v>
      </c>
      <c r="AA114" s="42">
        <v>0</v>
      </c>
      <c r="AC114" s="42">
        <v>0</v>
      </c>
      <c r="AE114" s="42">
        <v>0</v>
      </c>
      <c r="AG114" s="42">
        <v>181895</v>
      </c>
      <c r="AI114" s="42">
        <v>0</v>
      </c>
      <c r="AK114" s="42">
        <f t="shared" si="29"/>
        <v>181895</v>
      </c>
      <c r="AM114" s="42">
        <f t="shared" si="24"/>
        <v>21474147</v>
      </c>
    </row>
    <row r="115" spans="1:39">
      <c r="A115" s="9" t="s">
        <v>229</v>
      </c>
      <c r="B115" s="9"/>
      <c r="C115" s="9" t="s">
        <v>17</v>
      </c>
      <c r="D115" s="9"/>
      <c r="E115" s="23">
        <v>46284</v>
      </c>
      <c r="F115" s="7"/>
      <c r="G115" s="42">
        <v>8815122</v>
      </c>
      <c r="I115" s="42">
        <v>0</v>
      </c>
      <c r="K115" s="42">
        <v>6727482</v>
      </c>
      <c r="M115" s="42">
        <v>122</v>
      </c>
      <c r="O115" s="42">
        <f>2424134+10384+65781</f>
        <v>2500299</v>
      </c>
      <c r="Q115" s="42">
        <v>242857</v>
      </c>
      <c r="S115" s="42">
        <v>0</v>
      </c>
      <c r="U115" s="42">
        <v>4002</v>
      </c>
      <c r="W115" s="42">
        <v>86626</v>
      </c>
      <c r="Y115" s="2">
        <f t="shared" si="28"/>
        <v>18376510</v>
      </c>
      <c r="AA115" s="42">
        <v>0</v>
      </c>
      <c r="AC115" s="42">
        <v>0</v>
      </c>
      <c r="AE115" s="42">
        <v>0</v>
      </c>
      <c r="AG115" s="42">
        <v>84935</v>
      </c>
      <c r="AI115" s="42">
        <v>0</v>
      </c>
      <c r="AK115" s="42">
        <f t="shared" si="29"/>
        <v>84935</v>
      </c>
      <c r="AM115" s="42">
        <f t="shared" ref="AM115:AM146" si="30">+AK115+Y115</f>
        <v>18461445</v>
      </c>
    </row>
    <row r="116" spans="1:39">
      <c r="A116" s="9" t="s">
        <v>477</v>
      </c>
      <c r="B116" s="9"/>
      <c r="C116" s="9" t="s">
        <v>59</v>
      </c>
      <c r="D116" s="9"/>
      <c r="E116" s="23">
        <v>49601</v>
      </c>
      <c r="G116" s="42">
        <v>1000719</v>
      </c>
      <c r="I116" s="42">
        <v>0</v>
      </c>
      <c r="K116" s="42">
        <v>2995214</v>
      </c>
      <c r="M116" s="42">
        <v>769</v>
      </c>
      <c r="O116" s="42">
        <v>1250652</v>
      </c>
      <c r="Q116" s="42">
        <v>21485</v>
      </c>
      <c r="S116" s="42">
        <v>0</v>
      </c>
      <c r="U116" s="42">
        <v>9559</v>
      </c>
      <c r="W116" s="42">
        <v>220577</v>
      </c>
      <c r="Y116" s="2">
        <f t="shared" si="28"/>
        <v>5498975</v>
      </c>
      <c r="AA116" s="42">
        <v>0</v>
      </c>
      <c r="AC116" s="42">
        <v>0</v>
      </c>
      <c r="AE116" s="42">
        <v>0</v>
      </c>
      <c r="AG116" s="42">
        <v>0</v>
      </c>
      <c r="AI116" s="42">
        <v>0</v>
      </c>
      <c r="AK116" s="42">
        <f t="shared" si="29"/>
        <v>0</v>
      </c>
      <c r="AM116" s="42">
        <f t="shared" si="30"/>
        <v>5498975</v>
      </c>
    </row>
    <row r="117" spans="1:39">
      <c r="A117" s="9" t="s">
        <v>529</v>
      </c>
      <c r="B117" s="9"/>
      <c r="C117" s="9" t="s">
        <v>65</v>
      </c>
      <c r="D117" s="9"/>
      <c r="E117" s="23">
        <v>43778</v>
      </c>
      <c r="G117" s="42">
        <v>3237490</v>
      </c>
      <c r="I117" s="42">
        <v>0</v>
      </c>
      <c r="K117" s="42">
        <f>13302935+54516</f>
        <v>13357451</v>
      </c>
      <c r="M117" s="42">
        <v>416</v>
      </c>
      <c r="O117" s="42">
        <f>1150491+39943+1058</f>
        <v>1191492</v>
      </c>
      <c r="Q117" s="42">
        <v>40218</v>
      </c>
      <c r="S117" s="42">
        <v>10000</v>
      </c>
      <c r="U117" s="42">
        <v>40491</v>
      </c>
      <c r="W117" s="42">
        <v>8821</v>
      </c>
      <c r="Y117" s="2">
        <f t="shared" si="28"/>
        <v>17886379</v>
      </c>
      <c r="AA117" s="42">
        <v>0</v>
      </c>
      <c r="AC117" s="42">
        <v>0</v>
      </c>
      <c r="AE117" s="42">
        <v>0</v>
      </c>
      <c r="AG117" s="42">
        <v>201604</v>
      </c>
      <c r="AI117" s="42">
        <v>0</v>
      </c>
      <c r="AK117" s="42">
        <f t="shared" si="29"/>
        <v>201604</v>
      </c>
      <c r="AM117" s="42">
        <f t="shared" si="30"/>
        <v>18087983</v>
      </c>
    </row>
    <row r="118" spans="1:39">
      <c r="A118" s="9" t="s">
        <v>465</v>
      </c>
      <c r="B118" s="9"/>
      <c r="C118" s="9" t="s">
        <v>109</v>
      </c>
      <c r="D118" s="9"/>
      <c r="E118" s="23">
        <v>49411</v>
      </c>
      <c r="G118" s="42">
        <v>3888398</v>
      </c>
      <c r="I118" s="42">
        <v>326353</v>
      </c>
      <c r="K118" s="42">
        <v>8934841</v>
      </c>
      <c r="M118" s="42">
        <v>37908</v>
      </c>
      <c r="O118" s="42">
        <f>1128889+16173+70888+11021</f>
        <v>1226971</v>
      </c>
      <c r="Q118" s="42">
        <v>15615</v>
      </c>
      <c r="S118" s="42">
        <v>0</v>
      </c>
      <c r="U118" s="42">
        <v>76231</v>
      </c>
      <c r="W118" s="42">
        <f>17014+18887</f>
        <v>35901</v>
      </c>
      <c r="Y118" s="2">
        <f t="shared" si="28"/>
        <v>14542218</v>
      </c>
      <c r="AA118" s="42">
        <v>0</v>
      </c>
      <c r="AC118" s="42">
        <v>0</v>
      </c>
      <c r="AE118" s="42">
        <v>0</v>
      </c>
      <c r="AG118" s="42">
        <v>0</v>
      </c>
      <c r="AI118" s="42">
        <v>0</v>
      </c>
      <c r="AK118" s="42">
        <f t="shared" si="29"/>
        <v>0</v>
      </c>
      <c r="AM118" s="42">
        <f t="shared" si="30"/>
        <v>14542218</v>
      </c>
    </row>
    <row r="119" spans="1:39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v>0</v>
      </c>
      <c r="I119" s="42">
        <v>0</v>
      </c>
      <c r="K119" s="42">
        <v>0</v>
      </c>
      <c r="M119" s="42">
        <v>0</v>
      </c>
      <c r="O119" s="42">
        <v>0</v>
      </c>
      <c r="Q119" s="42">
        <v>0</v>
      </c>
      <c r="S119" s="42">
        <v>0</v>
      </c>
      <c r="U119" s="42">
        <v>0</v>
      </c>
      <c r="W119" s="42">
        <v>0</v>
      </c>
      <c r="Y119" s="2">
        <f t="shared" si="28"/>
        <v>0</v>
      </c>
      <c r="AA119" s="42">
        <v>0</v>
      </c>
      <c r="AC119" s="42">
        <v>0</v>
      </c>
      <c r="AE119" s="42">
        <v>0</v>
      </c>
      <c r="AG119" s="42">
        <v>0</v>
      </c>
      <c r="AI119" s="42">
        <v>0</v>
      </c>
      <c r="AK119" s="42">
        <f t="shared" si="29"/>
        <v>0</v>
      </c>
      <c r="AM119" s="42">
        <f t="shared" si="30"/>
        <v>0</v>
      </c>
    </row>
    <row r="120" spans="1:39">
      <c r="A120" s="9" t="s">
        <v>648</v>
      </c>
      <c r="B120" s="9"/>
      <c r="C120" s="9" t="s">
        <v>112</v>
      </c>
      <c r="D120" s="9"/>
      <c r="E120" s="23">
        <v>46326</v>
      </c>
      <c r="G120" s="42">
        <v>8446224</v>
      </c>
      <c r="I120" s="42">
        <v>0</v>
      </c>
      <c r="K120" s="42">
        <v>5991998</v>
      </c>
      <c r="M120" s="42">
        <v>4342</v>
      </c>
      <c r="O120" s="42">
        <v>622374</v>
      </c>
      <c r="Q120" s="42">
        <v>0</v>
      </c>
      <c r="S120" s="42">
        <v>0</v>
      </c>
      <c r="U120" s="42">
        <v>0</v>
      </c>
      <c r="W120" s="42">
        <v>476959</v>
      </c>
      <c r="Y120" s="2">
        <f t="shared" si="28"/>
        <v>15541897</v>
      </c>
      <c r="AA120" s="42">
        <v>0</v>
      </c>
      <c r="AC120" s="42">
        <v>0</v>
      </c>
      <c r="AE120" s="42">
        <v>0</v>
      </c>
      <c r="AG120" s="42">
        <v>0</v>
      </c>
      <c r="AI120" s="42">
        <v>0</v>
      </c>
      <c r="AK120" s="42">
        <f t="shared" si="29"/>
        <v>0</v>
      </c>
      <c r="AM120" s="42">
        <f t="shared" si="30"/>
        <v>15541897</v>
      </c>
    </row>
    <row r="121" spans="1:39">
      <c r="A121" s="9" t="s">
        <v>646</v>
      </c>
      <c r="B121" s="9"/>
      <c r="C121" s="9" t="s">
        <v>20</v>
      </c>
      <c r="D121" s="9"/>
      <c r="E121" s="23">
        <v>43794</v>
      </c>
      <c r="G121" s="42">
        <v>68852166</v>
      </c>
      <c r="I121" s="42">
        <v>0</v>
      </c>
      <c r="K121" s="42">
        <v>29545832</v>
      </c>
      <c r="M121" s="42">
        <v>100159</v>
      </c>
      <c r="O121" s="42">
        <f>4261340+9899</f>
        <v>4271239</v>
      </c>
      <c r="Q121" s="42">
        <v>71842</v>
      </c>
      <c r="S121" s="42">
        <v>0</v>
      </c>
      <c r="U121" s="42">
        <v>0</v>
      </c>
      <c r="W121" s="42">
        <v>1197761</v>
      </c>
      <c r="Y121" s="2">
        <f t="shared" si="28"/>
        <v>104038999</v>
      </c>
      <c r="AA121" s="42">
        <v>5448</v>
      </c>
      <c r="AC121" s="42">
        <v>0</v>
      </c>
      <c r="AE121" s="42">
        <v>0</v>
      </c>
      <c r="AG121" s="42">
        <v>87077</v>
      </c>
      <c r="AI121" s="42">
        <v>0</v>
      </c>
      <c r="AK121" s="42">
        <f t="shared" si="29"/>
        <v>92525</v>
      </c>
      <c r="AM121" s="42">
        <f t="shared" si="30"/>
        <v>104131524</v>
      </c>
    </row>
    <row r="122" spans="1:39">
      <c r="A122" s="9" t="s">
        <v>263</v>
      </c>
      <c r="B122" s="9"/>
      <c r="C122" s="9" t="s">
        <v>20</v>
      </c>
      <c r="D122" s="9"/>
      <c r="E122" s="23">
        <v>43786</v>
      </c>
      <c r="G122" s="42">
        <v>185820885</v>
      </c>
      <c r="I122" s="42">
        <v>0</v>
      </c>
      <c r="K122" s="42">
        <f>453252835+2877105+2055040</f>
        <v>458184980</v>
      </c>
      <c r="M122" s="42">
        <v>-18764</v>
      </c>
      <c r="O122" s="42">
        <v>6207619</v>
      </c>
      <c r="Q122" s="42">
        <v>0</v>
      </c>
      <c r="S122" s="42">
        <v>0</v>
      </c>
      <c r="U122" s="42">
        <v>5478</v>
      </c>
      <c r="W122" s="42">
        <f>177521+11531940</f>
        <v>11709461</v>
      </c>
      <c r="Y122" s="2">
        <f t="shared" si="28"/>
        <v>661909659</v>
      </c>
      <c r="AA122" s="42">
        <v>0</v>
      </c>
      <c r="AC122" s="42">
        <v>0</v>
      </c>
      <c r="AE122" s="42">
        <v>0</v>
      </c>
      <c r="AG122" s="42">
        <v>0</v>
      </c>
      <c r="AI122" s="42">
        <v>0</v>
      </c>
      <c r="AK122" s="42">
        <f t="shared" si="29"/>
        <v>0</v>
      </c>
      <c r="AM122" s="42">
        <f t="shared" si="30"/>
        <v>661909659</v>
      </c>
    </row>
    <row r="123" spans="1:39">
      <c r="A123" s="9" t="s">
        <v>241</v>
      </c>
      <c r="B123" s="9"/>
      <c r="C123" s="9" t="s">
        <v>18</v>
      </c>
      <c r="D123" s="9"/>
      <c r="E123" s="23">
        <v>46391</v>
      </c>
      <c r="F123" s="7"/>
      <c r="G123" s="42">
        <v>4510952</v>
      </c>
      <c r="I123" s="42">
        <v>0</v>
      </c>
      <c r="K123" s="42">
        <v>9345751</v>
      </c>
      <c r="M123" s="42">
        <v>7174</v>
      </c>
      <c r="O123" s="42">
        <f>1396145+19543</f>
        <v>1415688</v>
      </c>
      <c r="Q123" s="42">
        <v>56480</v>
      </c>
      <c r="S123" s="42">
        <v>13234</v>
      </c>
      <c r="U123" s="42">
        <v>0</v>
      </c>
      <c r="W123" s="42">
        <v>124993</v>
      </c>
      <c r="Y123" s="2">
        <f t="shared" si="28"/>
        <v>15474272</v>
      </c>
      <c r="AA123" s="42">
        <v>439</v>
      </c>
      <c r="AC123" s="42">
        <v>0</v>
      </c>
      <c r="AE123" s="42">
        <f>796564+31085</f>
        <v>827649</v>
      </c>
      <c r="AG123" s="42">
        <f>269170+1200</f>
        <v>270370</v>
      </c>
      <c r="AI123" s="42">
        <v>0</v>
      </c>
      <c r="AK123" s="42">
        <f t="shared" si="29"/>
        <v>1098458</v>
      </c>
      <c r="AM123" s="42">
        <f t="shared" si="30"/>
        <v>16572730</v>
      </c>
    </row>
    <row r="124" spans="1:39">
      <c r="A124" s="9" t="s">
        <v>413</v>
      </c>
      <c r="B124" s="9"/>
      <c r="C124" s="9" t="s">
        <v>47</v>
      </c>
      <c r="D124" s="9"/>
      <c r="E124" s="23">
        <v>48488</v>
      </c>
      <c r="G124" s="42">
        <v>11732860</v>
      </c>
      <c r="I124" s="42">
        <v>2008841</v>
      </c>
      <c r="K124" s="42">
        <f>10999741+91761</f>
        <v>11091502</v>
      </c>
      <c r="M124" s="42">
        <v>6186</v>
      </c>
      <c r="O124" s="42">
        <f>630192+251735+130894+98975</f>
        <v>1111796</v>
      </c>
      <c r="Q124" s="42">
        <v>172912</v>
      </c>
      <c r="S124" s="42">
        <v>49715</v>
      </c>
      <c r="U124" s="42">
        <v>7239</v>
      </c>
      <c r="W124" s="42">
        <v>19750</v>
      </c>
      <c r="Y124" s="2">
        <f t="shared" si="28"/>
        <v>26200801</v>
      </c>
      <c r="AA124" s="42">
        <v>0</v>
      </c>
      <c r="AC124" s="42">
        <v>0</v>
      </c>
      <c r="AE124" s="42">
        <v>0</v>
      </c>
      <c r="AG124" s="42">
        <v>14139</v>
      </c>
      <c r="AI124" s="42">
        <v>0</v>
      </c>
      <c r="AK124" s="42">
        <f t="shared" si="29"/>
        <v>14139</v>
      </c>
      <c r="AM124" s="42">
        <f t="shared" si="30"/>
        <v>26214940</v>
      </c>
    </row>
    <row r="125" spans="1:39">
      <c r="A125" s="9" t="s">
        <v>750</v>
      </c>
      <c r="B125" s="9"/>
      <c r="C125" s="9" t="s">
        <v>79</v>
      </c>
      <c r="D125" s="9"/>
      <c r="E125" s="23">
        <v>45302</v>
      </c>
      <c r="G125" s="42">
        <v>6054867</v>
      </c>
      <c r="I125" s="42">
        <v>2151398</v>
      </c>
      <c r="K125" s="42">
        <v>11018015</v>
      </c>
      <c r="M125" s="42">
        <v>6456</v>
      </c>
      <c r="O125" s="42">
        <f>727262+40810</f>
        <v>768072</v>
      </c>
      <c r="Q125" s="42">
        <v>69347</v>
      </c>
      <c r="S125" s="42">
        <v>168158</v>
      </c>
      <c r="U125" s="42">
        <v>0</v>
      </c>
      <c r="W125" s="42">
        <v>114207</v>
      </c>
      <c r="Y125" s="2">
        <f t="shared" si="28"/>
        <v>20350520</v>
      </c>
      <c r="AA125" s="42">
        <v>0</v>
      </c>
      <c r="AC125" s="42">
        <v>0</v>
      </c>
      <c r="AE125" s="42">
        <v>0</v>
      </c>
      <c r="AG125" s="42">
        <v>1549</v>
      </c>
      <c r="AI125" s="42">
        <v>0</v>
      </c>
      <c r="AK125" s="42">
        <f t="shared" si="29"/>
        <v>1549</v>
      </c>
      <c r="AM125" s="42">
        <f t="shared" si="30"/>
        <v>20352069</v>
      </c>
    </row>
    <row r="126" spans="1:39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v>0</v>
      </c>
      <c r="I126" s="42">
        <v>0</v>
      </c>
      <c r="K126" s="42">
        <v>0</v>
      </c>
      <c r="M126" s="42">
        <v>0</v>
      </c>
      <c r="O126" s="42">
        <v>0</v>
      </c>
      <c r="Q126" s="42">
        <v>0</v>
      </c>
      <c r="S126" s="42">
        <v>0</v>
      </c>
      <c r="U126" s="42">
        <v>0</v>
      </c>
      <c r="W126" s="42">
        <v>0</v>
      </c>
      <c r="Y126" s="2">
        <f t="shared" si="28"/>
        <v>0</v>
      </c>
      <c r="AA126" s="42">
        <v>0</v>
      </c>
      <c r="AC126" s="42">
        <v>0</v>
      </c>
      <c r="AE126" s="42">
        <v>0</v>
      </c>
      <c r="AG126" s="42">
        <v>0</v>
      </c>
      <c r="AI126" s="42">
        <v>0</v>
      </c>
      <c r="AM126" s="42">
        <f t="shared" si="30"/>
        <v>0</v>
      </c>
    </row>
    <row r="127" spans="1:39" hidden="1">
      <c r="A127" s="9" t="s">
        <v>605</v>
      </c>
      <c r="B127" s="9"/>
      <c r="C127" s="9" t="s">
        <v>57</v>
      </c>
      <c r="D127" s="9"/>
      <c r="E127" s="23">
        <v>64964</v>
      </c>
      <c r="G127" s="42">
        <v>0</v>
      </c>
      <c r="I127" s="42">
        <v>0</v>
      </c>
      <c r="K127" s="42">
        <v>0</v>
      </c>
      <c r="M127" s="42">
        <v>0</v>
      </c>
      <c r="O127" s="42">
        <v>0</v>
      </c>
      <c r="Q127" s="42">
        <v>0</v>
      </c>
      <c r="S127" s="42">
        <v>0</v>
      </c>
      <c r="U127" s="42">
        <v>0</v>
      </c>
      <c r="W127" s="42">
        <v>0</v>
      </c>
      <c r="Y127" s="2">
        <f t="shared" si="28"/>
        <v>0</v>
      </c>
      <c r="AA127" s="42">
        <v>0</v>
      </c>
      <c r="AC127" s="42">
        <v>0</v>
      </c>
      <c r="AE127" s="42">
        <v>0</v>
      </c>
      <c r="AG127" s="42">
        <v>0</v>
      </c>
      <c r="AI127" s="42">
        <v>0</v>
      </c>
      <c r="AK127" s="42">
        <f t="shared" si="29"/>
        <v>0</v>
      </c>
      <c r="AM127" s="42">
        <f t="shared" si="30"/>
        <v>0</v>
      </c>
    </row>
    <row r="128" spans="1:39">
      <c r="A128" s="9" t="s">
        <v>256</v>
      </c>
      <c r="B128" s="9"/>
      <c r="C128" s="9" t="s">
        <v>110</v>
      </c>
      <c r="D128" s="9"/>
      <c r="E128" s="23">
        <v>46516</v>
      </c>
      <c r="F128" s="7"/>
      <c r="G128" s="42">
        <v>2308106</v>
      </c>
      <c r="I128" s="42">
        <v>1602980</v>
      </c>
      <c r="K128" s="42">
        <f>12704+3490173+25870</f>
        <v>3528747</v>
      </c>
      <c r="M128" s="42">
        <v>7555</v>
      </c>
      <c r="O128" s="42">
        <f>1346866+3857+64039</f>
        <v>1414762</v>
      </c>
      <c r="Q128" s="42">
        <v>22370</v>
      </c>
      <c r="S128" s="42">
        <v>0</v>
      </c>
      <c r="U128" s="42">
        <v>14681</v>
      </c>
      <c r="W128" s="42">
        <f>1698+15921</f>
        <v>17619</v>
      </c>
      <c r="Y128" s="2">
        <f t="shared" si="28"/>
        <v>8916820</v>
      </c>
      <c r="AA128" s="42">
        <v>0</v>
      </c>
      <c r="AC128" s="42">
        <v>0</v>
      </c>
      <c r="AE128" s="42">
        <v>0</v>
      </c>
      <c r="AG128" s="42">
        <v>75666</v>
      </c>
      <c r="AI128" s="42">
        <v>0</v>
      </c>
      <c r="AK128" s="42">
        <f t="shared" si="29"/>
        <v>75666</v>
      </c>
      <c r="AM128" s="42">
        <f t="shared" si="30"/>
        <v>8992486</v>
      </c>
    </row>
    <row r="129" spans="1:39">
      <c r="A129" s="9" t="s">
        <v>380</v>
      </c>
      <c r="B129" s="9"/>
      <c r="C129" s="9" t="s">
        <v>44</v>
      </c>
      <c r="D129" s="9"/>
      <c r="E129" s="23">
        <v>48140</v>
      </c>
      <c r="G129" s="42">
        <v>5690926</v>
      </c>
      <c r="I129" s="42">
        <v>0</v>
      </c>
      <c r="K129" s="42">
        <v>3096436</v>
      </c>
      <c r="M129" s="42">
        <v>809</v>
      </c>
      <c r="O129" s="42">
        <f>562752+48420+18170</f>
        <v>629342</v>
      </c>
      <c r="Q129" s="42">
        <v>30450</v>
      </c>
      <c r="S129" s="42">
        <v>0</v>
      </c>
      <c r="U129" s="42">
        <v>12580</v>
      </c>
      <c r="W129" s="42">
        <v>133759</v>
      </c>
      <c r="Y129" s="2">
        <f t="shared" si="28"/>
        <v>9594302</v>
      </c>
      <c r="AA129" s="42">
        <v>0</v>
      </c>
      <c r="AC129" s="42">
        <v>0</v>
      </c>
      <c r="AE129" s="42">
        <v>650000</v>
      </c>
      <c r="AG129" s="42">
        <v>24610</v>
      </c>
      <c r="AI129" s="42">
        <v>0</v>
      </c>
      <c r="AK129" s="42">
        <f t="shared" si="29"/>
        <v>674610</v>
      </c>
      <c r="AM129" s="42">
        <f t="shared" si="30"/>
        <v>10268912</v>
      </c>
    </row>
    <row r="130" spans="1:39">
      <c r="A130" s="9" t="s">
        <v>751</v>
      </c>
      <c r="B130" s="9"/>
      <c r="C130" s="9" t="s">
        <v>111</v>
      </c>
      <c r="D130" s="9"/>
      <c r="E130" s="23">
        <v>45328</v>
      </c>
      <c r="F130" s="7"/>
      <c r="G130" s="42">
        <v>3208002</v>
      </c>
      <c r="I130" s="42">
        <v>1736141</v>
      </c>
      <c r="K130" s="42">
        <v>2764685</v>
      </c>
      <c r="M130" s="42">
        <v>90934</v>
      </c>
      <c r="O130" s="42">
        <f>1216315+3525</f>
        <v>1219840</v>
      </c>
      <c r="Q130" s="42">
        <v>70130</v>
      </c>
      <c r="S130" s="42">
        <v>0</v>
      </c>
      <c r="U130" s="42">
        <v>4944</v>
      </c>
      <c r="W130" s="42">
        <v>9314</v>
      </c>
      <c r="Y130" s="2">
        <f t="shared" si="28"/>
        <v>9103990</v>
      </c>
      <c r="AA130" s="42">
        <v>0</v>
      </c>
      <c r="AC130" s="42">
        <v>0</v>
      </c>
      <c r="AE130" s="42">
        <v>160000</v>
      </c>
      <c r="AG130" s="42">
        <v>1704</v>
      </c>
      <c r="AI130" s="42">
        <v>0</v>
      </c>
      <c r="AK130" s="42">
        <f t="shared" si="29"/>
        <v>161704</v>
      </c>
      <c r="AM130" s="42">
        <f t="shared" si="30"/>
        <v>9265694</v>
      </c>
    </row>
    <row r="131" spans="1:39">
      <c r="A131" s="9" t="s">
        <v>299</v>
      </c>
      <c r="B131" s="9"/>
      <c r="C131" s="9" t="s">
        <v>27</v>
      </c>
      <c r="D131" s="9"/>
      <c r="E131" s="23">
        <v>43802</v>
      </c>
      <c r="G131" s="42">
        <v>340650050</v>
      </c>
      <c r="I131" s="42">
        <v>0</v>
      </c>
      <c r="K131" s="42">
        <v>311459496</v>
      </c>
      <c r="M131" s="42">
        <v>279633</v>
      </c>
      <c r="O131" s="42">
        <f>5299632+938004+930297</f>
        <v>7167933</v>
      </c>
      <c r="Q131" s="42">
        <v>334783</v>
      </c>
      <c r="S131" s="42">
        <v>40783885</v>
      </c>
      <c r="U131" s="42">
        <v>287139</v>
      </c>
      <c r="W131" s="42">
        <v>2932287</v>
      </c>
      <c r="Y131" s="2">
        <f t="shared" si="28"/>
        <v>703895206</v>
      </c>
      <c r="AA131" s="42">
        <v>0</v>
      </c>
      <c r="AC131" s="42">
        <v>0</v>
      </c>
      <c r="AE131" s="42">
        <v>0</v>
      </c>
      <c r="AG131" s="42">
        <v>33732</v>
      </c>
      <c r="AI131" s="42">
        <v>0</v>
      </c>
      <c r="AK131" s="42">
        <f t="shared" si="29"/>
        <v>33732</v>
      </c>
      <c r="AM131" s="42">
        <f t="shared" si="30"/>
        <v>703928938</v>
      </c>
    </row>
    <row r="132" spans="1:39" hidden="1">
      <c r="A132" s="9" t="s">
        <v>606</v>
      </c>
      <c r="B132" s="9"/>
      <c r="C132" s="9" t="s">
        <v>464</v>
      </c>
      <c r="D132" s="9"/>
      <c r="E132" s="23">
        <v>49312</v>
      </c>
      <c r="G132" s="42">
        <v>0</v>
      </c>
      <c r="I132" s="42">
        <v>0</v>
      </c>
      <c r="K132" s="42">
        <v>0</v>
      </c>
      <c r="M132" s="42">
        <v>0</v>
      </c>
      <c r="O132" s="42">
        <v>0</v>
      </c>
      <c r="Q132" s="42">
        <v>0</v>
      </c>
      <c r="S132" s="42">
        <v>0</v>
      </c>
      <c r="U132" s="42">
        <v>0</v>
      </c>
      <c r="W132" s="42">
        <v>0</v>
      </c>
      <c r="Y132" s="2">
        <f t="shared" si="28"/>
        <v>0</v>
      </c>
      <c r="AA132" s="42">
        <v>0</v>
      </c>
      <c r="AC132" s="42">
        <v>0</v>
      </c>
      <c r="AE132" s="42">
        <v>0</v>
      </c>
      <c r="AG132" s="42">
        <v>0</v>
      </c>
      <c r="AI132" s="42">
        <v>0</v>
      </c>
      <c r="AK132" s="42">
        <f t="shared" si="29"/>
        <v>0</v>
      </c>
      <c r="AM132" s="42">
        <f t="shared" si="30"/>
        <v>0</v>
      </c>
    </row>
    <row r="133" spans="1:39">
      <c r="A133" s="9" t="s">
        <v>206</v>
      </c>
      <c r="B133" s="9"/>
      <c r="C133" s="9" t="s">
        <v>12</v>
      </c>
      <c r="D133" s="9"/>
      <c r="E133" s="23">
        <v>43810</v>
      </c>
      <c r="F133" s="7"/>
      <c r="G133" s="42">
        <v>3123940</v>
      </c>
      <c r="I133" s="42">
        <v>0</v>
      </c>
      <c r="K133" s="42">
        <v>12036606</v>
      </c>
      <c r="M133" s="42">
        <v>3520</v>
      </c>
      <c r="O133" s="42">
        <v>298374</v>
      </c>
      <c r="Q133" s="42">
        <v>1400</v>
      </c>
      <c r="S133" s="42">
        <v>0</v>
      </c>
      <c r="U133" s="42">
        <v>15292</v>
      </c>
      <c r="W133" s="42">
        <v>58194</v>
      </c>
      <c r="Y133" s="2">
        <f t="shared" si="28"/>
        <v>15537326</v>
      </c>
      <c r="AA133" s="42">
        <v>0</v>
      </c>
      <c r="AC133" s="42">
        <v>0</v>
      </c>
      <c r="AE133" s="42">
        <v>0</v>
      </c>
      <c r="AG133" s="42">
        <v>0</v>
      </c>
      <c r="AI133" s="42">
        <v>0</v>
      </c>
      <c r="AK133" s="42">
        <f t="shared" si="29"/>
        <v>0</v>
      </c>
      <c r="AM133" s="42">
        <f t="shared" si="30"/>
        <v>15537326</v>
      </c>
    </row>
    <row r="134" spans="1:39">
      <c r="A134" s="9" t="s">
        <v>340</v>
      </c>
      <c r="B134" s="9"/>
      <c r="C134" s="9" t="s">
        <v>341</v>
      </c>
      <c r="D134" s="9"/>
      <c r="E134" s="23">
        <v>47548</v>
      </c>
      <c r="G134" s="42">
        <v>1967793</v>
      </c>
      <c r="I134" s="42">
        <v>0</v>
      </c>
      <c r="K134" s="42">
        <v>2533373</v>
      </c>
      <c r="M134" s="42">
        <v>173</v>
      </c>
      <c r="O134" s="42">
        <v>358529</v>
      </c>
      <c r="Q134" s="42">
        <v>10669</v>
      </c>
      <c r="S134" s="42">
        <v>0</v>
      </c>
      <c r="U134" s="42">
        <v>21250</v>
      </c>
      <c r="W134" s="42">
        <v>19222</v>
      </c>
      <c r="Y134" s="2">
        <f t="shared" si="28"/>
        <v>4911009</v>
      </c>
      <c r="AA134" s="42">
        <v>0</v>
      </c>
      <c r="AC134" s="42">
        <v>0</v>
      </c>
      <c r="AE134" s="42">
        <v>0</v>
      </c>
      <c r="AG134" s="42">
        <v>0</v>
      </c>
      <c r="AI134" s="42">
        <v>0</v>
      </c>
      <c r="AK134" s="42">
        <f t="shared" si="29"/>
        <v>0</v>
      </c>
      <c r="AM134" s="42">
        <f t="shared" si="30"/>
        <v>4911009</v>
      </c>
    </row>
    <row r="135" spans="1:39" hidden="1">
      <c r="A135" s="9" t="s">
        <v>671</v>
      </c>
      <c r="B135" s="9"/>
      <c r="C135" s="9" t="s">
        <v>464</v>
      </c>
      <c r="D135" s="9"/>
      <c r="E135" s="23">
        <v>49320</v>
      </c>
      <c r="G135" s="42">
        <v>0</v>
      </c>
      <c r="I135" s="42">
        <v>0</v>
      </c>
      <c r="K135" s="42">
        <v>0</v>
      </c>
      <c r="M135" s="42">
        <v>0</v>
      </c>
      <c r="O135" s="42">
        <v>0</v>
      </c>
      <c r="Q135" s="42">
        <v>0</v>
      </c>
      <c r="S135" s="42">
        <v>0</v>
      </c>
      <c r="U135" s="42">
        <v>0</v>
      </c>
      <c r="W135" s="42">
        <v>0</v>
      </c>
      <c r="Y135" s="2">
        <f t="shared" si="28"/>
        <v>0</v>
      </c>
      <c r="AA135" s="42">
        <v>0</v>
      </c>
      <c r="AC135" s="42">
        <v>0</v>
      </c>
      <c r="AE135" s="42">
        <v>0</v>
      </c>
      <c r="AG135" s="42">
        <v>0</v>
      </c>
      <c r="AI135" s="42">
        <v>0</v>
      </c>
      <c r="AK135" s="42">
        <f t="shared" si="29"/>
        <v>0</v>
      </c>
      <c r="AM135" s="42">
        <f t="shared" si="30"/>
        <v>0</v>
      </c>
    </row>
    <row r="136" spans="1:39">
      <c r="A136" s="9" t="s">
        <v>504</v>
      </c>
      <c r="B136" s="9"/>
      <c r="C136" s="9" t="s">
        <v>63</v>
      </c>
      <c r="D136" s="9"/>
      <c r="E136" s="23">
        <v>49981</v>
      </c>
      <c r="G136" s="42">
        <v>24768131</v>
      </c>
      <c r="I136" s="42">
        <v>0</v>
      </c>
      <c r="K136" s="42">
        <v>6288373</v>
      </c>
      <c r="M136" s="42">
        <f>28066-32779</f>
        <v>-4713</v>
      </c>
      <c r="O136" s="42">
        <f>615462+23933+42506</f>
        <v>681901</v>
      </c>
      <c r="Q136" s="42">
        <v>0</v>
      </c>
      <c r="S136" s="42">
        <v>0</v>
      </c>
      <c r="U136" s="42">
        <v>3553</v>
      </c>
      <c r="W136" s="42">
        <v>218987</v>
      </c>
      <c r="Y136" s="2">
        <f t="shared" si="28"/>
        <v>31956232</v>
      </c>
      <c r="AA136" s="42">
        <v>0</v>
      </c>
      <c r="AC136" s="42">
        <v>0</v>
      </c>
      <c r="AE136" s="42">
        <v>0</v>
      </c>
      <c r="AG136" s="42">
        <v>0</v>
      </c>
      <c r="AI136" s="42">
        <v>0</v>
      </c>
      <c r="AK136" s="42">
        <f t="shared" si="29"/>
        <v>0</v>
      </c>
      <c r="AM136" s="42">
        <f t="shared" si="30"/>
        <v>31956232</v>
      </c>
    </row>
    <row r="137" spans="1:39">
      <c r="A137" s="9" t="s">
        <v>334</v>
      </c>
      <c r="B137" s="9"/>
      <c r="C137" s="9" t="s">
        <v>33</v>
      </c>
      <c r="D137" s="9"/>
      <c r="E137" s="23">
        <v>47431</v>
      </c>
      <c r="G137" s="42">
        <v>1893912</v>
      </c>
      <c r="I137" s="42">
        <v>1640429</v>
      </c>
      <c r="K137" s="42">
        <v>3040280</v>
      </c>
      <c r="M137" s="42">
        <v>1021</v>
      </c>
      <c r="O137" s="42">
        <v>529953</v>
      </c>
      <c r="Q137" s="42">
        <v>0</v>
      </c>
      <c r="S137" s="42">
        <v>0</v>
      </c>
      <c r="U137" s="42">
        <v>43630</v>
      </c>
      <c r="W137" s="42">
        <v>106511</v>
      </c>
      <c r="Y137" s="2">
        <f t="shared" si="28"/>
        <v>7255736</v>
      </c>
      <c r="AA137" s="42">
        <v>0</v>
      </c>
      <c r="AC137" s="42">
        <v>0</v>
      </c>
      <c r="AE137" s="42">
        <v>0</v>
      </c>
      <c r="AG137" s="42">
        <v>7000</v>
      </c>
      <c r="AI137" s="42">
        <v>0</v>
      </c>
      <c r="AK137" s="42">
        <f t="shared" si="29"/>
        <v>7000</v>
      </c>
      <c r="AM137" s="42">
        <f t="shared" si="30"/>
        <v>7262736</v>
      </c>
    </row>
    <row r="138" spans="1:39">
      <c r="A138" s="9" t="s">
        <v>251</v>
      </c>
      <c r="B138" s="9"/>
      <c r="C138" s="9" t="s">
        <v>19</v>
      </c>
      <c r="D138" s="9"/>
      <c r="E138" s="23">
        <v>43828</v>
      </c>
      <c r="F138" s="7"/>
      <c r="G138" s="42">
        <v>4639426</v>
      </c>
      <c r="I138" s="42">
        <v>0</v>
      </c>
      <c r="K138" s="42">
        <v>9458678</v>
      </c>
      <c r="M138" s="42">
        <v>6848</v>
      </c>
      <c r="O138" s="42">
        <f>810069+27450+56952</f>
        <v>894471</v>
      </c>
      <c r="Q138" s="42">
        <v>33108</v>
      </c>
      <c r="S138" s="42">
        <v>0</v>
      </c>
      <c r="U138" s="42">
        <v>0</v>
      </c>
      <c r="W138" s="42">
        <v>14261</v>
      </c>
      <c r="Y138" s="2">
        <f t="shared" si="28"/>
        <v>15046792</v>
      </c>
      <c r="AA138" s="42">
        <v>0</v>
      </c>
      <c r="AC138" s="42">
        <v>0</v>
      </c>
      <c r="AE138" s="42">
        <v>0</v>
      </c>
      <c r="AG138" s="42">
        <v>60868</v>
      </c>
      <c r="AI138" s="42">
        <v>0</v>
      </c>
      <c r="AK138" s="42">
        <f>SUM(AA138:AJ138)</f>
        <v>60868</v>
      </c>
      <c r="AM138" s="42">
        <f t="shared" si="30"/>
        <v>15107660</v>
      </c>
    </row>
    <row r="139" spans="1:39">
      <c r="A139" s="9" t="s">
        <v>599</v>
      </c>
      <c r="B139" s="9"/>
      <c r="C139" s="9" t="s">
        <v>63</v>
      </c>
      <c r="D139" s="9"/>
      <c r="E139" s="23">
        <v>49999</v>
      </c>
      <c r="F139" s="7"/>
      <c r="G139" s="42">
        <v>8942243</v>
      </c>
      <c r="I139" s="42">
        <v>0</v>
      </c>
      <c r="K139" s="42">
        <v>4845797</v>
      </c>
      <c r="M139" s="42">
        <v>0</v>
      </c>
      <c r="O139" s="42">
        <f>5289117+33025+26792</f>
        <v>5348934</v>
      </c>
      <c r="Q139" s="42">
        <v>104180</v>
      </c>
      <c r="S139" s="42">
        <v>0</v>
      </c>
      <c r="U139" s="42">
        <v>600</v>
      </c>
      <c r="W139" s="42">
        <v>163271</v>
      </c>
      <c r="Y139" s="2">
        <f t="shared" si="28"/>
        <v>19405025</v>
      </c>
      <c r="AA139" s="42">
        <v>0</v>
      </c>
      <c r="AC139" s="42">
        <v>0</v>
      </c>
      <c r="AE139" s="42">
        <v>215000</v>
      </c>
      <c r="AG139" s="42">
        <v>0</v>
      </c>
      <c r="AI139" s="42">
        <v>0</v>
      </c>
      <c r="AK139" s="42">
        <f t="shared" si="29"/>
        <v>215000</v>
      </c>
      <c r="AM139" s="42">
        <f t="shared" si="30"/>
        <v>19620025</v>
      </c>
    </row>
    <row r="140" spans="1:39">
      <c r="A140" s="9" t="s">
        <v>752</v>
      </c>
      <c r="B140" s="9"/>
      <c r="C140" s="9" t="s">
        <v>48</v>
      </c>
      <c r="D140" s="9"/>
      <c r="E140" s="23">
        <v>45336</v>
      </c>
      <c r="G140" s="42">
        <v>1682694</v>
      </c>
      <c r="I140" s="42">
        <v>1802177</v>
      </c>
      <c r="K140" s="42">
        <f>3395855+158</f>
        <v>3396013</v>
      </c>
      <c r="M140" s="42">
        <v>3453</v>
      </c>
      <c r="O140" s="42">
        <f>658194+38085+5827</f>
        <v>702106</v>
      </c>
      <c r="Q140" s="42">
        <v>37660</v>
      </c>
      <c r="S140" s="42">
        <v>0</v>
      </c>
      <c r="U140" s="42">
        <v>29106</v>
      </c>
      <c r="W140" s="42">
        <v>13318</v>
      </c>
      <c r="Y140" s="2">
        <f t="shared" si="28"/>
        <v>7666527</v>
      </c>
      <c r="AA140" s="42">
        <v>0</v>
      </c>
      <c r="AC140" s="42">
        <v>0</v>
      </c>
      <c r="AE140" s="42">
        <v>0</v>
      </c>
      <c r="AG140" s="42">
        <v>7452</v>
      </c>
      <c r="AI140" s="42">
        <v>0</v>
      </c>
      <c r="AK140" s="42">
        <f t="shared" si="29"/>
        <v>7452</v>
      </c>
      <c r="AM140" s="42">
        <f t="shared" si="30"/>
        <v>7673979</v>
      </c>
    </row>
    <row r="141" spans="1:39" hidden="1">
      <c r="A141" s="9" t="s">
        <v>825</v>
      </c>
      <c r="B141" s="9"/>
      <c r="C141" s="9" t="s">
        <v>110</v>
      </c>
      <c r="D141" s="9"/>
      <c r="E141" s="23">
        <v>45344</v>
      </c>
      <c r="G141" s="42">
        <v>0</v>
      </c>
      <c r="I141" s="42">
        <v>0</v>
      </c>
      <c r="K141" s="42">
        <v>0</v>
      </c>
      <c r="M141" s="42">
        <v>0</v>
      </c>
      <c r="O141" s="42">
        <v>0</v>
      </c>
      <c r="Q141" s="42">
        <v>0</v>
      </c>
      <c r="S141" s="42">
        <v>0</v>
      </c>
      <c r="U141" s="42">
        <v>0</v>
      </c>
      <c r="W141" s="42">
        <v>0</v>
      </c>
      <c r="Y141" s="2">
        <f t="shared" si="28"/>
        <v>0</v>
      </c>
      <c r="AA141" s="42">
        <v>0</v>
      </c>
      <c r="AC141" s="42">
        <v>0</v>
      </c>
      <c r="AE141" s="42">
        <v>0</v>
      </c>
      <c r="AG141" s="42">
        <v>0</v>
      </c>
      <c r="AI141" s="42">
        <v>0</v>
      </c>
      <c r="AK141" s="42">
        <f t="shared" si="29"/>
        <v>0</v>
      </c>
      <c r="AM141" s="42">
        <f t="shared" si="30"/>
        <v>0</v>
      </c>
    </row>
    <row r="142" spans="1:39">
      <c r="A142" s="9" t="s">
        <v>245</v>
      </c>
      <c r="B142" s="9"/>
      <c r="C142" s="9" t="s">
        <v>111</v>
      </c>
      <c r="D142" s="9"/>
      <c r="E142" s="23">
        <v>46433</v>
      </c>
      <c r="F142" s="7"/>
      <c r="G142" s="42">
        <v>1927243</v>
      </c>
      <c r="I142" s="42">
        <v>1225604</v>
      </c>
      <c r="K142" s="42">
        <v>4780952</v>
      </c>
      <c r="M142" s="42">
        <v>16119</v>
      </c>
      <c r="O142" s="42">
        <f>2630396+2153</f>
        <v>2632549</v>
      </c>
      <c r="Q142" s="42">
        <v>71302</v>
      </c>
      <c r="S142" s="42">
        <v>0</v>
      </c>
      <c r="U142" s="42">
        <v>3137</v>
      </c>
      <c r="W142" s="42">
        <v>60576</v>
      </c>
      <c r="Y142" s="2">
        <f t="shared" si="28"/>
        <v>10717482</v>
      </c>
      <c r="AA142" s="42">
        <v>0</v>
      </c>
      <c r="AC142" s="42">
        <v>0</v>
      </c>
      <c r="AE142" s="42">
        <v>0</v>
      </c>
      <c r="AG142" s="42">
        <v>0</v>
      </c>
      <c r="AI142" s="42">
        <v>0</v>
      </c>
      <c r="AK142" s="42">
        <f t="shared" si="29"/>
        <v>0</v>
      </c>
      <c r="AM142" s="42">
        <f t="shared" si="30"/>
        <v>10717482</v>
      </c>
    </row>
    <row r="143" spans="1:39">
      <c r="A143" s="9" t="s">
        <v>245</v>
      </c>
      <c r="B143" s="9"/>
      <c r="C143" s="9" t="s">
        <v>109</v>
      </c>
      <c r="D143" s="9"/>
      <c r="E143" s="23">
        <v>49429</v>
      </c>
      <c r="G143" s="42">
        <v>2441794</v>
      </c>
      <c r="I143" s="42">
        <v>0</v>
      </c>
      <c r="K143" s="42">
        <v>7443009</v>
      </c>
      <c r="M143" s="42">
        <v>42722</v>
      </c>
      <c r="O143" s="42">
        <f>94943+37218+2121</f>
        <v>134282</v>
      </c>
      <c r="Q143" s="42">
        <v>15334</v>
      </c>
      <c r="S143" s="42">
        <v>0</v>
      </c>
      <c r="U143" s="42">
        <v>5328</v>
      </c>
      <c r="W143" s="42">
        <f>81000+114147</f>
        <v>195147</v>
      </c>
      <c r="Y143" s="2">
        <f t="shared" si="28"/>
        <v>10277616</v>
      </c>
      <c r="AA143" s="42">
        <v>0</v>
      </c>
      <c r="AC143" s="42">
        <v>0</v>
      </c>
      <c r="AE143" s="42">
        <v>0</v>
      </c>
      <c r="AG143" s="42">
        <v>0</v>
      </c>
      <c r="AI143" s="42">
        <v>0</v>
      </c>
      <c r="AK143" s="42">
        <f t="shared" si="29"/>
        <v>0</v>
      </c>
      <c r="AM143" s="42">
        <f t="shared" si="30"/>
        <v>10277616</v>
      </c>
    </row>
    <row r="144" spans="1:39" hidden="1">
      <c r="A144" s="9" t="s">
        <v>650</v>
      </c>
      <c r="B144" s="9"/>
      <c r="C144" s="9" t="s">
        <v>67</v>
      </c>
      <c r="D144" s="9"/>
      <c r="E144" s="23">
        <v>50351</v>
      </c>
      <c r="G144" s="42">
        <v>0</v>
      </c>
      <c r="I144" s="42">
        <v>0</v>
      </c>
      <c r="K144" s="42">
        <v>0</v>
      </c>
      <c r="M144" s="42">
        <v>0</v>
      </c>
      <c r="O144" s="42">
        <v>0</v>
      </c>
      <c r="Q144" s="42">
        <v>0</v>
      </c>
      <c r="S144" s="42">
        <v>0</v>
      </c>
      <c r="U144" s="42">
        <v>0</v>
      </c>
      <c r="W144" s="42">
        <v>0</v>
      </c>
      <c r="Y144" s="2">
        <f t="shared" si="28"/>
        <v>0</v>
      </c>
      <c r="AA144" s="42">
        <v>0</v>
      </c>
      <c r="AC144" s="42">
        <v>0</v>
      </c>
      <c r="AE144" s="42">
        <v>0</v>
      </c>
      <c r="AG144" s="42">
        <v>0</v>
      </c>
      <c r="AI144" s="42">
        <v>0</v>
      </c>
      <c r="AM144" s="42">
        <f t="shared" si="30"/>
        <v>0</v>
      </c>
    </row>
    <row r="145" spans="1:39">
      <c r="A145" s="9" t="s">
        <v>712</v>
      </c>
      <c r="B145" s="9"/>
      <c r="C145" s="9" t="s">
        <v>56</v>
      </c>
      <c r="D145" s="9"/>
      <c r="E145" s="23">
        <v>49189</v>
      </c>
      <c r="G145" s="42">
        <v>6356009</v>
      </c>
      <c r="I145" s="42">
        <v>0</v>
      </c>
      <c r="K145" s="42">
        <v>11559135</v>
      </c>
      <c r="M145" s="42">
        <v>-8432</v>
      </c>
      <c r="O145" s="42">
        <f>1206314+8160+246</f>
        <v>1214720</v>
      </c>
      <c r="Q145" s="42">
        <v>156398</v>
      </c>
      <c r="S145" s="42">
        <v>0</v>
      </c>
      <c r="U145" s="42">
        <v>35669</v>
      </c>
      <c r="W145" s="42">
        <v>226406</v>
      </c>
      <c r="Y145" s="2">
        <f t="shared" si="28"/>
        <v>19539905</v>
      </c>
      <c r="AA145" s="42">
        <v>0</v>
      </c>
      <c r="AC145" s="42">
        <v>0</v>
      </c>
      <c r="AE145" s="42">
        <v>0</v>
      </c>
      <c r="AG145" s="42">
        <v>1821</v>
      </c>
      <c r="AI145" s="42">
        <v>0</v>
      </c>
      <c r="AK145" s="42">
        <f t="shared" si="29"/>
        <v>1821</v>
      </c>
      <c r="AM145" s="42">
        <f t="shared" si="30"/>
        <v>19541726</v>
      </c>
    </row>
    <row r="146" spans="1:39">
      <c r="A146" s="9" t="s">
        <v>753</v>
      </c>
      <c r="B146" s="9"/>
      <c r="C146" s="9" t="s">
        <v>448</v>
      </c>
      <c r="D146" s="9"/>
      <c r="E146" s="23">
        <v>45351</v>
      </c>
      <c r="G146" s="42">
        <v>1493175</v>
      </c>
      <c r="I146" s="42">
        <v>0</v>
      </c>
      <c r="K146" s="42">
        <f>7135155+18817</f>
        <v>7153972</v>
      </c>
      <c r="M146" s="42">
        <v>7922</v>
      </c>
      <c r="O146" s="42">
        <f>834176+165</f>
        <v>834341</v>
      </c>
      <c r="Q146" s="42">
        <v>17461</v>
      </c>
      <c r="S146" s="42">
        <v>0</v>
      </c>
      <c r="U146" s="42">
        <v>0</v>
      </c>
      <c r="W146" s="42">
        <v>137137</v>
      </c>
      <c r="Y146" s="2">
        <f t="shared" si="28"/>
        <v>9644008</v>
      </c>
      <c r="AA146" s="42">
        <v>192986</v>
      </c>
      <c r="AC146" s="42">
        <v>0</v>
      </c>
      <c r="AE146" s="42">
        <v>0</v>
      </c>
      <c r="AG146" s="42">
        <v>0</v>
      </c>
      <c r="AI146" s="42">
        <v>0</v>
      </c>
      <c r="AK146" s="42">
        <f t="shared" si="29"/>
        <v>192986</v>
      </c>
      <c r="AM146" s="42">
        <f t="shared" si="30"/>
        <v>9836994</v>
      </c>
    </row>
    <row r="147" spans="1:39">
      <c r="A147" s="9" t="s">
        <v>651</v>
      </c>
      <c r="B147" s="9"/>
      <c r="C147" s="9" t="s">
        <v>63</v>
      </c>
      <c r="D147" s="9"/>
      <c r="E147" s="23">
        <v>43836</v>
      </c>
      <c r="G147" s="42">
        <v>26014304</v>
      </c>
      <c r="I147" s="42">
        <v>0</v>
      </c>
      <c r="K147" s="42">
        <f>15829319+101843</f>
        <v>15931162</v>
      </c>
      <c r="M147" s="42">
        <v>5136</v>
      </c>
      <c r="O147" s="42">
        <f>3279618+22929+113814</f>
        <v>3416361</v>
      </c>
      <c r="Q147" s="42">
        <v>188568</v>
      </c>
      <c r="S147" s="42">
        <v>0</v>
      </c>
      <c r="U147" s="42">
        <v>0</v>
      </c>
      <c r="W147" s="42">
        <f>18893+368670</f>
        <v>387563</v>
      </c>
      <c r="Y147" s="2">
        <f t="shared" si="28"/>
        <v>45943094</v>
      </c>
      <c r="AA147" s="42">
        <v>0</v>
      </c>
      <c r="AC147" s="42">
        <v>0</v>
      </c>
      <c r="AE147" s="42">
        <v>0</v>
      </c>
      <c r="AG147" s="42">
        <f>12100+163562</f>
        <v>175662</v>
      </c>
      <c r="AI147" s="42">
        <v>0</v>
      </c>
      <c r="AK147" s="42">
        <f t="shared" si="29"/>
        <v>175662</v>
      </c>
      <c r="AM147" s="42">
        <f t="shared" ref="AM147:AM180" si="31">+AK147+Y147</f>
        <v>46118756</v>
      </c>
    </row>
    <row r="148" spans="1:39">
      <c r="A148" s="9" t="s">
        <v>713</v>
      </c>
      <c r="B148" s="9"/>
      <c r="C148" s="9" t="s">
        <v>20</v>
      </c>
      <c r="D148" s="9"/>
      <c r="E148" s="23">
        <v>46557</v>
      </c>
      <c r="G148" s="42">
        <v>8547325</v>
      </c>
      <c r="I148" s="42">
        <v>0</v>
      </c>
      <c r="K148" s="42">
        <v>4309649</v>
      </c>
      <c r="M148" s="42">
        <v>1818</v>
      </c>
      <c r="O148" s="42">
        <f>480120+136881+2647</f>
        <v>619648</v>
      </c>
      <c r="Q148" s="42">
        <v>37057</v>
      </c>
      <c r="S148" s="42">
        <v>0</v>
      </c>
      <c r="U148" s="42">
        <v>19954</v>
      </c>
      <c r="W148" s="42">
        <v>80400</v>
      </c>
      <c r="Y148" s="2">
        <f t="shared" si="28"/>
        <v>13615851</v>
      </c>
      <c r="AA148" s="42">
        <v>0</v>
      </c>
      <c r="AC148" s="42">
        <v>0</v>
      </c>
      <c r="AE148" s="42">
        <v>0</v>
      </c>
      <c r="AG148" s="42">
        <v>0</v>
      </c>
      <c r="AI148" s="42">
        <v>308598</v>
      </c>
      <c r="AK148" s="42">
        <f t="shared" si="29"/>
        <v>308598</v>
      </c>
      <c r="AM148" s="42">
        <f t="shared" si="31"/>
        <v>13924449</v>
      </c>
    </row>
    <row r="149" spans="1:39">
      <c r="A149" s="9" t="s">
        <v>604</v>
      </c>
      <c r="B149" s="9"/>
      <c r="C149" s="9" t="s">
        <v>71</v>
      </c>
      <c r="D149" s="9"/>
      <c r="E149" s="23">
        <v>50542</v>
      </c>
      <c r="G149" s="42">
        <v>2698306</v>
      </c>
      <c r="I149" s="42">
        <v>1162899</v>
      </c>
      <c r="K149" s="42">
        <f>10894+3536639+6314</f>
        <v>3553847</v>
      </c>
      <c r="M149" s="42">
        <v>1909</v>
      </c>
      <c r="O149" s="42">
        <f>445605+3613+1608</f>
        <v>450826</v>
      </c>
      <c r="Q149" s="42">
        <v>88124</v>
      </c>
      <c r="S149" s="42">
        <v>0</v>
      </c>
      <c r="U149" s="42">
        <v>1200</v>
      </c>
      <c r="W149" s="42">
        <v>38258</v>
      </c>
      <c r="Y149" s="2">
        <f t="shared" si="28"/>
        <v>7995369</v>
      </c>
      <c r="AA149" s="42">
        <v>0</v>
      </c>
      <c r="AC149" s="42">
        <v>0</v>
      </c>
      <c r="AE149" s="42">
        <v>0</v>
      </c>
      <c r="AG149" s="42">
        <v>0</v>
      </c>
      <c r="AI149" s="42">
        <v>0</v>
      </c>
      <c r="AK149" s="42">
        <f t="shared" si="29"/>
        <v>0</v>
      </c>
      <c r="AM149" s="42">
        <f t="shared" si="31"/>
        <v>7995369</v>
      </c>
    </row>
    <row r="150" spans="1:39" hidden="1">
      <c r="A150" s="9" t="s">
        <v>735</v>
      </c>
      <c r="B150" s="9"/>
      <c r="C150" s="9" t="s">
        <v>53</v>
      </c>
      <c r="D150" s="9"/>
      <c r="E150" s="23">
        <v>48934</v>
      </c>
      <c r="G150" s="42">
        <v>0</v>
      </c>
      <c r="I150" s="42">
        <v>0</v>
      </c>
      <c r="K150" s="42">
        <v>0</v>
      </c>
      <c r="M150" s="42">
        <v>0</v>
      </c>
      <c r="O150" s="42">
        <v>0</v>
      </c>
      <c r="Q150" s="42">
        <v>0</v>
      </c>
      <c r="S150" s="42">
        <v>0</v>
      </c>
      <c r="U150" s="42">
        <v>0</v>
      </c>
      <c r="W150" s="42">
        <v>0</v>
      </c>
      <c r="Y150" s="2">
        <f t="shared" si="28"/>
        <v>0</v>
      </c>
      <c r="AA150" s="42">
        <v>0</v>
      </c>
      <c r="AC150" s="42">
        <v>0</v>
      </c>
      <c r="AE150" s="42">
        <v>0</v>
      </c>
      <c r="AG150" s="42">
        <v>0</v>
      </c>
      <c r="AI150" s="42">
        <v>0</v>
      </c>
      <c r="AK150" s="42">
        <f t="shared" si="29"/>
        <v>0</v>
      </c>
      <c r="AM150" s="42">
        <f t="shared" si="31"/>
        <v>0</v>
      </c>
    </row>
    <row r="151" spans="1:39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v>0</v>
      </c>
      <c r="I151" s="42">
        <v>0</v>
      </c>
      <c r="K151" s="42">
        <v>0</v>
      </c>
      <c r="M151" s="42">
        <v>0</v>
      </c>
      <c r="O151" s="42">
        <v>0</v>
      </c>
      <c r="Q151" s="42">
        <v>0</v>
      </c>
      <c r="S151" s="42">
        <v>0</v>
      </c>
      <c r="U151" s="42">
        <v>0</v>
      </c>
      <c r="W151" s="42">
        <v>0</v>
      </c>
      <c r="Y151" s="2">
        <f t="shared" si="28"/>
        <v>0</v>
      </c>
      <c r="AA151" s="42">
        <v>0</v>
      </c>
      <c r="AC151" s="42">
        <v>0</v>
      </c>
      <c r="AE151" s="42">
        <v>0</v>
      </c>
      <c r="AG151" s="42">
        <v>0</v>
      </c>
      <c r="AI151" s="42">
        <v>0</v>
      </c>
      <c r="AK151" s="42">
        <f t="shared" si="29"/>
        <v>0</v>
      </c>
      <c r="AM151" s="42">
        <f t="shared" si="31"/>
        <v>0</v>
      </c>
    </row>
    <row r="152" spans="1:39">
      <c r="A152" s="9" t="s">
        <v>365</v>
      </c>
      <c r="B152" s="9"/>
      <c r="C152" s="9" t="s">
        <v>364</v>
      </c>
      <c r="D152" s="9"/>
      <c r="E152" s="23">
        <v>47928</v>
      </c>
      <c r="G152" s="42">
        <v>1204387</v>
      </c>
      <c r="I152" s="42">
        <v>0</v>
      </c>
      <c r="K152" s="42">
        <v>8550342</v>
      </c>
      <c r="M152" s="42">
        <v>10318</v>
      </c>
      <c r="O152" s="42">
        <f>1220242+5930</f>
        <v>1226172</v>
      </c>
      <c r="Q152" s="42">
        <v>55784</v>
      </c>
      <c r="S152" s="42">
        <v>0</v>
      </c>
      <c r="U152" s="42">
        <v>85576</v>
      </c>
      <c r="W152" s="42">
        <v>43724</v>
      </c>
      <c r="Y152" s="2">
        <f t="shared" si="28"/>
        <v>11176303</v>
      </c>
      <c r="AA152" s="42">
        <v>0</v>
      </c>
      <c r="AC152" s="42">
        <v>0</v>
      </c>
      <c r="AE152" s="42">
        <v>0</v>
      </c>
      <c r="AG152" s="42">
        <v>0</v>
      </c>
      <c r="AI152" s="42">
        <v>0</v>
      </c>
      <c r="AK152" s="42">
        <f t="shared" si="29"/>
        <v>0</v>
      </c>
      <c r="AM152" s="42">
        <f t="shared" si="31"/>
        <v>11176303</v>
      </c>
    </row>
    <row r="153" spans="1:39">
      <c r="A153" s="9" t="s">
        <v>426</v>
      </c>
      <c r="B153" s="9"/>
      <c r="C153" s="9" t="s">
        <v>50</v>
      </c>
      <c r="D153" s="9"/>
      <c r="E153" s="23">
        <v>43844</v>
      </c>
      <c r="G153" s="42">
        <v>53833821</v>
      </c>
      <c r="I153" s="42">
        <v>0</v>
      </c>
      <c r="K153" s="42">
        <v>151035562</v>
      </c>
      <c r="M153" s="42">
        <v>227499</v>
      </c>
      <c r="O153" s="42">
        <f>1164624+495021</f>
        <v>1659645</v>
      </c>
      <c r="Q153" s="42">
        <v>193161</v>
      </c>
      <c r="S153" s="42">
        <v>0</v>
      </c>
      <c r="U153" s="42">
        <v>7245</v>
      </c>
      <c r="W153" s="42">
        <f>128034+620717</f>
        <v>748751</v>
      </c>
      <c r="Y153" s="2">
        <f t="shared" si="28"/>
        <v>207705684</v>
      </c>
      <c r="AA153" s="42">
        <v>0</v>
      </c>
      <c r="AC153" s="42">
        <v>0</v>
      </c>
      <c r="AE153" s="42">
        <v>0</v>
      </c>
      <c r="AG153" s="42">
        <v>0</v>
      </c>
      <c r="AI153" s="42">
        <v>0</v>
      </c>
      <c r="AK153" s="42">
        <f t="shared" si="29"/>
        <v>0</v>
      </c>
      <c r="AM153" s="42">
        <f t="shared" si="31"/>
        <v>207705684</v>
      </c>
    </row>
    <row r="154" spans="1:39">
      <c r="A154" s="9" t="s">
        <v>877</v>
      </c>
      <c r="B154" s="9"/>
      <c r="C154" s="9" t="s">
        <v>32</v>
      </c>
      <c r="D154" s="9"/>
      <c r="E154" s="23">
        <v>43851</v>
      </c>
      <c r="G154" s="42">
        <v>7798709</v>
      </c>
      <c r="I154" s="42">
        <v>0</v>
      </c>
      <c r="K154" s="42">
        <v>4332778</v>
      </c>
      <c r="M154" s="42">
        <v>14033</v>
      </c>
      <c r="O154" s="42">
        <f>149686+24823</f>
        <v>174509</v>
      </c>
      <c r="Q154" s="42">
        <v>47250</v>
      </c>
      <c r="S154" s="42">
        <v>396642</v>
      </c>
      <c r="U154" s="42">
        <v>0</v>
      </c>
      <c r="W154" s="42">
        <v>189744</v>
      </c>
      <c r="Y154" s="2">
        <f t="shared" si="28"/>
        <v>12953665</v>
      </c>
      <c r="AA154" s="42">
        <v>0</v>
      </c>
      <c r="AC154" s="42">
        <v>0</v>
      </c>
      <c r="AE154" s="42">
        <v>0</v>
      </c>
      <c r="AG154" s="42">
        <v>0</v>
      </c>
      <c r="AI154" s="42">
        <v>0</v>
      </c>
      <c r="AK154" s="42">
        <f t="shared" si="29"/>
        <v>0</v>
      </c>
      <c r="AM154" s="42">
        <f t="shared" si="31"/>
        <v>12953665</v>
      </c>
    </row>
    <row r="155" spans="1:39" hidden="1">
      <c r="A155" s="9" t="s">
        <v>653</v>
      </c>
      <c r="B155" s="9"/>
      <c r="C155" s="9" t="s">
        <v>22</v>
      </c>
      <c r="D155" s="9"/>
      <c r="E155" s="23">
        <v>43869</v>
      </c>
      <c r="G155" s="42">
        <v>0</v>
      </c>
      <c r="I155" s="42">
        <v>0</v>
      </c>
      <c r="K155" s="42">
        <v>0</v>
      </c>
      <c r="M155" s="42">
        <v>0</v>
      </c>
      <c r="O155" s="42">
        <v>0</v>
      </c>
      <c r="Q155" s="42">
        <v>0</v>
      </c>
      <c r="S155" s="42">
        <v>0</v>
      </c>
      <c r="U155" s="42">
        <v>0</v>
      </c>
      <c r="W155" s="42">
        <v>0</v>
      </c>
      <c r="Y155" s="2">
        <f t="shared" si="28"/>
        <v>0</v>
      </c>
      <c r="AA155" s="42">
        <v>0</v>
      </c>
      <c r="AC155" s="42">
        <v>0</v>
      </c>
      <c r="AE155" s="42">
        <v>0</v>
      </c>
      <c r="AG155" s="42">
        <v>0</v>
      </c>
      <c r="AI155" s="42">
        <v>0</v>
      </c>
      <c r="AK155" s="42">
        <f t="shared" si="29"/>
        <v>0</v>
      </c>
      <c r="AM155" s="42">
        <f t="shared" si="31"/>
        <v>0</v>
      </c>
    </row>
    <row r="156" spans="1:39">
      <c r="A156" s="9" t="s">
        <v>736</v>
      </c>
      <c r="B156" s="9"/>
      <c r="C156" s="9" t="s">
        <v>23</v>
      </c>
      <c r="D156" s="9"/>
      <c r="E156" s="23">
        <v>43877</v>
      </c>
      <c r="G156" s="42">
        <v>30176123</v>
      </c>
      <c r="I156" s="42">
        <v>0</v>
      </c>
      <c r="K156" s="42">
        <v>17292966</v>
      </c>
      <c r="M156" s="42">
        <v>111413</v>
      </c>
      <c r="O156" s="42">
        <f>1521079+90891</f>
        <v>1611970</v>
      </c>
      <c r="Q156" s="42">
        <v>128267</v>
      </c>
      <c r="S156" s="42">
        <v>0</v>
      </c>
      <c r="U156" s="42">
        <v>91274</v>
      </c>
      <c r="W156" s="42">
        <f>23661+722026</f>
        <v>745687</v>
      </c>
      <c r="Y156" s="2">
        <f t="shared" si="28"/>
        <v>50157700</v>
      </c>
      <c r="AA156" s="42">
        <v>0</v>
      </c>
      <c r="AC156" s="42">
        <v>0</v>
      </c>
      <c r="AE156" s="42">
        <v>0</v>
      </c>
      <c r="AG156" s="42">
        <v>0</v>
      </c>
      <c r="AI156" s="42">
        <v>0</v>
      </c>
      <c r="AM156" s="42">
        <f t="shared" si="31"/>
        <v>50157700</v>
      </c>
    </row>
    <row r="157" spans="1:39">
      <c r="A157" s="9" t="s">
        <v>200</v>
      </c>
      <c r="B157" s="9"/>
      <c r="C157" s="9" t="s">
        <v>10</v>
      </c>
      <c r="D157" s="9"/>
      <c r="E157" s="23">
        <v>43885</v>
      </c>
      <c r="F157" s="7"/>
      <c r="G157" s="42">
        <v>3898420</v>
      </c>
      <c r="I157" s="42">
        <v>0</v>
      </c>
      <c r="K157" s="42">
        <v>4061579</v>
      </c>
      <c r="M157" s="42">
        <v>10922</v>
      </c>
      <c r="O157" s="42">
        <f>668074+1688</f>
        <v>669762</v>
      </c>
      <c r="Q157" s="42">
        <v>77425</v>
      </c>
      <c r="S157" s="42">
        <v>38562</v>
      </c>
      <c r="U157" s="42">
        <v>11198</v>
      </c>
      <c r="W157" s="42">
        <v>77182</v>
      </c>
      <c r="Y157" s="2">
        <f t="shared" si="28"/>
        <v>8845050</v>
      </c>
      <c r="AA157" s="42">
        <v>0</v>
      </c>
      <c r="AC157" s="42">
        <v>0</v>
      </c>
      <c r="AE157" s="42">
        <v>0</v>
      </c>
      <c r="AG157" s="42">
        <v>0</v>
      </c>
      <c r="AI157" s="42">
        <v>0</v>
      </c>
      <c r="AK157" s="42">
        <f t="shared" ref="AK157:AK204" si="32">SUM(AA157:AJ157)</f>
        <v>0</v>
      </c>
      <c r="AM157" s="42">
        <f t="shared" si="31"/>
        <v>8845050</v>
      </c>
    </row>
    <row r="158" spans="1:39">
      <c r="A158" s="9" t="s">
        <v>530</v>
      </c>
      <c r="B158" s="9"/>
      <c r="C158" s="9" t="s">
        <v>65</v>
      </c>
      <c r="D158" s="9"/>
      <c r="E158" s="23">
        <v>43893</v>
      </c>
      <c r="G158" s="42">
        <v>11168679</v>
      </c>
      <c r="I158" s="42">
        <v>0</v>
      </c>
      <c r="K158" s="42">
        <v>9172124</v>
      </c>
      <c r="M158" s="42">
        <v>4242</v>
      </c>
      <c r="O158" s="42">
        <v>156235</v>
      </c>
      <c r="Q158" s="42">
        <v>179168</v>
      </c>
      <c r="S158" s="42">
        <v>0</v>
      </c>
      <c r="U158" s="42">
        <v>28900</v>
      </c>
      <c r="W158" s="42">
        <v>98891</v>
      </c>
      <c r="Y158" s="2">
        <f t="shared" si="28"/>
        <v>20808239</v>
      </c>
      <c r="AA158" s="42">
        <v>0</v>
      </c>
      <c r="AC158" s="42">
        <v>0</v>
      </c>
      <c r="AE158" s="42">
        <v>0</v>
      </c>
      <c r="AG158" s="42">
        <v>0</v>
      </c>
      <c r="AI158" s="42">
        <v>0</v>
      </c>
      <c r="AK158" s="42">
        <f t="shared" si="32"/>
        <v>0</v>
      </c>
      <c r="AM158" s="42">
        <f t="shared" si="31"/>
        <v>20808239</v>
      </c>
    </row>
    <row r="159" spans="1:39">
      <c r="A159" s="9" t="s">
        <v>300</v>
      </c>
      <c r="B159" s="9"/>
      <c r="C159" s="9" t="s">
        <v>27</v>
      </c>
      <c r="D159" s="9"/>
      <c r="E159" s="23">
        <v>47027</v>
      </c>
      <c r="G159" s="42">
        <v>136752953</v>
      </c>
      <c r="I159" s="42">
        <v>0</v>
      </c>
      <c r="K159" s="42">
        <v>30279202</v>
      </c>
      <c r="M159" s="42">
        <v>282593</v>
      </c>
      <c r="O159" s="42">
        <v>542205</v>
      </c>
      <c r="Q159" s="42">
        <v>0</v>
      </c>
      <c r="S159" s="42">
        <v>0</v>
      </c>
      <c r="U159" s="42">
        <v>0</v>
      </c>
      <c r="W159" s="42">
        <f>914504+1179</f>
        <v>915683</v>
      </c>
      <c r="Y159" s="2">
        <f t="shared" si="28"/>
        <v>168772636</v>
      </c>
      <c r="AA159" s="42">
        <v>0</v>
      </c>
      <c r="AC159" s="42">
        <v>0</v>
      </c>
      <c r="AE159" s="42">
        <v>0</v>
      </c>
      <c r="AG159" s="42">
        <v>0</v>
      </c>
      <c r="AI159" s="42">
        <v>0</v>
      </c>
      <c r="AK159" s="42">
        <f t="shared" si="32"/>
        <v>0</v>
      </c>
      <c r="AM159" s="42">
        <f t="shared" si="31"/>
        <v>168772636</v>
      </c>
    </row>
    <row r="160" spans="1:39">
      <c r="A160" s="9" t="s">
        <v>264</v>
      </c>
      <c r="B160" s="9"/>
      <c r="C160" s="9" t="s">
        <v>20</v>
      </c>
      <c r="D160" s="9"/>
      <c r="E160" s="23">
        <v>43901</v>
      </c>
      <c r="G160" s="42">
        <v>7025948</v>
      </c>
      <c r="I160" s="42">
        <v>0</v>
      </c>
      <c r="K160" s="42">
        <v>33862243</v>
      </c>
      <c r="M160" s="42">
        <v>173963</v>
      </c>
      <c r="O160" s="42">
        <f>3316884+750</f>
        <v>3317634</v>
      </c>
      <c r="Q160" s="42">
        <v>17632</v>
      </c>
      <c r="S160" s="42">
        <v>0</v>
      </c>
      <c r="U160" s="42">
        <v>8655</v>
      </c>
      <c r="W160" s="42">
        <v>536108</v>
      </c>
      <c r="Y160" s="2">
        <f t="shared" si="28"/>
        <v>44942183</v>
      </c>
      <c r="AA160" s="42">
        <v>0</v>
      </c>
      <c r="AC160" s="42">
        <v>0</v>
      </c>
      <c r="AE160" s="42">
        <v>0</v>
      </c>
      <c r="AG160" s="42">
        <v>0</v>
      </c>
      <c r="AI160" s="42">
        <v>0</v>
      </c>
      <c r="AK160" s="42">
        <f t="shared" si="32"/>
        <v>0</v>
      </c>
      <c r="AM160" s="42">
        <f t="shared" si="31"/>
        <v>44942183</v>
      </c>
    </row>
    <row r="161" spans="1:39">
      <c r="A161" s="9" t="s">
        <v>242</v>
      </c>
      <c r="B161" s="9"/>
      <c r="C161" s="9" t="s">
        <v>18</v>
      </c>
      <c r="D161" s="9"/>
      <c r="E161" s="23">
        <v>46409</v>
      </c>
      <c r="F161" s="7"/>
      <c r="G161" s="42">
        <v>2569416</v>
      </c>
      <c r="I161" s="42">
        <v>0</v>
      </c>
      <c r="K161" s="42">
        <v>8573014</v>
      </c>
      <c r="M161" s="42">
        <v>36378</v>
      </c>
      <c r="O161" s="42">
        <f>838850+2850</f>
        <v>841700</v>
      </c>
      <c r="Q161" s="42">
        <v>0</v>
      </c>
      <c r="S161" s="42">
        <v>0</v>
      </c>
      <c r="U161" s="42">
        <v>0</v>
      </c>
      <c r="W161" s="42">
        <v>95922</v>
      </c>
      <c r="Y161" s="2">
        <f t="shared" si="28"/>
        <v>12116430</v>
      </c>
      <c r="AA161" s="42">
        <v>0</v>
      </c>
      <c r="AC161" s="42">
        <v>0</v>
      </c>
      <c r="AE161" s="42">
        <v>0</v>
      </c>
      <c r="AG161" s="42">
        <v>27681</v>
      </c>
      <c r="AI161" s="42">
        <v>0</v>
      </c>
      <c r="AK161" s="42">
        <f t="shared" si="32"/>
        <v>27681</v>
      </c>
      <c r="AM161" s="42">
        <f t="shared" si="31"/>
        <v>12144111</v>
      </c>
    </row>
    <row r="162" spans="1:39">
      <c r="A162" s="9" t="s">
        <v>318</v>
      </c>
      <c r="B162" s="9"/>
      <c r="C162" s="9" t="s">
        <v>31</v>
      </c>
      <c r="D162" s="9"/>
      <c r="E162" s="23">
        <v>69682</v>
      </c>
      <c r="G162" s="42">
        <v>2275067</v>
      </c>
      <c r="I162" s="42">
        <v>0</v>
      </c>
      <c r="K162" s="42">
        <v>6484657</v>
      </c>
      <c r="M162" s="42">
        <v>6259</v>
      </c>
      <c r="O162" s="42">
        <f>1026048+39034</f>
        <v>1065082</v>
      </c>
      <c r="Q162" s="42">
        <v>133456</v>
      </c>
      <c r="S162" s="42">
        <v>0</v>
      </c>
      <c r="U162" s="42">
        <v>43223</v>
      </c>
      <c r="W162" s="42">
        <v>36760</v>
      </c>
      <c r="Y162" s="2">
        <f t="shared" ref="Y162:Y212" si="33">SUM(G162:X162)</f>
        <v>10044504</v>
      </c>
      <c r="AA162" s="42">
        <v>0</v>
      </c>
      <c r="AC162" s="42">
        <v>0</v>
      </c>
      <c r="AE162" s="42">
        <v>0</v>
      </c>
      <c r="AG162" s="42">
        <f>170119+45272</f>
        <v>215391</v>
      </c>
      <c r="AI162" s="42">
        <v>0</v>
      </c>
      <c r="AK162" s="42">
        <f t="shared" si="32"/>
        <v>215391</v>
      </c>
      <c r="AM162" s="42">
        <f t="shared" si="31"/>
        <v>10259895</v>
      </c>
    </row>
    <row r="163" spans="1:39">
      <c r="A163" s="9" t="s">
        <v>351</v>
      </c>
      <c r="B163" s="9"/>
      <c r="C163" s="9" t="s">
        <v>36</v>
      </c>
      <c r="D163" s="9"/>
      <c r="E163" s="23">
        <v>47688</v>
      </c>
      <c r="G163" s="42">
        <v>8031745</v>
      </c>
      <c r="I163" s="42">
        <v>0</v>
      </c>
      <c r="K163" s="42">
        <v>5641666</v>
      </c>
      <c r="M163" s="42">
        <v>22942</v>
      </c>
      <c r="O163" s="42">
        <f>889899+7331</f>
        <v>897230</v>
      </c>
      <c r="Q163" s="42">
        <v>254690</v>
      </c>
      <c r="S163" s="42">
        <v>0</v>
      </c>
      <c r="U163" s="42">
        <v>27139</v>
      </c>
      <c r="W163" s="42">
        <v>118359</v>
      </c>
      <c r="Y163" s="2">
        <f t="shared" si="33"/>
        <v>14993771</v>
      </c>
      <c r="AA163" s="42">
        <v>0</v>
      </c>
      <c r="AC163" s="42">
        <v>0</v>
      </c>
      <c r="AE163" s="42">
        <v>0</v>
      </c>
      <c r="AG163" s="42">
        <v>218</v>
      </c>
      <c r="AI163" s="42">
        <v>0</v>
      </c>
      <c r="AK163" s="42">
        <f t="shared" si="32"/>
        <v>218</v>
      </c>
      <c r="AM163" s="42">
        <f t="shared" si="31"/>
        <v>14993989</v>
      </c>
    </row>
    <row r="164" spans="1:39" hidden="1">
      <c r="A164" s="9" t="s">
        <v>654</v>
      </c>
      <c r="B164" s="9"/>
      <c r="C164" s="9" t="s">
        <v>40</v>
      </c>
      <c r="D164" s="9"/>
      <c r="E164" s="23">
        <v>47845</v>
      </c>
      <c r="G164" s="42">
        <v>0</v>
      </c>
      <c r="I164" s="42">
        <v>0</v>
      </c>
      <c r="K164" s="42">
        <v>0</v>
      </c>
      <c r="M164" s="42">
        <v>0</v>
      </c>
      <c r="O164" s="42">
        <v>0</v>
      </c>
      <c r="Q164" s="42">
        <v>0</v>
      </c>
      <c r="S164" s="42">
        <v>0</v>
      </c>
      <c r="U164" s="42">
        <v>0</v>
      </c>
      <c r="W164" s="42">
        <v>0</v>
      </c>
      <c r="Y164" s="2">
        <f t="shared" si="33"/>
        <v>0</v>
      </c>
      <c r="AA164" s="42">
        <v>0</v>
      </c>
      <c r="AC164" s="42">
        <v>0</v>
      </c>
      <c r="AE164" s="42">
        <v>0</v>
      </c>
      <c r="AG164" s="42">
        <v>0</v>
      </c>
      <c r="AI164" s="42">
        <v>0</v>
      </c>
      <c r="AM164" s="42">
        <f t="shared" si="31"/>
        <v>0</v>
      </c>
    </row>
    <row r="165" spans="1:39">
      <c r="A165" s="9" t="s">
        <v>246</v>
      </c>
      <c r="B165" s="9"/>
      <c r="C165" s="9" t="s">
        <v>111</v>
      </c>
      <c r="D165" s="9"/>
      <c r="E165" s="23">
        <v>43919</v>
      </c>
      <c r="F165" s="7"/>
      <c r="G165" s="42">
        <v>3724607</v>
      </c>
      <c r="I165" s="42">
        <v>0</v>
      </c>
      <c r="K165" s="42">
        <v>18611705</v>
      </c>
      <c r="M165" s="42">
        <v>23196</v>
      </c>
      <c r="O165" s="42">
        <f>825481+3035+1296</f>
        <v>829812</v>
      </c>
      <c r="Q165" s="42">
        <v>29336</v>
      </c>
      <c r="S165" s="42">
        <v>0</v>
      </c>
      <c r="U165" s="42">
        <v>7404</v>
      </c>
      <c r="W165" s="42">
        <v>105914</v>
      </c>
      <c r="Y165" s="2">
        <f t="shared" si="33"/>
        <v>23331974</v>
      </c>
      <c r="AA165" s="42">
        <v>0</v>
      </c>
      <c r="AC165" s="42">
        <v>0</v>
      </c>
      <c r="AE165" s="42">
        <v>0</v>
      </c>
      <c r="AG165" s="42">
        <v>210</v>
      </c>
      <c r="AI165" s="42">
        <v>0</v>
      </c>
      <c r="AK165" s="42">
        <f t="shared" si="32"/>
        <v>210</v>
      </c>
      <c r="AM165" s="42">
        <f t="shared" si="31"/>
        <v>23332184</v>
      </c>
    </row>
    <row r="166" spans="1:39">
      <c r="A166" s="9" t="s">
        <v>440</v>
      </c>
      <c r="B166" s="9"/>
      <c r="C166" s="9" t="s">
        <v>51</v>
      </c>
      <c r="D166" s="9"/>
      <c r="E166" s="23">
        <v>48835</v>
      </c>
      <c r="G166" s="42">
        <v>5593512</v>
      </c>
      <c r="I166" s="42">
        <v>0</v>
      </c>
      <c r="K166" s="42">
        <v>9716996</v>
      </c>
      <c r="M166" s="42">
        <v>49809</v>
      </c>
      <c r="O166" s="42">
        <f>1404626+9147</f>
        <v>1413773</v>
      </c>
      <c r="Q166" s="42">
        <v>0</v>
      </c>
      <c r="S166" s="42">
        <v>13789</v>
      </c>
      <c r="U166" s="42">
        <v>82584</v>
      </c>
      <c r="W166" s="42">
        <v>137488</v>
      </c>
      <c r="Y166" s="2">
        <f t="shared" si="33"/>
        <v>17007951</v>
      </c>
      <c r="AA166" s="42">
        <v>0</v>
      </c>
      <c r="AC166" s="42">
        <v>0</v>
      </c>
      <c r="AE166" s="42">
        <v>0</v>
      </c>
      <c r="AG166" s="42">
        <v>163016</v>
      </c>
      <c r="AI166" s="42">
        <v>0</v>
      </c>
      <c r="AK166" s="42">
        <f t="shared" si="32"/>
        <v>163016</v>
      </c>
      <c r="AM166" s="42">
        <f t="shared" si="31"/>
        <v>17170967</v>
      </c>
    </row>
    <row r="167" spans="1:39">
      <c r="A167" s="9" t="s">
        <v>247</v>
      </c>
      <c r="B167" s="9"/>
      <c r="C167" s="9" t="s">
        <v>111</v>
      </c>
      <c r="D167" s="9"/>
      <c r="E167" s="23">
        <v>43927</v>
      </c>
      <c r="F167" s="7"/>
      <c r="G167" s="42">
        <v>2202630</v>
      </c>
      <c r="I167" s="42">
        <v>0</v>
      </c>
      <c r="K167" s="42">
        <v>7293143</v>
      </c>
      <c r="M167" s="42">
        <v>-4088</v>
      </c>
      <c r="O167" s="42">
        <f>298731+393+165794</f>
        <v>464918</v>
      </c>
      <c r="Q167" s="42">
        <v>63276</v>
      </c>
      <c r="S167" s="42">
        <v>0</v>
      </c>
      <c r="U167" s="42">
        <v>2700</v>
      </c>
      <c r="W167" s="42">
        <v>55789</v>
      </c>
      <c r="Y167" s="2">
        <f t="shared" si="33"/>
        <v>10078368</v>
      </c>
      <c r="AA167" s="42">
        <v>0</v>
      </c>
      <c r="AC167" s="42">
        <v>0</v>
      </c>
      <c r="AE167" s="42">
        <v>0</v>
      </c>
      <c r="AG167" s="42">
        <v>0</v>
      </c>
      <c r="AI167" s="42">
        <v>0</v>
      </c>
      <c r="AK167" s="42">
        <f t="shared" si="32"/>
        <v>0</v>
      </c>
      <c r="AM167" s="42">
        <f t="shared" si="31"/>
        <v>10078368</v>
      </c>
    </row>
    <row r="168" spans="1:39">
      <c r="A168" s="9" t="s">
        <v>217</v>
      </c>
      <c r="B168" s="9"/>
      <c r="C168" s="9" t="s">
        <v>77</v>
      </c>
      <c r="D168" s="9"/>
      <c r="E168" s="23">
        <v>46037</v>
      </c>
      <c r="F168" s="7"/>
      <c r="G168" s="42">
        <v>3474061</v>
      </c>
      <c r="I168" s="42">
        <v>0</v>
      </c>
      <c r="K168" s="42">
        <v>7850746</v>
      </c>
      <c r="M168" s="42">
        <v>8523</v>
      </c>
      <c r="O168" s="42">
        <f>768842+14637</f>
        <v>783479</v>
      </c>
      <c r="Q168" s="42">
        <v>0</v>
      </c>
      <c r="S168" s="42">
        <v>61780</v>
      </c>
      <c r="U168" s="42">
        <v>26431</v>
      </c>
      <c r="W168" s="42">
        <v>79877</v>
      </c>
      <c r="Y168" s="2">
        <f t="shared" si="33"/>
        <v>12284897</v>
      </c>
      <c r="AA168" s="42">
        <v>0</v>
      </c>
      <c r="AC168" s="42">
        <v>0</v>
      </c>
      <c r="AE168" s="42">
        <v>0</v>
      </c>
      <c r="AG168" s="42">
        <f>870+67640</f>
        <v>68510</v>
      </c>
      <c r="AI168" s="42">
        <v>0</v>
      </c>
      <c r="AK168" s="42">
        <f t="shared" si="32"/>
        <v>68510</v>
      </c>
      <c r="AM168" s="42">
        <f t="shared" si="31"/>
        <v>12353407</v>
      </c>
    </row>
    <row r="169" spans="1:39">
      <c r="A169" s="9" t="s">
        <v>217</v>
      </c>
      <c r="B169" s="9"/>
      <c r="C169" s="9" t="s">
        <v>417</v>
      </c>
      <c r="D169" s="9"/>
      <c r="E169" s="23">
        <v>48512</v>
      </c>
      <c r="F169" s="7"/>
      <c r="G169" s="42">
        <v>1215286</v>
      </c>
      <c r="I169" s="42">
        <v>0</v>
      </c>
      <c r="K169" s="42">
        <v>5499141</v>
      </c>
      <c r="M169" s="42">
        <v>4950</v>
      </c>
      <c r="O169" s="42">
        <f>645664+27757</f>
        <v>673421</v>
      </c>
      <c r="Q169" s="42">
        <v>4105</v>
      </c>
      <c r="S169" s="42">
        <v>0</v>
      </c>
      <c r="U169" s="42">
        <v>27071</v>
      </c>
      <c r="W169" s="42">
        <v>48686</v>
      </c>
      <c r="Y169" s="2">
        <f t="shared" si="33"/>
        <v>7472660</v>
      </c>
      <c r="AA169" s="42">
        <v>0</v>
      </c>
      <c r="AC169" s="42">
        <v>0</v>
      </c>
      <c r="AE169" s="42">
        <v>0</v>
      </c>
      <c r="AG169" s="42">
        <v>201</v>
      </c>
      <c r="AI169" s="42">
        <v>0</v>
      </c>
      <c r="AK169" s="42">
        <f t="shared" si="32"/>
        <v>201</v>
      </c>
      <c r="AM169" s="42">
        <f t="shared" si="31"/>
        <v>7472861</v>
      </c>
    </row>
    <row r="170" spans="1:39" hidden="1">
      <c r="A170" s="9" t="s">
        <v>655</v>
      </c>
      <c r="B170" s="9"/>
      <c r="C170" s="9" t="s">
        <v>55</v>
      </c>
      <c r="D170" s="9"/>
      <c r="E170" s="23">
        <v>49122</v>
      </c>
      <c r="G170" s="42">
        <v>0</v>
      </c>
      <c r="I170" s="42">
        <v>0</v>
      </c>
      <c r="K170" s="42">
        <v>0</v>
      </c>
      <c r="M170" s="42">
        <v>0</v>
      </c>
      <c r="O170" s="42">
        <v>0</v>
      </c>
      <c r="Q170" s="42">
        <v>0</v>
      </c>
      <c r="S170" s="42">
        <v>0</v>
      </c>
      <c r="U170" s="42">
        <v>0</v>
      </c>
      <c r="W170" s="42">
        <v>0</v>
      </c>
      <c r="Y170" s="2">
        <f t="shared" si="33"/>
        <v>0</v>
      </c>
      <c r="AA170" s="42">
        <v>0</v>
      </c>
      <c r="AC170" s="42">
        <v>0</v>
      </c>
      <c r="AE170" s="42">
        <v>0</v>
      </c>
      <c r="AG170" s="42">
        <v>0</v>
      </c>
      <c r="AI170" s="42">
        <v>0</v>
      </c>
      <c r="AK170" s="42">
        <f t="shared" si="32"/>
        <v>0</v>
      </c>
      <c r="AM170" s="42">
        <f t="shared" si="31"/>
        <v>0</v>
      </c>
    </row>
    <row r="171" spans="1:39">
      <c r="A171" s="9" t="s">
        <v>550</v>
      </c>
      <c r="B171" s="9"/>
      <c r="C171" s="9" t="s">
        <v>72</v>
      </c>
      <c r="D171" s="9"/>
      <c r="E171" s="23">
        <v>50674</v>
      </c>
      <c r="G171" s="42">
        <v>5009866</v>
      </c>
      <c r="I171" s="42">
        <v>1902605</v>
      </c>
      <c r="K171" s="42">
        <v>6718502</v>
      </c>
      <c r="M171" s="42">
        <v>47295</v>
      </c>
      <c r="O171" s="42">
        <f>440142+10500</f>
        <v>450642</v>
      </c>
      <c r="Q171" s="42">
        <v>43099</v>
      </c>
      <c r="S171" s="42">
        <v>480000</v>
      </c>
      <c r="U171" s="42">
        <v>0</v>
      </c>
      <c r="W171" s="42">
        <v>4888</v>
      </c>
      <c r="Y171" s="2">
        <f t="shared" si="33"/>
        <v>14656897</v>
      </c>
      <c r="AA171" s="42">
        <v>0</v>
      </c>
      <c r="AC171" s="42">
        <v>0</v>
      </c>
      <c r="AE171" s="42">
        <v>0</v>
      </c>
      <c r="AG171" s="42">
        <v>0</v>
      </c>
      <c r="AI171" s="42">
        <v>0</v>
      </c>
      <c r="AK171" s="42">
        <f t="shared" si="32"/>
        <v>0</v>
      </c>
      <c r="AM171" s="42">
        <f t="shared" si="31"/>
        <v>14656897</v>
      </c>
    </row>
    <row r="172" spans="1:39" hidden="1">
      <c r="A172" s="8" t="s">
        <v>858</v>
      </c>
      <c r="B172" s="9"/>
      <c r="C172" s="9" t="s">
        <v>57</v>
      </c>
      <c r="D172" s="9"/>
      <c r="E172" s="23">
        <v>43935</v>
      </c>
      <c r="G172" s="42">
        <v>0</v>
      </c>
      <c r="I172" s="42">
        <v>0</v>
      </c>
      <c r="K172" s="42">
        <v>0</v>
      </c>
      <c r="M172" s="42">
        <v>0</v>
      </c>
      <c r="O172" s="42">
        <v>0</v>
      </c>
      <c r="Q172" s="42">
        <v>0</v>
      </c>
      <c r="S172" s="42">
        <v>0</v>
      </c>
      <c r="U172" s="42">
        <v>0</v>
      </c>
      <c r="W172" s="42">
        <v>0</v>
      </c>
      <c r="Y172" s="2">
        <f t="shared" si="33"/>
        <v>0</v>
      </c>
      <c r="AA172" s="42">
        <v>0</v>
      </c>
      <c r="AC172" s="42">
        <v>0</v>
      </c>
      <c r="AE172" s="42">
        <v>0</v>
      </c>
      <c r="AG172" s="42">
        <v>0</v>
      </c>
      <c r="AI172" s="42">
        <v>0</v>
      </c>
      <c r="AK172" s="42">
        <f t="shared" si="32"/>
        <v>0</v>
      </c>
      <c r="AM172" s="42">
        <f t="shared" si="31"/>
        <v>0</v>
      </c>
    </row>
    <row r="173" spans="1:39" hidden="1">
      <c r="A173" s="9" t="s">
        <v>656</v>
      </c>
      <c r="B173" s="9"/>
      <c r="C173" s="9" t="s">
        <v>548</v>
      </c>
      <c r="D173" s="9"/>
      <c r="E173" s="23">
        <v>50617</v>
      </c>
      <c r="G173" s="42">
        <v>0</v>
      </c>
      <c r="I173" s="42">
        <v>0</v>
      </c>
      <c r="K173" s="42">
        <v>0</v>
      </c>
      <c r="M173" s="42">
        <v>0</v>
      </c>
      <c r="O173" s="42">
        <v>0</v>
      </c>
      <c r="Q173" s="42">
        <v>0</v>
      </c>
      <c r="S173" s="42">
        <v>0</v>
      </c>
      <c r="U173" s="42">
        <v>0</v>
      </c>
      <c r="W173" s="42">
        <v>0</v>
      </c>
      <c r="Y173" s="2">
        <f t="shared" si="33"/>
        <v>0</v>
      </c>
      <c r="AA173" s="42">
        <v>0</v>
      </c>
      <c r="AC173" s="42">
        <v>0</v>
      </c>
      <c r="AE173" s="42">
        <v>0</v>
      </c>
      <c r="AG173" s="42">
        <v>0</v>
      </c>
      <c r="AI173" s="42">
        <v>0</v>
      </c>
      <c r="AK173" s="42">
        <f t="shared" si="32"/>
        <v>0</v>
      </c>
      <c r="AM173" s="42">
        <f t="shared" si="31"/>
        <v>0</v>
      </c>
    </row>
    <row r="174" spans="1:39">
      <c r="A174" s="9" t="s">
        <v>657</v>
      </c>
      <c r="B174" s="9"/>
      <c r="C174" s="9" t="s">
        <v>220</v>
      </c>
      <c r="D174" s="9"/>
      <c r="E174" s="23">
        <v>46094</v>
      </c>
      <c r="F174" s="7"/>
      <c r="G174" s="42">
        <v>14483673</v>
      </c>
      <c r="I174" s="42">
        <v>0</v>
      </c>
      <c r="K174" s="42">
        <f>15913803+129361</f>
        <v>16043164</v>
      </c>
      <c r="M174" s="42">
        <v>13340</v>
      </c>
      <c r="O174" s="42">
        <f>686120+251732+4083+6766</f>
        <v>948701</v>
      </c>
      <c r="Q174" s="42">
        <v>308947</v>
      </c>
      <c r="S174" s="42">
        <v>0</v>
      </c>
      <c r="U174" s="42">
        <v>7229</v>
      </c>
      <c r="W174" s="42">
        <f>13963+105416</f>
        <v>119379</v>
      </c>
      <c r="Y174" s="2">
        <f t="shared" si="33"/>
        <v>31924433</v>
      </c>
      <c r="AA174" s="42">
        <v>0</v>
      </c>
      <c r="AC174" s="42">
        <v>0</v>
      </c>
      <c r="AE174" s="42">
        <v>0</v>
      </c>
      <c r="AG174" s="42">
        <f>6400+84948</f>
        <v>91348</v>
      </c>
      <c r="AI174" s="42">
        <v>0</v>
      </c>
      <c r="AK174" s="42">
        <f t="shared" si="32"/>
        <v>91348</v>
      </c>
      <c r="AM174" s="42">
        <f t="shared" si="31"/>
        <v>32015781</v>
      </c>
    </row>
    <row r="175" spans="1:39">
      <c r="A175" s="9" t="s">
        <v>360</v>
      </c>
      <c r="B175" s="9"/>
      <c r="C175" s="9" t="s">
        <v>24</v>
      </c>
      <c r="D175" s="9"/>
      <c r="E175" s="23">
        <v>46789</v>
      </c>
      <c r="G175" s="42">
        <v>5629825</v>
      </c>
      <c r="I175" s="42">
        <v>0</v>
      </c>
      <c r="K175" s="42">
        <f>7034576+51649</f>
        <v>7086225</v>
      </c>
      <c r="M175" s="42">
        <v>12662</v>
      </c>
      <c r="O175" s="42">
        <f>672927+40794+711</f>
        <v>714432</v>
      </c>
      <c r="Q175" s="42">
        <v>172809</v>
      </c>
      <c r="S175" s="42">
        <v>0</v>
      </c>
      <c r="U175" s="42">
        <v>2446</v>
      </c>
      <c r="W175" s="42">
        <v>29845</v>
      </c>
      <c r="Y175" s="2">
        <f t="shared" ref="Y175" si="34">SUM(G175:X175)</f>
        <v>13648244</v>
      </c>
      <c r="AA175" s="42">
        <v>0</v>
      </c>
      <c r="AC175" s="42">
        <v>0</v>
      </c>
      <c r="AE175" s="42">
        <v>0</v>
      </c>
      <c r="AG175" s="42">
        <v>0</v>
      </c>
      <c r="AI175" s="42">
        <v>0</v>
      </c>
      <c r="AK175" s="42">
        <f t="shared" ref="AK175" si="35">SUM(AA175:AJ175)</f>
        <v>0</v>
      </c>
      <c r="AM175" s="42">
        <f t="shared" ref="AM175" si="36">+AK175+Y175</f>
        <v>13648244</v>
      </c>
    </row>
    <row r="176" spans="1:39">
      <c r="A176" s="9" t="s">
        <v>360</v>
      </c>
      <c r="B176" s="9"/>
      <c r="C176" s="9" t="s">
        <v>39</v>
      </c>
      <c r="D176" s="9"/>
      <c r="E176" s="23">
        <v>47795</v>
      </c>
      <c r="G176" s="42">
        <v>7804949</v>
      </c>
      <c r="I176" s="42">
        <v>0</v>
      </c>
      <c r="K176" s="42">
        <v>8845597</v>
      </c>
      <c r="M176" s="42">
        <v>250</v>
      </c>
      <c r="O176" s="42">
        <f>755518+9914+138345+205</f>
        <v>903982</v>
      </c>
      <c r="Q176" s="42">
        <v>16758</v>
      </c>
      <c r="S176" s="42">
        <v>0</v>
      </c>
      <c r="U176" s="42">
        <v>309355</v>
      </c>
      <c r="W176" s="42">
        <f>954+435297+29267</f>
        <v>465518</v>
      </c>
      <c r="Y176" s="2">
        <f t="shared" si="33"/>
        <v>18346409</v>
      </c>
      <c r="AA176" s="42">
        <v>0</v>
      </c>
      <c r="AC176" s="42">
        <v>0</v>
      </c>
      <c r="AE176" s="42">
        <v>0</v>
      </c>
      <c r="AG176" s="42">
        <v>36394</v>
      </c>
      <c r="AI176" s="42">
        <v>0</v>
      </c>
      <c r="AK176" s="42">
        <f t="shared" si="32"/>
        <v>36394</v>
      </c>
      <c r="AM176" s="42">
        <f t="shared" si="31"/>
        <v>18382803</v>
      </c>
    </row>
    <row r="177" spans="1:39" hidden="1">
      <c r="A177" s="9" t="s">
        <v>859</v>
      </c>
      <c r="B177" s="9"/>
      <c r="C177" s="9" t="s">
        <v>548</v>
      </c>
      <c r="D177" s="9"/>
      <c r="E177" s="23">
        <v>50625</v>
      </c>
      <c r="G177" s="42">
        <v>0</v>
      </c>
      <c r="I177" s="42">
        <v>0</v>
      </c>
      <c r="K177" s="42">
        <v>0</v>
      </c>
      <c r="M177" s="42">
        <v>0</v>
      </c>
      <c r="O177" s="42">
        <v>0</v>
      </c>
      <c r="Q177" s="42">
        <v>0</v>
      </c>
      <c r="S177" s="42">
        <v>0</v>
      </c>
      <c r="U177" s="42">
        <v>0</v>
      </c>
      <c r="W177" s="42">
        <v>0</v>
      </c>
      <c r="Y177" s="2">
        <f t="shared" si="33"/>
        <v>0</v>
      </c>
      <c r="AA177" s="42">
        <v>0</v>
      </c>
      <c r="AC177" s="42">
        <v>0</v>
      </c>
      <c r="AE177" s="42">
        <v>0</v>
      </c>
      <c r="AG177" s="42">
        <v>0</v>
      </c>
      <c r="AI177" s="42">
        <v>0</v>
      </c>
      <c r="AK177" s="42">
        <f t="shared" si="32"/>
        <v>0</v>
      </c>
      <c r="AM177" s="42">
        <f t="shared" si="31"/>
        <v>0</v>
      </c>
    </row>
    <row r="178" spans="1:39">
      <c r="A178" s="9" t="s">
        <v>672</v>
      </c>
      <c r="B178" s="9"/>
      <c r="C178" s="9" t="s">
        <v>46</v>
      </c>
      <c r="D178" s="9"/>
      <c r="E178" s="23">
        <v>48413</v>
      </c>
      <c r="G178" s="42">
        <v>3374888</v>
      </c>
      <c r="I178" s="42">
        <v>990544</v>
      </c>
      <c r="K178" s="42">
        <v>7020661</v>
      </c>
      <c r="M178" s="42">
        <v>14812</v>
      </c>
      <c r="O178" s="42">
        <v>1029257</v>
      </c>
      <c r="Q178" s="42">
        <v>28231</v>
      </c>
      <c r="S178" s="42">
        <v>28000</v>
      </c>
      <c r="U178" s="42">
        <v>7508</v>
      </c>
      <c r="W178" s="42">
        <v>199505</v>
      </c>
      <c r="Y178" s="2">
        <f t="shared" ref="Y178" si="37">SUM(G178:X178)</f>
        <v>12693406</v>
      </c>
      <c r="AA178" s="42">
        <v>0</v>
      </c>
      <c r="AC178" s="42">
        <v>0</v>
      </c>
      <c r="AE178" s="42">
        <v>0</v>
      </c>
      <c r="AG178" s="42">
        <v>42144</v>
      </c>
      <c r="AI178" s="42">
        <v>0</v>
      </c>
      <c r="AK178" s="42">
        <f t="shared" ref="AK178" si="38">SUM(AA178:AJ178)</f>
        <v>42144</v>
      </c>
      <c r="AM178" s="42">
        <f t="shared" ref="AM178" si="39">+AK178+Y178</f>
        <v>12735550</v>
      </c>
    </row>
    <row r="179" spans="1:39" hidden="1">
      <c r="A179" s="9" t="s">
        <v>658</v>
      </c>
      <c r="B179" s="9"/>
      <c r="C179" s="9" t="s">
        <v>10</v>
      </c>
      <c r="D179" s="9"/>
      <c r="E179" s="23">
        <v>45773</v>
      </c>
      <c r="G179" s="42">
        <v>0</v>
      </c>
      <c r="I179" s="42">
        <v>0</v>
      </c>
      <c r="K179" s="42">
        <v>0</v>
      </c>
      <c r="M179" s="42">
        <v>0</v>
      </c>
      <c r="O179" s="42">
        <v>0</v>
      </c>
      <c r="Q179" s="42">
        <v>0</v>
      </c>
      <c r="S179" s="42">
        <v>0</v>
      </c>
      <c r="U179" s="42">
        <v>0</v>
      </c>
      <c r="W179" s="42">
        <v>0</v>
      </c>
      <c r="Y179" s="2">
        <f t="shared" si="33"/>
        <v>0</v>
      </c>
      <c r="AA179" s="42">
        <v>0</v>
      </c>
      <c r="AC179" s="42">
        <v>0</v>
      </c>
      <c r="AE179" s="42">
        <v>0</v>
      </c>
      <c r="AG179" s="42">
        <v>0</v>
      </c>
      <c r="AI179" s="42">
        <v>0</v>
      </c>
      <c r="AM179" s="42">
        <f t="shared" si="31"/>
        <v>0</v>
      </c>
    </row>
    <row r="180" spans="1:39" hidden="1">
      <c r="A180" s="9" t="s">
        <v>687</v>
      </c>
      <c r="B180" s="9"/>
      <c r="C180" s="9" t="s">
        <v>72</v>
      </c>
      <c r="D180" s="9"/>
      <c r="E180" s="23">
        <v>50682</v>
      </c>
      <c r="G180" s="42">
        <v>0</v>
      </c>
      <c r="I180" s="42">
        <v>0</v>
      </c>
      <c r="K180" s="42">
        <v>0</v>
      </c>
      <c r="M180" s="42">
        <v>0</v>
      </c>
      <c r="O180" s="42">
        <v>0</v>
      </c>
      <c r="Q180" s="42">
        <v>0</v>
      </c>
      <c r="S180" s="42">
        <v>0</v>
      </c>
      <c r="U180" s="42">
        <v>0</v>
      </c>
      <c r="W180" s="42">
        <v>0</v>
      </c>
      <c r="Y180" s="2">
        <f t="shared" ref="Y180" si="40">SUM(G180:X180)</f>
        <v>0</v>
      </c>
      <c r="AA180" s="42">
        <v>0</v>
      </c>
      <c r="AC180" s="42">
        <v>0</v>
      </c>
      <c r="AE180" s="42">
        <v>0</v>
      </c>
      <c r="AG180" s="42">
        <v>0</v>
      </c>
      <c r="AI180" s="42">
        <v>0</v>
      </c>
      <c r="AK180" s="42">
        <f t="shared" ref="AK180" si="41">SUM(AA180:AJ180)</f>
        <v>0</v>
      </c>
      <c r="AM180" s="42">
        <f t="shared" si="31"/>
        <v>0</v>
      </c>
    </row>
    <row r="181" spans="1:39">
      <c r="A181" s="9" t="s">
        <v>381</v>
      </c>
      <c r="B181" s="9"/>
      <c r="C181" s="9" t="s">
        <v>44</v>
      </c>
      <c r="D181" s="9"/>
      <c r="E181" s="23">
        <v>43943</v>
      </c>
      <c r="G181" s="42">
        <v>28973450</v>
      </c>
      <c r="I181" s="42">
        <v>0</v>
      </c>
      <c r="K181" s="42">
        <v>40768404</v>
      </c>
      <c r="M181" s="42">
        <v>30957</v>
      </c>
      <c r="O181" s="42">
        <f>1589308+22650</f>
        <v>1611958</v>
      </c>
      <c r="Q181" s="42">
        <v>174528</v>
      </c>
      <c r="S181" s="42">
        <v>0</v>
      </c>
      <c r="U181" s="42">
        <v>11326</v>
      </c>
      <c r="W181" s="42">
        <v>55165</v>
      </c>
      <c r="Y181" s="2">
        <f t="shared" si="33"/>
        <v>71625788</v>
      </c>
      <c r="AA181" s="42">
        <v>0</v>
      </c>
      <c r="AC181" s="42">
        <v>0</v>
      </c>
      <c r="AE181" s="42">
        <v>0</v>
      </c>
      <c r="AG181" s="42">
        <v>8194</v>
      </c>
      <c r="AI181" s="42">
        <v>0</v>
      </c>
      <c r="AK181" s="42">
        <f t="shared" si="32"/>
        <v>8194</v>
      </c>
      <c r="AM181" s="42">
        <f t="shared" ref="AM181:AM212" si="42">+AK181+Y181</f>
        <v>71633982</v>
      </c>
    </row>
    <row r="182" spans="1:39">
      <c r="A182" s="9" t="s">
        <v>265</v>
      </c>
      <c r="B182" s="9"/>
      <c r="C182" s="9" t="s">
        <v>20</v>
      </c>
      <c r="D182" s="9"/>
      <c r="E182" s="23">
        <v>43950</v>
      </c>
      <c r="G182" s="42">
        <v>39443154</v>
      </c>
      <c r="I182" s="42">
        <v>0</v>
      </c>
      <c r="K182" s="42">
        <v>26654169</v>
      </c>
      <c r="M182" s="42">
        <v>4061</v>
      </c>
      <c r="O182" s="42">
        <f>102590+38616+25871+109008</f>
        <v>276085</v>
      </c>
      <c r="Q182" s="42">
        <v>160214</v>
      </c>
      <c r="S182" s="42">
        <v>0</v>
      </c>
      <c r="U182" s="42">
        <v>0</v>
      </c>
      <c r="W182" s="42">
        <v>516939</v>
      </c>
      <c r="Y182" s="2">
        <f t="shared" si="33"/>
        <v>67054622</v>
      </c>
      <c r="AA182" s="42">
        <v>0</v>
      </c>
      <c r="AC182" s="42">
        <v>0</v>
      </c>
      <c r="AE182" s="42">
        <v>0</v>
      </c>
      <c r="AG182" s="42">
        <v>6482</v>
      </c>
      <c r="AI182" s="42">
        <v>0</v>
      </c>
      <c r="AK182" s="42">
        <f t="shared" si="32"/>
        <v>6482</v>
      </c>
      <c r="AM182" s="42">
        <f t="shared" si="42"/>
        <v>67061104</v>
      </c>
    </row>
    <row r="183" spans="1:39" hidden="1">
      <c r="A183" s="9" t="s">
        <v>614</v>
      </c>
      <c r="B183" s="9"/>
      <c r="C183" s="9" t="s">
        <v>28</v>
      </c>
      <c r="D183" s="9"/>
      <c r="E183" s="23">
        <v>47050</v>
      </c>
      <c r="G183" s="42">
        <v>0</v>
      </c>
      <c r="I183" s="42">
        <v>0</v>
      </c>
      <c r="K183" s="42">
        <v>0</v>
      </c>
      <c r="M183" s="42">
        <v>0</v>
      </c>
      <c r="O183" s="42">
        <v>0</v>
      </c>
      <c r="Q183" s="42">
        <v>0</v>
      </c>
      <c r="S183" s="42">
        <v>0</v>
      </c>
      <c r="U183" s="42">
        <v>0</v>
      </c>
      <c r="W183" s="42">
        <v>0</v>
      </c>
      <c r="Y183" s="2">
        <f t="shared" si="33"/>
        <v>0</v>
      </c>
      <c r="AA183" s="42">
        <v>0</v>
      </c>
      <c r="AC183" s="42">
        <v>0</v>
      </c>
      <c r="AE183" s="42">
        <v>0</v>
      </c>
      <c r="AG183" s="42">
        <v>0</v>
      </c>
      <c r="AI183" s="42">
        <v>0</v>
      </c>
      <c r="AK183" s="42">
        <f t="shared" si="32"/>
        <v>0</v>
      </c>
      <c r="AM183" s="42">
        <f t="shared" si="42"/>
        <v>0</v>
      </c>
    </row>
    <row r="184" spans="1:39">
      <c r="A184" s="9" t="s">
        <v>535</v>
      </c>
      <c r="B184" s="9"/>
      <c r="C184" s="9" t="s">
        <v>66</v>
      </c>
      <c r="D184" s="9"/>
      <c r="E184" s="23">
        <v>50328</v>
      </c>
      <c r="G184" s="42">
        <v>6023102</v>
      </c>
      <c r="I184" s="42">
        <v>968969</v>
      </c>
      <c r="K184" s="42">
        <f>20025+2756442</f>
        <v>2776467</v>
      </c>
      <c r="M184" s="42">
        <v>20604</v>
      </c>
      <c r="O184" s="42">
        <f>379836+10197+43640</f>
        <v>433673</v>
      </c>
      <c r="Q184" s="42">
        <v>0</v>
      </c>
      <c r="S184" s="42">
        <v>0</v>
      </c>
      <c r="U184" s="42">
        <v>38</v>
      </c>
      <c r="W184" s="42">
        <f>81053+8516</f>
        <v>89569</v>
      </c>
      <c r="Y184" s="2">
        <f t="shared" si="33"/>
        <v>10312422</v>
      </c>
      <c r="AA184" s="42">
        <v>0</v>
      </c>
      <c r="AC184" s="42">
        <v>0</v>
      </c>
      <c r="AE184" s="42">
        <v>0</v>
      </c>
      <c r="AG184" s="42">
        <v>0</v>
      </c>
      <c r="AI184" s="42">
        <v>0</v>
      </c>
      <c r="AK184" s="42">
        <f t="shared" si="32"/>
        <v>0</v>
      </c>
      <c r="AM184" s="42">
        <f t="shared" si="42"/>
        <v>10312422</v>
      </c>
    </row>
    <row r="185" spans="1:39">
      <c r="A185" s="9" t="s">
        <v>621</v>
      </c>
      <c r="B185" s="9"/>
      <c r="C185" s="9" t="s">
        <v>113</v>
      </c>
      <c r="D185" s="9"/>
      <c r="E185" s="23">
        <v>43968</v>
      </c>
      <c r="F185" s="7"/>
      <c r="G185" s="42">
        <v>20014840</v>
      </c>
      <c r="I185" s="42">
        <v>0</v>
      </c>
      <c r="K185" s="42">
        <v>19565619</v>
      </c>
      <c r="M185" s="42">
        <v>14019</v>
      </c>
      <c r="O185" s="42">
        <f>657697+209539</f>
        <v>867236</v>
      </c>
      <c r="Q185" s="42">
        <v>146194</v>
      </c>
      <c r="S185" s="42">
        <v>0</v>
      </c>
      <c r="U185" s="42">
        <v>0</v>
      </c>
      <c r="W185" s="42">
        <v>444129</v>
      </c>
      <c r="Y185" s="2">
        <f>SUM(G185:X185)</f>
        <v>41052037</v>
      </c>
      <c r="AA185" s="42">
        <v>0</v>
      </c>
      <c r="AC185" s="42">
        <v>0</v>
      </c>
      <c r="AE185" s="42">
        <v>0</v>
      </c>
      <c r="AG185" s="42">
        <v>3400</v>
      </c>
      <c r="AI185" s="42">
        <v>0</v>
      </c>
      <c r="AK185" s="42">
        <f>SUM(AA185:AJ185)</f>
        <v>3400</v>
      </c>
      <c r="AM185" s="42">
        <f t="shared" si="42"/>
        <v>41055437</v>
      </c>
    </row>
    <row r="186" spans="1:39">
      <c r="A186" s="9" t="s">
        <v>221</v>
      </c>
      <c r="B186" s="9"/>
      <c r="C186" s="9" t="s">
        <v>220</v>
      </c>
      <c r="D186" s="9"/>
      <c r="E186" s="23">
        <v>46102</v>
      </c>
      <c r="F186" s="7"/>
      <c r="G186" s="42">
        <v>44613773</v>
      </c>
      <c r="I186" s="42">
        <v>0</v>
      </c>
      <c r="K186" s="42">
        <v>30396059</v>
      </c>
      <c r="M186" s="42">
        <v>11747</v>
      </c>
      <c r="O186" s="42">
        <f>2487925+678263</f>
        <v>3166188</v>
      </c>
      <c r="Q186" s="42">
        <v>258153</v>
      </c>
      <c r="S186" s="42">
        <v>1826757</v>
      </c>
      <c r="U186" s="42">
        <v>0</v>
      </c>
      <c r="W186" s="42">
        <v>343081</v>
      </c>
      <c r="Y186" s="2">
        <f t="shared" si="33"/>
        <v>80615758</v>
      </c>
      <c r="AA186" s="42">
        <v>0</v>
      </c>
      <c r="AC186" s="42">
        <v>0</v>
      </c>
      <c r="AE186" s="42">
        <v>0</v>
      </c>
      <c r="AG186" s="42">
        <f>1279+2559300</f>
        <v>2560579</v>
      </c>
      <c r="AI186" s="42">
        <v>0</v>
      </c>
      <c r="AK186" s="42">
        <f t="shared" si="32"/>
        <v>2560579</v>
      </c>
      <c r="AM186" s="42">
        <f t="shared" si="42"/>
        <v>83176337</v>
      </c>
    </row>
    <row r="187" spans="1:39">
      <c r="A187" s="9" t="s">
        <v>347</v>
      </c>
      <c r="B187" s="9"/>
      <c r="C187" s="9" t="s">
        <v>346</v>
      </c>
      <c r="D187" s="9"/>
      <c r="E187" s="23">
        <v>47621</v>
      </c>
      <c r="G187" s="42">
        <v>1330372</v>
      </c>
      <c r="I187" s="42">
        <v>0</v>
      </c>
      <c r="K187" s="42">
        <v>5387389</v>
      </c>
      <c r="M187" s="42">
        <v>10209</v>
      </c>
      <c r="O187" s="42">
        <f>545966+1159</f>
        <v>547125</v>
      </c>
      <c r="Q187" s="42">
        <v>33855</v>
      </c>
      <c r="S187" s="42">
        <v>0</v>
      </c>
      <c r="U187" s="42">
        <v>7067</v>
      </c>
      <c r="W187" s="42">
        <v>38978</v>
      </c>
      <c r="Y187" s="2">
        <f t="shared" si="33"/>
        <v>7354995</v>
      </c>
      <c r="AA187" s="42">
        <v>0</v>
      </c>
      <c r="AC187" s="42">
        <v>0</v>
      </c>
      <c r="AE187" s="42">
        <v>0</v>
      </c>
      <c r="AG187" s="42">
        <v>0</v>
      </c>
      <c r="AI187" s="42">
        <v>0</v>
      </c>
      <c r="AK187" s="42">
        <f t="shared" si="32"/>
        <v>0</v>
      </c>
      <c r="AM187" s="42">
        <f t="shared" si="42"/>
        <v>7354995</v>
      </c>
    </row>
    <row r="188" spans="1:39">
      <c r="A188" s="9" t="s">
        <v>292</v>
      </c>
      <c r="B188" s="9"/>
      <c r="C188" s="9" t="s">
        <v>25</v>
      </c>
      <c r="D188" s="9"/>
      <c r="E188" s="23">
        <v>46870</v>
      </c>
      <c r="G188" s="42">
        <v>4479995</v>
      </c>
      <c r="I188" s="42">
        <v>4431886</v>
      </c>
      <c r="K188" s="42">
        <f>9649624+46121</f>
        <v>9695745</v>
      </c>
      <c r="M188" s="42">
        <v>17745</v>
      </c>
      <c r="O188" s="42">
        <f>1483299+48621+25989</f>
        <v>1557909</v>
      </c>
      <c r="Q188" s="42">
        <v>50688</v>
      </c>
      <c r="S188" s="42">
        <v>0</v>
      </c>
      <c r="U188" s="42">
        <v>0</v>
      </c>
      <c r="W188" s="42">
        <v>62930</v>
      </c>
      <c r="Y188" s="2">
        <f t="shared" si="33"/>
        <v>20296898</v>
      </c>
      <c r="AA188" s="42">
        <v>0</v>
      </c>
      <c r="AC188" s="42">
        <v>0</v>
      </c>
      <c r="AE188" s="42">
        <v>0</v>
      </c>
      <c r="AG188" s="42">
        <v>902</v>
      </c>
      <c r="AI188" s="42">
        <v>0</v>
      </c>
      <c r="AK188" s="42">
        <f t="shared" si="32"/>
        <v>902</v>
      </c>
      <c r="AM188" s="42">
        <f t="shared" si="42"/>
        <v>20297800</v>
      </c>
    </row>
    <row r="189" spans="1:39" s="24" customFormat="1">
      <c r="A189" s="51" t="s">
        <v>366</v>
      </c>
      <c r="B189" s="51"/>
      <c r="C189" s="51" t="s">
        <v>364</v>
      </c>
      <c r="D189" s="51"/>
      <c r="E189" s="23">
        <v>47936</v>
      </c>
      <c r="G189" s="42">
        <v>3208978</v>
      </c>
      <c r="H189" s="42"/>
      <c r="I189" s="42">
        <v>0</v>
      </c>
      <c r="J189" s="42"/>
      <c r="K189" s="42">
        <v>9066937</v>
      </c>
      <c r="L189" s="42"/>
      <c r="M189" s="42">
        <v>16659</v>
      </c>
      <c r="N189" s="42"/>
      <c r="O189" s="42">
        <f>787695+13443</f>
        <v>801138</v>
      </c>
      <c r="P189" s="42"/>
      <c r="Q189" s="42">
        <v>89751</v>
      </c>
      <c r="R189" s="42"/>
      <c r="S189" s="42">
        <v>0</v>
      </c>
      <c r="T189" s="42"/>
      <c r="U189" s="42">
        <v>13695</v>
      </c>
      <c r="V189" s="42"/>
      <c r="W189" s="42">
        <v>41566</v>
      </c>
      <c r="X189" s="42"/>
      <c r="Y189" s="2">
        <f t="shared" si="33"/>
        <v>13238724</v>
      </c>
      <c r="Z189" s="42"/>
      <c r="AA189" s="42">
        <v>0</v>
      </c>
      <c r="AB189" s="42"/>
      <c r="AC189" s="42">
        <v>0</v>
      </c>
      <c r="AD189" s="42"/>
      <c r="AE189" s="42">
        <v>0</v>
      </c>
      <c r="AF189" s="42"/>
      <c r="AG189" s="42">
        <v>0</v>
      </c>
      <c r="AH189" s="42"/>
      <c r="AI189" s="42">
        <v>0</v>
      </c>
      <c r="AJ189" s="42"/>
      <c r="AK189" s="42">
        <f t="shared" si="32"/>
        <v>0</v>
      </c>
      <c r="AL189" s="42"/>
      <c r="AM189" s="42">
        <f t="shared" si="42"/>
        <v>13238724</v>
      </c>
    </row>
    <row r="190" spans="1:39" hidden="1">
      <c r="A190" s="9" t="s">
        <v>615</v>
      </c>
      <c r="B190" s="9"/>
      <c r="C190" s="9" t="s">
        <v>61</v>
      </c>
      <c r="D190" s="9"/>
      <c r="E190" s="23">
        <v>49775</v>
      </c>
      <c r="G190" s="42">
        <v>0</v>
      </c>
      <c r="I190" s="42">
        <v>0</v>
      </c>
      <c r="K190" s="42">
        <v>0</v>
      </c>
      <c r="M190" s="42">
        <v>0</v>
      </c>
      <c r="O190" s="42">
        <v>0</v>
      </c>
      <c r="Q190" s="42">
        <v>0</v>
      </c>
      <c r="S190" s="42">
        <v>0</v>
      </c>
      <c r="U190" s="42">
        <v>0</v>
      </c>
      <c r="W190" s="42">
        <v>0</v>
      </c>
      <c r="Y190" s="2">
        <f t="shared" si="33"/>
        <v>0</v>
      </c>
      <c r="AA190" s="42">
        <v>0</v>
      </c>
      <c r="AC190" s="42">
        <v>0</v>
      </c>
      <c r="AE190" s="42">
        <v>0</v>
      </c>
      <c r="AG190" s="42">
        <v>0</v>
      </c>
      <c r="AI190" s="42">
        <v>0</v>
      </c>
      <c r="AK190" s="42">
        <f t="shared" si="32"/>
        <v>0</v>
      </c>
      <c r="AM190" s="42">
        <f t="shared" si="42"/>
        <v>0</v>
      </c>
    </row>
    <row r="191" spans="1:39">
      <c r="A191" s="9" t="s">
        <v>492</v>
      </c>
      <c r="B191" s="9"/>
      <c r="C191" s="9" t="s">
        <v>62</v>
      </c>
      <c r="D191" s="9"/>
      <c r="E191" s="23">
        <v>49841</v>
      </c>
      <c r="G191" s="42">
        <v>4762363</v>
      </c>
      <c r="I191" s="42">
        <v>0</v>
      </c>
      <c r="K191" s="42">
        <v>8550454</v>
      </c>
      <c r="M191" s="42">
        <v>10466</v>
      </c>
      <c r="O191" s="42">
        <f>638002+44082</f>
        <v>682084</v>
      </c>
      <c r="Q191" s="42">
        <v>99644</v>
      </c>
      <c r="S191" s="42">
        <v>0</v>
      </c>
      <c r="U191" s="42">
        <v>0</v>
      </c>
      <c r="W191" s="42">
        <v>168324</v>
      </c>
      <c r="Y191" s="2">
        <f t="shared" si="33"/>
        <v>14273335</v>
      </c>
      <c r="AA191" s="42">
        <v>0</v>
      </c>
      <c r="AC191" s="42">
        <v>0</v>
      </c>
      <c r="AE191" s="42">
        <v>0</v>
      </c>
      <c r="AG191" s="42">
        <v>0</v>
      </c>
      <c r="AI191" s="42">
        <v>0</v>
      </c>
      <c r="AK191" s="42">
        <f t="shared" si="32"/>
        <v>0</v>
      </c>
      <c r="AM191" s="42">
        <f t="shared" si="42"/>
        <v>14273335</v>
      </c>
    </row>
    <row r="192" spans="1:39" hidden="1">
      <c r="A192" s="8" t="s">
        <v>878</v>
      </c>
      <c r="B192" s="9"/>
      <c r="C192" s="9" t="s">
        <v>41</v>
      </c>
      <c r="D192" s="9"/>
      <c r="E192" s="23">
        <v>45369</v>
      </c>
      <c r="G192" s="42">
        <v>0</v>
      </c>
      <c r="I192" s="42">
        <v>0</v>
      </c>
      <c r="K192" s="42">
        <v>0</v>
      </c>
      <c r="M192" s="42">
        <v>0</v>
      </c>
      <c r="O192" s="42">
        <v>0</v>
      </c>
      <c r="Q192" s="42">
        <v>0</v>
      </c>
      <c r="S192" s="42">
        <v>0</v>
      </c>
      <c r="U192" s="42">
        <v>0</v>
      </c>
      <c r="W192" s="42">
        <v>0</v>
      </c>
      <c r="Y192" s="2">
        <f t="shared" si="33"/>
        <v>0</v>
      </c>
      <c r="AA192" s="42">
        <v>0</v>
      </c>
      <c r="AC192" s="42">
        <v>0</v>
      </c>
      <c r="AE192" s="42">
        <v>0</v>
      </c>
      <c r="AG192" s="42">
        <v>0</v>
      </c>
      <c r="AI192" s="42">
        <v>0</v>
      </c>
      <c r="AK192" s="42">
        <f t="shared" si="32"/>
        <v>0</v>
      </c>
      <c r="AM192" s="42">
        <f t="shared" si="42"/>
        <v>0</v>
      </c>
    </row>
    <row r="193" spans="1:39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v>15316326</v>
      </c>
      <c r="I193" s="24">
        <v>0</v>
      </c>
      <c r="K193" s="24">
        <f>15785+4480476+17788</f>
        <v>4514049</v>
      </c>
      <c r="M193" s="24">
        <v>37139</v>
      </c>
      <c r="O193" s="24">
        <f>306080+37262+76903+101970</f>
        <v>522215</v>
      </c>
      <c r="Q193" s="24">
        <v>67700</v>
      </c>
      <c r="S193" s="24">
        <v>0</v>
      </c>
      <c r="U193" s="24">
        <v>10778</v>
      </c>
      <c r="W193" s="24">
        <v>34421</v>
      </c>
      <c r="Y193" s="60">
        <f t="shared" si="33"/>
        <v>20502628</v>
      </c>
      <c r="AA193" s="24">
        <v>0</v>
      </c>
      <c r="AC193" s="24">
        <v>0</v>
      </c>
      <c r="AE193" s="24">
        <v>0</v>
      </c>
      <c r="AG193" s="24">
        <v>0</v>
      </c>
      <c r="AI193" s="24">
        <v>0</v>
      </c>
      <c r="AK193" s="24">
        <f t="shared" si="32"/>
        <v>0</v>
      </c>
      <c r="AM193" s="24">
        <f t="shared" si="42"/>
        <v>20502628</v>
      </c>
    </row>
    <row r="194" spans="1:39" hidden="1">
      <c r="A194" s="9" t="s">
        <v>739</v>
      </c>
      <c r="B194" s="9"/>
      <c r="C194" s="9" t="s">
        <v>28</v>
      </c>
      <c r="D194" s="9"/>
      <c r="E194" s="23">
        <v>47068</v>
      </c>
      <c r="G194" s="42">
        <v>0</v>
      </c>
      <c r="I194" s="42">
        <v>0</v>
      </c>
      <c r="K194" s="42">
        <v>0</v>
      </c>
      <c r="M194" s="42">
        <v>0</v>
      </c>
      <c r="O194" s="42">
        <v>0</v>
      </c>
      <c r="Q194" s="42">
        <v>0</v>
      </c>
      <c r="S194" s="42">
        <v>0</v>
      </c>
      <c r="U194" s="42">
        <v>0</v>
      </c>
      <c r="W194" s="42">
        <v>0</v>
      </c>
      <c r="Y194" s="2">
        <f t="shared" si="33"/>
        <v>0</v>
      </c>
      <c r="AA194" s="42">
        <v>0</v>
      </c>
      <c r="AC194" s="42">
        <v>0</v>
      </c>
      <c r="AE194" s="42">
        <v>0</v>
      </c>
      <c r="AG194" s="42">
        <v>0</v>
      </c>
      <c r="AI194" s="42">
        <v>0</v>
      </c>
      <c r="AK194" s="42">
        <f t="shared" si="32"/>
        <v>0</v>
      </c>
      <c r="AM194" s="42">
        <f t="shared" si="42"/>
        <v>0</v>
      </c>
    </row>
    <row r="195" spans="1:39">
      <c r="A195" s="9" t="s">
        <v>218</v>
      </c>
      <c r="B195" s="9"/>
      <c r="C195" s="9" t="s">
        <v>77</v>
      </c>
      <c r="D195" s="9"/>
      <c r="E195" s="23">
        <v>46045</v>
      </c>
      <c r="F195" s="7"/>
      <c r="G195" s="42">
        <v>1682290</v>
      </c>
      <c r="I195" s="42">
        <v>0</v>
      </c>
      <c r="K195" s="42">
        <v>4670680</v>
      </c>
      <c r="M195" s="42">
        <v>35645</v>
      </c>
      <c r="O195" s="42">
        <v>1062321</v>
      </c>
      <c r="Q195" s="42">
        <v>0</v>
      </c>
      <c r="S195" s="42">
        <v>0</v>
      </c>
      <c r="U195" s="42">
        <v>8459</v>
      </c>
      <c r="W195" s="42">
        <v>77080</v>
      </c>
      <c r="Y195" s="2">
        <f t="shared" si="33"/>
        <v>7536475</v>
      </c>
      <c r="AA195" s="42">
        <v>0</v>
      </c>
      <c r="AC195" s="42">
        <v>0</v>
      </c>
      <c r="AE195" s="42">
        <v>0</v>
      </c>
      <c r="AG195" s="42">
        <v>0</v>
      </c>
      <c r="AI195" s="42">
        <v>0</v>
      </c>
      <c r="AK195" s="42">
        <f t="shared" si="32"/>
        <v>0</v>
      </c>
      <c r="AM195" s="42">
        <f t="shared" si="42"/>
        <v>7536475</v>
      </c>
    </row>
    <row r="196" spans="1:39">
      <c r="A196" s="9" t="s">
        <v>737</v>
      </c>
      <c r="B196" s="9"/>
      <c r="C196" s="9" t="s">
        <v>13</v>
      </c>
      <c r="D196" s="9"/>
      <c r="E196" s="23">
        <v>45914</v>
      </c>
      <c r="F196" s="7"/>
      <c r="G196" s="42">
        <v>2594839</v>
      </c>
      <c r="I196" s="42">
        <v>0</v>
      </c>
      <c r="K196" s="42">
        <v>8090154</v>
      </c>
      <c r="M196" s="42">
        <v>4455</v>
      </c>
      <c r="O196" s="42">
        <f>554956+160+70358</f>
        <v>625474</v>
      </c>
      <c r="Q196" s="42">
        <v>28671</v>
      </c>
      <c r="S196" s="42">
        <v>0</v>
      </c>
      <c r="U196" s="42">
        <v>19445</v>
      </c>
      <c r="W196" s="42">
        <v>74955</v>
      </c>
      <c r="Y196" s="2">
        <f t="shared" si="33"/>
        <v>11437993</v>
      </c>
      <c r="AA196" s="42">
        <v>0</v>
      </c>
      <c r="AC196" s="42">
        <v>0</v>
      </c>
      <c r="AE196" s="42">
        <v>0</v>
      </c>
      <c r="AG196" s="42">
        <v>0</v>
      </c>
      <c r="AI196" s="42">
        <v>0</v>
      </c>
      <c r="AK196" s="42">
        <f t="shared" si="32"/>
        <v>0</v>
      </c>
      <c r="AM196" s="42">
        <f t="shared" si="42"/>
        <v>11437993</v>
      </c>
    </row>
    <row r="197" spans="1:39">
      <c r="A197" s="9" t="s">
        <v>237</v>
      </c>
      <c r="B197" s="9"/>
      <c r="C197" s="9" t="s">
        <v>112</v>
      </c>
      <c r="D197" s="9"/>
      <c r="E197" s="23">
        <v>46334</v>
      </c>
      <c r="F197" s="7"/>
      <c r="G197" s="42">
        <v>1706058</v>
      </c>
      <c r="I197" s="42">
        <v>0</v>
      </c>
      <c r="K197" s="42">
        <v>6919376</v>
      </c>
      <c r="M197" s="42">
        <v>15961</v>
      </c>
      <c r="O197" s="42">
        <v>537631</v>
      </c>
      <c r="Q197" s="42">
        <v>0</v>
      </c>
      <c r="S197" s="42">
        <v>0</v>
      </c>
      <c r="U197" s="42">
        <v>0</v>
      </c>
      <c r="W197" s="42">
        <v>121454</v>
      </c>
      <c r="Y197" s="2">
        <f t="shared" si="33"/>
        <v>9300480</v>
      </c>
      <c r="AA197" s="42">
        <v>0</v>
      </c>
      <c r="AC197" s="42">
        <v>0</v>
      </c>
      <c r="AE197" s="42">
        <v>0</v>
      </c>
      <c r="AG197" s="42">
        <v>0</v>
      </c>
      <c r="AI197" s="42">
        <v>0</v>
      </c>
      <c r="AK197" s="42">
        <f t="shared" si="32"/>
        <v>0</v>
      </c>
      <c r="AM197" s="42">
        <f t="shared" si="42"/>
        <v>9300480</v>
      </c>
    </row>
    <row r="198" spans="1:39">
      <c r="A198" s="9" t="s">
        <v>714</v>
      </c>
      <c r="B198" s="9"/>
      <c r="C198" s="9" t="s">
        <v>56</v>
      </c>
      <c r="D198" s="9"/>
      <c r="E198" s="23">
        <v>49197</v>
      </c>
      <c r="G198" s="42">
        <v>8302466</v>
      </c>
      <c r="I198" s="42">
        <v>0</v>
      </c>
      <c r="K198" s="42">
        <f>7768181+57483</f>
        <v>7825664</v>
      </c>
      <c r="M198" s="42">
        <v>2138</v>
      </c>
      <c r="O198" s="42">
        <f>1061067+134775+101758</f>
        <v>1297600</v>
      </c>
      <c r="Q198" s="42">
        <v>0</v>
      </c>
      <c r="S198" s="42">
        <v>213864</v>
      </c>
      <c r="U198" s="42">
        <v>2092</v>
      </c>
      <c r="W198" s="42">
        <f>6742+94537</f>
        <v>101279</v>
      </c>
      <c r="Y198" s="2">
        <f t="shared" si="33"/>
        <v>17745103</v>
      </c>
      <c r="AA198" s="42">
        <v>0</v>
      </c>
      <c r="AC198" s="42">
        <v>0</v>
      </c>
      <c r="AE198" s="42">
        <v>0</v>
      </c>
      <c r="AG198" s="42">
        <v>0</v>
      </c>
      <c r="AI198" s="42">
        <v>0</v>
      </c>
      <c r="AK198" s="42">
        <f t="shared" si="32"/>
        <v>0</v>
      </c>
      <c r="AM198" s="42">
        <f t="shared" si="42"/>
        <v>17745103</v>
      </c>
    </row>
    <row r="199" spans="1:39">
      <c r="A199" s="9" t="s">
        <v>335</v>
      </c>
      <c r="B199" s="9"/>
      <c r="C199" s="9" t="s">
        <v>33</v>
      </c>
      <c r="D199" s="9"/>
      <c r="E199" s="23">
        <v>43984</v>
      </c>
      <c r="G199" s="42">
        <v>24466649</v>
      </c>
      <c r="I199" s="42">
        <v>0</v>
      </c>
      <c r="K199" s="42">
        <f>25875478+154060</f>
        <v>26029538</v>
      </c>
      <c r="M199" s="42">
        <f>245909-411023</f>
        <v>-165114</v>
      </c>
      <c r="O199" s="42">
        <f>2584716+347889+17179</f>
        <v>2949784</v>
      </c>
      <c r="Q199" s="42">
        <v>9960</v>
      </c>
      <c r="S199" s="42">
        <v>177191</v>
      </c>
      <c r="U199" s="42">
        <v>5141</v>
      </c>
      <c r="W199" s="42">
        <f>58219+624755</f>
        <v>682974</v>
      </c>
      <c r="Y199" s="2">
        <f t="shared" si="33"/>
        <v>54156123</v>
      </c>
      <c r="AA199" s="42">
        <v>0</v>
      </c>
      <c r="AC199" s="42">
        <v>0</v>
      </c>
      <c r="AE199" s="42">
        <v>0</v>
      </c>
      <c r="AG199" s="42">
        <v>92972</v>
      </c>
      <c r="AI199" s="42">
        <v>0</v>
      </c>
      <c r="AK199" s="42">
        <f t="shared" si="32"/>
        <v>92972</v>
      </c>
      <c r="AM199" s="42">
        <f t="shared" si="42"/>
        <v>54249095</v>
      </c>
    </row>
    <row r="200" spans="1:39">
      <c r="A200" s="9" t="s">
        <v>320</v>
      </c>
      <c r="B200" s="9"/>
      <c r="C200" s="9" t="s">
        <v>32</v>
      </c>
      <c r="D200" s="9"/>
      <c r="E200" s="23">
        <v>47332</v>
      </c>
      <c r="G200" s="42">
        <v>9455509</v>
      </c>
      <c r="I200" s="42">
        <v>0</v>
      </c>
      <c r="K200" s="42">
        <v>7173507</v>
      </c>
      <c r="M200" s="42">
        <v>10162</v>
      </c>
      <c r="O200" s="42">
        <f>442760+54581</f>
        <v>497341</v>
      </c>
      <c r="Q200" s="42">
        <v>8923</v>
      </c>
      <c r="S200" s="42">
        <v>204262</v>
      </c>
      <c r="U200" s="42">
        <v>0</v>
      </c>
      <c r="W200" s="42">
        <v>220989</v>
      </c>
      <c r="Y200" s="2">
        <f t="shared" si="33"/>
        <v>17570693</v>
      </c>
      <c r="AA200" s="42">
        <v>0</v>
      </c>
      <c r="AC200" s="42">
        <v>0</v>
      </c>
      <c r="AE200" s="42">
        <v>0</v>
      </c>
      <c r="AG200" s="42">
        <v>767</v>
      </c>
      <c r="AI200" s="42">
        <v>0</v>
      </c>
      <c r="AK200" s="42">
        <f t="shared" si="32"/>
        <v>767</v>
      </c>
      <c r="AM200" s="42">
        <f t="shared" si="42"/>
        <v>17571460</v>
      </c>
    </row>
    <row r="201" spans="1:39">
      <c r="A201" s="9" t="s">
        <v>382</v>
      </c>
      <c r="B201" s="9"/>
      <c r="C201" s="9" t="s">
        <v>44</v>
      </c>
      <c r="D201" s="9"/>
      <c r="E201" s="23">
        <v>48157</v>
      </c>
      <c r="G201" s="42">
        <v>7872090</v>
      </c>
      <c r="I201" s="42">
        <v>0</v>
      </c>
      <c r="K201" s="42">
        <f>8232304+53712</f>
        <v>8286016</v>
      </c>
      <c r="M201" s="42">
        <f>15223-29540</f>
        <v>-14317</v>
      </c>
      <c r="O201" s="42">
        <f>1483019+11067+72488+7632</f>
        <v>1574206</v>
      </c>
      <c r="Q201" s="42">
        <v>154653</v>
      </c>
      <c r="S201" s="42">
        <v>0</v>
      </c>
      <c r="U201" s="42">
        <v>3493</v>
      </c>
      <c r="W201" s="42">
        <f>4650+104825</f>
        <v>109475</v>
      </c>
      <c r="Y201" s="2">
        <f t="shared" si="33"/>
        <v>17985616</v>
      </c>
      <c r="AA201" s="42">
        <v>0</v>
      </c>
      <c r="AC201" s="42">
        <v>0</v>
      </c>
      <c r="AE201" s="42">
        <v>0</v>
      </c>
      <c r="AG201" s="42">
        <v>0</v>
      </c>
      <c r="AI201" s="42">
        <v>0</v>
      </c>
      <c r="AK201" s="42">
        <f t="shared" si="32"/>
        <v>0</v>
      </c>
      <c r="AM201" s="42">
        <f t="shared" si="42"/>
        <v>17985616</v>
      </c>
    </row>
    <row r="202" spans="1:39">
      <c r="A202" s="9" t="s">
        <v>321</v>
      </c>
      <c r="B202" s="9"/>
      <c r="C202" s="9" t="s">
        <v>32</v>
      </c>
      <c r="D202" s="9"/>
      <c r="E202" s="23">
        <v>47340</v>
      </c>
      <c r="G202" s="42">
        <v>41052600</v>
      </c>
      <c r="I202" s="42">
        <v>0</v>
      </c>
      <c r="K202" s="42">
        <v>22479370</v>
      </c>
      <c r="M202" s="42">
        <v>9993</v>
      </c>
      <c r="O202" s="42">
        <v>1321553</v>
      </c>
      <c r="Q202" s="42">
        <v>0</v>
      </c>
      <c r="S202" s="42">
        <v>6506933</v>
      </c>
      <c r="U202" s="42">
        <v>0</v>
      </c>
      <c r="W202" s="42">
        <v>1549493</v>
      </c>
      <c r="Y202" s="2">
        <f t="shared" si="33"/>
        <v>72919942</v>
      </c>
      <c r="AA202" s="42">
        <v>0</v>
      </c>
      <c r="AC202" s="42">
        <v>0</v>
      </c>
      <c r="AE202" s="42">
        <v>0</v>
      </c>
      <c r="AG202" s="42">
        <v>0</v>
      </c>
      <c r="AI202" s="42">
        <v>0</v>
      </c>
      <c r="AK202" s="42">
        <f t="shared" si="32"/>
        <v>0</v>
      </c>
      <c r="AM202" s="42">
        <f t="shared" si="42"/>
        <v>72919942</v>
      </c>
    </row>
    <row r="203" spans="1:39" hidden="1">
      <c r="A203" s="9" t="s">
        <v>611</v>
      </c>
      <c r="B203" s="9"/>
      <c r="C203" s="9" t="s">
        <v>70</v>
      </c>
      <c r="D203" s="9"/>
      <c r="E203" s="23">
        <v>50484</v>
      </c>
      <c r="G203" s="42">
        <v>0</v>
      </c>
      <c r="I203" s="42">
        <v>0</v>
      </c>
      <c r="K203" s="42">
        <v>0</v>
      </c>
      <c r="M203" s="42">
        <v>0</v>
      </c>
      <c r="O203" s="42">
        <v>0</v>
      </c>
      <c r="Q203" s="42">
        <v>0</v>
      </c>
      <c r="S203" s="42">
        <v>0</v>
      </c>
      <c r="U203" s="42">
        <v>0</v>
      </c>
      <c r="W203" s="42">
        <v>0</v>
      </c>
      <c r="Y203" s="2">
        <f t="shared" si="33"/>
        <v>0</v>
      </c>
      <c r="AA203" s="42">
        <v>0</v>
      </c>
      <c r="AC203" s="42">
        <v>0</v>
      </c>
      <c r="AE203" s="42">
        <v>0</v>
      </c>
      <c r="AG203" s="42">
        <v>0</v>
      </c>
      <c r="AI203" s="42">
        <v>0</v>
      </c>
      <c r="AK203" s="42">
        <f t="shared" si="32"/>
        <v>0</v>
      </c>
      <c r="AM203" s="42">
        <f t="shared" si="42"/>
        <v>0</v>
      </c>
    </row>
    <row r="204" spans="1:39">
      <c r="A204" s="9" t="s">
        <v>486</v>
      </c>
      <c r="B204" s="9"/>
      <c r="C204" s="9" t="s">
        <v>61</v>
      </c>
      <c r="D204" s="9"/>
      <c r="E204" s="23">
        <v>49783</v>
      </c>
      <c r="G204" s="42">
        <v>1688628</v>
      </c>
      <c r="I204" s="42">
        <v>1672508</v>
      </c>
      <c r="K204" s="42">
        <v>3686911</v>
      </c>
      <c r="M204" s="42">
        <v>27641</v>
      </c>
      <c r="O204" s="42">
        <f>108950+5568</f>
        <v>114518</v>
      </c>
      <c r="Q204" s="42">
        <v>84870</v>
      </c>
      <c r="S204" s="42">
        <v>0</v>
      </c>
      <c r="U204" s="42">
        <v>17767</v>
      </c>
      <c r="W204" s="42">
        <v>106464</v>
      </c>
      <c r="Y204" s="2">
        <f t="shared" si="33"/>
        <v>7399307</v>
      </c>
      <c r="AA204" s="42">
        <v>0</v>
      </c>
      <c r="AC204" s="42">
        <v>0</v>
      </c>
      <c r="AE204" s="42">
        <v>0</v>
      </c>
      <c r="AG204" s="42">
        <v>0</v>
      </c>
      <c r="AI204" s="42">
        <v>0</v>
      </c>
      <c r="AK204" s="42">
        <f t="shared" si="32"/>
        <v>0</v>
      </c>
      <c r="AM204" s="42">
        <f t="shared" si="42"/>
        <v>7399307</v>
      </c>
    </row>
    <row r="205" spans="1:39" hidden="1">
      <c r="A205" s="9" t="s">
        <v>758</v>
      </c>
      <c r="B205" s="9"/>
      <c r="C205" s="9" t="s">
        <v>419</v>
      </c>
      <c r="D205" s="9"/>
      <c r="E205" s="23">
        <v>48595</v>
      </c>
      <c r="G205" s="42">
        <v>0</v>
      </c>
      <c r="I205" s="42">
        <v>0</v>
      </c>
      <c r="K205" s="42">
        <v>0</v>
      </c>
      <c r="M205" s="42">
        <v>0</v>
      </c>
      <c r="O205" s="42">
        <v>0</v>
      </c>
      <c r="Q205" s="42">
        <v>0</v>
      </c>
      <c r="S205" s="42">
        <v>0</v>
      </c>
      <c r="U205" s="42">
        <v>0</v>
      </c>
      <c r="W205" s="42">
        <v>0</v>
      </c>
      <c r="Y205" s="2">
        <f t="shared" si="33"/>
        <v>0</v>
      </c>
      <c r="AA205" s="42">
        <v>0</v>
      </c>
      <c r="AC205" s="42">
        <v>0</v>
      </c>
      <c r="AE205" s="42">
        <v>0</v>
      </c>
      <c r="AG205" s="42">
        <v>0</v>
      </c>
      <c r="AI205" s="42">
        <v>0</v>
      </c>
      <c r="AM205" s="42">
        <f t="shared" si="42"/>
        <v>0</v>
      </c>
    </row>
    <row r="206" spans="1:39" hidden="1">
      <c r="A206" s="9" t="s">
        <v>741</v>
      </c>
      <c r="B206" s="9"/>
      <c r="C206" s="9" t="s">
        <v>60</v>
      </c>
      <c r="D206" s="9"/>
      <c r="E206" s="23">
        <v>43992</v>
      </c>
      <c r="G206" s="42">
        <v>0</v>
      </c>
      <c r="I206" s="42">
        <v>0</v>
      </c>
      <c r="K206" s="42">
        <v>0</v>
      </c>
      <c r="M206" s="42">
        <v>0</v>
      </c>
      <c r="O206" s="42">
        <v>0</v>
      </c>
      <c r="Q206" s="42">
        <v>0</v>
      </c>
      <c r="S206" s="42">
        <v>0</v>
      </c>
      <c r="U206" s="42">
        <v>0</v>
      </c>
      <c r="W206" s="42">
        <v>0</v>
      </c>
      <c r="Y206" s="2">
        <f t="shared" si="33"/>
        <v>0</v>
      </c>
      <c r="AA206" s="42">
        <v>0</v>
      </c>
      <c r="AC206" s="42">
        <v>0</v>
      </c>
      <c r="AE206" s="42">
        <v>0</v>
      </c>
      <c r="AG206" s="42">
        <v>0</v>
      </c>
      <c r="AI206" s="42">
        <v>0</v>
      </c>
      <c r="AK206" s="42">
        <f t="shared" ref="AK206:AK227" si="43">SUM(AA206:AJ206)</f>
        <v>0</v>
      </c>
      <c r="AM206" s="42">
        <f t="shared" si="42"/>
        <v>0</v>
      </c>
    </row>
    <row r="207" spans="1:39">
      <c r="A207" s="9" t="s">
        <v>540</v>
      </c>
      <c r="B207" s="9"/>
      <c r="C207" s="9" t="s">
        <v>69</v>
      </c>
      <c r="D207" s="9"/>
      <c r="E207" s="23">
        <v>44008</v>
      </c>
      <c r="G207" s="42">
        <v>12139098</v>
      </c>
      <c r="I207" s="42">
        <v>0</v>
      </c>
      <c r="K207" s="42">
        <v>13743050</v>
      </c>
      <c r="M207" s="42">
        <v>3758</v>
      </c>
      <c r="O207" s="42">
        <f>1854222+68686</f>
        <v>1922908</v>
      </c>
      <c r="Q207" s="42">
        <v>30690</v>
      </c>
      <c r="S207" s="42">
        <v>96470</v>
      </c>
      <c r="U207" s="42">
        <v>106918</v>
      </c>
      <c r="W207" s="42">
        <v>148227</v>
      </c>
      <c r="Y207" s="2">
        <f t="shared" si="33"/>
        <v>28191119</v>
      </c>
      <c r="AA207" s="42">
        <v>0</v>
      </c>
      <c r="AC207" s="42">
        <v>0</v>
      </c>
      <c r="AE207" s="42">
        <v>0</v>
      </c>
      <c r="AG207" s="42">
        <f>2902+5892</f>
        <v>8794</v>
      </c>
      <c r="AI207" s="42">
        <v>0</v>
      </c>
      <c r="AK207" s="42">
        <f t="shared" si="43"/>
        <v>8794</v>
      </c>
      <c r="AM207" s="42">
        <f t="shared" si="42"/>
        <v>28199913</v>
      </c>
    </row>
    <row r="208" spans="1:39">
      <c r="A208" s="9" t="s">
        <v>441</v>
      </c>
      <c r="B208" s="9"/>
      <c r="C208" s="9" t="s">
        <v>51</v>
      </c>
      <c r="D208" s="9"/>
      <c r="E208" s="23">
        <v>48843</v>
      </c>
      <c r="G208" s="42">
        <v>6424521</v>
      </c>
      <c r="I208" s="42">
        <v>0</v>
      </c>
      <c r="K208" s="42">
        <v>13050727</v>
      </c>
      <c r="M208" s="42">
        <v>186111</v>
      </c>
      <c r="O208" s="42">
        <v>1277123</v>
      </c>
      <c r="Q208" s="42">
        <v>14053</v>
      </c>
      <c r="S208" s="42">
        <v>1393</v>
      </c>
      <c r="U208" s="42">
        <v>130403</v>
      </c>
      <c r="W208" s="42">
        <v>42865</v>
      </c>
      <c r="Y208" s="2">
        <f t="shared" si="33"/>
        <v>21127196</v>
      </c>
      <c r="AA208" s="42">
        <v>0</v>
      </c>
      <c r="AC208" s="42">
        <v>0</v>
      </c>
      <c r="AE208" s="42">
        <v>0</v>
      </c>
      <c r="AG208" s="42">
        <v>0</v>
      </c>
      <c r="AI208" s="42">
        <v>0</v>
      </c>
      <c r="AK208" s="42">
        <f t="shared" si="43"/>
        <v>0</v>
      </c>
      <c r="AM208" s="42">
        <f t="shared" si="42"/>
        <v>21127196</v>
      </c>
    </row>
    <row r="209" spans="1:39" hidden="1">
      <c r="A209" s="9" t="s">
        <v>610</v>
      </c>
      <c r="B209" s="9"/>
      <c r="C209" s="9" t="s">
        <v>21</v>
      </c>
      <c r="D209" s="9"/>
      <c r="E209" s="23">
        <v>46649</v>
      </c>
      <c r="G209" s="42">
        <v>0</v>
      </c>
      <c r="I209" s="42">
        <v>0</v>
      </c>
      <c r="K209" s="42">
        <v>0</v>
      </c>
      <c r="M209" s="42">
        <v>0</v>
      </c>
      <c r="O209" s="42">
        <v>0</v>
      </c>
      <c r="Q209" s="42">
        <v>0</v>
      </c>
      <c r="S209" s="42">
        <v>0</v>
      </c>
      <c r="U209" s="42">
        <v>0</v>
      </c>
      <c r="W209" s="42">
        <v>0</v>
      </c>
      <c r="Y209" s="2">
        <f t="shared" si="33"/>
        <v>0</v>
      </c>
      <c r="AA209" s="42">
        <v>0</v>
      </c>
      <c r="AC209" s="42">
        <v>0</v>
      </c>
      <c r="AE209" s="42">
        <v>0</v>
      </c>
      <c r="AG209" s="42">
        <v>0</v>
      </c>
      <c r="AI209" s="42">
        <v>0</v>
      </c>
      <c r="AK209" s="42">
        <f t="shared" si="43"/>
        <v>0</v>
      </c>
      <c r="AM209" s="42">
        <f t="shared" si="42"/>
        <v>0</v>
      </c>
    </row>
    <row r="210" spans="1:39" hidden="1">
      <c r="A210" s="9" t="s">
        <v>659</v>
      </c>
      <c r="B210" s="9"/>
      <c r="C210" s="9" t="s">
        <v>40</v>
      </c>
      <c r="D210" s="9"/>
      <c r="E210" s="23">
        <v>47852</v>
      </c>
      <c r="G210" s="42">
        <v>0</v>
      </c>
      <c r="I210" s="42">
        <v>0</v>
      </c>
      <c r="K210" s="42">
        <v>0</v>
      </c>
      <c r="M210" s="42">
        <v>0</v>
      </c>
      <c r="O210" s="42">
        <v>0</v>
      </c>
      <c r="Q210" s="42">
        <v>0</v>
      </c>
      <c r="S210" s="42">
        <v>0</v>
      </c>
      <c r="U210" s="42">
        <v>0</v>
      </c>
      <c r="W210" s="42">
        <v>0</v>
      </c>
      <c r="Y210" s="2">
        <f t="shared" si="33"/>
        <v>0</v>
      </c>
      <c r="AA210" s="42">
        <v>0</v>
      </c>
      <c r="AC210" s="42">
        <v>0</v>
      </c>
      <c r="AE210" s="42">
        <v>0</v>
      </c>
      <c r="AG210" s="42">
        <v>0</v>
      </c>
      <c r="AI210" s="42">
        <v>0</v>
      </c>
      <c r="AK210" s="42">
        <f t="shared" si="43"/>
        <v>0</v>
      </c>
      <c r="AM210" s="42">
        <f t="shared" si="42"/>
        <v>0</v>
      </c>
    </row>
    <row r="211" spans="1:39">
      <c r="A211" s="9" t="s">
        <v>639</v>
      </c>
      <c r="B211" s="9"/>
      <c r="C211" s="9" t="s">
        <v>79</v>
      </c>
      <c r="D211" s="9"/>
      <c r="E211" s="23">
        <v>44016</v>
      </c>
      <c r="G211" s="42">
        <v>10415041</v>
      </c>
      <c r="I211" s="42">
        <v>7209225</v>
      </c>
      <c r="K211" s="42">
        <v>15706791</v>
      </c>
      <c r="M211" s="42">
        <v>23526</v>
      </c>
      <c r="O211" s="42">
        <f>783493+53969+23176</f>
        <v>860638</v>
      </c>
      <c r="Q211" s="42">
        <v>148156</v>
      </c>
      <c r="S211" s="42">
        <v>712520</v>
      </c>
      <c r="U211" s="42">
        <v>14851</v>
      </c>
      <c r="W211" s="42">
        <v>176696</v>
      </c>
      <c r="Y211" s="2">
        <f t="shared" si="33"/>
        <v>35267444</v>
      </c>
      <c r="AA211" s="42">
        <v>613</v>
      </c>
      <c r="AC211" s="42">
        <v>0</v>
      </c>
      <c r="AE211" s="42">
        <v>0</v>
      </c>
      <c r="AG211" s="42">
        <v>3051</v>
      </c>
      <c r="AI211" s="42">
        <v>0</v>
      </c>
      <c r="AK211" s="42">
        <f t="shared" si="43"/>
        <v>3664</v>
      </c>
      <c r="AM211" s="42">
        <f t="shared" si="42"/>
        <v>35271108</v>
      </c>
    </row>
    <row r="212" spans="1:39">
      <c r="A212" s="9" t="s">
        <v>544</v>
      </c>
      <c r="B212" s="9"/>
      <c r="C212" s="9" t="s">
        <v>70</v>
      </c>
      <c r="D212" s="9"/>
      <c r="E212" s="23">
        <v>50492</v>
      </c>
      <c r="G212" s="42">
        <v>1196053</v>
      </c>
      <c r="I212" s="42">
        <v>0</v>
      </c>
      <c r="K212" s="42">
        <v>5398582</v>
      </c>
      <c r="M212" s="42">
        <v>3877</v>
      </c>
      <c r="O212" s="42">
        <f>102237+11139</f>
        <v>113376</v>
      </c>
      <c r="Q212" s="42">
        <v>0</v>
      </c>
      <c r="S212" s="42">
        <v>45025</v>
      </c>
      <c r="U212" s="42">
        <v>17973</v>
      </c>
      <c r="W212" s="42">
        <v>86827</v>
      </c>
      <c r="Y212" s="2">
        <f t="shared" si="33"/>
        <v>6861713</v>
      </c>
      <c r="AA212" s="42">
        <v>0</v>
      </c>
      <c r="AC212" s="42">
        <v>0</v>
      </c>
      <c r="AE212" s="42">
        <v>0</v>
      </c>
      <c r="AG212" s="42">
        <v>173894</v>
      </c>
      <c r="AI212" s="42">
        <v>0</v>
      </c>
      <c r="AK212" s="42">
        <f t="shared" si="43"/>
        <v>173894</v>
      </c>
      <c r="AM212" s="42">
        <f t="shared" si="42"/>
        <v>7035607</v>
      </c>
    </row>
    <row r="213" spans="1:39">
      <c r="A213" s="9" t="s">
        <v>636</v>
      </c>
      <c r="B213" s="9"/>
      <c r="C213" s="9" t="s">
        <v>27</v>
      </c>
      <c r="D213" s="9"/>
      <c r="E213" s="23">
        <v>46961</v>
      </c>
      <c r="G213" s="42">
        <v>48218318</v>
      </c>
      <c r="I213" s="42">
        <v>0</v>
      </c>
      <c r="K213" s="42">
        <v>19092615</v>
      </c>
      <c r="M213" s="42">
        <v>22352</v>
      </c>
      <c r="O213" s="42">
        <v>948433</v>
      </c>
      <c r="Q213" s="42">
        <v>0</v>
      </c>
      <c r="S213" s="42">
        <v>6108467</v>
      </c>
      <c r="U213" s="42">
        <v>0</v>
      </c>
      <c r="W213" s="42">
        <v>1621658</v>
      </c>
      <c r="Y213" s="2">
        <f t="shared" ref="Y213:Y227" si="44">SUM(G213:X213)</f>
        <v>76011843</v>
      </c>
      <c r="AA213" s="42">
        <v>0</v>
      </c>
      <c r="AC213" s="42">
        <v>0</v>
      </c>
      <c r="AE213" s="42">
        <v>0</v>
      </c>
      <c r="AG213" s="42">
        <v>0</v>
      </c>
      <c r="AI213" s="42">
        <v>0</v>
      </c>
      <c r="AK213" s="42">
        <f t="shared" si="43"/>
        <v>0</v>
      </c>
      <c r="AM213" s="42">
        <f t="shared" ref="AM213:AM244" si="45">+AK213+Y213</f>
        <v>76011843</v>
      </c>
    </row>
    <row r="214" spans="1:39">
      <c r="A214" s="9" t="s">
        <v>257</v>
      </c>
      <c r="B214" s="9"/>
      <c r="C214" s="9" t="s">
        <v>110</v>
      </c>
      <c r="D214" s="9"/>
      <c r="E214" s="23">
        <v>44024</v>
      </c>
      <c r="G214" s="42">
        <v>4186147</v>
      </c>
      <c r="I214" s="42">
        <v>0</v>
      </c>
      <c r="K214" s="42">
        <v>10848962</v>
      </c>
      <c r="M214" s="42">
        <v>4048</v>
      </c>
      <c r="O214" s="42">
        <v>573287</v>
      </c>
      <c r="Q214" s="42">
        <v>6279</v>
      </c>
      <c r="S214" s="42">
        <v>0</v>
      </c>
      <c r="U214" s="42">
        <v>4889</v>
      </c>
      <c r="W214" s="42">
        <v>212734</v>
      </c>
      <c r="Y214" s="2">
        <f t="shared" si="44"/>
        <v>15836346</v>
      </c>
      <c r="AA214" s="42">
        <v>0</v>
      </c>
      <c r="AC214" s="42">
        <v>0</v>
      </c>
      <c r="AE214" s="42">
        <v>0</v>
      </c>
      <c r="AG214" s="42">
        <v>4000</v>
      </c>
      <c r="AI214" s="42">
        <v>0</v>
      </c>
      <c r="AK214" s="42">
        <f t="shared" si="43"/>
        <v>4000</v>
      </c>
      <c r="AM214" s="42">
        <f t="shared" si="45"/>
        <v>15840346</v>
      </c>
    </row>
    <row r="215" spans="1:39" ht="12" customHeight="1">
      <c r="A215" s="9" t="s">
        <v>637</v>
      </c>
      <c r="B215" s="9"/>
      <c r="C215" s="9" t="s">
        <v>29</v>
      </c>
      <c r="D215" s="9"/>
      <c r="E215" s="23">
        <v>65680</v>
      </c>
      <c r="G215" s="42">
        <v>8741330</v>
      </c>
      <c r="I215" s="42">
        <v>0</v>
      </c>
      <c r="K215" s="42">
        <v>11494512</v>
      </c>
      <c r="M215" s="42">
        <v>172686</v>
      </c>
      <c r="O215" s="42">
        <v>971570</v>
      </c>
      <c r="Q215" s="42">
        <v>57901</v>
      </c>
      <c r="S215" s="42">
        <v>0</v>
      </c>
      <c r="U215" s="42">
        <v>0</v>
      </c>
      <c r="W215" s="42">
        <v>263042</v>
      </c>
      <c r="Y215" s="2">
        <f t="shared" si="44"/>
        <v>21701041</v>
      </c>
      <c r="AA215" s="42">
        <v>0</v>
      </c>
      <c r="AC215" s="42">
        <v>0</v>
      </c>
      <c r="AE215" s="42">
        <v>0</v>
      </c>
      <c r="AG215" s="42">
        <v>4000</v>
      </c>
      <c r="AI215" s="42">
        <v>0</v>
      </c>
      <c r="AK215" s="42">
        <f t="shared" si="43"/>
        <v>4000</v>
      </c>
      <c r="AM215" s="42">
        <f t="shared" si="45"/>
        <v>21705041</v>
      </c>
    </row>
    <row r="216" spans="1:39">
      <c r="A216" s="9" t="s">
        <v>311</v>
      </c>
      <c r="B216" s="9"/>
      <c r="C216" s="9" t="s">
        <v>29</v>
      </c>
      <c r="D216" s="9"/>
      <c r="E216" s="23">
        <v>44032</v>
      </c>
      <c r="G216" s="42">
        <v>4609824</v>
      </c>
      <c r="I216" s="42">
        <v>0</v>
      </c>
      <c r="K216" s="42">
        <v>12371876</v>
      </c>
      <c r="M216" s="42">
        <v>26545</v>
      </c>
      <c r="O216" s="42">
        <v>1425667</v>
      </c>
      <c r="Q216" s="42">
        <v>5461</v>
      </c>
      <c r="S216" s="42">
        <v>0</v>
      </c>
      <c r="U216" s="42">
        <v>5377</v>
      </c>
      <c r="W216" s="42">
        <v>199505</v>
      </c>
      <c r="Y216" s="2">
        <f t="shared" si="44"/>
        <v>18644255</v>
      </c>
      <c r="AA216" s="42">
        <v>0</v>
      </c>
      <c r="AC216" s="42">
        <v>0</v>
      </c>
      <c r="AE216" s="42">
        <v>0</v>
      </c>
      <c r="AG216" s="42">
        <v>41069</v>
      </c>
      <c r="AI216" s="42">
        <v>0</v>
      </c>
      <c r="AK216" s="42">
        <f t="shared" si="43"/>
        <v>41069</v>
      </c>
      <c r="AM216" s="42">
        <f t="shared" si="45"/>
        <v>18685324</v>
      </c>
    </row>
    <row r="217" spans="1:39">
      <c r="A217" s="9" t="s">
        <v>531</v>
      </c>
      <c r="B217" s="9"/>
      <c r="C217" s="9" t="s">
        <v>65</v>
      </c>
      <c r="D217" s="9"/>
      <c r="E217" s="23">
        <v>50278</v>
      </c>
      <c r="G217" s="42">
        <v>5083762</v>
      </c>
      <c r="I217" s="42">
        <v>0</v>
      </c>
      <c r="K217" s="42">
        <v>4119726</v>
      </c>
      <c r="M217" s="42">
        <v>4121</v>
      </c>
      <c r="O217" s="42">
        <v>735883</v>
      </c>
      <c r="Q217" s="42">
        <v>35321</v>
      </c>
      <c r="S217" s="42">
        <v>0</v>
      </c>
      <c r="U217" s="42">
        <v>7500</v>
      </c>
      <c r="W217" s="42">
        <v>28492</v>
      </c>
      <c r="Y217" s="2">
        <f t="shared" si="44"/>
        <v>10014805</v>
      </c>
      <c r="AA217" s="42">
        <v>0</v>
      </c>
      <c r="AC217" s="42">
        <v>0</v>
      </c>
      <c r="AE217" s="42">
        <v>0</v>
      </c>
      <c r="AG217" s="42">
        <v>0</v>
      </c>
      <c r="AI217" s="42">
        <v>0</v>
      </c>
      <c r="AK217" s="42">
        <f t="shared" si="43"/>
        <v>0</v>
      </c>
      <c r="AM217" s="42">
        <f t="shared" si="45"/>
        <v>10014805</v>
      </c>
    </row>
    <row r="218" spans="1:39">
      <c r="A218" s="9" t="s">
        <v>673</v>
      </c>
      <c r="B218" s="9"/>
      <c r="C218" s="9" t="s">
        <v>20</v>
      </c>
      <c r="D218" s="9"/>
      <c r="E218" s="23">
        <v>44040</v>
      </c>
      <c r="G218" s="42">
        <v>14012845</v>
      </c>
      <c r="I218" s="42">
        <v>0</v>
      </c>
      <c r="K218" s="42">
        <v>19461512</v>
      </c>
      <c r="M218" s="42">
        <v>142441</v>
      </c>
      <c r="O218" s="42">
        <v>536874</v>
      </c>
      <c r="Q218" s="42">
        <v>0</v>
      </c>
      <c r="S218" s="42">
        <v>356411</v>
      </c>
      <c r="U218" s="42">
        <v>1000</v>
      </c>
      <c r="W218" s="42">
        <v>166229</v>
      </c>
      <c r="Y218" s="2">
        <f t="shared" si="44"/>
        <v>34677312</v>
      </c>
      <c r="AA218" s="42">
        <v>0</v>
      </c>
      <c r="AC218" s="42">
        <v>0</v>
      </c>
      <c r="AE218" s="42">
        <v>0</v>
      </c>
      <c r="AG218" s="42">
        <v>0</v>
      </c>
      <c r="AI218" s="42">
        <v>0</v>
      </c>
      <c r="AK218" s="42">
        <f t="shared" si="43"/>
        <v>0</v>
      </c>
      <c r="AM218" s="42">
        <f t="shared" si="45"/>
        <v>34677312</v>
      </c>
    </row>
    <row r="219" spans="1:39">
      <c r="A219" s="9" t="s">
        <v>638</v>
      </c>
      <c r="B219" s="9"/>
      <c r="C219" s="9" t="s">
        <v>12</v>
      </c>
      <c r="D219" s="9"/>
      <c r="E219" s="23">
        <v>44057</v>
      </c>
      <c r="F219" s="7"/>
      <c r="G219" s="42">
        <v>4813639</v>
      </c>
      <c r="I219" s="42">
        <v>0</v>
      </c>
      <c r="K219" s="42">
        <v>12504860</v>
      </c>
      <c r="M219" s="42">
        <v>9540</v>
      </c>
      <c r="O219" s="42">
        <f>1727506+4693+474</f>
        <v>1732673</v>
      </c>
      <c r="Q219" s="42">
        <v>75980</v>
      </c>
      <c r="S219" s="42">
        <v>114696</v>
      </c>
      <c r="U219" s="42">
        <v>6834</v>
      </c>
      <c r="W219" s="42">
        <v>8004</v>
      </c>
      <c r="Y219" s="2">
        <f t="shared" si="44"/>
        <v>19266226</v>
      </c>
      <c r="AA219" s="42">
        <v>0</v>
      </c>
      <c r="AC219" s="42">
        <v>0</v>
      </c>
      <c r="AE219" s="42">
        <v>0</v>
      </c>
      <c r="AG219" s="42">
        <v>223752</v>
      </c>
      <c r="AI219" s="42">
        <v>0</v>
      </c>
      <c r="AK219" s="42">
        <f t="shared" si="43"/>
        <v>223752</v>
      </c>
      <c r="AM219" s="42">
        <f t="shared" si="45"/>
        <v>19489978</v>
      </c>
    </row>
    <row r="220" spans="1:39" hidden="1">
      <c r="A220" s="9" t="s">
        <v>826</v>
      </c>
      <c r="B220" s="9"/>
      <c r="C220" s="9" t="s">
        <v>53</v>
      </c>
      <c r="D220" s="9"/>
      <c r="E220" s="23">
        <v>48942</v>
      </c>
      <c r="G220" s="42">
        <v>0</v>
      </c>
      <c r="I220" s="42">
        <v>0</v>
      </c>
      <c r="K220" s="42">
        <v>0</v>
      </c>
      <c r="M220" s="42">
        <v>0</v>
      </c>
      <c r="O220" s="42">
        <v>0</v>
      </c>
      <c r="Q220" s="42">
        <v>0</v>
      </c>
      <c r="S220" s="42">
        <v>0</v>
      </c>
      <c r="U220" s="42">
        <v>0</v>
      </c>
      <c r="W220" s="42">
        <v>0</v>
      </c>
      <c r="Y220" s="2">
        <f t="shared" si="44"/>
        <v>0</v>
      </c>
      <c r="AA220" s="42">
        <v>0</v>
      </c>
      <c r="AC220" s="42">
        <v>0</v>
      </c>
      <c r="AE220" s="42">
        <v>0</v>
      </c>
      <c r="AG220" s="42">
        <v>0</v>
      </c>
      <c r="AI220" s="42">
        <v>0</v>
      </c>
      <c r="AK220" s="42">
        <f t="shared" si="43"/>
        <v>0</v>
      </c>
      <c r="AM220" s="42">
        <f t="shared" si="45"/>
        <v>0</v>
      </c>
    </row>
    <row r="221" spans="1:39" hidden="1">
      <c r="A221" s="9" t="s">
        <v>660</v>
      </c>
      <c r="B221" s="9"/>
      <c r="C221" s="9" t="s">
        <v>77</v>
      </c>
      <c r="D221" s="9"/>
      <c r="E221" s="23">
        <v>45377</v>
      </c>
      <c r="F221" s="7"/>
      <c r="G221" s="42">
        <v>0</v>
      </c>
      <c r="I221" s="42">
        <v>0</v>
      </c>
      <c r="K221" s="42">
        <v>0</v>
      </c>
      <c r="M221" s="42">
        <v>0</v>
      </c>
      <c r="O221" s="42">
        <v>0</v>
      </c>
      <c r="Q221" s="42">
        <v>0</v>
      </c>
      <c r="S221" s="42">
        <v>0</v>
      </c>
      <c r="U221" s="42">
        <v>0</v>
      </c>
      <c r="W221" s="42">
        <v>0</v>
      </c>
      <c r="Y221" s="2">
        <f t="shared" si="44"/>
        <v>0</v>
      </c>
      <c r="AA221" s="42">
        <v>0</v>
      </c>
      <c r="AC221" s="42">
        <v>0</v>
      </c>
      <c r="AE221" s="42">
        <v>0</v>
      </c>
      <c r="AG221" s="42">
        <v>0</v>
      </c>
      <c r="AI221" s="42">
        <v>0</v>
      </c>
      <c r="AK221" s="42">
        <f t="shared" si="43"/>
        <v>0</v>
      </c>
      <c r="AM221" s="42">
        <f t="shared" si="45"/>
        <v>0</v>
      </c>
    </row>
    <row r="222" spans="1:39">
      <c r="A222" s="9" t="s">
        <v>742</v>
      </c>
      <c r="B222" s="9"/>
      <c r="C222" s="9" t="s">
        <v>79</v>
      </c>
      <c r="D222" s="9"/>
      <c r="E222" s="23">
        <v>45385</v>
      </c>
      <c r="G222" s="42">
        <v>1956094</v>
      </c>
      <c r="I222" s="42">
        <v>0</v>
      </c>
      <c r="K222" s="42">
        <v>5917599</v>
      </c>
      <c r="M222" s="42">
        <v>3687</v>
      </c>
      <c r="O222" s="42">
        <f>415506+43048</f>
        <v>458554</v>
      </c>
      <c r="Q222" s="42">
        <v>972</v>
      </c>
      <c r="S222" s="42">
        <v>0</v>
      </c>
      <c r="U222" s="42">
        <v>6845</v>
      </c>
      <c r="W222" s="42">
        <v>11748</v>
      </c>
      <c r="Y222" s="2">
        <f t="shared" si="44"/>
        <v>8355499</v>
      </c>
      <c r="AA222" s="42">
        <v>0</v>
      </c>
      <c r="AC222" s="42">
        <v>0</v>
      </c>
      <c r="AE222" s="42">
        <v>0</v>
      </c>
      <c r="AG222" s="42">
        <v>0</v>
      </c>
      <c r="AI222" s="42">
        <v>0</v>
      </c>
      <c r="AK222" s="42">
        <f t="shared" si="43"/>
        <v>0</v>
      </c>
      <c r="AM222" s="42">
        <f t="shared" si="45"/>
        <v>8355499</v>
      </c>
    </row>
    <row r="223" spans="1:39">
      <c r="A223" s="9" t="s">
        <v>517</v>
      </c>
      <c r="B223" s="9"/>
      <c r="C223" s="9" t="s">
        <v>64</v>
      </c>
      <c r="D223" s="9"/>
      <c r="E223" s="23">
        <v>44065</v>
      </c>
      <c r="G223" s="42">
        <v>3671695</v>
      </c>
      <c r="I223" s="42">
        <v>0</v>
      </c>
      <c r="K223" s="42">
        <f>8946355+38103</f>
        <v>8984458</v>
      </c>
      <c r="M223" s="42">
        <v>27032</v>
      </c>
      <c r="O223" s="42">
        <f>597217+28645+689+7050+16327</f>
        <v>649928</v>
      </c>
      <c r="Q223" s="42">
        <v>4026</v>
      </c>
      <c r="S223" s="42">
        <v>372787</v>
      </c>
      <c r="U223" s="42">
        <v>4100</v>
      </c>
      <c r="W223" s="42">
        <v>82947</v>
      </c>
      <c r="Y223" s="2">
        <f t="shared" si="44"/>
        <v>13796973</v>
      </c>
      <c r="AA223" s="42">
        <v>0</v>
      </c>
      <c r="AC223" s="42">
        <v>0</v>
      </c>
      <c r="AE223" s="42">
        <v>0</v>
      </c>
      <c r="AG223" s="42">
        <v>0</v>
      </c>
      <c r="AI223" s="42">
        <v>0</v>
      </c>
      <c r="AK223" s="42">
        <f t="shared" si="43"/>
        <v>0</v>
      </c>
      <c r="AM223" s="42">
        <f t="shared" si="45"/>
        <v>13796973</v>
      </c>
    </row>
    <row r="224" spans="1:39" ht="12" hidden="1" customHeight="1">
      <c r="A224" s="9" t="s">
        <v>784</v>
      </c>
      <c r="B224" s="9"/>
      <c r="C224" s="9" t="s">
        <v>28</v>
      </c>
      <c r="D224" s="9"/>
      <c r="E224" s="23">
        <v>47068</v>
      </c>
      <c r="G224" s="42">
        <v>0</v>
      </c>
      <c r="I224" s="42">
        <v>0</v>
      </c>
      <c r="K224" s="42">
        <v>0</v>
      </c>
      <c r="M224" s="42">
        <v>0</v>
      </c>
      <c r="O224" s="42">
        <v>0</v>
      </c>
      <c r="Q224" s="42">
        <v>0</v>
      </c>
      <c r="S224" s="42">
        <v>0</v>
      </c>
      <c r="U224" s="42">
        <v>0</v>
      </c>
      <c r="W224" s="42">
        <v>0</v>
      </c>
      <c r="Y224" s="2">
        <f t="shared" si="44"/>
        <v>0</v>
      </c>
      <c r="AA224" s="42">
        <v>0</v>
      </c>
      <c r="AC224" s="42">
        <v>0</v>
      </c>
      <c r="AE224" s="42">
        <v>0</v>
      </c>
      <c r="AG224" s="42">
        <v>0</v>
      </c>
      <c r="AI224" s="42">
        <v>0</v>
      </c>
      <c r="AK224" s="42">
        <f t="shared" si="43"/>
        <v>0</v>
      </c>
      <c r="AM224" s="42">
        <f t="shared" si="45"/>
        <v>0</v>
      </c>
    </row>
    <row r="225" spans="1:39">
      <c r="A225" s="9" t="s">
        <v>238</v>
      </c>
      <c r="B225" s="9"/>
      <c r="C225" s="9" t="s">
        <v>112</v>
      </c>
      <c r="D225" s="9"/>
      <c r="E225" s="23">
        <v>46342</v>
      </c>
      <c r="F225" s="7"/>
      <c r="G225" s="42">
        <v>4831624</v>
      </c>
      <c r="I225" s="42">
        <v>2989195</v>
      </c>
      <c r="K225" s="42">
        <v>13238571</v>
      </c>
      <c r="M225" s="42">
        <v>0</v>
      </c>
      <c r="O225" s="42">
        <f>1852045+19560+41409</f>
        <v>1913014</v>
      </c>
      <c r="Q225" s="42">
        <v>147025</v>
      </c>
      <c r="S225" s="42">
        <v>88723</v>
      </c>
      <c r="U225" s="42">
        <v>4242</v>
      </c>
      <c r="W225" s="42">
        <v>382389</v>
      </c>
      <c r="Y225" s="2">
        <f t="shared" si="44"/>
        <v>23594783</v>
      </c>
      <c r="AA225" s="42">
        <v>0</v>
      </c>
      <c r="AC225" s="42">
        <v>0</v>
      </c>
      <c r="AE225" s="42">
        <v>0</v>
      </c>
      <c r="AG225" s="42">
        <v>0</v>
      </c>
      <c r="AI225" s="42">
        <v>0</v>
      </c>
      <c r="AK225" s="42">
        <f t="shared" si="43"/>
        <v>0</v>
      </c>
      <c r="AM225" s="42">
        <f t="shared" si="45"/>
        <v>23594783</v>
      </c>
    </row>
    <row r="226" spans="1:39" ht="12" hidden="1" customHeight="1">
      <c r="A226" s="9" t="s">
        <v>785</v>
      </c>
      <c r="B226" s="9"/>
      <c r="C226" s="9" t="s">
        <v>227</v>
      </c>
      <c r="D226" s="9"/>
      <c r="E226" s="23">
        <v>46193</v>
      </c>
      <c r="F226" s="7"/>
      <c r="G226" s="42">
        <v>0</v>
      </c>
      <c r="I226" s="42">
        <v>0</v>
      </c>
      <c r="K226" s="42">
        <v>0</v>
      </c>
      <c r="M226" s="42">
        <v>0</v>
      </c>
      <c r="O226" s="42">
        <v>0</v>
      </c>
      <c r="Q226" s="42">
        <v>0</v>
      </c>
      <c r="S226" s="42">
        <v>0</v>
      </c>
      <c r="U226" s="42">
        <v>0</v>
      </c>
      <c r="W226" s="42">
        <v>0</v>
      </c>
      <c r="Y226" s="2">
        <f t="shared" si="44"/>
        <v>0</v>
      </c>
      <c r="AA226" s="42">
        <v>0</v>
      </c>
      <c r="AC226" s="42">
        <v>0</v>
      </c>
      <c r="AE226" s="42">
        <v>0</v>
      </c>
      <c r="AG226" s="42">
        <v>0</v>
      </c>
      <c r="AI226" s="42">
        <v>0</v>
      </c>
      <c r="AK226" s="42">
        <f t="shared" si="43"/>
        <v>0</v>
      </c>
      <c r="AM226" s="42">
        <f t="shared" si="45"/>
        <v>0</v>
      </c>
    </row>
    <row r="227" spans="1:39">
      <c r="A227" s="9" t="s">
        <v>207</v>
      </c>
      <c r="B227" s="9"/>
      <c r="C227" s="9" t="s">
        <v>12</v>
      </c>
      <c r="D227" s="9"/>
      <c r="E227" s="23">
        <v>45864</v>
      </c>
      <c r="F227" s="7"/>
      <c r="G227" s="42">
        <v>2455355</v>
      </c>
      <c r="I227" s="42">
        <v>0</v>
      </c>
      <c r="K227" s="42">
        <v>6452062</v>
      </c>
      <c r="M227" s="42">
        <v>5405</v>
      </c>
      <c r="O227" s="42">
        <f>623037+29734</f>
        <v>652771</v>
      </c>
      <c r="Q227" s="42">
        <v>77537</v>
      </c>
      <c r="S227" s="42">
        <v>0</v>
      </c>
      <c r="U227" s="42">
        <v>0</v>
      </c>
      <c r="W227" s="42">
        <v>81689</v>
      </c>
      <c r="Y227" s="2">
        <f t="shared" si="44"/>
        <v>9724819</v>
      </c>
      <c r="AA227" s="42">
        <v>0</v>
      </c>
      <c r="AC227" s="42">
        <v>0</v>
      </c>
      <c r="AE227" s="42">
        <v>0</v>
      </c>
      <c r="AG227" s="42">
        <v>0</v>
      </c>
      <c r="AI227" s="42">
        <v>0</v>
      </c>
      <c r="AK227" s="42">
        <f t="shared" si="43"/>
        <v>0</v>
      </c>
      <c r="AM227" s="42">
        <f t="shared" si="45"/>
        <v>9724819</v>
      </c>
    </row>
    <row r="228" spans="1:39">
      <c r="A228" s="9" t="s">
        <v>301</v>
      </c>
      <c r="B228" s="9"/>
      <c r="C228" s="9" t="s">
        <v>27</v>
      </c>
      <c r="D228" s="9"/>
      <c r="E228" s="23">
        <v>44073</v>
      </c>
      <c r="G228" s="42">
        <v>10197055</v>
      </c>
      <c r="I228" s="42">
        <v>0</v>
      </c>
      <c r="K228" s="42">
        <f>3500247+1472</f>
        <v>3501719</v>
      </c>
      <c r="M228" s="42">
        <v>15408</v>
      </c>
      <c r="O228" s="42">
        <v>261485</v>
      </c>
      <c r="Q228" s="42">
        <v>0</v>
      </c>
      <c r="S228" s="42">
        <v>1228321</v>
      </c>
      <c r="U228" s="42">
        <v>0</v>
      </c>
      <c r="W228" s="42">
        <v>463912</v>
      </c>
      <c r="Y228" s="2">
        <f t="shared" ref="Y228:Y293" si="46">SUM(G228:X228)</f>
        <v>15667900</v>
      </c>
      <c r="AA228" s="42">
        <v>0</v>
      </c>
      <c r="AC228" s="42">
        <v>0</v>
      </c>
      <c r="AE228" s="42">
        <v>193203</v>
      </c>
      <c r="AG228" s="42">
        <v>0</v>
      </c>
      <c r="AI228" s="42">
        <v>0</v>
      </c>
      <c r="AK228" s="42">
        <f t="shared" ref="AK228:AK293" si="47">SUM(AA228:AJ228)</f>
        <v>193203</v>
      </c>
      <c r="AM228" s="42">
        <f t="shared" si="45"/>
        <v>15861103</v>
      </c>
    </row>
    <row r="229" spans="1:39">
      <c r="A229" s="9" t="s">
        <v>661</v>
      </c>
      <c r="B229" s="9"/>
      <c r="C229" s="9" t="s">
        <v>42</v>
      </c>
      <c r="D229" s="9"/>
      <c r="E229" s="23">
        <v>45393</v>
      </c>
      <c r="G229" s="42">
        <v>15132700</v>
      </c>
      <c r="I229" s="42">
        <v>0</v>
      </c>
      <c r="K229" s="42">
        <v>7181935</v>
      </c>
      <c r="M229" s="42">
        <v>19690</v>
      </c>
      <c r="O229" s="42">
        <f>159038</f>
        <v>159038</v>
      </c>
      <c r="Q229" s="42">
        <v>218983</v>
      </c>
      <c r="S229" s="42">
        <v>305329</v>
      </c>
      <c r="U229" s="42">
        <v>32354</v>
      </c>
      <c r="W229" s="42">
        <v>129766</v>
      </c>
      <c r="Y229" s="2">
        <f t="shared" si="46"/>
        <v>23179795</v>
      </c>
      <c r="AA229" s="42">
        <v>0</v>
      </c>
      <c r="AC229" s="42">
        <v>0</v>
      </c>
      <c r="AE229" s="42">
        <v>0</v>
      </c>
      <c r="AG229" s="42">
        <v>0</v>
      </c>
      <c r="AI229" s="42">
        <v>0</v>
      </c>
      <c r="AK229" s="42">
        <f t="shared" si="47"/>
        <v>0</v>
      </c>
      <c r="AM229" s="42">
        <f t="shared" si="45"/>
        <v>23179795</v>
      </c>
    </row>
    <row r="230" spans="1:39">
      <c r="A230" s="9" t="s">
        <v>478</v>
      </c>
      <c r="B230" s="9"/>
      <c r="C230" s="9" t="s">
        <v>59</v>
      </c>
      <c r="D230" s="9"/>
      <c r="E230" s="23">
        <v>49619</v>
      </c>
      <c r="G230" s="42">
        <v>1561204</v>
      </c>
      <c r="I230" s="42">
        <v>0</v>
      </c>
      <c r="K230" s="42">
        <v>3800219</v>
      </c>
      <c r="M230" s="42">
        <v>219</v>
      </c>
      <c r="O230" s="42">
        <f>431370+12075</f>
        <v>443445</v>
      </c>
      <c r="Q230" s="42">
        <v>34733</v>
      </c>
      <c r="S230" s="42">
        <v>105216</v>
      </c>
      <c r="U230" s="42">
        <v>5300</v>
      </c>
      <c r="W230" s="42">
        <v>228548</v>
      </c>
      <c r="Y230" s="2">
        <f t="shared" si="46"/>
        <v>6178884</v>
      </c>
      <c r="AA230" s="42">
        <v>0</v>
      </c>
      <c r="AC230" s="42">
        <v>0</v>
      </c>
      <c r="AE230" s="42">
        <v>0</v>
      </c>
      <c r="AG230" s="42">
        <v>0</v>
      </c>
      <c r="AI230" s="42">
        <v>0</v>
      </c>
      <c r="AK230" s="42">
        <f t="shared" si="47"/>
        <v>0</v>
      </c>
      <c r="AM230" s="42">
        <f t="shared" si="45"/>
        <v>6178884</v>
      </c>
    </row>
    <row r="231" spans="1:39">
      <c r="A231" s="9" t="s">
        <v>478</v>
      </c>
      <c r="B231" s="9"/>
      <c r="C231" s="9" t="s">
        <v>63</v>
      </c>
      <c r="D231" s="9"/>
      <c r="E231" s="23">
        <v>50013</v>
      </c>
      <c r="G231" s="42">
        <v>19697140</v>
      </c>
      <c r="I231" s="42">
        <v>0</v>
      </c>
      <c r="K231" s="42">
        <v>13415101</v>
      </c>
      <c r="M231" s="42">
        <v>6798</v>
      </c>
      <c r="O231" s="42">
        <f>1039296+28123</f>
        <v>1067419</v>
      </c>
      <c r="Q231" s="42">
        <v>456575</v>
      </c>
      <c r="S231" s="42">
        <v>0</v>
      </c>
      <c r="U231" s="42">
        <v>0</v>
      </c>
      <c r="W231" s="42">
        <v>198927</v>
      </c>
      <c r="Y231" s="2">
        <f t="shared" si="46"/>
        <v>34841960</v>
      </c>
      <c r="AA231" s="42">
        <v>0</v>
      </c>
      <c r="AC231" s="42">
        <v>0</v>
      </c>
      <c r="AE231" s="42">
        <v>0</v>
      </c>
      <c r="AG231" s="42">
        <v>9281</v>
      </c>
      <c r="AI231" s="42">
        <v>0</v>
      </c>
      <c r="AK231" s="42">
        <f t="shared" si="47"/>
        <v>9281</v>
      </c>
      <c r="AM231" s="42">
        <f t="shared" si="45"/>
        <v>34851241</v>
      </c>
    </row>
    <row r="232" spans="1:39" hidden="1">
      <c r="A232" s="8" t="s">
        <v>845</v>
      </c>
      <c r="B232" s="9"/>
      <c r="C232" s="9" t="s">
        <v>71</v>
      </c>
      <c r="D232" s="9"/>
      <c r="E232" s="23">
        <v>50559</v>
      </c>
      <c r="G232" s="42">
        <v>0</v>
      </c>
      <c r="I232" s="42">
        <v>0</v>
      </c>
      <c r="K232" s="42">
        <v>0</v>
      </c>
      <c r="M232" s="42">
        <v>0</v>
      </c>
      <c r="O232" s="42">
        <v>0</v>
      </c>
      <c r="Q232" s="42">
        <v>0</v>
      </c>
      <c r="S232" s="42">
        <v>0</v>
      </c>
      <c r="U232" s="42">
        <v>0</v>
      </c>
      <c r="W232" s="42">
        <v>0</v>
      </c>
      <c r="Y232" s="2">
        <f t="shared" si="46"/>
        <v>0</v>
      </c>
      <c r="AA232" s="42">
        <v>0</v>
      </c>
      <c r="AC232" s="42">
        <v>0</v>
      </c>
      <c r="AE232" s="42">
        <v>0</v>
      </c>
      <c r="AG232" s="42">
        <v>0</v>
      </c>
      <c r="AI232" s="42">
        <v>0</v>
      </c>
      <c r="AK232" s="42">
        <f t="shared" si="47"/>
        <v>0</v>
      </c>
      <c r="AM232" s="42">
        <f t="shared" si="45"/>
        <v>0</v>
      </c>
    </row>
    <row r="233" spans="1:39">
      <c r="A233" s="9" t="s">
        <v>316</v>
      </c>
      <c r="B233" s="9"/>
      <c r="C233" s="9" t="s">
        <v>113</v>
      </c>
      <c r="D233" s="9"/>
      <c r="E233" s="23">
        <v>47266</v>
      </c>
      <c r="G233" s="42">
        <v>3677446</v>
      </c>
      <c r="I233" s="42">
        <v>1741863</v>
      </c>
      <c r="K233" s="42">
        <v>5933450</v>
      </c>
      <c r="M233" s="42">
        <v>24236</v>
      </c>
      <c r="O233" s="42">
        <f>1044668+6402</f>
        <v>1051070</v>
      </c>
      <c r="Q233" s="42">
        <v>58298</v>
      </c>
      <c r="S233" s="42">
        <v>0</v>
      </c>
      <c r="U233" s="42">
        <v>12103</v>
      </c>
      <c r="W233" s="42">
        <v>42321</v>
      </c>
      <c r="Y233" s="2">
        <f t="shared" si="46"/>
        <v>12540787</v>
      </c>
      <c r="AA233" s="42">
        <v>0</v>
      </c>
      <c r="AC233" s="42">
        <v>0</v>
      </c>
      <c r="AE233" s="42">
        <v>0</v>
      </c>
      <c r="AG233" s="42">
        <f>2736+2039</f>
        <v>4775</v>
      </c>
      <c r="AI233" s="42">
        <v>0</v>
      </c>
      <c r="AK233" s="42">
        <f t="shared" si="47"/>
        <v>4775</v>
      </c>
      <c r="AM233" s="42">
        <f t="shared" si="45"/>
        <v>12545562</v>
      </c>
    </row>
    <row r="234" spans="1:39">
      <c r="A234" s="9" t="s">
        <v>754</v>
      </c>
      <c r="B234" s="9"/>
      <c r="C234" s="9" t="s">
        <v>346</v>
      </c>
      <c r="D234" s="9"/>
      <c r="E234" s="23">
        <v>45401</v>
      </c>
      <c r="G234" s="42">
        <v>3066738</v>
      </c>
      <c r="I234" s="42">
        <v>1826116</v>
      </c>
      <c r="K234" s="42">
        <v>12997368</v>
      </c>
      <c r="M234" s="42">
        <v>21183</v>
      </c>
      <c r="O234" s="42">
        <f>500569+1967+29907</f>
        <v>532443</v>
      </c>
      <c r="Q234" s="42">
        <v>724</v>
      </c>
      <c r="S234" s="42">
        <v>0</v>
      </c>
      <c r="U234" s="42">
        <v>0</v>
      </c>
      <c r="W234" s="42">
        <v>294732</v>
      </c>
      <c r="Y234" s="2">
        <f t="shared" si="46"/>
        <v>18739304</v>
      </c>
      <c r="AA234" s="42">
        <v>0</v>
      </c>
      <c r="AC234" s="42">
        <v>0</v>
      </c>
      <c r="AE234" s="42">
        <v>0</v>
      </c>
      <c r="AG234" s="42">
        <v>0</v>
      </c>
      <c r="AI234" s="42">
        <v>0</v>
      </c>
      <c r="AK234" s="42">
        <f t="shared" si="47"/>
        <v>0</v>
      </c>
      <c r="AM234" s="42">
        <f t="shared" si="45"/>
        <v>18739304</v>
      </c>
    </row>
    <row r="235" spans="1:39">
      <c r="A235" s="9" t="s">
        <v>230</v>
      </c>
      <c r="B235" s="9"/>
      <c r="C235" s="9" t="s">
        <v>17</v>
      </c>
      <c r="D235" s="9"/>
      <c r="E235" s="23">
        <v>46235</v>
      </c>
      <c r="F235" s="7"/>
      <c r="G235" s="42">
        <v>6367885</v>
      </c>
      <c r="I235" s="42">
        <v>0</v>
      </c>
      <c r="K235" s="42">
        <f>7303419+12438</f>
        <v>7315857</v>
      </c>
      <c r="M235" s="42">
        <f>7040-7589</f>
        <v>-549</v>
      </c>
      <c r="O235" s="42">
        <f>698524+95947+6330</f>
        <v>800801</v>
      </c>
      <c r="Q235" s="42">
        <v>145936</v>
      </c>
      <c r="S235" s="42">
        <v>0</v>
      </c>
      <c r="U235" s="42">
        <v>7782</v>
      </c>
      <c r="W235" s="42">
        <v>15838</v>
      </c>
      <c r="Y235" s="2">
        <f t="shared" si="46"/>
        <v>14653550</v>
      </c>
      <c r="AA235" s="42">
        <v>0</v>
      </c>
      <c r="AC235" s="42">
        <v>0</v>
      </c>
      <c r="AE235" s="42">
        <v>0</v>
      </c>
      <c r="AG235" s="42">
        <v>0</v>
      </c>
      <c r="AI235" s="42">
        <v>0</v>
      </c>
      <c r="AK235" s="42">
        <f t="shared" si="47"/>
        <v>0</v>
      </c>
      <c r="AM235" s="42">
        <f t="shared" si="45"/>
        <v>14653550</v>
      </c>
    </row>
    <row r="236" spans="1:39">
      <c r="A236" s="9" t="s">
        <v>280</v>
      </c>
      <c r="B236" s="9"/>
      <c r="C236" s="9" t="s">
        <v>21</v>
      </c>
      <c r="D236" s="9"/>
      <c r="E236" s="23">
        <v>44099</v>
      </c>
      <c r="G236" s="42">
        <v>9383387</v>
      </c>
      <c r="I236" s="42">
        <v>2017210</v>
      </c>
      <c r="K236" s="42">
        <v>13208298</v>
      </c>
      <c r="M236" s="42">
        <v>14191</v>
      </c>
      <c r="O236" s="42">
        <f>581686+53022+18029</f>
        <v>652737</v>
      </c>
      <c r="Q236" s="42">
        <v>107026</v>
      </c>
      <c r="S236" s="42">
        <v>41751</v>
      </c>
      <c r="U236" s="42">
        <v>15022</v>
      </c>
      <c r="W236" s="42">
        <v>31101</v>
      </c>
      <c r="Y236" s="2">
        <f>SUM(G236:X236)</f>
        <v>25470723</v>
      </c>
      <c r="AA236" s="42">
        <v>0</v>
      </c>
      <c r="AC236" s="42">
        <v>0</v>
      </c>
      <c r="AE236" s="42">
        <v>0</v>
      </c>
      <c r="AG236" s="42">
        <v>0</v>
      </c>
      <c r="AI236" s="42">
        <v>0</v>
      </c>
      <c r="AK236" s="42">
        <f t="shared" si="47"/>
        <v>0</v>
      </c>
      <c r="AM236" s="42">
        <f t="shared" si="45"/>
        <v>25470723</v>
      </c>
    </row>
    <row r="237" spans="1:39">
      <c r="A237" s="9" t="s">
        <v>302</v>
      </c>
      <c r="B237" s="9"/>
      <c r="C237" s="9" t="s">
        <v>27</v>
      </c>
      <c r="D237" s="9"/>
      <c r="E237" s="23">
        <v>46979</v>
      </c>
      <c r="G237" s="42">
        <v>23781547</v>
      </c>
      <c r="I237" s="42">
        <v>0</v>
      </c>
      <c r="K237" s="42">
        <v>33099245</v>
      </c>
      <c r="M237" s="42">
        <v>2533</v>
      </c>
      <c r="O237" s="42">
        <f>1006392+727171</f>
        <v>1733563</v>
      </c>
      <c r="Q237" s="42">
        <v>184311</v>
      </c>
      <c r="S237" s="42">
        <v>553051</v>
      </c>
      <c r="U237" s="42">
        <v>17062</v>
      </c>
      <c r="W237" s="42">
        <v>500211</v>
      </c>
      <c r="Y237" s="2">
        <f t="shared" si="46"/>
        <v>59871523</v>
      </c>
      <c r="AA237" s="42">
        <v>0</v>
      </c>
      <c r="AC237" s="42">
        <v>0</v>
      </c>
      <c r="AE237" s="42">
        <v>0</v>
      </c>
      <c r="AG237" s="42">
        <v>1022</v>
      </c>
      <c r="AI237" s="42">
        <v>0</v>
      </c>
      <c r="AK237" s="42">
        <f t="shared" si="47"/>
        <v>1022</v>
      </c>
      <c r="AM237" s="42">
        <f t="shared" si="45"/>
        <v>59872545</v>
      </c>
    </row>
    <row r="238" spans="1:39" hidden="1">
      <c r="A238" s="8" t="s">
        <v>846</v>
      </c>
      <c r="B238" s="9"/>
      <c r="C238" s="9" t="s">
        <v>220</v>
      </c>
      <c r="D238" s="9"/>
      <c r="E238" s="23">
        <v>44107</v>
      </c>
      <c r="F238" s="7"/>
      <c r="G238" s="42">
        <v>0</v>
      </c>
      <c r="I238" s="42">
        <v>0</v>
      </c>
      <c r="K238" s="42">
        <v>0</v>
      </c>
      <c r="M238" s="42">
        <v>0</v>
      </c>
      <c r="O238" s="42">
        <v>0</v>
      </c>
      <c r="Q238" s="42">
        <v>0</v>
      </c>
      <c r="S238" s="42">
        <v>0</v>
      </c>
      <c r="U238" s="42">
        <v>0</v>
      </c>
      <c r="W238" s="42">
        <v>0</v>
      </c>
      <c r="Y238" s="2">
        <f t="shared" si="46"/>
        <v>0</v>
      </c>
      <c r="AA238" s="42">
        <v>0</v>
      </c>
      <c r="AC238" s="42">
        <v>0</v>
      </c>
      <c r="AE238" s="42">
        <v>0</v>
      </c>
      <c r="AG238" s="42">
        <v>0</v>
      </c>
      <c r="AI238" s="42">
        <v>0</v>
      </c>
      <c r="AK238" s="42">
        <f t="shared" si="47"/>
        <v>0</v>
      </c>
      <c r="AM238" s="42">
        <f t="shared" si="45"/>
        <v>0</v>
      </c>
    </row>
    <row r="239" spans="1:39">
      <c r="A239" s="8" t="s">
        <v>796</v>
      </c>
      <c r="B239" s="9"/>
      <c r="C239" s="9" t="s">
        <v>27</v>
      </c>
      <c r="D239" s="9"/>
      <c r="E239" s="23">
        <v>46953</v>
      </c>
      <c r="G239" s="42">
        <v>4271975</v>
      </c>
      <c r="I239" s="42">
        <v>0</v>
      </c>
      <c r="K239" s="42">
        <v>17586273</v>
      </c>
      <c r="M239" s="42">
        <v>10977</v>
      </c>
      <c r="O239" s="42">
        <v>17779</v>
      </c>
      <c r="Q239" s="42">
        <v>224406</v>
      </c>
      <c r="S239" s="42">
        <v>1492084</v>
      </c>
      <c r="U239" s="42">
        <v>0</v>
      </c>
      <c r="W239" s="42">
        <v>166525</v>
      </c>
      <c r="Y239" s="2">
        <f t="shared" si="46"/>
        <v>23770019</v>
      </c>
      <c r="AA239" s="42">
        <v>0</v>
      </c>
      <c r="AC239" s="42">
        <v>0</v>
      </c>
      <c r="AE239" s="42">
        <v>0</v>
      </c>
      <c r="AG239" s="42">
        <v>0</v>
      </c>
      <c r="AI239" s="42">
        <v>0</v>
      </c>
      <c r="AK239" s="42">
        <f t="shared" si="47"/>
        <v>0</v>
      </c>
      <c r="AM239" s="42">
        <f t="shared" si="45"/>
        <v>23770019</v>
      </c>
    </row>
    <row r="240" spans="1:39" hidden="1">
      <c r="A240" s="8" t="s">
        <v>338</v>
      </c>
      <c r="B240" s="9"/>
      <c r="C240" s="9" t="s">
        <v>337</v>
      </c>
      <c r="D240" s="9"/>
      <c r="E240" s="23">
        <v>47498</v>
      </c>
      <c r="G240" s="42">
        <v>0</v>
      </c>
      <c r="I240" s="42">
        <v>0</v>
      </c>
      <c r="K240" s="42">
        <v>0</v>
      </c>
      <c r="M240" s="42">
        <v>0</v>
      </c>
      <c r="O240" s="42">
        <v>0</v>
      </c>
      <c r="Q240" s="42">
        <v>0</v>
      </c>
      <c r="S240" s="42">
        <v>0</v>
      </c>
      <c r="U240" s="42">
        <v>0</v>
      </c>
      <c r="W240" s="42">
        <v>0</v>
      </c>
      <c r="Y240" s="2">
        <f t="shared" si="46"/>
        <v>0</v>
      </c>
      <c r="AA240" s="42">
        <v>0</v>
      </c>
      <c r="AC240" s="42">
        <v>0</v>
      </c>
      <c r="AE240" s="42">
        <v>0</v>
      </c>
      <c r="AG240" s="42">
        <v>0</v>
      </c>
      <c r="AI240" s="42">
        <v>0</v>
      </c>
      <c r="AK240" s="42">
        <f t="shared" si="47"/>
        <v>0</v>
      </c>
      <c r="AM240" s="42">
        <f t="shared" si="45"/>
        <v>0</v>
      </c>
    </row>
    <row r="241" spans="1:39">
      <c r="A241" s="8" t="s">
        <v>487</v>
      </c>
      <c r="B241" s="9"/>
      <c r="C241" s="9" t="s">
        <v>61</v>
      </c>
      <c r="D241" s="9"/>
      <c r="E241" s="23">
        <v>49791</v>
      </c>
      <c r="G241" s="42">
        <v>1767070</v>
      </c>
      <c r="I241" s="42">
        <v>488333</v>
      </c>
      <c r="K241" s="42">
        <v>4325650</v>
      </c>
      <c r="M241" s="42">
        <v>7586</v>
      </c>
      <c r="O241" s="42">
        <v>1008925</v>
      </c>
      <c r="Q241" s="42">
        <v>9773</v>
      </c>
      <c r="S241" s="42">
        <v>0</v>
      </c>
      <c r="U241" s="42">
        <v>0</v>
      </c>
      <c r="W241" s="42">
        <v>53417</v>
      </c>
      <c r="Y241" s="2">
        <f t="shared" si="46"/>
        <v>7660754</v>
      </c>
      <c r="AA241" s="42">
        <v>0</v>
      </c>
      <c r="AC241" s="42">
        <v>0</v>
      </c>
      <c r="AE241" s="42">
        <v>0</v>
      </c>
      <c r="AG241" s="42">
        <v>0</v>
      </c>
      <c r="AI241" s="42">
        <v>0</v>
      </c>
      <c r="AK241" s="42">
        <f t="shared" si="47"/>
        <v>0</v>
      </c>
      <c r="AM241" s="42">
        <f t="shared" si="45"/>
        <v>7660754</v>
      </c>
    </row>
    <row r="242" spans="1:39" hidden="1">
      <c r="A242" s="8" t="s">
        <v>847</v>
      </c>
      <c r="B242" s="9"/>
      <c r="C242" s="9" t="s">
        <v>341</v>
      </c>
      <c r="D242" s="9"/>
      <c r="E242" s="23">
        <v>45245</v>
      </c>
      <c r="G242" s="42">
        <v>0</v>
      </c>
      <c r="I242" s="42">
        <v>0</v>
      </c>
      <c r="K242" s="42">
        <v>0</v>
      </c>
      <c r="M242" s="42">
        <v>0</v>
      </c>
      <c r="O242" s="42">
        <v>0</v>
      </c>
      <c r="Q242" s="42">
        <v>0</v>
      </c>
      <c r="S242" s="42">
        <v>0</v>
      </c>
      <c r="U242" s="42">
        <v>0</v>
      </c>
      <c r="W242" s="42">
        <v>0</v>
      </c>
      <c r="Y242" s="2">
        <f t="shared" si="46"/>
        <v>0</v>
      </c>
      <c r="AA242" s="42">
        <v>0</v>
      </c>
      <c r="AC242" s="42">
        <v>0</v>
      </c>
      <c r="AE242" s="42">
        <v>0</v>
      </c>
      <c r="AG242" s="42">
        <v>0</v>
      </c>
      <c r="AI242" s="42">
        <v>0</v>
      </c>
      <c r="AK242" s="42">
        <f t="shared" si="47"/>
        <v>0</v>
      </c>
      <c r="AM242" s="42">
        <f t="shared" si="45"/>
        <v>0</v>
      </c>
    </row>
    <row r="243" spans="1:39">
      <c r="A243" s="9" t="s">
        <v>371</v>
      </c>
      <c r="B243" s="9"/>
      <c r="C243" s="9" t="s">
        <v>42</v>
      </c>
      <c r="D243" s="9"/>
      <c r="E243" s="23">
        <v>44115</v>
      </c>
      <c r="G243" s="42">
        <v>6779719</v>
      </c>
      <c r="I243" s="42">
        <v>0</v>
      </c>
      <c r="K243" s="42">
        <v>5772596</v>
      </c>
      <c r="M243" s="42">
        <v>3571</v>
      </c>
      <c r="O243" s="42">
        <f>78449+76887</f>
        <v>155336</v>
      </c>
      <c r="Q243" s="42">
        <v>0</v>
      </c>
      <c r="S243" s="42">
        <v>0</v>
      </c>
      <c r="U243" s="42">
        <v>0</v>
      </c>
      <c r="W243" s="42">
        <v>524691</v>
      </c>
      <c r="Y243" s="2">
        <f t="shared" si="46"/>
        <v>13235913</v>
      </c>
      <c r="AA243" s="42">
        <v>0</v>
      </c>
      <c r="AC243" s="42">
        <v>0</v>
      </c>
      <c r="AE243" s="42">
        <v>0</v>
      </c>
      <c r="AG243" s="42">
        <v>74450</v>
      </c>
      <c r="AI243" s="42">
        <v>0</v>
      </c>
      <c r="AK243" s="42">
        <f t="shared" si="47"/>
        <v>74450</v>
      </c>
      <c r="AM243" s="42">
        <f t="shared" si="45"/>
        <v>13310363</v>
      </c>
    </row>
    <row r="244" spans="1:39" hidden="1">
      <c r="A244" s="9" t="s">
        <v>662</v>
      </c>
      <c r="B244" s="9"/>
      <c r="C244" s="9" t="s">
        <v>22</v>
      </c>
      <c r="D244" s="9"/>
      <c r="E244" s="23">
        <v>45419</v>
      </c>
      <c r="G244" s="42">
        <v>0</v>
      </c>
      <c r="I244" s="42">
        <v>0</v>
      </c>
      <c r="K244" s="42">
        <v>0</v>
      </c>
      <c r="M244" s="42">
        <v>0</v>
      </c>
      <c r="O244" s="42">
        <v>0</v>
      </c>
      <c r="Q244" s="42">
        <v>0</v>
      </c>
      <c r="S244" s="42">
        <v>0</v>
      </c>
      <c r="U244" s="42">
        <v>0</v>
      </c>
      <c r="W244" s="42">
        <v>0</v>
      </c>
      <c r="Y244" s="2">
        <f t="shared" si="46"/>
        <v>0</v>
      </c>
      <c r="AA244" s="42">
        <v>0</v>
      </c>
      <c r="AC244" s="42">
        <v>0</v>
      </c>
      <c r="AE244" s="42">
        <v>0</v>
      </c>
      <c r="AG244" s="42">
        <v>0</v>
      </c>
      <c r="AI244" s="42">
        <v>0</v>
      </c>
      <c r="AK244" s="42">
        <f t="shared" si="47"/>
        <v>0</v>
      </c>
      <c r="AM244" s="42">
        <f t="shared" si="45"/>
        <v>0</v>
      </c>
    </row>
    <row r="245" spans="1:39">
      <c r="A245" s="9" t="s">
        <v>414</v>
      </c>
      <c r="B245" s="9"/>
      <c r="C245" s="9" t="s">
        <v>47</v>
      </c>
      <c r="D245" s="9"/>
      <c r="E245" s="23">
        <v>48496</v>
      </c>
      <c r="G245" s="42">
        <v>20055314</v>
      </c>
      <c r="I245" s="42">
        <v>0</v>
      </c>
      <c r="K245" s="42">
        <v>7415811</v>
      </c>
      <c r="M245" s="42">
        <v>56945</v>
      </c>
      <c r="O245" s="42">
        <f>807807+44846</f>
        <v>852653</v>
      </c>
      <c r="Q245" s="42">
        <v>407140</v>
      </c>
      <c r="S245" s="42">
        <v>0</v>
      </c>
      <c r="U245" s="42">
        <v>12314</v>
      </c>
      <c r="W245" s="42">
        <v>44042</v>
      </c>
      <c r="Y245" s="2">
        <f t="shared" si="46"/>
        <v>28844219</v>
      </c>
      <c r="AA245" s="42">
        <v>0</v>
      </c>
      <c r="AC245" s="42">
        <v>0</v>
      </c>
      <c r="AE245" s="42">
        <v>0</v>
      </c>
      <c r="AG245" s="42">
        <v>0</v>
      </c>
      <c r="AI245" s="42">
        <v>0</v>
      </c>
      <c r="AK245" s="42">
        <f t="shared" si="47"/>
        <v>0</v>
      </c>
      <c r="AM245" s="42">
        <f t="shared" ref="AM245:AM278" si="48">+AK245+Y245</f>
        <v>28844219</v>
      </c>
    </row>
    <row r="246" spans="1:39">
      <c r="A246" s="9" t="s">
        <v>414</v>
      </c>
      <c r="B246" s="9"/>
      <c r="C246" s="9" t="s">
        <v>78</v>
      </c>
      <c r="D246" s="9"/>
      <c r="E246" s="23">
        <v>48801</v>
      </c>
      <c r="G246" s="42">
        <v>3511223</v>
      </c>
      <c r="I246" s="42">
        <v>1005411</v>
      </c>
      <c r="K246" s="42">
        <v>9516952</v>
      </c>
      <c r="M246" s="42">
        <v>9917</v>
      </c>
      <c r="O246" s="42">
        <f>377962+31451</f>
        <v>409413</v>
      </c>
      <c r="Q246" s="42">
        <v>12832</v>
      </c>
      <c r="S246" s="42">
        <v>0</v>
      </c>
      <c r="U246" s="42">
        <v>1028</v>
      </c>
      <c r="W246" s="42">
        <v>375934</v>
      </c>
      <c r="Y246" s="2">
        <f t="shared" si="46"/>
        <v>14842710</v>
      </c>
      <c r="AA246" s="42">
        <v>0</v>
      </c>
      <c r="AC246" s="42">
        <v>0</v>
      </c>
      <c r="AE246" s="42">
        <v>0</v>
      </c>
      <c r="AG246" s="42">
        <v>6160</v>
      </c>
      <c r="AI246" s="42">
        <v>0</v>
      </c>
      <c r="AK246" s="42">
        <f t="shared" si="47"/>
        <v>6160</v>
      </c>
      <c r="AM246" s="42">
        <f t="shared" si="48"/>
        <v>14848870</v>
      </c>
    </row>
    <row r="247" spans="1:39">
      <c r="A247" s="9" t="s">
        <v>303</v>
      </c>
      <c r="B247" s="9"/>
      <c r="C247" s="9" t="s">
        <v>27</v>
      </c>
      <c r="D247" s="9"/>
      <c r="E247" s="23">
        <v>47019</v>
      </c>
      <c r="G247" s="42">
        <v>101809320</v>
      </c>
      <c r="I247" s="42">
        <v>0</v>
      </c>
      <c r="K247" s="42">
        <f>53430290+394225</f>
        <v>53824515</v>
      </c>
      <c r="M247" s="42">
        <v>175027</v>
      </c>
      <c r="O247" s="42">
        <f>1048673+1101860</f>
        <v>2150533</v>
      </c>
      <c r="Q247" s="42">
        <v>0</v>
      </c>
      <c r="S247" s="42">
        <v>0</v>
      </c>
      <c r="U247" s="42">
        <v>0</v>
      </c>
      <c r="W247" s="42">
        <f>179063+3364205</f>
        <v>3543268</v>
      </c>
      <c r="Y247" s="2">
        <f t="shared" si="46"/>
        <v>161502663</v>
      </c>
      <c r="AA247" s="42">
        <v>0</v>
      </c>
      <c r="AC247" s="42">
        <v>0</v>
      </c>
      <c r="AE247" s="42">
        <v>0</v>
      </c>
      <c r="AG247" s="42">
        <v>306776</v>
      </c>
      <c r="AI247" s="42">
        <v>0</v>
      </c>
      <c r="AK247" s="42">
        <f t="shared" si="47"/>
        <v>306776</v>
      </c>
      <c r="AM247" s="42">
        <f t="shared" si="48"/>
        <v>161809439</v>
      </c>
    </row>
    <row r="248" spans="1:39">
      <c r="A248" s="9" t="s">
        <v>348</v>
      </c>
      <c r="B248" s="9"/>
      <c r="C248" s="9" t="s">
        <v>346</v>
      </c>
      <c r="D248" s="9"/>
      <c r="E248" s="23">
        <v>44123</v>
      </c>
      <c r="G248" s="42">
        <v>5264808</v>
      </c>
      <c r="I248" s="42">
        <v>2352161</v>
      </c>
      <c r="K248" s="42">
        <v>13312794</v>
      </c>
      <c r="M248" s="42">
        <v>50382</v>
      </c>
      <c r="O248" s="42">
        <f>1330923+8427+1437</f>
        <v>1340787</v>
      </c>
      <c r="Q248" s="42">
        <v>58282</v>
      </c>
      <c r="S248" s="42">
        <v>0</v>
      </c>
      <c r="U248" s="42">
        <v>14094</v>
      </c>
      <c r="W248" s="42">
        <v>133546</v>
      </c>
      <c r="Y248" s="2">
        <f t="shared" si="46"/>
        <v>22526854</v>
      </c>
      <c r="AA248" s="42">
        <v>0</v>
      </c>
      <c r="AC248" s="42">
        <v>0</v>
      </c>
      <c r="AE248" s="42">
        <v>0</v>
      </c>
      <c r="AG248" s="42">
        <v>1519</v>
      </c>
      <c r="AI248" s="42">
        <v>0</v>
      </c>
      <c r="AK248" s="42">
        <f t="shared" si="47"/>
        <v>1519</v>
      </c>
      <c r="AM248" s="42">
        <f t="shared" si="48"/>
        <v>22528373</v>
      </c>
    </row>
    <row r="249" spans="1:39">
      <c r="A249" s="9" t="s">
        <v>203</v>
      </c>
      <c r="B249" s="9"/>
      <c r="C249" s="9" t="s">
        <v>11</v>
      </c>
      <c r="D249" s="9"/>
      <c r="E249" s="23">
        <v>45823</v>
      </c>
      <c r="F249" s="7"/>
      <c r="G249" s="42">
        <v>4391385</v>
      </c>
      <c r="I249" s="42">
        <v>0</v>
      </c>
      <c r="K249" s="42">
        <f>4257520+5648</f>
        <v>4263168</v>
      </c>
      <c r="M249" s="42">
        <v>1714</v>
      </c>
      <c r="O249" s="42">
        <f>336877+85741+1466</f>
        <v>424084</v>
      </c>
      <c r="Q249" s="42">
        <v>0</v>
      </c>
      <c r="S249" s="42">
        <v>0</v>
      </c>
      <c r="U249" s="42">
        <v>9695</v>
      </c>
      <c r="W249" s="42">
        <v>66432</v>
      </c>
      <c r="Y249" s="2">
        <f t="shared" si="46"/>
        <v>9156478</v>
      </c>
      <c r="AA249" s="42">
        <v>0</v>
      </c>
      <c r="AC249" s="42">
        <v>0</v>
      </c>
      <c r="AE249" s="42">
        <v>0</v>
      </c>
      <c r="AG249" s="42">
        <v>0</v>
      </c>
      <c r="AI249" s="42">
        <v>0</v>
      </c>
      <c r="AK249" s="42">
        <f t="shared" si="47"/>
        <v>0</v>
      </c>
      <c r="AM249" s="42">
        <f t="shared" si="48"/>
        <v>9156478</v>
      </c>
    </row>
    <row r="250" spans="1:39">
      <c r="A250" s="9" t="s">
        <v>342</v>
      </c>
      <c r="B250" s="9"/>
      <c r="C250" s="9" t="s">
        <v>34</v>
      </c>
      <c r="D250" s="9"/>
      <c r="E250" s="23">
        <v>47571</v>
      </c>
      <c r="G250" s="42">
        <v>1071254</v>
      </c>
      <c r="I250" s="42">
        <v>727953</v>
      </c>
      <c r="K250" s="42">
        <v>2749427</v>
      </c>
      <c r="M250" s="42">
        <v>10048</v>
      </c>
      <c r="O250" s="42">
        <f>411279+67179</f>
        <v>478458</v>
      </c>
      <c r="Q250" s="42">
        <v>2781</v>
      </c>
      <c r="S250" s="42">
        <v>0</v>
      </c>
      <c r="U250" s="42">
        <v>3500</v>
      </c>
      <c r="W250" s="42">
        <v>48049</v>
      </c>
      <c r="Y250" s="2">
        <f t="shared" si="46"/>
        <v>5091470</v>
      </c>
      <c r="AA250" s="42">
        <v>0</v>
      </c>
      <c r="AC250" s="42">
        <v>0</v>
      </c>
      <c r="AE250" s="42">
        <v>0</v>
      </c>
      <c r="AG250" s="42">
        <v>0</v>
      </c>
      <c r="AI250" s="42">
        <v>0</v>
      </c>
      <c r="AK250" s="42">
        <f t="shared" si="47"/>
        <v>0</v>
      </c>
      <c r="AM250" s="42">
        <f t="shared" si="48"/>
        <v>5091470</v>
      </c>
    </row>
    <row r="251" spans="1:39" hidden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42">
        <v>0</v>
      </c>
      <c r="M251" s="42">
        <v>0</v>
      </c>
      <c r="O251" s="42">
        <v>0</v>
      </c>
      <c r="Q251" s="42">
        <v>0</v>
      </c>
      <c r="S251" s="42">
        <v>0</v>
      </c>
      <c r="U251" s="42">
        <v>0</v>
      </c>
      <c r="W251" s="42">
        <v>0</v>
      </c>
      <c r="Y251" s="2">
        <f t="shared" ref="Y251" si="49">SUM(G251:X251)</f>
        <v>0</v>
      </c>
      <c r="AA251" s="42">
        <v>0</v>
      </c>
      <c r="AC251" s="42">
        <v>0</v>
      </c>
      <c r="AE251" s="42">
        <v>0</v>
      </c>
      <c r="AG251" s="42">
        <v>0</v>
      </c>
      <c r="AI251" s="42">
        <v>0</v>
      </c>
      <c r="AM251" s="42">
        <f t="shared" ref="AM251" si="50">+AK251+Y251</f>
        <v>0</v>
      </c>
    </row>
    <row r="252" spans="1:39">
      <c r="A252" s="9" t="s">
        <v>518</v>
      </c>
      <c r="B252" s="9"/>
      <c r="C252" s="9" t="s">
        <v>64</v>
      </c>
      <c r="D252" s="9"/>
      <c r="E252" s="23">
        <v>50161</v>
      </c>
      <c r="G252" s="42">
        <v>15412568</v>
      </c>
      <c r="I252" s="42">
        <v>0</v>
      </c>
      <c r="K252" s="42">
        <v>9889745</v>
      </c>
      <c r="M252" s="42">
        <v>28161</v>
      </c>
      <c r="O252" s="42">
        <f>1492775+19179+602+97562+2882</f>
        <v>1613000</v>
      </c>
      <c r="Q252" s="42">
        <v>173933</v>
      </c>
      <c r="S252" s="42">
        <v>0</v>
      </c>
      <c r="U252" s="42">
        <v>41014</v>
      </c>
      <c r="W252" s="42">
        <v>136202</v>
      </c>
      <c r="Y252" s="2">
        <f t="shared" si="46"/>
        <v>27294623</v>
      </c>
      <c r="AA252" s="42">
        <v>0</v>
      </c>
      <c r="AC252" s="42">
        <v>0</v>
      </c>
      <c r="AE252" s="42">
        <v>0</v>
      </c>
      <c r="AG252" s="42">
        <v>0</v>
      </c>
      <c r="AI252" s="42">
        <v>0</v>
      </c>
      <c r="AK252" s="42">
        <f t="shared" si="47"/>
        <v>0</v>
      </c>
      <c r="AM252" s="42">
        <f t="shared" si="48"/>
        <v>27294623</v>
      </c>
    </row>
    <row r="253" spans="1:39">
      <c r="A253" s="9" t="s">
        <v>755</v>
      </c>
      <c r="B253" s="9"/>
      <c r="C253" s="9" t="s">
        <v>64</v>
      </c>
      <c r="D253" s="9"/>
      <c r="E253" s="23">
        <v>45427</v>
      </c>
      <c r="G253" s="42">
        <v>5781491</v>
      </c>
      <c r="I253" s="42">
        <v>0</v>
      </c>
      <c r="K253" s="42">
        <v>9766398</v>
      </c>
      <c r="M253" s="42">
        <v>22603</v>
      </c>
      <c r="O253" s="42">
        <f>1180222+2925+69800</f>
        <v>1252947</v>
      </c>
      <c r="Q253" s="42">
        <v>12277</v>
      </c>
      <c r="S253" s="42">
        <v>0</v>
      </c>
      <c r="U253" s="42">
        <v>42792</v>
      </c>
      <c r="W253" s="42">
        <v>457466</v>
      </c>
      <c r="Y253" s="2">
        <f t="shared" si="46"/>
        <v>17335974</v>
      </c>
      <c r="AA253" s="42">
        <v>0</v>
      </c>
      <c r="AC253" s="42">
        <v>0</v>
      </c>
      <c r="AE253" s="42">
        <v>0</v>
      </c>
      <c r="AG253" s="42">
        <v>0</v>
      </c>
      <c r="AI253" s="42">
        <v>0</v>
      </c>
      <c r="AK253" s="42">
        <f t="shared" si="47"/>
        <v>0</v>
      </c>
      <c r="AM253" s="42">
        <f t="shared" si="48"/>
        <v>17335974</v>
      </c>
    </row>
    <row r="254" spans="1:39">
      <c r="A254" s="9" t="s">
        <v>427</v>
      </c>
      <c r="B254" s="9"/>
      <c r="C254" s="9" t="s">
        <v>50</v>
      </c>
      <c r="D254" s="9"/>
      <c r="E254" s="23">
        <v>48751</v>
      </c>
      <c r="G254" s="42">
        <v>25648429</v>
      </c>
      <c r="I254" s="42">
        <v>0</v>
      </c>
      <c r="K254" s="42">
        <f>30167324+172780</f>
        <v>30340104</v>
      </c>
      <c r="M254" s="42">
        <v>9115</v>
      </c>
      <c r="O254" s="42">
        <f>408074+135797</f>
        <v>543871</v>
      </c>
      <c r="Q254" s="42">
        <v>447692</v>
      </c>
      <c r="S254" s="42">
        <v>0</v>
      </c>
      <c r="U254" s="42">
        <v>0</v>
      </c>
      <c r="W254" s="42">
        <f>153756+734743</f>
        <v>888499</v>
      </c>
      <c r="Y254" s="2">
        <f t="shared" si="46"/>
        <v>57877710</v>
      </c>
      <c r="AA254" s="42">
        <v>0</v>
      </c>
      <c r="AC254" s="42">
        <v>0</v>
      </c>
      <c r="AE254" s="42">
        <v>0</v>
      </c>
      <c r="AG254" s="42">
        <v>9360</v>
      </c>
      <c r="AI254" s="42">
        <v>0</v>
      </c>
      <c r="AK254" s="42">
        <f t="shared" si="47"/>
        <v>9360</v>
      </c>
      <c r="AM254" s="42">
        <f t="shared" si="48"/>
        <v>57887070</v>
      </c>
    </row>
    <row r="255" spans="1:39">
      <c r="A255" s="9" t="s">
        <v>505</v>
      </c>
      <c r="B255" s="9"/>
      <c r="C255" s="9" t="s">
        <v>63</v>
      </c>
      <c r="D255" s="9"/>
      <c r="E255" s="23">
        <v>50021</v>
      </c>
      <c r="G255" s="42">
        <v>38836634</v>
      </c>
      <c r="I255" s="42">
        <v>0</v>
      </c>
      <c r="K255" s="42">
        <v>17613236</v>
      </c>
      <c r="M255" s="42">
        <v>49929</v>
      </c>
      <c r="O255" s="42">
        <f>703700+3073+346101</f>
        <v>1052874</v>
      </c>
      <c r="Q255" s="42">
        <v>482277</v>
      </c>
      <c r="S255" s="42">
        <v>349063</v>
      </c>
      <c r="U255" s="42">
        <v>0</v>
      </c>
      <c r="W255" s="42">
        <v>209732</v>
      </c>
      <c r="Y255" s="2">
        <f t="shared" si="46"/>
        <v>58593745</v>
      </c>
      <c r="AA255" s="42">
        <v>0</v>
      </c>
      <c r="AC255" s="42">
        <v>0</v>
      </c>
      <c r="AE255" s="42">
        <v>0</v>
      </c>
      <c r="AG255" s="42">
        <v>7992</v>
      </c>
      <c r="AI255" s="42">
        <v>0</v>
      </c>
      <c r="AK255" s="42">
        <f t="shared" si="47"/>
        <v>7992</v>
      </c>
      <c r="AM255" s="42">
        <f t="shared" si="48"/>
        <v>58601737</v>
      </c>
    </row>
    <row r="256" spans="1:39">
      <c r="A256" s="9" t="s">
        <v>471</v>
      </c>
      <c r="B256" s="9"/>
      <c r="C256" s="9" t="s">
        <v>58</v>
      </c>
      <c r="D256" s="9"/>
      <c r="E256" s="23">
        <v>49502</v>
      </c>
      <c r="G256" s="42">
        <v>1130633</v>
      </c>
      <c r="I256" s="42">
        <v>0</v>
      </c>
      <c r="K256" s="42">
        <v>8884501</v>
      </c>
      <c r="M256" s="42">
        <v>2528</v>
      </c>
      <c r="O256" s="42">
        <f>1034069+8910+23042</f>
        <v>1066021</v>
      </c>
      <c r="Q256" s="42">
        <v>9137</v>
      </c>
      <c r="S256" s="42">
        <v>0</v>
      </c>
      <c r="U256" s="42">
        <v>14987</v>
      </c>
      <c r="W256" s="42">
        <v>16574</v>
      </c>
      <c r="Y256" s="2">
        <f t="shared" si="46"/>
        <v>11124381</v>
      </c>
      <c r="AA256" s="42">
        <v>0</v>
      </c>
      <c r="AC256" s="42">
        <v>0</v>
      </c>
      <c r="AE256" s="42">
        <v>588770</v>
      </c>
      <c r="AG256" s="42">
        <v>23732</v>
      </c>
      <c r="AI256" s="42">
        <v>0</v>
      </c>
      <c r="AK256" s="42">
        <f t="shared" si="47"/>
        <v>612502</v>
      </c>
      <c r="AM256" s="42">
        <f t="shared" si="48"/>
        <v>11736883</v>
      </c>
    </row>
    <row r="257" spans="1:39">
      <c r="A257" s="9" t="s">
        <v>284</v>
      </c>
      <c r="B257" s="9"/>
      <c r="C257" s="9" t="s">
        <v>24</v>
      </c>
      <c r="D257" s="9"/>
      <c r="E257" s="23">
        <v>44131</v>
      </c>
      <c r="G257" s="42">
        <v>9501584</v>
      </c>
      <c r="I257" s="42">
        <v>0</v>
      </c>
      <c r="K257" s="42">
        <v>4645666</v>
      </c>
      <c r="M257" s="42">
        <v>28138</v>
      </c>
      <c r="O257" s="42">
        <f>586460+61948+54412</f>
        <v>702820</v>
      </c>
      <c r="Q257" s="42">
        <v>12963</v>
      </c>
      <c r="S257" s="42">
        <v>0</v>
      </c>
      <c r="U257" s="42">
        <v>21186</v>
      </c>
      <c r="W257" s="42">
        <v>173786</v>
      </c>
      <c r="Y257" s="2">
        <f t="shared" si="46"/>
        <v>15086143</v>
      </c>
      <c r="AA257" s="42">
        <v>0</v>
      </c>
      <c r="AC257" s="42">
        <v>0</v>
      </c>
      <c r="AE257" s="42">
        <v>0</v>
      </c>
      <c r="AG257" s="42">
        <v>0</v>
      </c>
      <c r="AI257" s="42">
        <v>0</v>
      </c>
      <c r="AK257" s="42">
        <f t="shared" si="47"/>
        <v>0</v>
      </c>
      <c r="AM257" s="42">
        <f t="shared" si="48"/>
        <v>15086143</v>
      </c>
    </row>
    <row r="258" spans="1:39">
      <c r="A258" s="9" t="s">
        <v>267</v>
      </c>
      <c r="B258" s="9"/>
      <c r="C258" s="9" t="s">
        <v>20</v>
      </c>
      <c r="D258" s="9"/>
      <c r="E258" s="23">
        <v>46565</v>
      </c>
      <c r="G258" s="42">
        <v>14818871</v>
      </c>
      <c r="I258" s="42">
        <v>0</v>
      </c>
      <c r="K258" s="42">
        <v>2296909</v>
      </c>
      <c r="M258" s="42">
        <v>13029</v>
      </c>
      <c r="O258" s="42">
        <f>159267+55648</f>
        <v>214915</v>
      </c>
      <c r="Q258" s="42">
        <v>88041</v>
      </c>
      <c r="S258" s="42">
        <v>62500</v>
      </c>
      <c r="U258" s="42">
        <v>0</v>
      </c>
      <c r="W258" s="42">
        <v>65686</v>
      </c>
      <c r="Y258" s="2">
        <f t="shared" si="46"/>
        <v>17559951</v>
      </c>
      <c r="AA258" s="42">
        <v>0</v>
      </c>
      <c r="AC258" s="42">
        <v>0</v>
      </c>
      <c r="AE258" s="42">
        <v>0</v>
      </c>
      <c r="AG258" s="42">
        <v>0</v>
      </c>
      <c r="AI258" s="42">
        <v>0</v>
      </c>
      <c r="AK258" s="42">
        <f t="shared" si="47"/>
        <v>0</v>
      </c>
      <c r="AM258" s="42">
        <f t="shared" si="48"/>
        <v>17559951</v>
      </c>
    </row>
    <row r="259" spans="1:39">
      <c r="A259" s="9" t="s">
        <v>361</v>
      </c>
      <c r="B259" s="9"/>
      <c r="C259" s="9" t="s">
        <v>39</v>
      </c>
      <c r="D259" s="9"/>
      <c r="E259" s="23">
        <v>47803</v>
      </c>
      <c r="G259" s="42">
        <v>7017084</v>
      </c>
      <c r="I259" s="42">
        <v>0</v>
      </c>
      <c r="K259" s="42">
        <v>9487798</v>
      </c>
      <c r="M259" s="42">
        <v>1734</v>
      </c>
      <c r="O259" s="42">
        <f>4003+1990921+28794</f>
        <v>2023718</v>
      </c>
      <c r="Q259" s="42">
        <v>43069</v>
      </c>
      <c r="S259" s="42">
        <v>0</v>
      </c>
      <c r="U259" s="42">
        <v>24292</v>
      </c>
      <c r="W259" s="42">
        <v>10200</v>
      </c>
      <c r="Y259" s="2">
        <f t="shared" si="46"/>
        <v>18607895</v>
      </c>
      <c r="AA259" s="42">
        <v>16584</v>
      </c>
      <c r="AC259" s="42">
        <v>0</v>
      </c>
      <c r="AE259" s="42">
        <v>67670</v>
      </c>
      <c r="AG259" s="42">
        <v>35473</v>
      </c>
      <c r="AI259" s="42">
        <v>0</v>
      </c>
      <c r="AK259" s="42">
        <f t="shared" si="47"/>
        <v>119727</v>
      </c>
      <c r="AM259" s="42">
        <f t="shared" si="48"/>
        <v>18727622</v>
      </c>
    </row>
    <row r="260" spans="1:39">
      <c r="A260" s="9" t="s">
        <v>756</v>
      </c>
      <c r="B260" s="9"/>
      <c r="C260" s="9" t="s">
        <v>32</v>
      </c>
      <c r="D260" s="9"/>
      <c r="E260" s="23">
        <v>45435</v>
      </c>
      <c r="G260" s="42">
        <v>23229288</v>
      </c>
      <c r="I260" s="42">
        <v>0</v>
      </c>
      <c r="K260" s="42">
        <v>3958832</v>
      </c>
      <c r="M260" s="42">
        <v>615315</v>
      </c>
      <c r="O260" s="42">
        <f>57185+9940</f>
        <v>67125</v>
      </c>
      <c r="Q260" s="42">
        <v>7580</v>
      </c>
      <c r="S260" s="42">
        <v>3623541</v>
      </c>
      <c r="U260" s="42">
        <v>196</v>
      </c>
      <c r="W260" s="42">
        <v>424565</v>
      </c>
      <c r="Y260" s="2">
        <f t="shared" si="46"/>
        <v>31926442</v>
      </c>
      <c r="AA260" s="42">
        <v>0</v>
      </c>
      <c r="AC260" s="42">
        <v>0</v>
      </c>
      <c r="AE260" s="42">
        <v>0</v>
      </c>
      <c r="AG260" s="42">
        <v>0</v>
      </c>
      <c r="AI260" s="42">
        <v>0</v>
      </c>
      <c r="AK260" s="42">
        <f t="shared" si="47"/>
        <v>0</v>
      </c>
      <c r="AM260" s="42">
        <f t="shared" si="48"/>
        <v>31926442</v>
      </c>
    </row>
    <row r="261" spans="1:39" hidden="1">
      <c r="A261" s="9" t="s">
        <v>789</v>
      </c>
      <c r="B261" s="9"/>
      <c r="C261" s="9" t="s">
        <v>43</v>
      </c>
      <c r="D261" s="9"/>
      <c r="E261" s="23">
        <v>48082</v>
      </c>
      <c r="G261" s="42">
        <v>0</v>
      </c>
      <c r="I261" s="42">
        <v>0</v>
      </c>
      <c r="K261" s="42">
        <v>0</v>
      </c>
      <c r="M261" s="42">
        <v>0</v>
      </c>
      <c r="O261" s="42">
        <v>0</v>
      </c>
      <c r="Q261" s="42">
        <v>0</v>
      </c>
      <c r="S261" s="42">
        <v>0</v>
      </c>
      <c r="U261" s="42">
        <v>0</v>
      </c>
      <c r="W261" s="42">
        <v>0</v>
      </c>
      <c r="Y261" s="2">
        <f t="shared" si="46"/>
        <v>0</v>
      </c>
      <c r="AA261" s="42">
        <v>0</v>
      </c>
      <c r="AC261" s="42">
        <v>0</v>
      </c>
      <c r="AE261" s="42">
        <v>0</v>
      </c>
      <c r="AG261" s="42">
        <v>0</v>
      </c>
      <c r="AI261" s="42">
        <v>0</v>
      </c>
      <c r="AM261" s="42">
        <f t="shared" si="48"/>
        <v>0</v>
      </c>
    </row>
    <row r="262" spans="1:39">
      <c r="A262" s="9" t="s">
        <v>532</v>
      </c>
      <c r="B262" s="9"/>
      <c r="C262" s="9" t="s">
        <v>65</v>
      </c>
      <c r="D262" s="9"/>
      <c r="E262" s="23">
        <v>50286</v>
      </c>
      <c r="G262" s="42">
        <v>3820845</v>
      </c>
      <c r="I262" s="42">
        <v>0</v>
      </c>
      <c r="K262" s="42">
        <v>9098121</v>
      </c>
      <c r="M262" s="42">
        <v>9316</v>
      </c>
      <c r="O262" s="42">
        <f>1694365+1615</f>
        <v>1695980</v>
      </c>
      <c r="Q262" s="42">
        <v>102604</v>
      </c>
      <c r="S262" s="42">
        <v>0</v>
      </c>
      <c r="U262" s="42">
        <v>70466</v>
      </c>
      <c r="W262" s="42">
        <v>47851</v>
      </c>
      <c r="Y262" s="2">
        <f t="shared" si="46"/>
        <v>14845183</v>
      </c>
      <c r="AA262" s="42">
        <v>0</v>
      </c>
      <c r="AC262" s="42">
        <v>0</v>
      </c>
      <c r="AE262" s="42">
        <v>0</v>
      </c>
      <c r="AG262" s="42">
        <v>870</v>
      </c>
      <c r="AI262" s="42">
        <v>0</v>
      </c>
      <c r="AK262" s="42">
        <f t="shared" si="47"/>
        <v>870</v>
      </c>
      <c r="AM262" s="42">
        <f t="shared" si="48"/>
        <v>14846053</v>
      </c>
    </row>
    <row r="263" spans="1:39">
      <c r="A263" s="9" t="s">
        <v>367</v>
      </c>
      <c r="B263" s="9"/>
      <c r="C263" s="9" t="s">
        <v>364</v>
      </c>
      <c r="D263" s="9"/>
      <c r="E263" s="23">
        <v>44149</v>
      </c>
      <c r="G263" s="42">
        <v>2365975</v>
      </c>
      <c r="I263" s="42">
        <v>0</v>
      </c>
      <c r="K263" s="42">
        <v>8549240</v>
      </c>
      <c r="M263" s="42">
        <v>8390</v>
      </c>
      <c r="O263" s="42">
        <f>1338146+28500</f>
        <v>1366646</v>
      </c>
      <c r="Q263" s="42">
        <v>58314</v>
      </c>
      <c r="S263" s="42">
        <v>0</v>
      </c>
      <c r="U263" s="42">
        <v>0</v>
      </c>
      <c r="W263" s="42">
        <v>58552</v>
      </c>
      <c r="Y263" s="2">
        <f t="shared" si="46"/>
        <v>12407117</v>
      </c>
      <c r="AA263" s="42">
        <v>0</v>
      </c>
      <c r="AC263" s="42">
        <v>0</v>
      </c>
      <c r="AE263" s="42">
        <v>0</v>
      </c>
      <c r="AG263" s="42">
        <v>0</v>
      </c>
      <c r="AI263" s="42">
        <v>0</v>
      </c>
      <c r="AK263" s="42">
        <f t="shared" si="47"/>
        <v>0</v>
      </c>
      <c r="AM263" s="42">
        <f t="shared" si="48"/>
        <v>12407117</v>
      </c>
    </row>
    <row r="264" spans="1:39" hidden="1">
      <c r="A264" s="9" t="s">
        <v>663</v>
      </c>
      <c r="B264" s="9"/>
      <c r="C264" s="9" t="s">
        <v>61</v>
      </c>
      <c r="D264" s="9"/>
      <c r="E264" s="23">
        <v>49809</v>
      </c>
      <c r="G264" s="42">
        <v>0</v>
      </c>
      <c r="I264" s="42">
        <v>0</v>
      </c>
      <c r="K264" s="42">
        <v>0</v>
      </c>
      <c r="M264" s="42">
        <v>0</v>
      </c>
      <c r="O264" s="42">
        <v>0</v>
      </c>
      <c r="Q264" s="42">
        <v>0</v>
      </c>
      <c r="S264" s="42">
        <v>0</v>
      </c>
      <c r="U264" s="42">
        <v>0</v>
      </c>
      <c r="W264" s="42">
        <v>0</v>
      </c>
      <c r="Y264" s="2">
        <f t="shared" si="46"/>
        <v>0</v>
      </c>
      <c r="AA264" s="42">
        <v>0</v>
      </c>
      <c r="AC264" s="42">
        <v>0</v>
      </c>
      <c r="AE264" s="42">
        <v>0</v>
      </c>
      <c r="AG264" s="42">
        <v>0</v>
      </c>
      <c r="AI264" s="42">
        <v>0</v>
      </c>
      <c r="AK264" s="42">
        <f t="shared" si="47"/>
        <v>0</v>
      </c>
      <c r="AM264" s="42">
        <f t="shared" si="48"/>
        <v>0</v>
      </c>
    </row>
    <row r="265" spans="1:39" hidden="1">
      <c r="A265" s="9" t="s">
        <v>674</v>
      </c>
      <c r="B265" s="9"/>
      <c r="C265" s="9" t="s">
        <v>38</v>
      </c>
      <c r="D265" s="9"/>
      <c r="E265" s="23">
        <v>44156</v>
      </c>
      <c r="G265" s="42">
        <v>0</v>
      </c>
      <c r="I265" s="42">
        <v>0</v>
      </c>
      <c r="K265" s="42">
        <v>0</v>
      </c>
      <c r="M265" s="42">
        <v>0</v>
      </c>
      <c r="O265" s="42">
        <v>0</v>
      </c>
      <c r="Q265" s="42">
        <v>0</v>
      </c>
      <c r="S265" s="42">
        <v>0</v>
      </c>
      <c r="U265" s="42">
        <v>0</v>
      </c>
      <c r="W265" s="42">
        <v>0</v>
      </c>
      <c r="Y265" s="2">
        <f>SUM(G265:X265)</f>
        <v>0</v>
      </c>
      <c r="AA265" s="42">
        <v>0</v>
      </c>
      <c r="AC265" s="42">
        <v>0</v>
      </c>
      <c r="AE265" s="42">
        <v>0</v>
      </c>
      <c r="AG265" s="42">
        <v>0</v>
      </c>
      <c r="AI265" s="42">
        <v>0</v>
      </c>
      <c r="AK265" s="42">
        <f>SUM(AA265:AJ265)</f>
        <v>0</v>
      </c>
      <c r="AM265" s="42">
        <f t="shared" si="48"/>
        <v>0</v>
      </c>
    </row>
    <row r="266" spans="1:39">
      <c r="A266" s="9" t="s">
        <v>493</v>
      </c>
      <c r="B266" s="9"/>
      <c r="C266" s="9" t="s">
        <v>62</v>
      </c>
      <c r="D266" s="9"/>
      <c r="E266" s="23">
        <v>49858</v>
      </c>
      <c r="G266" s="42">
        <v>35042867</v>
      </c>
      <c r="I266" s="42">
        <v>0</v>
      </c>
      <c r="K266" s="42">
        <f>30116+11848698+87517</f>
        <v>11966331</v>
      </c>
      <c r="M266" s="42">
        <v>5137</v>
      </c>
      <c r="O266" s="42">
        <f>615040+214417+18670+9582</f>
        <v>857709</v>
      </c>
      <c r="Q266" s="42">
        <v>289594</v>
      </c>
      <c r="S266" s="42">
        <v>85634</v>
      </c>
      <c r="U266" s="42">
        <v>179765</v>
      </c>
      <c r="W266" s="42">
        <f>117794+222373</f>
        <v>340167</v>
      </c>
      <c r="Y266" s="2">
        <f t="shared" si="46"/>
        <v>48767204</v>
      </c>
      <c r="AA266" s="42">
        <v>0</v>
      </c>
      <c r="AC266" s="42">
        <v>0</v>
      </c>
      <c r="AE266" s="42">
        <v>0</v>
      </c>
      <c r="AG266" s="42">
        <v>22869</v>
      </c>
      <c r="AI266" s="42">
        <v>0</v>
      </c>
      <c r="AK266" s="42">
        <f t="shared" si="47"/>
        <v>22869</v>
      </c>
      <c r="AM266" s="42">
        <f t="shared" si="48"/>
        <v>48790073</v>
      </c>
    </row>
    <row r="267" spans="1:39">
      <c r="A267" s="9" t="s">
        <v>401</v>
      </c>
      <c r="B267" s="9"/>
      <c r="C267" s="9" t="s">
        <v>45</v>
      </c>
      <c r="D267" s="9"/>
      <c r="E267" s="23">
        <v>48322</v>
      </c>
      <c r="G267" s="42">
        <v>3375086</v>
      </c>
      <c r="I267" s="42">
        <v>0</v>
      </c>
      <c r="K267" s="42">
        <f>35640+2868280+33311</f>
        <v>2937231</v>
      </c>
      <c r="M267" s="42">
        <v>544</v>
      </c>
      <c r="O267" s="42">
        <f>605902+10800</f>
        <v>616702</v>
      </c>
      <c r="Q267" s="42">
        <v>18318</v>
      </c>
      <c r="S267" s="42">
        <v>0</v>
      </c>
      <c r="U267" s="42">
        <v>9351</v>
      </c>
      <c r="W267" s="42">
        <v>68861</v>
      </c>
      <c r="Y267" s="2">
        <f t="shared" si="46"/>
        <v>7026093</v>
      </c>
      <c r="AA267" s="42">
        <v>0</v>
      </c>
      <c r="AC267" s="42">
        <v>0</v>
      </c>
      <c r="AE267" s="42">
        <v>0</v>
      </c>
      <c r="AG267" s="42">
        <v>0</v>
      </c>
      <c r="AI267" s="42">
        <v>0</v>
      </c>
      <c r="AK267" s="42">
        <f t="shared" si="47"/>
        <v>0</v>
      </c>
      <c r="AM267" s="42">
        <f t="shared" si="48"/>
        <v>7026093</v>
      </c>
    </row>
    <row r="268" spans="1:39">
      <c r="A268" s="9" t="s">
        <v>457</v>
      </c>
      <c r="B268" s="9"/>
      <c r="C268" s="9" t="s">
        <v>56</v>
      </c>
      <c r="D268" s="9"/>
      <c r="E268" s="23">
        <v>49205</v>
      </c>
      <c r="G268" s="42">
        <v>4112954</v>
      </c>
      <c r="I268" s="42">
        <v>0</v>
      </c>
      <c r="K268" s="42">
        <f>6222986+91777</f>
        <v>6314763</v>
      </c>
      <c r="M268" s="42">
        <v>13247</v>
      </c>
      <c r="O268" s="42">
        <f>1294177+18521+5561</f>
        <v>1318259</v>
      </c>
      <c r="Q268" s="42">
        <v>26652</v>
      </c>
      <c r="S268" s="42">
        <v>0</v>
      </c>
      <c r="U268" s="42">
        <v>0</v>
      </c>
      <c r="W268" s="42">
        <v>84928</v>
      </c>
      <c r="Y268" s="2">
        <f t="shared" si="46"/>
        <v>11870803</v>
      </c>
      <c r="AA268" s="42">
        <v>0</v>
      </c>
      <c r="AC268" s="42">
        <v>0</v>
      </c>
      <c r="AE268" s="42">
        <v>0</v>
      </c>
      <c r="AG268" s="42">
        <v>2670</v>
      </c>
      <c r="AI268" s="42">
        <v>0</v>
      </c>
      <c r="AK268" s="42">
        <f t="shared" si="47"/>
        <v>2670</v>
      </c>
      <c r="AM268" s="42">
        <f t="shared" si="48"/>
        <v>11873473</v>
      </c>
    </row>
    <row r="269" spans="1:39">
      <c r="A269" s="9" t="s">
        <v>208</v>
      </c>
      <c r="B269" s="9"/>
      <c r="C269" s="9" t="s">
        <v>12</v>
      </c>
      <c r="D269" s="9"/>
      <c r="E269" s="23">
        <v>45872</v>
      </c>
      <c r="F269" s="7"/>
      <c r="G269" s="42">
        <v>3336693</v>
      </c>
      <c r="I269" s="42">
        <v>0</v>
      </c>
      <c r="K269" s="42">
        <v>8640134</v>
      </c>
      <c r="M269" s="42">
        <v>5580</v>
      </c>
      <c r="O269" s="42">
        <v>1089340</v>
      </c>
      <c r="Q269" s="42">
        <v>84019</v>
      </c>
      <c r="S269" s="42">
        <v>0</v>
      </c>
      <c r="U269" s="42">
        <v>0</v>
      </c>
      <c r="W269" s="42">
        <v>327959</v>
      </c>
      <c r="Y269" s="2">
        <f t="shared" si="46"/>
        <v>13483725</v>
      </c>
      <c r="AA269" s="42">
        <v>0</v>
      </c>
      <c r="AC269" s="42">
        <v>0</v>
      </c>
      <c r="AE269" s="42">
        <v>0</v>
      </c>
      <c r="AG269" s="42">
        <v>0</v>
      </c>
      <c r="AI269" s="42">
        <v>0</v>
      </c>
      <c r="AK269" s="42">
        <f t="shared" si="47"/>
        <v>0</v>
      </c>
      <c r="AM269" s="42">
        <f t="shared" si="48"/>
        <v>13483725</v>
      </c>
    </row>
    <row r="270" spans="1:39">
      <c r="A270" s="9" t="s">
        <v>394</v>
      </c>
      <c r="B270" s="9"/>
      <c r="C270" s="9" t="s">
        <v>395</v>
      </c>
      <c r="D270" s="9"/>
      <c r="E270" s="23">
        <v>48256</v>
      </c>
      <c r="G270" s="42">
        <v>4401315</v>
      </c>
      <c r="I270" s="42">
        <v>859268</v>
      </c>
      <c r="K270" s="42">
        <f>4457221+19648</f>
        <v>4476869</v>
      </c>
      <c r="M270" s="42">
        <v>8195</v>
      </c>
      <c r="O270" s="42">
        <f>845971+26904+2970</f>
        <v>875845</v>
      </c>
      <c r="Q270" s="42">
        <v>24768</v>
      </c>
      <c r="S270" s="42">
        <v>852502</v>
      </c>
      <c r="U270" s="42">
        <v>38874</v>
      </c>
      <c r="W270" s="42">
        <v>24882</v>
      </c>
      <c r="Y270" s="2">
        <f t="shared" si="46"/>
        <v>11562518</v>
      </c>
      <c r="AA270" s="42">
        <v>0</v>
      </c>
      <c r="AC270" s="42">
        <v>0</v>
      </c>
      <c r="AE270" s="42">
        <v>0</v>
      </c>
      <c r="AG270" s="42">
        <v>111961</v>
      </c>
      <c r="AI270" s="42">
        <v>0</v>
      </c>
      <c r="AK270" s="42">
        <f t="shared" si="47"/>
        <v>111961</v>
      </c>
      <c r="AM270" s="42">
        <f t="shared" si="48"/>
        <v>11674479</v>
      </c>
    </row>
    <row r="271" spans="1:39">
      <c r="A271" s="9" t="s">
        <v>675</v>
      </c>
      <c r="B271" s="9"/>
      <c r="C271" s="9" t="s">
        <v>50</v>
      </c>
      <c r="D271" s="9"/>
      <c r="E271" s="23">
        <v>48686</v>
      </c>
      <c r="G271" s="42">
        <v>2655876</v>
      </c>
      <c r="I271" s="42">
        <v>0</v>
      </c>
      <c r="K271" s="42">
        <v>4288092</v>
      </c>
      <c r="M271" s="42">
        <v>2541</v>
      </c>
      <c r="O271" s="42">
        <v>453314</v>
      </c>
      <c r="Q271" s="42">
        <v>2332</v>
      </c>
      <c r="S271" s="42">
        <v>6929</v>
      </c>
      <c r="U271" s="42">
        <v>2602</v>
      </c>
      <c r="W271" s="42">
        <v>802</v>
      </c>
      <c r="Y271" s="2">
        <f t="shared" si="46"/>
        <v>7412488</v>
      </c>
      <c r="AA271" s="42">
        <v>0</v>
      </c>
      <c r="AC271" s="42">
        <v>0</v>
      </c>
      <c r="AE271" s="42">
        <v>0</v>
      </c>
      <c r="AG271" s="42">
        <v>0</v>
      </c>
      <c r="AI271" s="42">
        <v>0</v>
      </c>
      <c r="AK271" s="42">
        <f t="shared" si="47"/>
        <v>0</v>
      </c>
      <c r="AM271" s="42">
        <f t="shared" si="48"/>
        <v>7412488</v>
      </c>
    </row>
    <row r="272" spans="1:39" hidden="1">
      <c r="A272" s="9" t="s">
        <v>860</v>
      </c>
      <c r="B272" s="9"/>
      <c r="C272" s="9" t="s">
        <v>464</v>
      </c>
      <c r="D272" s="9"/>
      <c r="E272" s="23">
        <v>49338</v>
      </c>
      <c r="G272" s="42">
        <v>0</v>
      </c>
      <c r="I272" s="42">
        <v>0</v>
      </c>
      <c r="K272" s="42">
        <v>0</v>
      </c>
      <c r="M272" s="42">
        <v>0</v>
      </c>
      <c r="O272" s="42">
        <v>0</v>
      </c>
      <c r="Q272" s="42">
        <v>0</v>
      </c>
      <c r="S272" s="42">
        <v>0</v>
      </c>
      <c r="U272" s="42">
        <v>0</v>
      </c>
      <c r="W272" s="42">
        <v>0</v>
      </c>
      <c r="Y272" s="2">
        <f t="shared" si="46"/>
        <v>0</v>
      </c>
      <c r="AA272" s="42">
        <v>0</v>
      </c>
      <c r="AC272" s="42">
        <v>0</v>
      </c>
      <c r="AE272" s="42">
        <v>0</v>
      </c>
      <c r="AG272" s="42">
        <v>0</v>
      </c>
      <c r="AI272" s="42">
        <v>0</v>
      </c>
      <c r="AM272" s="42">
        <f t="shared" si="48"/>
        <v>0</v>
      </c>
    </row>
    <row r="273" spans="1:39">
      <c r="A273" s="9" t="s">
        <v>372</v>
      </c>
      <c r="B273" s="9"/>
      <c r="C273" s="9" t="s">
        <v>42</v>
      </c>
      <c r="D273" s="9"/>
      <c r="E273" s="23">
        <v>47985</v>
      </c>
      <c r="G273" s="42">
        <v>6476204</v>
      </c>
      <c r="I273" s="42">
        <v>2414931</v>
      </c>
      <c r="K273" s="42">
        <v>5515522</v>
      </c>
      <c r="M273" s="42">
        <v>12785</v>
      </c>
      <c r="O273" s="42">
        <f>536854+83905+1980</f>
        <v>622739</v>
      </c>
      <c r="Q273" s="42">
        <v>37427</v>
      </c>
      <c r="S273" s="42">
        <v>0</v>
      </c>
      <c r="U273" s="42">
        <v>9562</v>
      </c>
      <c r="W273" s="42">
        <v>141711</v>
      </c>
      <c r="Y273" s="2">
        <f t="shared" si="46"/>
        <v>15230881</v>
      </c>
      <c r="AA273" s="42">
        <v>10</v>
      </c>
      <c r="AC273" s="42">
        <v>0</v>
      </c>
      <c r="AE273" s="42">
        <v>0</v>
      </c>
      <c r="AG273" s="42">
        <v>42656</v>
      </c>
      <c r="AI273" s="42">
        <v>0</v>
      </c>
      <c r="AK273" s="42">
        <f t="shared" si="47"/>
        <v>42666</v>
      </c>
      <c r="AM273" s="42">
        <f t="shared" si="48"/>
        <v>15273547</v>
      </c>
    </row>
    <row r="274" spans="1:39">
      <c r="A274" s="9" t="s">
        <v>396</v>
      </c>
      <c r="B274" s="9"/>
      <c r="C274" s="9" t="s">
        <v>395</v>
      </c>
      <c r="D274" s="9"/>
      <c r="E274" s="23">
        <v>48264</v>
      </c>
      <c r="G274" s="42">
        <v>5695481</v>
      </c>
      <c r="I274" s="42">
        <v>2123316</v>
      </c>
      <c r="K274" s="42">
        <v>7512161</v>
      </c>
      <c r="M274" s="42">
        <v>1073</v>
      </c>
      <c r="O274" s="42">
        <f>822168+104212+3797</f>
        <v>930177</v>
      </c>
      <c r="Q274" s="42">
        <v>168454</v>
      </c>
      <c r="S274" s="42">
        <v>0</v>
      </c>
      <c r="U274" s="42">
        <v>0</v>
      </c>
      <c r="W274" s="42">
        <v>42094</v>
      </c>
      <c r="Y274" s="2">
        <f t="shared" si="46"/>
        <v>16472756</v>
      </c>
      <c r="AA274" s="42">
        <v>0</v>
      </c>
      <c r="AC274" s="42">
        <v>0</v>
      </c>
      <c r="AE274" s="42">
        <v>0</v>
      </c>
      <c r="AG274" s="42">
        <v>0</v>
      </c>
      <c r="AI274" s="42">
        <v>0</v>
      </c>
      <c r="AK274" s="42">
        <f t="shared" si="47"/>
        <v>0</v>
      </c>
      <c r="AM274" s="42">
        <f t="shared" si="48"/>
        <v>16472756</v>
      </c>
    </row>
    <row r="275" spans="1:39">
      <c r="A275" s="9" t="s">
        <v>519</v>
      </c>
      <c r="B275" s="9"/>
      <c r="C275" s="9" t="s">
        <v>64</v>
      </c>
      <c r="D275" s="9"/>
      <c r="E275" s="23">
        <v>50179</v>
      </c>
      <c r="G275" s="42">
        <v>2876810</v>
      </c>
      <c r="I275" s="42">
        <v>0</v>
      </c>
      <c r="K275" s="42">
        <v>4501978</v>
      </c>
      <c r="M275" s="42">
        <v>5809</v>
      </c>
      <c r="O275" s="42">
        <f>266473+13423</f>
        <v>279896</v>
      </c>
      <c r="Q275" s="42">
        <v>11253</v>
      </c>
      <c r="S275" s="42">
        <v>0</v>
      </c>
      <c r="U275" s="42">
        <v>8028</v>
      </c>
      <c r="W275" s="42">
        <v>63</v>
      </c>
      <c r="Y275" s="2">
        <f t="shared" si="46"/>
        <v>7683837</v>
      </c>
      <c r="AA275" s="42">
        <v>0</v>
      </c>
      <c r="AC275" s="42">
        <v>0</v>
      </c>
      <c r="AE275" s="42">
        <v>0</v>
      </c>
      <c r="AG275" s="42">
        <v>2500</v>
      </c>
      <c r="AI275" s="42">
        <v>0</v>
      </c>
      <c r="AK275" s="42">
        <f t="shared" si="47"/>
        <v>2500</v>
      </c>
      <c r="AM275" s="42">
        <f t="shared" si="48"/>
        <v>7686337</v>
      </c>
    </row>
    <row r="276" spans="1:39" hidden="1">
      <c r="A276" s="8" t="s">
        <v>861</v>
      </c>
      <c r="B276" s="8"/>
      <c r="C276" s="8" t="s">
        <v>464</v>
      </c>
      <c r="D276" s="9"/>
      <c r="E276" s="23">
        <v>49346</v>
      </c>
      <c r="G276" s="42">
        <v>0</v>
      </c>
      <c r="I276" s="42">
        <v>0</v>
      </c>
      <c r="K276" s="42">
        <v>0</v>
      </c>
      <c r="M276" s="42">
        <v>0</v>
      </c>
      <c r="O276" s="42">
        <v>0</v>
      </c>
      <c r="Q276" s="42">
        <v>0</v>
      </c>
      <c r="S276" s="42">
        <v>0</v>
      </c>
      <c r="U276" s="42">
        <v>0</v>
      </c>
      <c r="W276" s="42">
        <v>0</v>
      </c>
      <c r="Y276" s="2">
        <f t="shared" ref="Y276" si="51">SUM(G276:X276)</f>
        <v>0</v>
      </c>
      <c r="AA276" s="42">
        <v>0</v>
      </c>
      <c r="AC276" s="42">
        <v>0</v>
      </c>
      <c r="AE276" s="42">
        <v>0</v>
      </c>
      <c r="AG276" s="42">
        <v>0</v>
      </c>
      <c r="AI276" s="42">
        <v>0</v>
      </c>
      <c r="AK276" s="42">
        <f t="shared" ref="AK276" si="52">SUM(AA276:AJ276)</f>
        <v>0</v>
      </c>
      <c r="AM276" s="42">
        <f t="shared" ref="AM276" si="53">+AK276+Y276</f>
        <v>0</v>
      </c>
    </row>
    <row r="277" spans="1:39">
      <c r="A277" s="9" t="s">
        <v>285</v>
      </c>
      <c r="B277" s="9"/>
      <c r="C277" s="9" t="s">
        <v>24</v>
      </c>
      <c r="D277" s="9"/>
      <c r="E277" s="23">
        <v>46797</v>
      </c>
      <c r="G277" s="42">
        <v>425763</v>
      </c>
      <c r="I277" s="42">
        <v>0</v>
      </c>
      <c r="K277" s="42">
        <v>65093</v>
      </c>
      <c r="M277" s="42">
        <v>2612</v>
      </c>
      <c r="O277" s="42">
        <v>1</v>
      </c>
      <c r="Q277" s="42">
        <v>0</v>
      </c>
      <c r="S277" s="42">
        <v>0</v>
      </c>
      <c r="U277" s="42">
        <v>0</v>
      </c>
      <c r="W277" s="42">
        <v>834</v>
      </c>
      <c r="Y277" s="2">
        <f t="shared" si="46"/>
        <v>494303</v>
      </c>
      <c r="AA277" s="42">
        <v>0</v>
      </c>
      <c r="AC277" s="42">
        <v>0</v>
      </c>
      <c r="AE277" s="42">
        <v>0</v>
      </c>
      <c r="AG277" s="42">
        <v>0</v>
      </c>
      <c r="AI277" s="42">
        <v>0</v>
      </c>
      <c r="AK277" s="42">
        <f t="shared" si="47"/>
        <v>0</v>
      </c>
      <c r="AM277" s="42">
        <f t="shared" si="48"/>
        <v>494303</v>
      </c>
    </row>
    <row r="278" spans="1:39">
      <c r="A278" s="9" t="s">
        <v>312</v>
      </c>
      <c r="B278" s="9"/>
      <c r="C278" s="9" t="s">
        <v>30</v>
      </c>
      <c r="D278" s="9"/>
      <c r="E278" s="23">
        <v>47191</v>
      </c>
      <c r="G278" s="42">
        <v>24378442</v>
      </c>
      <c r="I278" s="42">
        <v>0</v>
      </c>
      <c r="K278" s="42">
        <v>8941457</v>
      </c>
      <c r="M278" s="42">
        <v>10576</v>
      </c>
      <c r="O278" s="42">
        <v>26281</v>
      </c>
      <c r="Q278" s="42">
        <v>116135</v>
      </c>
      <c r="S278" s="42">
        <v>0</v>
      </c>
      <c r="U278" s="42">
        <v>0</v>
      </c>
      <c r="W278" s="42">
        <v>94957</v>
      </c>
      <c r="Y278" s="2">
        <f t="shared" si="46"/>
        <v>33567848</v>
      </c>
      <c r="AA278" s="42">
        <v>0</v>
      </c>
      <c r="AC278" s="42">
        <v>0</v>
      </c>
      <c r="AE278" s="42">
        <v>0</v>
      </c>
      <c r="AG278" s="42">
        <v>0</v>
      </c>
      <c r="AI278" s="42">
        <v>0</v>
      </c>
      <c r="AK278" s="42">
        <f t="shared" si="47"/>
        <v>0</v>
      </c>
      <c r="AM278" s="42">
        <f t="shared" si="48"/>
        <v>33567848</v>
      </c>
    </row>
    <row r="279" spans="1:39">
      <c r="A279" s="9" t="s">
        <v>458</v>
      </c>
      <c r="B279" s="9"/>
      <c r="C279" s="9" t="s">
        <v>56</v>
      </c>
      <c r="D279" s="9"/>
      <c r="E279" s="23">
        <v>44164</v>
      </c>
      <c r="G279" s="42">
        <v>20213301</v>
      </c>
      <c r="I279" s="42">
        <v>0</v>
      </c>
      <c r="K279" s="42">
        <v>16372229</v>
      </c>
      <c r="M279" s="42">
        <v>23664</v>
      </c>
      <c r="O279" s="42">
        <f>3243202+173955+43102</f>
        <v>3460259</v>
      </c>
      <c r="Q279" s="42">
        <v>53220</v>
      </c>
      <c r="S279" s="42">
        <v>0</v>
      </c>
      <c r="U279" s="42">
        <v>61144</v>
      </c>
      <c r="W279" s="42">
        <v>124339</v>
      </c>
      <c r="Y279" s="2">
        <f t="shared" si="46"/>
        <v>40308156</v>
      </c>
      <c r="AA279" s="42">
        <v>0</v>
      </c>
      <c r="AC279" s="42">
        <v>0</v>
      </c>
      <c r="AE279" s="42">
        <v>0</v>
      </c>
      <c r="AG279" s="42">
        <v>0</v>
      </c>
      <c r="AI279" s="42">
        <v>0</v>
      </c>
      <c r="AK279" s="42">
        <f t="shared" si="47"/>
        <v>0</v>
      </c>
      <c r="AM279" s="42">
        <f t="shared" ref="AM279:AM295" si="54">+AK279+Y279</f>
        <v>40308156</v>
      </c>
    </row>
    <row r="280" spans="1:39" hidden="1">
      <c r="A280" s="9" t="s">
        <v>902</v>
      </c>
      <c r="B280" s="9"/>
      <c r="C280" s="9" t="s">
        <v>337</v>
      </c>
      <c r="D280" s="9"/>
      <c r="E280" s="23">
        <v>44172</v>
      </c>
      <c r="G280" s="42">
        <v>0</v>
      </c>
      <c r="I280" s="42">
        <v>0</v>
      </c>
      <c r="K280" s="42">
        <v>0</v>
      </c>
      <c r="M280" s="42">
        <v>0</v>
      </c>
      <c r="O280" s="42">
        <v>0</v>
      </c>
      <c r="Q280" s="42">
        <v>0</v>
      </c>
      <c r="S280" s="42">
        <v>0</v>
      </c>
      <c r="U280" s="42">
        <v>0</v>
      </c>
      <c r="W280" s="42">
        <v>0</v>
      </c>
      <c r="Y280" s="2">
        <f t="shared" si="46"/>
        <v>0</v>
      </c>
      <c r="AA280" s="42">
        <v>0</v>
      </c>
      <c r="AC280" s="42">
        <v>0</v>
      </c>
      <c r="AE280" s="42">
        <v>0</v>
      </c>
      <c r="AG280" s="42">
        <v>0</v>
      </c>
      <c r="AI280" s="42">
        <v>0</v>
      </c>
      <c r="AK280" s="42">
        <f t="shared" si="47"/>
        <v>0</v>
      </c>
      <c r="AM280" s="42">
        <f t="shared" si="54"/>
        <v>0</v>
      </c>
    </row>
    <row r="281" spans="1:39" s="24" customFormat="1">
      <c r="A281" s="51" t="s">
        <v>428</v>
      </c>
      <c r="B281" s="51"/>
      <c r="C281" s="51" t="s">
        <v>50</v>
      </c>
      <c r="D281" s="51"/>
      <c r="E281" s="23">
        <v>44180</v>
      </c>
      <c r="G281" s="42">
        <v>51651202</v>
      </c>
      <c r="H281" s="42"/>
      <c r="I281" s="42">
        <v>0</v>
      </c>
      <c r="J281" s="42"/>
      <c r="K281" s="42">
        <f>24432157+2353</f>
        <v>24434510</v>
      </c>
      <c r="L281" s="42"/>
      <c r="M281" s="42">
        <f>77648-140157</f>
        <v>-62509</v>
      </c>
      <c r="N281" s="42"/>
      <c r="O281" s="42">
        <f>857163+42356+158212+136758</f>
        <v>1194489</v>
      </c>
      <c r="P281" s="42"/>
      <c r="Q281" s="42">
        <v>305910</v>
      </c>
      <c r="R281" s="42"/>
      <c r="S281" s="42">
        <v>582655</v>
      </c>
      <c r="T281" s="42"/>
      <c r="U281" s="42">
        <v>78386</v>
      </c>
      <c r="V281" s="42"/>
      <c r="W281" s="42">
        <f>471443+414942</f>
        <v>886385</v>
      </c>
      <c r="X281" s="42"/>
      <c r="Y281" s="2">
        <f t="shared" si="46"/>
        <v>79071028</v>
      </c>
      <c r="Z281" s="42"/>
      <c r="AA281" s="42">
        <v>0</v>
      </c>
      <c r="AB281" s="42"/>
      <c r="AC281" s="42">
        <v>0</v>
      </c>
      <c r="AD281" s="42"/>
      <c r="AE281" s="42">
        <v>0</v>
      </c>
      <c r="AF281" s="42"/>
      <c r="AG281" s="42">
        <v>0</v>
      </c>
      <c r="AH281" s="42"/>
      <c r="AI281" s="42">
        <v>0</v>
      </c>
      <c r="AJ281" s="42"/>
      <c r="AK281" s="42">
        <f t="shared" si="47"/>
        <v>0</v>
      </c>
      <c r="AL281" s="42"/>
      <c r="AM281" s="42">
        <f t="shared" si="54"/>
        <v>79071028</v>
      </c>
    </row>
    <row r="282" spans="1:39">
      <c r="A282" s="9" t="s">
        <v>632</v>
      </c>
      <c r="B282" s="9"/>
      <c r="C282" s="9" t="s">
        <v>44</v>
      </c>
      <c r="D282" s="9"/>
      <c r="E282" s="23">
        <v>48165</v>
      </c>
      <c r="G282" s="42">
        <v>5060572</v>
      </c>
      <c r="I282" s="42">
        <v>0</v>
      </c>
      <c r="K282" s="42">
        <f>7028356+12222</f>
        <v>7040578</v>
      </c>
      <c r="M282" s="42">
        <f>19037-6297</f>
        <v>12740</v>
      </c>
      <c r="O282" s="42">
        <f>1131481+52+76865+5222</f>
        <v>1213620</v>
      </c>
      <c r="Q282" s="42">
        <v>13459</v>
      </c>
      <c r="S282" s="42">
        <v>0</v>
      </c>
      <c r="U282" s="42">
        <v>0</v>
      </c>
      <c r="W282" s="42">
        <f>4437+362029</f>
        <v>366466</v>
      </c>
      <c r="Y282" s="2">
        <f t="shared" si="46"/>
        <v>13707435</v>
      </c>
      <c r="AA282" s="42">
        <v>0</v>
      </c>
      <c r="AC282" s="42">
        <v>0</v>
      </c>
      <c r="AE282" s="42">
        <v>0</v>
      </c>
      <c r="AG282" s="42">
        <v>0</v>
      </c>
      <c r="AI282" s="42">
        <v>0</v>
      </c>
      <c r="AK282" s="42">
        <f t="shared" si="47"/>
        <v>0</v>
      </c>
      <c r="AM282" s="42">
        <f t="shared" si="54"/>
        <v>13707435</v>
      </c>
    </row>
    <row r="283" spans="1:39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v>25096979</v>
      </c>
      <c r="I283" s="24">
        <v>0</v>
      </c>
      <c r="K283" s="24">
        <v>12463112</v>
      </c>
      <c r="M283" s="24">
        <v>8378</v>
      </c>
      <c r="O283" s="24">
        <f>922492+119721+21122</f>
        <v>1063335</v>
      </c>
      <c r="Q283" s="24">
        <v>17899</v>
      </c>
      <c r="S283" s="24">
        <v>2437326</v>
      </c>
      <c r="U283" s="24">
        <v>108303</v>
      </c>
      <c r="W283" s="24">
        <v>258725</v>
      </c>
      <c r="Y283" s="60">
        <f t="shared" si="46"/>
        <v>41454057</v>
      </c>
      <c r="AA283" s="24">
        <v>0</v>
      </c>
      <c r="AC283" s="24">
        <v>0</v>
      </c>
      <c r="AE283" s="24">
        <v>0</v>
      </c>
      <c r="AG283" s="24">
        <v>0</v>
      </c>
      <c r="AI283" s="24">
        <v>0</v>
      </c>
      <c r="AK283" s="24">
        <f t="shared" si="47"/>
        <v>0</v>
      </c>
      <c r="AM283" s="24">
        <f t="shared" si="54"/>
        <v>41454057</v>
      </c>
    </row>
    <row r="284" spans="1:39" s="7" customFormat="1">
      <c r="A284" s="62" t="s">
        <v>903</v>
      </c>
      <c r="B284" s="62"/>
      <c r="C284" s="62" t="s">
        <v>41</v>
      </c>
      <c r="D284" s="62"/>
      <c r="E284" s="63">
        <v>47878</v>
      </c>
      <c r="G284" s="42">
        <v>10898986</v>
      </c>
      <c r="H284" s="42"/>
      <c r="I284" s="42">
        <v>0</v>
      </c>
      <c r="J284" s="42"/>
      <c r="K284" s="42">
        <v>2428412</v>
      </c>
      <c r="L284" s="42"/>
      <c r="M284" s="42">
        <v>1900</v>
      </c>
      <c r="N284" s="42"/>
      <c r="O284" s="42">
        <v>186007</v>
      </c>
      <c r="P284" s="42"/>
      <c r="Q284" s="42">
        <v>85368</v>
      </c>
      <c r="R284" s="42"/>
      <c r="S284" s="42">
        <v>0</v>
      </c>
      <c r="T284" s="42"/>
      <c r="U284" s="42">
        <v>20996</v>
      </c>
      <c r="V284" s="42"/>
      <c r="W284" s="42">
        <v>75518</v>
      </c>
      <c r="Y284" s="2">
        <v>13697187</v>
      </c>
      <c r="AA284" s="42">
        <v>13834</v>
      </c>
      <c r="AB284" s="42"/>
      <c r="AC284" s="42">
        <v>0</v>
      </c>
      <c r="AD284" s="42"/>
      <c r="AE284" s="42">
        <v>0</v>
      </c>
      <c r="AF284" s="42"/>
      <c r="AG284" s="42">
        <v>0</v>
      </c>
      <c r="AH284" s="42"/>
      <c r="AI284" s="42">
        <v>0</v>
      </c>
      <c r="AK284" s="7">
        <v>13834</v>
      </c>
      <c r="AM284" s="7">
        <v>13711021</v>
      </c>
    </row>
    <row r="285" spans="1:39">
      <c r="A285" s="9" t="s">
        <v>520</v>
      </c>
      <c r="B285" s="9"/>
      <c r="C285" s="9" t="s">
        <v>64</v>
      </c>
      <c r="D285" s="9"/>
      <c r="E285" s="23">
        <v>50245</v>
      </c>
      <c r="G285" s="42">
        <v>2418922</v>
      </c>
      <c r="I285" s="42">
        <v>0</v>
      </c>
      <c r="K285" s="42">
        <v>7817362</v>
      </c>
      <c r="M285" s="42">
        <v>9428</v>
      </c>
      <c r="O285" s="42">
        <v>1365186</v>
      </c>
      <c r="Q285" s="42">
        <v>69249</v>
      </c>
      <c r="S285" s="42">
        <v>0</v>
      </c>
      <c r="U285" s="42">
        <v>28456</v>
      </c>
      <c r="W285" s="42">
        <v>96214</v>
      </c>
      <c r="Y285" s="2">
        <v>11804817</v>
      </c>
      <c r="AA285" s="42">
        <v>0</v>
      </c>
      <c r="AC285" s="42">
        <v>0</v>
      </c>
      <c r="AE285" s="42">
        <v>0</v>
      </c>
      <c r="AG285" s="42">
        <v>9000</v>
      </c>
      <c r="AI285" s="42">
        <v>0</v>
      </c>
      <c r="AK285" s="42">
        <v>9000</v>
      </c>
      <c r="AM285" s="42">
        <v>11813817</v>
      </c>
    </row>
    <row r="286" spans="1:39">
      <c r="A286" s="9" t="s">
        <v>494</v>
      </c>
      <c r="B286" s="9"/>
      <c r="C286" s="9" t="s">
        <v>62</v>
      </c>
      <c r="D286" s="9"/>
      <c r="E286" s="23">
        <v>49866</v>
      </c>
      <c r="G286" s="42">
        <v>12362756</v>
      </c>
      <c r="I286" s="42">
        <v>0</v>
      </c>
      <c r="K286" s="42">
        <v>15511355</v>
      </c>
      <c r="M286" s="42">
        <v>11919</v>
      </c>
      <c r="O286" s="42">
        <v>268691</v>
      </c>
      <c r="Q286" s="42">
        <v>123838</v>
      </c>
      <c r="S286" s="42">
        <v>0</v>
      </c>
      <c r="U286" s="42">
        <v>24000</v>
      </c>
      <c r="W286" s="42">
        <v>100334</v>
      </c>
      <c r="Y286" s="2">
        <v>28402893</v>
      </c>
      <c r="AA286" s="42">
        <v>0</v>
      </c>
      <c r="AC286" s="42">
        <v>0</v>
      </c>
      <c r="AE286" s="42">
        <v>0</v>
      </c>
      <c r="AG286" s="42">
        <v>0</v>
      </c>
      <c r="AI286" s="42">
        <v>0</v>
      </c>
      <c r="AK286" s="42">
        <v>0</v>
      </c>
      <c r="AM286" s="42">
        <v>28402893</v>
      </c>
    </row>
    <row r="287" spans="1:39" hidden="1">
      <c r="A287" s="9" t="s">
        <v>790</v>
      </c>
      <c r="B287" s="9"/>
      <c r="C287" s="9" t="s">
        <v>72</v>
      </c>
      <c r="D287" s="9"/>
      <c r="E287" s="23">
        <v>50690</v>
      </c>
      <c r="G287" s="42">
        <v>0</v>
      </c>
      <c r="I287" s="42">
        <v>0</v>
      </c>
      <c r="K287" s="42">
        <v>0</v>
      </c>
      <c r="M287" s="42">
        <v>0</v>
      </c>
      <c r="O287" s="42">
        <v>0</v>
      </c>
      <c r="Q287" s="42">
        <v>0</v>
      </c>
      <c r="S287" s="42">
        <v>0</v>
      </c>
      <c r="U287" s="42">
        <v>0</v>
      </c>
      <c r="W287" s="42">
        <v>0</v>
      </c>
      <c r="Y287" s="2">
        <f t="shared" si="46"/>
        <v>0</v>
      </c>
      <c r="AA287" s="42">
        <v>0</v>
      </c>
      <c r="AC287" s="42">
        <v>0</v>
      </c>
      <c r="AE287" s="42">
        <v>0</v>
      </c>
      <c r="AG287" s="42">
        <v>0</v>
      </c>
      <c r="AI287" s="42">
        <v>0</v>
      </c>
      <c r="AK287" s="42">
        <f t="shared" si="47"/>
        <v>0</v>
      </c>
      <c r="AM287" s="42">
        <f t="shared" si="54"/>
        <v>0</v>
      </c>
    </row>
    <row r="288" spans="1:39">
      <c r="A288" s="9" t="s">
        <v>521</v>
      </c>
      <c r="B288" s="9"/>
      <c r="C288" s="9" t="s">
        <v>64</v>
      </c>
      <c r="D288" s="9"/>
      <c r="E288" s="23">
        <v>50187</v>
      </c>
      <c r="G288" s="42">
        <v>7633418</v>
      </c>
      <c r="I288" s="42">
        <v>0</v>
      </c>
      <c r="K288" s="42">
        <v>7814680</v>
      </c>
      <c r="M288" s="42">
        <v>6658</v>
      </c>
      <c r="O288" s="42">
        <f>712256+13223</f>
        <v>725479</v>
      </c>
      <c r="Q288" s="42">
        <v>42946</v>
      </c>
      <c r="S288" s="42">
        <v>0</v>
      </c>
      <c r="U288" s="42">
        <v>17056</v>
      </c>
      <c r="W288" s="42">
        <v>11088</v>
      </c>
      <c r="Y288" s="2">
        <f t="shared" si="46"/>
        <v>16251325</v>
      </c>
      <c r="AA288" s="42">
        <v>0</v>
      </c>
      <c r="AC288" s="42">
        <v>0</v>
      </c>
      <c r="AE288" s="42">
        <v>0</v>
      </c>
      <c r="AG288" s="42">
        <v>0</v>
      </c>
      <c r="AI288" s="42">
        <v>0</v>
      </c>
      <c r="AK288" s="42">
        <f t="shared" si="47"/>
        <v>0</v>
      </c>
      <c r="AM288" s="42">
        <f t="shared" si="54"/>
        <v>16251325</v>
      </c>
    </row>
    <row r="289" spans="1:39">
      <c r="A289" s="9" t="s">
        <v>268</v>
      </c>
      <c r="B289" s="9"/>
      <c r="C289" s="9" t="s">
        <v>20</v>
      </c>
      <c r="D289" s="9"/>
      <c r="E289" s="23">
        <v>44198</v>
      </c>
      <c r="G289" s="42">
        <v>39581258</v>
      </c>
      <c r="I289" s="42">
        <v>0</v>
      </c>
      <c r="K289" s="42">
        <f>23154584+205438</f>
        <v>23360022</v>
      </c>
      <c r="M289" s="42">
        <v>39005</v>
      </c>
      <c r="O289" s="42">
        <f>2853751+95339+291725+1240097</f>
        <v>4480912</v>
      </c>
      <c r="Q289" s="42">
        <v>528793</v>
      </c>
      <c r="S289" s="42">
        <v>64381</v>
      </c>
      <c r="U289" s="42">
        <v>9160</v>
      </c>
      <c r="W289" s="42">
        <v>119673</v>
      </c>
      <c r="Y289" s="2">
        <f t="shared" si="46"/>
        <v>68183204</v>
      </c>
      <c r="AA289" s="42">
        <v>0</v>
      </c>
      <c r="AC289" s="42">
        <v>0</v>
      </c>
      <c r="AE289" s="42">
        <v>0</v>
      </c>
      <c r="AG289" s="42">
        <v>0</v>
      </c>
      <c r="AI289" s="42">
        <v>0</v>
      </c>
      <c r="AK289" s="42">
        <f t="shared" si="47"/>
        <v>0</v>
      </c>
      <c r="AM289" s="42">
        <f t="shared" si="54"/>
        <v>68183204</v>
      </c>
    </row>
    <row r="290" spans="1:39">
      <c r="A290" s="9" t="s">
        <v>625</v>
      </c>
      <c r="B290" s="9"/>
      <c r="C290" s="9" t="s">
        <v>42</v>
      </c>
      <c r="D290" s="9"/>
      <c r="E290" s="23">
        <v>47993</v>
      </c>
      <c r="G290" s="42">
        <v>12452239</v>
      </c>
      <c r="I290" s="42">
        <v>0</v>
      </c>
      <c r="K290" s="42">
        <f>8027909+42729+500</f>
        <v>8071138</v>
      </c>
      <c r="M290" s="42">
        <v>22055</v>
      </c>
      <c r="O290" s="42">
        <f>408398+49154</f>
        <v>457552</v>
      </c>
      <c r="Q290" s="42">
        <v>44898</v>
      </c>
      <c r="S290" s="42">
        <v>0</v>
      </c>
      <c r="U290" s="42">
        <v>0</v>
      </c>
      <c r="W290" s="42">
        <v>245934</v>
      </c>
      <c r="Y290" s="2">
        <f t="shared" si="46"/>
        <v>21293816</v>
      </c>
      <c r="AA290" s="42">
        <v>0</v>
      </c>
      <c r="AC290" s="42">
        <v>0</v>
      </c>
      <c r="AE290" s="42">
        <v>0</v>
      </c>
      <c r="AG290" s="42">
        <f>6039+115438</f>
        <v>121477</v>
      </c>
      <c r="AI290" s="42">
        <v>0</v>
      </c>
      <c r="AK290" s="42">
        <f t="shared" si="47"/>
        <v>121477</v>
      </c>
      <c r="AM290" s="42">
        <f t="shared" si="54"/>
        <v>21415293</v>
      </c>
    </row>
    <row r="291" spans="1:39">
      <c r="A291" s="9" t="s">
        <v>222</v>
      </c>
      <c r="B291" s="9"/>
      <c r="C291" s="9" t="s">
        <v>220</v>
      </c>
      <c r="D291" s="9"/>
      <c r="E291" s="23">
        <v>46110</v>
      </c>
      <c r="F291" s="7"/>
      <c r="G291" s="42">
        <v>78390497</v>
      </c>
      <c r="I291" s="42">
        <v>0</v>
      </c>
      <c r="K291" s="42">
        <v>54120073</v>
      </c>
      <c r="M291" s="42">
        <v>112177</v>
      </c>
      <c r="O291" s="42">
        <f>2205304+303294</f>
        <v>2508598</v>
      </c>
      <c r="Q291" s="42">
        <v>448841</v>
      </c>
      <c r="S291" s="42">
        <v>11293791</v>
      </c>
      <c r="U291" s="42">
        <v>0</v>
      </c>
      <c r="W291" s="42">
        <v>340982</v>
      </c>
      <c r="Y291" s="2">
        <f t="shared" si="46"/>
        <v>147214959</v>
      </c>
      <c r="AA291" s="42">
        <v>0</v>
      </c>
      <c r="AC291" s="42">
        <v>0</v>
      </c>
      <c r="AE291" s="42">
        <v>0</v>
      </c>
      <c r="AG291" s="42">
        <v>12082</v>
      </c>
      <c r="AI291" s="42">
        <v>0</v>
      </c>
      <c r="AK291" s="42">
        <f t="shared" si="47"/>
        <v>12082</v>
      </c>
      <c r="AM291" s="42">
        <f t="shared" si="54"/>
        <v>147227041</v>
      </c>
    </row>
    <row r="292" spans="1:39" hidden="1">
      <c r="A292" s="9" t="s">
        <v>791</v>
      </c>
      <c r="B292" s="9"/>
      <c r="C292" s="9" t="s">
        <v>79</v>
      </c>
      <c r="D292" s="9"/>
      <c r="E292" s="23">
        <v>49569</v>
      </c>
      <c r="G292" s="42">
        <v>0</v>
      </c>
      <c r="I292" s="42">
        <v>0</v>
      </c>
      <c r="K292" s="42">
        <v>0</v>
      </c>
      <c r="M292" s="42">
        <v>0</v>
      </c>
      <c r="O292" s="42">
        <v>0</v>
      </c>
      <c r="Q292" s="42">
        <v>0</v>
      </c>
      <c r="S292" s="42">
        <v>0</v>
      </c>
      <c r="U292" s="42">
        <v>0</v>
      </c>
      <c r="W292" s="42">
        <v>0</v>
      </c>
      <c r="Y292" s="2">
        <f t="shared" si="46"/>
        <v>0</v>
      </c>
      <c r="AA292" s="42">
        <v>0</v>
      </c>
      <c r="AC292" s="42">
        <v>0</v>
      </c>
      <c r="AE292" s="42">
        <v>0</v>
      </c>
      <c r="AG292" s="42">
        <v>0</v>
      </c>
      <c r="AI292" s="42">
        <v>0</v>
      </c>
      <c r="AK292" s="42">
        <f t="shared" si="47"/>
        <v>0</v>
      </c>
      <c r="AM292" s="42">
        <f t="shared" si="54"/>
        <v>0</v>
      </c>
    </row>
    <row r="293" spans="1:39">
      <c r="A293" s="9" t="s">
        <v>293</v>
      </c>
      <c r="B293" s="9"/>
      <c r="C293" s="9" t="s">
        <v>25</v>
      </c>
      <c r="D293" s="9"/>
      <c r="E293" s="23">
        <v>44206</v>
      </c>
      <c r="G293" s="42">
        <v>20333007</v>
      </c>
      <c r="I293" s="42">
        <v>10468860</v>
      </c>
      <c r="K293" s="42">
        <v>24982951</v>
      </c>
      <c r="M293" s="42">
        <v>39653</v>
      </c>
      <c r="O293" s="42">
        <f>1135048+133272</f>
        <v>1268320</v>
      </c>
      <c r="Q293" s="42">
        <v>214894</v>
      </c>
      <c r="S293" s="42">
        <v>122423</v>
      </c>
      <c r="U293" s="42">
        <v>48759</v>
      </c>
      <c r="W293" s="42">
        <v>237988</v>
      </c>
      <c r="Y293" s="2">
        <f t="shared" si="46"/>
        <v>57716855</v>
      </c>
      <c r="AA293" s="42">
        <v>0</v>
      </c>
      <c r="AC293" s="42">
        <v>0</v>
      </c>
      <c r="AE293" s="42">
        <v>0</v>
      </c>
      <c r="AG293" s="42">
        <f>1036010+37598</f>
        <v>1073608</v>
      </c>
      <c r="AI293" s="42">
        <v>0</v>
      </c>
      <c r="AK293" s="42">
        <f t="shared" si="47"/>
        <v>1073608</v>
      </c>
      <c r="AM293" s="42">
        <f t="shared" si="54"/>
        <v>58790463</v>
      </c>
    </row>
    <row r="294" spans="1:39" hidden="1">
      <c r="A294" s="9" t="s">
        <v>723</v>
      </c>
      <c r="B294" s="9"/>
      <c r="C294" s="9" t="s">
        <v>69</v>
      </c>
      <c r="D294" s="9"/>
      <c r="E294" s="23">
        <v>44214</v>
      </c>
      <c r="G294" s="42">
        <v>0</v>
      </c>
      <c r="I294" s="42">
        <v>0</v>
      </c>
      <c r="K294" s="42">
        <v>0</v>
      </c>
      <c r="M294" s="42">
        <v>0</v>
      </c>
      <c r="O294" s="42">
        <v>0</v>
      </c>
      <c r="Q294" s="42">
        <v>0</v>
      </c>
      <c r="S294" s="42">
        <v>0</v>
      </c>
      <c r="U294" s="42">
        <v>0</v>
      </c>
      <c r="W294" s="42">
        <v>0</v>
      </c>
      <c r="Y294" s="2">
        <f>SUM(G294:X294)</f>
        <v>0</v>
      </c>
      <c r="AA294" s="42">
        <v>0</v>
      </c>
      <c r="AC294" s="42">
        <v>0</v>
      </c>
      <c r="AE294" s="42">
        <v>0</v>
      </c>
      <c r="AG294" s="42">
        <v>0</v>
      </c>
      <c r="AI294" s="42">
        <v>0</v>
      </c>
      <c r="AK294" s="42">
        <f>SUM(AA294:AJ294)</f>
        <v>0</v>
      </c>
      <c r="AM294" s="42">
        <f t="shared" si="54"/>
        <v>0</v>
      </c>
    </row>
    <row r="295" spans="1:39">
      <c r="A295" s="9" t="s">
        <v>313</v>
      </c>
      <c r="B295" s="9"/>
      <c r="C295" s="9" t="s">
        <v>30</v>
      </c>
      <c r="D295" s="9"/>
      <c r="E295" s="23">
        <v>47209</v>
      </c>
      <c r="G295" s="42">
        <v>1830987</v>
      </c>
      <c r="I295" s="42">
        <v>987260</v>
      </c>
      <c r="K295" s="42">
        <v>2530281</v>
      </c>
      <c r="M295" s="42">
        <v>464</v>
      </c>
      <c r="O295" s="42">
        <f>260716+8433+20300</f>
        <v>289449</v>
      </c>
      <c r="Q295" s="42">
        <v>17506</v>
      </c>
      <c r="S295" s="42">
        <v>0</v>
      </c>
      <c r="U295" s="42">
        <v>150</v>
      </c>
      <c r="W295" s="42">
        <v>23735</v>
      </c>
      <c r="Y295" s="2">
        <f>SUM(G295:X295)</f>
        <v>5679832</v>
      </c>
      <c r="AA295" s="42">
        <v>0</v>
      </c>
      <c r="AC295" s="42">
        <v>0</v>
      </c>
      <c r="AE295" s="42">
        <v>0</v>
      </c>
      <c r="AG295" s="42">
        <v>0</v>
      </c>
      <c r="AI295" s="42">
        <v>0</v>
      </c>
      <c r="AK295" s="42">
        <f>SUM(AA295:AJ295)</f>
        <v>0</v>
      </c>
      <c r="AM295" s="42">
        <f t="shared" si="54"/>
        <v>5679832</v>
      </c>
    </row>
    <row r="296" spans="1:39" hidden="1">
      <c r="A296" s="9" t="s">
        <v>757</v>
      </c>
      <c r="B296" s="9"/>
      <c r="C296" s="9" t="s">
        <v>111</v>
      </c>
      <c r="D296" s="9"/>
      <c r="E296" s="23">
        <v>45443</v>
      </c>
      <c r="G296" s="42">
        <v>0</v>
      </c>
      <c r="I296" s="42">
        <v>0</v>
      </c>
      <c r="K296" s="42">
        <v>0</v>
      </c>
      <c r="M296" s="42">
        <v>0</v>
      </c>
      <c r="O296" s="42">
        <v>0</v>
      </c>
      <c r="Q296" s="42">
        <v>0</v>
      </c>
      <c r="S296" s="42">
        <v>0</v>
      </c>
      <c r="U296" s="42">
        <v>0</v>
      </c>
      <c r="W296" s="42">
        <v>0</v>
      </c>
      <c r="Y296" s="2"/>
      <c r="AA296" s="42">
        <v>0</v>
      </c>
      <c r="AC296" s="42">
        <v>0</v>
      </c>
      <c r="AE296" s="42">
        <v>0</v>
      </c>
      <c r="AG296" s="42">
        <v>0</v>
      </c>
      <c r="AI296" s="42">
        <v>0</v>
      </c>
      <c r="AK296" s="42">
        <f>SUM(AA296:AJ296)</f>
        <v>0</v>
      </c>
    </row>
    <row r="297" spans="1:39" hidden="1">
      <c r="A297" s="9" t="s">
        <v>676</v>
      </c>
      <c r="B297" s="9"/>
      <c r="C297" s="9" t="s">
        <v>464</v>
      </c>
      <c r="D297" s="9"/>
      <c r="E297" s="23">
        <v>49353</v>
      </c>
      <c r="G297" s="42">
        <v>0</v>
      </c>
      <c r="I297" s="42">
        <v>0</v>
      </c>
      <c r="K297" s="42">
        <v>0</v>
      </c>
      <c r="M297" s="42">
        <v>0</v>
      </c>
      <c r="O297" s="42">
        <v>0</v>
      </c>
      <c r="Q297" s="42">
        <v>0</v>
      </c>
      <c r="S297" s="42">
        <v>0</v>
      </c>
      <c r="U297" s="42">
        <v>0</v>
      </c>
      <c r="W297" s="42">
        <v>0</v>
      </c>
      <c r="Y297" s="2">
        <f>SUM(G297:X297)</f>
        <v>0</v>
      </c>
      <c r="AA297" s="42">
        <v>0</v>
      </c>
      <c r="AC297" s="42">
        <v>0</v>
      </c>
      <c r="AE297" s="42">
        <v>0</v>
      </c>
      <c r="AG297" s="42">
        <v>0</v>
      </c>
      <c r="AI297" s="42">
        <v>0</v>
      </c>
      <c r="AK297" s="42">
        <f>SUM(AA297:AJ297)</f>
        <v>0</v>
      </c>
      <c r="AM297" s="42">
        <f t="shared" ref="AM297:AM329" si="55">+AK297+Y297</f>
        <v>0</v>
      </c>
    </row>
    <row r="298" spans="1:39" hidden="1">
      <c r="A298" s="9" t="s">
        <v>792</v>
      </c>
      <c r="B298" s="9"/>
      <c r="C298" s="9" t="s">
        <v>109</v>
      </c>
      <c r="D298" s="9"/>
      <c r="E298" s="23">
        <v>49437</v>
      </c>
      <c r="G298" s="42">
        <v>0</v>
      </c>
      <c r="I298" s="42">
        <v>0</v>
      </c>
      <c r="K298" s="42">
        <v>0</v>
      </c>
      <c r="M298" s="42">
        <v>0</v>
      </c>
      <c r="O298" s="42">
        <v>0</v>
      </c>
      <c r="Q298" s="42">
        <v>0</v>
      </c>
      <c r="S298" s="42">
        <v>0</v>
      </c>
      <c r="U298" s="42">
        <v>0</v>
      </c>
      <c r="W298" s="42">
        <v>0</v>
      </c>
      <c r="Y298" s="2">
        <f t="shared" ref="Y298:Y320" si="56">SUM(G298:X298)</f>
        <v>0</v>
      </c>
      <c r="AA298" s="42">
        <v>0</v>
      </c>
      <c r="AC298" s="42">
        <v>0</v>
      </c>
      <c r="AE298" s="42">
        <v>0</v>
      </c>
      <c r="AG298" s="42">
        <v>0</v>
      </c>
      <c r="AI298" s="42">
        <v>0</v>
      </c>
      <c r="AK298" s="42">
        <f t="shared" ref="AK298:AK320" si="57">SUM(AA298:AJ298)</f>
        <v>0</v>
      </c>
      <c r="AM298" s="42">
        <f t="shared" si="55"/>
        <v>0</v>
      </c>
    </row>
    <row r="299" spans="1:39">
      <c r="A299" s="9" t="s">
        <v>793</v>
      </c>
      <c r="B299" s="9"/>
      <c r="C299" s="9" t="s">
        <v>33</v>
      </c>
      <c r="D299" s="9"/>
      <c r="E299" s="23">
        <v>47449</v>
      </c>
      <c r="G299" s="42">
        <v>4259604</v>
      </c>
      <c r="I299" s="42">
        <v>1601280</v>
      </c>
      <c r="K299" s="42">
        <v>5666861</v>
      </c>
      <c r="M299" s="42">
        <v>5567</v>
      </c>
      <c r="O299" s="42">
        <v>1544914</v>
      </c>
      <c r="Q299" s="42">
        <v>0</v>
      </c>
      <c r="S299" s="42">
        <v>12290</v>
      </c>
      <c r="U299" s="42">
        <v>4492</v>
      </c>
      <c r="W299" s="42">
        <v>120083</v>
      </c>
      <c r="Y299" s="2">
        <f>SUM(G299:X299)</f>
        <v>13215091</v>
      </c>
      <c r="AA299" s="42">
        <v>0</v>
      </c>
      <c r="AC299" s="42">
        <v>0</v>
      </c>
      <c r="AE299" s="42">
        <v>0</v>
      </c>
      <c r="AG299" s="42">
        <v>0</v>
      </c>
      <c r="AI299" s="42">
        <v>0</v>
      </c>
      <c r="AK299" s="42">
        <f>SUM(AA299:AJ299)</f>
        <v>0</v>
      </c>
      <c r="AM299" s="42">
        <f>+AK299+Y299</f>
        <v>13215091</v>
      </c>
    </row>
    <row r="300" spans="1:39">
      <c r="A300" s="9" t="s">
        <v>343</v>
      </c>
      <c r="B300" s="9"/>
      <c r="C300" s="9" t="s">
        <v>34</v>
      </c>
      <c r="D300" s="9"/>
      <c r="E300" s="23">
        <v>47589</v>
      </c>
      <c r="G300" s="42">
        <v>2301206</v>
      </c>
      <c r="I300" s="42">
        <v>2251349</v>
      </c>
      <c r="K300" s="42">
        <v>5623409</v>
      </c>
      <c r="M300" s="42">
        <v>19793</v>
      </c>
      <c r="O300" s="42">
        <f>1215492+59025+429</f>
        <v>1274946</v>
      </c>
      <c r="Q300" s="42">
        <v>5273</v>
      </c>
      <c r="S300" s="42">
        <v>0</v>
      </c>
      <c r="U300" s="42">
        <v>75951</v>
      </c>
      <c r="W300" s="42">
        <v>17405</v>
      </c>
      <c r="Y300" s="2">
        <f t="shared" si="56"/>
        <v>11569332</v>
      </c>
      <c r="AA300" s="42">
        <v>0</v>
      </c>
      <c r="AC300" s="42">
        <v>0</v>
      </c>
      <c r="AE300" s="42">
        <v>0</v>
      </c>
      <c r="AG300" s="42">
        <v>171480</v>
      </c>
      <c r="AI300" s="42">
        <v>0</v>
      </c>
      <c r="AK300" s="42">
        <f t="shared" si="57"/>
        <v>171480</v>
      </c>
      <c r="AM300" s="42">
        <f t="shared" si="55"/>
        <v>11740812</v>
      </c>
    </row>
    <row r="301" spans="1:39">
      <c r="A301" s="9" t="s">
        <v>522</v>
      </c>
      <c r="B301" s="9"/>
      <c r="C301" s="9" t="s">
        <v>64</v>
      </c>
      <c r="D301" s="9"/>
      <c r="E301" s="23">
        <v>50195</v>
      </c>
      <c r="G301" s="42">
        <v>6887100</v>
      </c>
      <c r="I301" s="42">
        <v>0</v>
      </c>
      <c r="K301" s="42">
        <v>6402252</v>
      </c>
      <c r="M301" s="42">
        <v>3976</v>
      </c>
      <c r="O301" s="42">
        <f>839927+62336</f>
        <v>902263</v>
      </c>
      <c r="Q301" s="42">
        <v>0</v>
      </c>
      <c r="S301" s="42">
        <v>0</v>
      </c>
      <c r="U301" s="42">
        <v>0</v>
      </c>
      <c r="W301" s="42">
        <v>276750</v>
      </c>
      <c r="Y301" s="2">
        <f t="shared" si="56"/>
        <v>14472341</v>
      </c>
      <c r="AA301" s="42">
        <v>0</v>
      </c>
      <c r="AC301" s="42">
        <v>0</v>
      </c>
      <c r="AE301" s="42">
        <v>0</v>
      </c>
      <c r="AG301" s="42">
        <v>9496</v>
      </c>
      <c r="AI301" s="42">
        <v>0</v>
      </c>
      <c r="AK301" s="42">
        <f t="shared" si="57"/>
        <v>9496</v>
      </c>
      <c r="AM301" s="42">
        <f t="shared" si="55"/>
        <v>14481837</v>
      </c>
    </row>
    <row r="302" spans="1:39">
      <c r="A302" s="9" t="s">
        <v>738</v>
      </c>
      <c r="B302" s="9"/>
      <c r="C302" s="9" t="s">
        <v>25</v>
      </c>
      <c r="D302" s="9"/>
      <c r="E302" s="23">
        <v>46888</v>
      </c>
      <c r="G302" s="42">
        <v>3047518</v>
      </c>
      <c r="I302" s="42">
        <v>2792498</v>
      </c>
      <c r="K302" s="42">
        <v>5970955</v>
      </c>
      <c r="M302" s="42">
        <v>21740</v>
      </c>
      <c r="O302" s="42">
        <v>445971</v>
      </c>
      <c r="Q302" s="42">
        <v>13852</v>
      </c>
      <c r="S302" s="42">
        <v>0</v>
      </c>
      <c r="U302" s="42">
        <v>23863</v>
      </c>
      <c r="W302" s="42">
        <v>125351</v>
      </c>
      <c r="Y302" s="2">
        <f t="shared" si="56"/>
        <v>12441748</v>
      </c>
      <c r="AA302" s="42">
        <v>0</v>
      </c>
      <c r="AC302" s="42">
        <v>0</v>
      </c>
      <c r="AE302" s="42">
        <v>0</v>
      </c>
      <c r="AG302" s="42">
        <f>7291+8749</f>
        <v>16040</v>
      </c>
      <c r="AI302" s="42">
        <v>0</v>
      </c>
      <c r="AK302" s="42">
        <f t="shared" si="57"/>
        <v>16040</v>
      </c>
      <c r="AM302" s="42">
        <f t="shared" si="55"/>
        <v>12457788</v>
      </c>
    </row>
    <row r="303" spans="1:39">
      <c r="A303" s="9" t="s">
        <v>904</v>
      </c>
      <c r="B303" s="9"/>
      <c r="C303" s="9" t="s">
        <v>42</v>
      </c>
      <c r="D303" s="9"/>
      <c r="E303" s="23">
        <v>48009</v>
      </c>
      <c r="G303" s="42">
        <v>14638575</v>
      </c>
      <c r="I303" s="42">
        <v>0</v>
      </c>
      <c r="K303" s="42">
        <v>10448681</v>
      </c>
      <c r="M303" s="42">
        <v>1255</v>
      </c>
      <c r="O303" s="42">
        <f>381903+15134</f>
        <v>397037</v>
      </c>
      <c r="Q303" s="42">
        <v>155790</v>
      </c>
      <c r="S303" s="42">
        <v>1865165</v>
      </c>
      <c r="U303" s="42">
        <v>21802</v>
      </c>
      <c r="W303" s="42">
        <v>70429</v>
      </c>
      <c r="Y303" s="2">
        <f t="shared" si="56"/>
        <v>27598734</v>
      </c>
      <c r="AA303" s="42">
        <v>0</v>
      </c>
      <c r="AC303" s="42">
        <v>0</v>
      </c>
      <c r="AE303" s="42">
        <v>0</v>
      </c>
      <c r="AG303" s="42">
        <f>11024+8943</f>
        <v>19967</v>
      </c>
      <c r="AI303" s="42">
        <v>0</v>
      </c>
      <c r="AK303" s="42">
        <f t="shared" si="57"/>
        <v>19967</v>
      </c>
      <c r="AM303" s="42">
        <f t="shared" si="55"/>
        <v>27618701</v>
      </c>
    </row>
    <row r="304" spans="1:39">
      <c r="A304" s="9" t="s">
        <v>373</v>
      </c>
      <c r="B304" s="9"/>
      <c r="C304" s="9" t="s">
        <v>42</v>
      </c>
      <c r="D304" s="9"/>
      <c r="E304" s="23">
        <v>48017</v>
      </c>
      <c r="G304" s="42">
        <v>3769725</v>
      </c>
      <c r="I304" s="42">
        <v>2107677</v>
      </c>
      <c r="K304" s="42">
        <v>9421513</v>
      </c>
      <c r="M304" s="42">
        <v>10378</v>
      </c>
      <c r="O304" s="42">
        <v>1252105</v>
      </c>
      <c r="Q304" s="42">
        <v>47719</v>
      </c>
      <c r="S304" s="42">
        <v>43653</v>
      </c>
      <c r="U304" s="42">
        <v>655</v>
      </c>
      <c r="W304" s="42">
        <v>220602</v>
      </c>
      <c r="Y304" s="2">
        <f t="shared" si="56"/>
        <v>16874027</v>
      </c>
      <c r="AA304" s="42">
        <v>0</v>
      </c>
      <c r="AC304" s="42">
        <v>0</v>
      </c>
      <c r="AE304" s="42">
        <v>975000</v>
      </c>
      <c r="AG304" s="42">
        <f>6105+839663+51338</f>
        <v>897106</v>
      </c>
      <c r="AI304" s="42">
        <v>0</v>
      </c>
      <c r="AK304" s="42">
        <f t="shared" si="57"/>
        <v>1872106</v>
      </c>
      <c r="AM304" s="42">
        <f t="shared" si="55"/>
        <v>18746133</v>
      </c>
    </row>
    <row r="305" spans="1:39" hidden="1">
      <c r="A305" s="9" t="s">
        <v>677</v>
      </c>
      <c r="B305" s="9"/>
      <c r="C305" s="9" t="s">
        <v>10</v>
      </c>
      <c r="D305" s="9"/>
      <c r="E305" s="23">
        <v>44222</v>
      </c>
      <c r="G305" s="42">
        <v>0</v>
      </c>
      <c r="I305" s="42">
        <v>0</v>
      </c>
      <c r="K305" s="42">
        <v>0</v>
      </c>
      <c r="M305" s="42">
        <v>0</v>
      </c>
      <c r="O305" s="42">
        <v>0</v>
      </c>
      <c r="Q305" s="42">
        <v>0</v>
      </c>
      <c r="S305" s="42">
        <v>0</v>
      </c>
      <c r="U305" s="42">
        <v>0</v>
      </c>
      <c r="W305" s="42">
        <v>0</v>
      </c>
      <c r="Y305" s="2">
        <f t="shared" si="56"/>
        <v>0</v>
      </c>
      <c r="AA305" s="42">
        <v>0</v>
      </c>
      <c r="AC305" s="42">
        <v>0</v>
      </c>
      <c r="AE305" s="42">
        <v>0</v>
      </c>
      <c r="AG305" s="42">
        <v>0</v>
      </c>
      <c r="AI305" s="42">
        <v>0</v>
      </c>
      <c r="AK305" s="42">
        <f t="shared" si="57"/>
        <v>0</v>
      </c>
      <c r="AM305" s="42">
        <f t="shared" si="55"/>
        <v>0</v>
      </c>
    </row>
    <row r="306" spans="1:39">
      <c r="A306" s="9" t="s">
        <v>537</v>
      </c>
      <c r="B306" s="9"/>
      <c r="C306" s="9" t="s">
        <v>67</v>
      </c>
      <c r="D306" s="9"/>
      <c r="E306" s="23">
        <v>50369</v>
      </c>
      <c r="G306" s="42">
        <v>2244472</v>
      </c>
      <c r="I306" s="42">
        <v>0</v>
      </c>
      <c r="K306" s="42">
        <f>4349518+11405</f>
        <v>4360923</v>
      </c>
      <c r="M306" s="42">
        <v>32129</v>
      </c>
      <c r="O306" s="42">
        <f>1842579+33949+2917</f>
        <v>1879445</v>
      </c>
      <c r="Q306" s="42">
        <v>0</v>
      </c>
      <c r="S306" s="42">
        <v>79000</v>
      </c>
      <c r="U306" s="42">
        <v>6733</v>
      </c>
      <c r="W306" s="42">
        <v>59423</v>
      </c>
      <c r="Y306" s="2">
        <f t="shared" si="56"/>
        <v>8662125</v>
      </c>
      <c r="AA306" s="42">
        <v>0</v>
      </c>
      <c r="AC306" s="42">
        <v>0</v>
      </c>
      <c r="AE306" s="42">
        <v>0</v>
      </c>
      <c r="AG306" s="42">
        <v>0</v>
      </c>
      <c r="AI306" s="42">
        <v>0</v>
      </c>
      <c r="AK306" s="42">
        <f t="shared" si="57"/>
        <v>0</v>
      </c>
      <c r="AM306" s="42">
        <f t="shared" si="55"/>
        <v>8662125</v>
      </c>
    </row>
    <row r="307" spans="1:39">
      <c r="A307" s="9" t="s">
        <v>760</v>
      </c>
      <c r="B307" s="9"/>
      <c r="C307" s="9" t="s">
        <v>111</v>
      </c>
      <c r="D307" s="9"/>
      <c r="E307" s="23">
        <v>45450</v>
      </c>
      <c r="F307" s="7"/>
      <c r="G307" s="42">
        <v>1556883</v>
      </c>
      <c r="I307" s="42">
        <v>0</v>
      </c>
      <c r="K307" s="42">
        <v>5274066</v>
      </c>
      <c r="M307" s="42">
        <v>57457</v>
      </c>
      <c r="O307" s="42">
        <f>8232+1111982+20510</f>
        <v>1140724</v>
      </c>
      <c r="Q307" s="42">
        <v>45447</v>
      </c>
      <c r="S307" s="42">
        <v>0</v>
      </c>
      <c r="U307" s="42">
        <v>5766</v>
      </c>
      <c r="W307" s="42">
        <v>0</v>
      </c>
      <c r="Y307" s="2">
        <f t="shared" si="56"/>
        <v>8080343</v>
      </c>
      <c r="AA307" s="42">
        <v>0</v>
      </c>
      <c r="AC307" s="42">
        <v>0</v>
      </c>
      <c r="AE307" s="42">
        <v>0</v>
      </c>
      <c r="AG307" s="42">
        <v>0</v>
      </c>
      <c r="AI307" s="42">
        <v>0</v>
      </c>
      <c r="AK307" s="42">
        <f t="shared" si="57"/>
        <v>0</v>
      </c>
      <c r="AM307" s="42">
        <f t="shared" si="55"/>
        <v>8080343</v>
      </c>
    </row>
    <row r="308" spans="1:39">
      <c r="A308" s="9" t="s">
        <v>541</v>
      </c>
      <c r="B308" s="9"/>
      <c r="C308" s="9" t="s">
        <v>69</v>
      </c>
      <c r="D308" s="9"/>
      <c r="E308" s="23">
        <v>50443</v>
      </c>
      <c r="G308" s="42">
        <v>25865735</v>
      </c>
      <c r="I308" s="42">
        <v>0</v>
      </c>
      <c r="K308" s="42">
        <v>13356878</v>
      </c>
      <c r="M308" s="42">
        <v>25624</v>
      </c>
      <c r="O308" s="42">
        <f>600891+5240</f>
        <v>606131</v>
      </c>
      <c r="Q308" s="42">
        <v>314058</v>
      </c>
      <c r="S308" s="42">
        <v>922003</v>
      </c>
      <c r="U308" s="42">
        <v>0</v>
      </c>
      <c r="W308" s="42">
        <v>79639</v>
      </c>
      <c r="Y308" s="2">
        <f t="shared" si="56"/>
        <v>41170068</v>
      </c>
      <c r="AA308" s="42">
        <v>0</v>
      </c>
      <c r="AC308" s="42">
        <v>0</v>
      </c>
      <c r="AE308" s="42">
        <v>0</v>
      </c>
      <c r="AG308" s="42">
        <v>0</v>
      </c>
      <c r="AI308" s="42">
        <v>0</v>
      </c>
      <c r="AK308" s="42">
        <f t="shared" si="57"/>
        <v>0</v>
      </c>
      <c r="AM308" s="42">
        <f t="shared" si="55"/>
        <v>41170068</v>
      </c>
    </row>
    <row r="309" spans="1:39" hidden="1">
      <c r="A309" s="9" t="s">
        <v>794</v>
      </c>
      <c r="B309" s="9"/>
      <c r="C309" s="9" t="s">
        <v>32</v>
      </c>
      <c r="D309" s="9"/>
      <c r="E309" s="23">
        <v>44230</v>
      </c>
      <c r="G309" s="42">
        <v>0</v>
      </c>
      <c r="I309" s="42">
        <v>0</v>
      </c>
      <c r="K309" s="42">
        <v>0</v>
      </c>
      <c r="M309" s="42">
        <v>0</v>
      </c>
      <c r="O309" s="42">
        <v>0</v>
      </c>
      <c r="Q309" s="42">
        <v>0</v>
      </c>
      <c r="S309" s="42">
        <v>0</v>
      </c>
      <c r="U309" s="42">
        <v>0</v>
      </c>
      <c r="W309" s="42">
        <v>0</v>
      </c>
      <c r="Y309" s="2">
        <f t="shared" si="56"/>
        <v>0</v>
      </c>
      <c r="AA309" s="42">
        <v>0</v>
      </c>
      <c r="AC309" s="42">
        <v>0</v>
      </c>
      <c r="AE309" s="42">
        <v>0</v>
      </c>
      <c r="AG309" s="42">
        <v>0</v>
      </c>
      <c r="AI309" s="42">
        <v>0</v>
      </c>
      <c r="AK309" s="42">
        <f t="shared" si="57"/>
        <v>0</v>
      </c>
      <c r="AM309" s="42">
        <f t="shared" si="55"/>
        <v>0</v>
      </c>
    </row>
    <row r="310" spans="1:39">
      <c r="A310" s="9" t="s">
        <v>450</v>
      </c>
      <c r="B310" s="9"/>
      <c r="C310" s="9" t="s">
        <v>54</v>
      </c>
      <c r="D310" s="9"/>
      <c r="E310" s="23">
        <v>49080</v>
      </c>
      <c r="G310" s="42">
        <v>6678083</v>
      </c>
      <c r="I310" s="42">
        <v>2253759</v>
      </c>
      <c r="K310" s="42">
        <f>8600377+33160</f>
        <v>8633537</v>
      </c>
      <c r="M310" s="42">
        <v>6240</v>
      </c>
      <c r="O310" s="42">
        <f>659609+3135+45296+5221</f>
        <v>713261</v>
      </c>
      <c r="Q310" s="42">
        <v>118662</v>
      </c>
      <c r="S310" s="42">
        <v>0</v>
      </c>
      <c r="U310" s="42">
        <v>357</v>
      </c>
      <c r="W310" s="42">
        <v>12873</v>
      </c>
      <c r="Y310" s="2">
        <f t="shared" si="56"/>
        <v>18416772</v>
      </c>
      <c r="AA310" s="42">
        <v>0</v>
      </c>
      <c r="AC310" s="42">
        <v>0</v>
      </c>
      <c r="AE310" s="42">
        <v>0</v>
      </c>
      <c r="AG310" s="42">
        <v>0</v>
      </c>
      <c r="AI310" s="42">
        <v>0</v>
      </c>
      <c r="AK310" s="42">
        <f t="shared" si="57"/>
        <v>0</v>
      </c>
      <c r="AM310" s="42">
        <f t="shared" si="55"/>
        <v>18416772</v>
      </c>
    </row>
    <row r="311" spans="1:39">
      <c r="A311" s="9" t="s">
        <v>350</v>
      </c>
      <c r="B311" s="9"/>
      <c r="C311" s="9" t="s">
        <v>35</v>
      </c>
      <c r="D311" s="9"/>
      <c r="E311" s="23">
        <v>44248</v>
      </c>
      <c r="G311" s="42">
        <v>9280854</v>
      </c>
      <c r="I311" s="42">
        <v>0</v>
      </c>
      <c r="K311" s="42">
        <f>22119799+177283</f>
        <v>22297082</v>
      </c>
      <c r="M311" s="42">
        <v>45</v>
      </c>
      <c r="O311" s="42">
        <f>1178563+1062</f>
        <v>1179625</v>
      </c>
      <c r="Q311" s="42">
        <v>58799</v>
      </c>
      <c r="S311" s="42">
        <v>0</v>
      </c>
      <c r="U311" s="42">
        <v>0</v>
      </c>
      <c r="W311" s="42">
        <v>56362</v>
      </c>
      <c r="Y311" s="2">
        <f t="shared" si="56"/>
        <v>32872767</v>
      </c>
      <c r="AA311" s="42">
        <v>0</v>
      </c>
      <c r="AC311" s="42">
        <v>0</v>
      </c>
      <c r="AE311" s="42">
        <v>0</v>
      </c>
      <c r="AG311" s="42">
        <v>0</v>
      </c>
      <c r="AI311" s="42">
        <v>0</v>
      </c>
      <c r="AK311" s="42">
        <f t="shared" si="57"/>
        <v>0</v>
      </c>
      <c r="AM311" s="42">
        <f t="shared" si="55"/>
        <v>32872767</v>
      </c>
    </row>
    <row r="312" spans="1:39">
      <c r="A312" s="9" t="s">
        <v>397</v>
      </c>
      <c r="B312" s="9"/>
      <c r="C312" s="9" t="s">
        <v>395</v>
      </c>
      <c r="D312" s="9"/>
      <c r="E312" s="23">
        <v>44255</v>
      </c>
      <c r="G312" s="42">
        <v>5571274</v>
      </c>
      <c r="I312" s="42">
        <v>3594565</v>
      </c>
      <c r="K312" s="42">
        <v>8350650</v>
      </c>
      <c r="M312" s="42">
        <v>4515</v>
      </c>
      <c r="O312" s="42">
        <f>401186+1341615</f>
        <v>1742801</v>
      </c>
      <c r="Q312" s="42">
        <v>25827</v>
      </c>
      <c r="S312" s="42">
        <v>245335</v>
      </c>
      <c r="U312" s="42">
        <v>8776</v>
      </c>
      <c r="W312" s="42">
        <v>67945</v>
      </c>
      <c r="Y312" s="2">
        <f t="shared" si="56"/>
        <v>19611688</v>
      </c>
      <c r="AA312" s="42">
        <v>0</v>
      </c>
      <c r="AC312" s="42">
        <v>0</v>
      </c>
      <c r="AE312" s="42">
        <v>0</v>
      </c>
      <c r="AG312" s="42">
        <v>0</v>
      </c>
      <c r="AI312" s="42">
        <v>0</v>
      </c>
      <c r="AK312" s="42">
        <f t="shared" si="57"/>
        <v>0</v>
      </c>
      <c r="AM312" s="42">
        <f t="shared" si="55"/>
        <v>19611688</v>
      </c>
    </row>
    <row r="313" spans="1:39">
      <c r="A313" s="9" t="s">
        <v>383</v>
      </c>
      <c r="B313" s="9"/>
      <c r="C313" s="9" t="s">
        <v>44</v>
      </c>
      <c r="D313" s="9"/>
      <c r="E313" s="23">
        <v>44263</v>
      </c>
      <c r="G313" s="42">
        <v>17000702</v>
      </c>
      <c r="I313" s="42">
        <v>0</v>
      </c>
      <c r="K313" s="42">
        <v>67563110</v>
      </c>
      <c r="M313" s="42">
        <v>165180</v>
      </c>
      <c r="O313" s="42">
        <f>1102708+82514+47242</f>
        <v>1232464</v>
      </c>
      <c r="Q313" s="42">
        <v>148214</v>
      </c>
      <c r="S313" s="42">
        <v>20741</v>
      </c>
      <c r="U313" s="42">
        <v>5616</v>
      </c>
      <c r="W313" s="42">
        <v>31060</v>
      </c>
      <c r="Y313" s="2">
        <f t="shared" si="56"/>
        <v>86167087</v>
      </c>
      <c r="AA313" s="42">
        <v>0</v>
      </c>
      <c r="AC313" s="42">
        <v>0</v>
      </c>
      <c r="AE313" s="42">
        <v>0</v>
      </c>
      <c r="AG313" s="42">
        <f>14595+26650</f>
        <v>41245</v>
      </c>
      <c r="AI313" s="42">
        <v>0</v>
      </c>
      <c r="AK313" s="42">
        <f t="shared" si="57"/>
        <v>41245</v>
      </c>
      <c r="AM313" s="42">
        <f t="shared" si="55"/>
        <v>86208332</v>
      </c>
    </row>
    <row r="314" spans="1:39">
      <c r="A314" s="9" t="s">
        <v>523</v>
      </c>
      <c r="B314" s="9"/>
      <c r="C314" s="9" t="s">
        <v>64</v>
      </c>
      <c r="D314" s="9"/>
      <c r="E314" s="23">
        <v>50203</v>
      </c>
      <c r="G314" s="42">
        <v>3156579</v>
      </c>
      <c r="I314" s="42">
        <v>0</v>
      </c>
      <c r="K314" s="42">
        <v>2311143</v>
      </c>
      <c r="M314" s="42">
        <v>113</v>
      </c>
      <c r="O314" s="42">
        <f>480269+12907+62808</f>
        <v>555984</v>
      </c>
      <c r="Q314" s="42">
        <v>11305</v>
      </c>
      <c r="S314" s="42">
        <v>163387</v>
      </c>
      <c r="U314" s="42">
        <v>0</v>
      </c>
      <c r="W314" s="42">
        <v>166045</v>
      </c>
      <c r="Y314" s="2">
        <f t="shared" si="56"/>
        <v>6364556</v>
      </c>
      <c r="AA314" s="42">
        <v>0</v>
      </c>
      <c r="AC314" s="42">
        <v>0</v>
      </c>
      <c r="AE314" s="42">
        <v>0</v>
      </c>
      <c r="AG314" s="42">
        <v>152410</v>
      </c>
      <c r="AI314" s="42">
        <v>0</v>
      </c>
      <c r="AK314" s="42">
        <f t="shared" si="57"/>
        <v>152410</v>
      </c>
      <c r="AM314" s="42">
        <f t="shared" si="55"/>
        <v>6516966</v>
      </c>
    </row>
    <row r="315" spans="1:39">
      <c r="A315" s="9" t="s">
        <v>678</v>
      </c>
      <c r="B315" s="9"/>
      <c r="C315" s="9" t="s">
        <v>11</v>
      </c>
      <c r="D315" s="9"/>
      <c r="E315" s="23">
        <v>45468</v>
      </c>
      <c r="F315" s="7"/>
      <c r="G315" s="42">
        <v>4939279</v>
      </c>
      <c r="I315" s="42">
        <v>1599906</v>
      </c>
      <c r="K315" s="42">
        <f>5015462+32914</f>
        <v>5048376</v>
      </c>
      <c r="M315" s="42">
        <v>11900</v>
      </c>
      <c r="O315" s="42">
        <f>423842+2562+28498+646</f>
        <v>455548</v>
      </c>
      <c r="Q315" s="42">
        <v>25481</v>
      </c>
      <c r="S315" s="42">
        <v>0</v>
      </c>
      <c r="U315" s="42">
        <v>0</v>
      </c>
      <c r="W315" s="42">
        <v>31698</v>
      </c>
      <c r="Y315" s="2">
        <f t="shared" si="56"/>
        <v>12112188</v>
      </c>
      <c r="AA315" s="42">
        <v>0</v>
      </c>
      <c r="AC315" s="42">
        <v>0</v>
      </c>
      <c r="AE315" s="42">
        <v>0</v>
      </c>
      <c r="AG315" s="42">
        <v>37358</v>
      </c>
      <c r="AI315" s="42">
        <v>0</v>
      </c>
      <c r="AK315" s="42">
        <f t="shared" si="57"/>
        <v>37358</v>
      </c>
      <c r="AM315" s="42">
        <f t="shared" si="55"/>
        <v>12149546</v>
      </c>
    </row>
    <row r="316" spans="1:39">
      <c r="A316" s="9" t="s">
        <v>495</v>
      </c>
      <c r="B316" s="9"/>
      <c r="C316" s="9" t="s">
        <v>62</v>
      </c>
      <c r="D316" s="9"/>
      <c r="E316" s="23">
        <v>49874</v>
      </c>
      <c r="G316" s="42">
        <v>5996398</v>
      </c>
      <c r="I316" s="42">
        <v>0</v>
      </c>
      <c r="K316" s="42">
        <v>15238778</v>
      </c>
      <c r="M316" s="42">
        <v>1089</v>
      </c>
      <c r="O316" s="42">
        <f>1148539+7660+45264</f>
        <v>1201463</v>
      </c>
      <c r="Q316" s="42">
        <v>187249</v>
      </c>
      <c r="S316" s="42">
        <v>33086</v>
      </c>
      <c r="U316" s="42">
        <v>7722</v>
      </c>
      <c r="W316" s="42">
        <v>118740</v>
      </c>
      <c r="Y316" s="2">
        <f t="shared" si="56"/>
        <v>22784525</v>
      </c>
      <c r="AA316" s="42">
        <v>0</v>
      </c>
      <c r="AC316" s="42">
        <v>0</v>
      </c>
      <c r="AE316" s="42">
        <v>0</v>
      </c>
      <c r="AG316" s="42">
        <v>0</v>
      </c>
      <c r="AI316" s="42">
        <v>0</v>
      </c>
      <c r="AK316" s="42">
        <f t="shared" si="57"/>
        <v>0</v>
      </c>
      <c r="AM316" s="42">
        <f t="shared" si="55"/>
        <v>22784525</v>
      </c>
    </row>
    <row r="317" spans="1:39">
      <c r="A317" s="9" t="s">
        <v>322</v>
      </c>
      <c r="B317" s="9"/>
      <c r="C317" s="9" t="s">
        <v>32</v>
      </c>
      <c r="D317" s="9"/>
      <c r="E317" s="23">
        <v>44271</v>
      </c>
      <c r="G317" s="42">
        <v>24597078</v>
      </c>
      <c r="I317" s="42">
        <v>0</v>
      </c>
      <c r="K317" s="42">
        <v>14395342</v>
      </c>
      <c r="M317" s="42">
        <v>3053</v>
      </c>
      <c r="O317" s="42">
        <f>748209+39263</f>
        <v>787472</v>
      </c>
      <c r="Q317" s="42">
        <v>264782</v>
      </c>
      <c r="S317" s="42">
        <v>147833</v>
      </c>
      <c r="U317" s="42">
        <v>0</v>
      </c>
      <c r="W317" s="42">
        <v>50786</v>
      </c>
      <c r="Y317" s="2">
        <f t="shared" si="56"/>
        <v>40246346</v>
      </c>
      <c r="AA317" s="42">
        <v>0</v>
      </c>
      <c r="AC317" s="42">
        <v>0</v>
      </c>
      <c r="AE317" s="42">
        <v>0</v>
      </c>
      <c r="AG317" s="42">
        <v>592</v>
      </c>
      <c r="AI317" s="42">
        <v>0</v>
      </c>
      <c r="AK317" s="42">
        <f t="shared" si="57"/>
        <v>592</v>
      </c>
      <c r="AM317" s="42">
        <f t="shared" si="55"/>
        <v>40246938</v>
      </c>
    </row>
    <row r="318" spans="1:39">
      <c r="A318" s="9" t="s">
        <v>679</v>
      </c>
      <c r="B318" s="9"/>
      <c r="C318" s="9" t="s">
        <v>45</v>
      </c>
      <c r="D318" s="9"/>
      <c r="E318" s="23">
        <v>48330</v>
      </c>
      <c r="G318" s="42">
        <v>862549</v>
      </c>
      <c r="I318" s="42">
        <v>0</v>
      </c>
      <c r="K318" s="42">
        <v>2290123</v>
      </c>
      <c r="M318" s="42">
        <f>16474-42039</f>
        <v>-25565</v>
      </c>
      <c r="O318" s="42">
        <f>1543591+240</f>
        <v>1543831</v>
      </c>
      <c r="Q318" s="42">
        <v>5157</v>
      </c>
      <c r="S318" s="42">
        <v>0</v>
      </c>
      <c r="U318" s="42">
        <v>259</v>
      </c>
      <c r="W318" s="42">
        <v>10518</v>
      </c>
      <c r="Y318" s="2">
        <f t="shared" si="56"/>
        <v>4686872</v>
      </c>
      <c r="AA318" s="42">
        <v>0</v>
      </c>
      <c r="AC318" s="42">
        <v>0</v>
      </c>
      <c r="AE318" s="42">
        <v>0</v>
      </c>
      <c r="AG318" s="42">
        <v>0</v>
      </c>
      <c r="AI318" s="42">
        <v>0</v>
      </c>
      <c r="AK318" s="42">
        <f t="shared" si="57"/>
        <v>0</v>
      </c>
      <c r="AM318" s="42">
        <f t="shared" si="55"/>
        <v>4686872</v>
      </c>
    </row>
    <row r="319" spans="1:39">
      <c r="A319" s="9" t="s">
        <v>795</v>
      </c>
      <c r="B319" s="9"/>
      <c r="C319" s="9" t="s">
        <v>109</v>
      </c>
      <c r="D319" s="9"/>
      <c r="E319" s="23">
        <v>49445</v>
      </c>
      <c r="G319" s="42">
        <v>2711318</v>
      </c>
      <c r="I319" s="42">
        <v>0</v>
      </c>
      <c r="K319" s="42">
        <v>2352400</v>
      </c>
      <c r="M319" s="42">
        <v>12145</v>
      </c>
      <c r="O319" s="42">
        <f>326236+15132+824</f>
        <v>342192</v>
      </c>
      <c r="Q319" s="42">
        <v>22824</v>
      </c>
      <c r="S319" s="42">
        <v>0</v>
      </c>
      <c r="U319" s="42">
        <v>14638</v>
      </c>
      <c r="W319" s="42">
        <v>9983</v>
      </c>
      <c r="Y319" s="2">
        <f t="shared" si="56"/>
        <v>5465500</v>
      </c>
      <c r="AA319" s="42">
        <v>0</v>
      </c>
      <c r="AC319" s="42">
        <v>0</v>
      </c>
      <c r="AE319" s="42">
        <v>0</v>
      </c>
      <c r="AG319" s="42">
        <v>0</v>
      </c>
      <c r="AI319" s="42">
        <v>0</v>
      </c>
      <c r="AK319" s="42">
        <f t="shared" si="57"/>
        <v>0</v>
      </c>
      <c r="AM319" s="42">
        <f t="shared" si="55"/>
        <v>5465500</v>
      </c>
    </row>
    <row r="320" spans="1:39">
      <c r="A320" s="9" t="s">
        <v>349</v>
      </c>
      <c r="B320" s="9"/>
      <c r="C320" s="9" t="s">
        <v>346</v>
      </c>
      <c r="D320" s="9"/>
      <c r="E320" s="23">
        <v>47639</v>
      </c>
      <c r="G320" s="42">
        <v>1855748</v>
      </c>
      <c r="I320" s="42">
        <v>0</v>
      </c>
      <c r="K320" s="42">
        <v>8201138</v>
      </c>
      <c r="M320" s="42">
        <v>-436</v>
      </c>
      <c r="O320" s="42">
        <f>641590+365</f>
        <v>641955</v>
      </c>
      <c r="Q320" s="42">
        <v>4303</v>
      </c>
      <c r="S320" s="42">
        <v>0</v>
      </c>
      <c r="U320" s="42">
        <v>8550</v>
      </c>
      <c r="W320" s="42">
        <v>87388</v>
      </c>
      <c r="Y320" s="2">
        <f t="shared" si="56"/>
        <v>10798646</v>
      </c>
      <c r="AA320" s="42">
        <v>0</v>
      </c>
      <c r="AC320" s="42">
        <v>0</v>
      </c>
      <c r="AE320" s="42">
        <v>0</v>
      </c>
      <c r="AG320" s="42">
        <f>18340+536</f>
        <v>18876</v>
      </c>
      <c r="AI320" s="42">
        <v>0</v>
      </c>
      <c r="AK320" s="42">
        <f t="shared" si="57"/>
        <v>18876</v>
      </c>
      <c r="AM320" s="42">
        <f t="shared" si="55"/>
        <v>10817522</v>
      </c>
    </row>
    <row r="321" spans="1:39">
      <c r="A321" s="9" t="s">
        <v>705</v>
      </c>
      <c r="B321" s="9"/>
      <c r="C321" s="9" t="s">
        <v>50</v>
      </c>
      <c r="D321" s="9"/>
      <c r="E321" s="23">
        <v>48702</v>
      </c>
      <c r="G321" s="42">
        <v>8368200</v>
      </c>
      <c r="I321" s="42">
        <v>0</v>
      </c>
      <c r="K321" s="42">
        <v>24186014</v>
      </c>
      <c r="M321" s="42">
        <v>7746</v>
      </c>
      <c r="O321" s="42">
        <f>2696607+14943</f>
        <v>2711550</v>
      </c>
      <c r="Q321" s="42">
        <v>122598</v>
      </c>
      <c r="S321" s="42">
        <v>0</v>
      </c>
      <c r="U321" s="42">
        <v>0</v>
      </c>
      <c r="W321" s="42">
        <v>274323</v>
      </c>
      <c r="Y321" s="2">
        <f t="shared" ref="Y321:Y375" si="58">SUM(G321:X321)</f>
        <v>35670431</v>
      </c>
      <c r="AA321" s="42">
        <v>0</v>
      </c>
      <c r="AC321" s="42">
        <v>0</v>
      </c>
      <c r="AE321" s="42">
        <v>0</v>
      </c>
      <c r="AG321" s="42">
        <v>5598</v>
      </c>
      <c r="AI321" s="42">
        <v>0</v>
      </c>
      <c r="AK321" s="42">
        <f t="shared" ref="AK321:AK367" si="59">SUM(AA321:AJ321)</f>
        <v>5598</v>
      </c>
      <c r="AM321" s="42">
        <f t="shared" si="55"/>
        <v>35676029</v>
      </c>
    </row>
    <row r="322" spans="1:39">
      <c r="A322" s="9" t="s">
        <v>323</v>
      </c>
      <c r="B322" s="9"/>
      <c r="C322" s="9" t="s">
        <v>32</v>
      </c>
      <c r="D322" s="9"/>
      <c r="E322" s="23">
        <v>44289</v>
      </c>
      <c r="G322" s="42">
        <v>12986039</v>
      </c>
      <c r="I322" s="42">
        <v>0</v>
      </c>
      <c r="K322" s="42">
        <v>4509012</v>
      </c>
      <c r="M322" s="42">
        <v>0</v>
      </c>
      <c r="O322" s="42">
        <f>129338+491082</f>
        <v>620420</v>
      </c>
      <c r="Q322" s="42">
        <v>142665</v>
      </c>
      <c r="S322" s="42">
        <v>322324</v>
      </c>
      <c r="U322" s="42">
        <v>0</v>
      </c>
      <c r="W322" s="42">
        <v>256040</v>
      </c>
      <c r="Y322" s="2">
        <f t="shared" si="58"/>
        <v>18836500</v>
      </c>
      <c r="AA322" s="42">
        <v>0</v>
      </c>
      <c r="AC322" s="42">
        <v>0</v>
      </c>
      <c r="AE322" s="42">
        <v>0</v>
      </c>
      <c r="AG322" s="42">
        <v>189275</v>
      </c>
      <c r="AI322" s="42">
        <v>0</v>
      </c>
      <c r="AK322" s="42">
        <f t="shared" si="59"/>
        <v>189275</v>
      </c>
      <c r="AM322" s="42">
        <f t="shared" si="55"/>
        <v>19025775</v>
      </c>
    </row>
    <row r="323" spans="1:39">
      <c r="A323" s="9" t="s">
        <v>223</v>
      </c>
      <c r="B323" s="9"/>
      <c r="C323" s="9" t="s">
        <v>220</v>
      </c>
      <c r="D323" s="9"/>
      <c r="E323" s="23">
        <v>46128</v>
      </c>
      <c r="F323" s="7"/>
      <c r="G323" s="42">
        <v>4964694</v>
      </c>
      <c r="I323" s="42">
        <v>0</v>
      </c>
      <c r="K323" s="42">
        <v>6494965</v>
      </c>
      <c r="M323" s="42">
        <v>1514</v>
      </c>
      <c r="O323" s="42">
        <f>865453+30726</f>
        <v>896179</v>
      </c>
      <c r="Q323" s="42">
        <v>54011</v>
      </c>
      <c r="S323" s="42">
        <v>0</v>
      </c>
      <c r="U323" s="42">
        <v>0</v>
      </c>
      <c r="W323" s="42">
        <v>120295</v>
      </c>
      <c r="Y323" s="2">
        <f t="shared" si="58"/>
        <v>12531658</v>
      </c>
      <c r="AA323" s="42">
        <v>0</v>
      </c>
      <c r="AC323" s="42">
        <v>0</v>
      </c>
      <c r="AE323" s="42">
        <v>0</v>
      </c>
      <c r="AG323" s="42">
        <v>0</v>
      </c>
      <c r="AI323" s="42">
        <v>0</v>
      </c>
      <c r="AK323" s="42">
        <f t="shared" si="59"/>
        <v>0</v>
      </c>
      <c r="AM323" s="42">
        <f t="shared" si="55"/>
        <v>12531658</v>
      </c>
    </row>
    <row r="324" spans="1:39" hidden="1">
      <c r="A324" s="9" t="s">
        <v>724</v>
      </c>
      <c r="B324" s="9"/>
      <c r="C324" s="9" t="s">
        <v>41</v>
      </c>
      <c r="D324" s="9"/>
      <c r="E324" s="23">
        <v>47886</v>
      </c>
      <c r="F324" s="7"/>
      <c r="G324" s="42">
        <v>0</v>
      </c>
      <c r="I324" s="42">
        <v>0</v>
      </c>
      <c r="K324" s="42">
        <v>0</v>
      </c>
      <c r="M324" s="42">
        <v>0</v>
      </c>
      <c r="O324" s="42">
        <v>0</v>
      </c>
      <c r="Q324" s="42">
        <v>0</v>
      </c>
      <c r="S324" s="42">
        <v>0</v>
      </c>
      <c r="U324" s="42">
        <v>0</v>
      </c>
      <c r="W324" s="42">
        <v>0</v>
      </c>
      <c r="Y324" s="2">
        <f t="shared" si="58"/>
        <v>0</v>
      </c>
      <c r="AA324" s="42">
        <v>0</v>
      </c>
      <c r="AC324" s="42">
        <v>0</v>
      </c>
      <c r="AE324" s="42">
        <v>0</v>
      </c>
      <c r="AG324" s="42">
        <v>0</v>
      </c>
      <c r="AI324" s="42">
        <v>0</v>
      </c>
      <c r="AK324" s="42">
        <f t="shared" si="59"/>
        <v>0</v>
      </c>
      <c r="AM324" s="42">
        <f t="shared" si="55"/>
        <v>0</v>
      </c>
    </row>
    <row r="325" spans="1:39">
      <c r="A325" s="9" t="s">
        <v>223</v>
      </c>
      <c r="B325" s="9"/>
      <c r="C325" s="9" t="s">
        <v>109</v>
      </c>
      <c r="D325" s="9"/>
      <c r="E325" s="23">
        <v>49452</v>
      </c>
      <c r="G325" s="42">
        <v>10226109</v>
      </c>
      <c r="I325" s="42">
        <v>0</v>
      </c>
      <c r="K325" s="42">
        <f>17130454+79884</f>
        <v>17210338</v>
      </c>
      <c r="M325" s="42">
        <f>38026-49822</f>
        <v>-11796</v>
      </c>
      <c r="O325" s="42">
        <f>1133389+29666+115856+3435+78330</f>
        <v>1360676</v>
      </c>
      <c r="Q325" s="42">
        <v>4118</v>
      </c>
      <c r="S325" s="42">
        <v>251084</v>
      </c>
      <c r="U325" s="42">
        <v>0</v>
      </c>
      <c r="W325" s="42">
        <v>169382</v>
      </c>
      <c r="Y325" s="2">
        <f t="shared" si="58"/>
        <v>29209911</v>
      </c>
      <c r="AA325" s="42">
        <v>0</v>
      </c>
      <c r="AC325" s="42">
        <v>0</v>
      </c>
      <c r="AE325" s="42">
        <v>0</v>
      </c>
      <c r="AG325" s="42">
        <f>31474+77100</f>
        <v>108574</v>
      </c>
      <c r="AI325" s="42">
        <v>0</v>
      </c>
      <c r="AK325" s="42">
        <f t="shared" si="59"/>
        <v>108574</v>
      </c>
      <c r="AM325" s="42">
        <f t="shared" si="55"/>
        <v>29318485</v>
      </c>
    </row>
    <row r="326" spans="1:39">
      <c r="A326" s="9" t="s">
        <v>688</v>
      </c>
      <c r="B326" s="9"/>
      <c r="C326" s="9" t="s">
        <v>395</v>
      </c>
      <c r="D326" s="9"/>
      <c r="E326" s="23">
        <v>48272</v>
      </c>
      <c r="G326" s="42">
        <v>5885818</v>
      </c>
      <c r="I326" s="42">
        <v>0</v>
      </c>
      <c r="K326" s="42">
        <v>5904666</v>
      </c>
      <c r="M326" s="42">
        <v>30600</v>
      </c>
      <c r="O326" s="42">
        <v>1083788</v>
      </c>
      <c r="Q326" s="42">
        <v>15731</v>
      </c>
      <c r="S326" s="42">
        <v>7029</v>
      </c>
      <c r="U326" s="42">
        <v>3912</v>
      </c>
      <c r="W326" s="42">
        <v>48167</v>
      </c>
      <c r="Y326" s="2">
        <f t="shared" si="58"/>
        <v>12979711</v>
      </c>
      <c r="AA326" s="42">
        <v>2</v>
      </c>
      <c r="AC326" s="42">
        <v>0</v>
      </c>
      <c r="AE326" s="42">
        <v>0</v>
      </c>
      <c r="AG326" s="42">
        <f>211+34369</f>
        <v>34580</v>
      </c>
      <c r="AI326" s="42">
        <v>0</v>
      </c>
      <c r="AK326" s="42">
        <f t="shared" si="59"/>
        <v>34582</v>
      </c>
      <c r="AM326" s="42">
        <f t="shared" si="55"/>
        <v>13014293</v>
      </c>
    </row>
    <row r="327" spans="1:39">
      <c r="A327" s="9" t="s">
        <v>600</v>
      </c>
      <c r="B327" s="9"/>
      <c r="C327" s="9" t="s">
        <v>199</v>
      </c>
      <c r="D327" s="9"/>
      <c r="E327" s="54" t="s">
        <v>870</v>
      </c>
      <c r="G327" s="42">
        <v>8189392</v>
      </c>
      <c r="I327" s="42">
        <v>0</v>
      </c>
      <c r="K327" s="42">
        <v>4249707</v>
      </c>
      <c r="M327" s="42">
        <v>16219</v>
      </c>
      <c r="O327" s="42">
        <f>536165+1714</f>
        <v>537879</v>
      </c>
      <c r="Q327" s="42">
        <v>0</v>
      </c>
      <c r="S327" s="42">
        <v>0</v>
      </c>
      <c r="U327" s="42">
        <v>0</v>
      </c>
      <c r="W327" s="42">
        <v>39144</v>
      </c>
      <c r="Y327" s="2">
        <f t="shared" si="58"/>
        <v>13032341</v>
      </c>
      <c r="AA327" s="42">
        <v>0</v>
      </c>
      <c r="AC327" s="42">
        <v>0</v>
      </c>
      <c r="AE327" s="42">
        <v>0</v>
      </c>
      <c r="AG327" s="42">
        <v>4079</v>
      </c>
      <c r="AI327" s="42">
        <v>0</v>
      </c>
      <c r="AK327" s="42">
        <f t="shared" si="59"/>
        <v>4079</v>
      </c>
      <c r="AM327" s="42">
        <f t="shared" si="55"/>
        <v>13036420</v>
      </c>
    </row>
    <row r="328" spans="1:39" hidden="1">
      <c r="A328" s="9" t="s">
        <v>799</v>
      </c>
      <c r="B328" s="9"/>
      <c r="C328" s="9" t="s">
        <v>63</v>
      </c>
      <c r="D328" s="9"/>
      <c r="E328" s="54">
        <v>50005</v>
      </c>
      <c r="G328" s="42">
        <v>0</v>
      </c>
      <c r="I328" s="42">
        <v>0</v>
      </c>
      <c r="K328" s="42">
        <v>0</v>
      </c>
      <c r="M328" s="42">
        <v>0</v>
      </c>
      <c r="O328" s="42">
        <v>0</v>
      </c>
      <c r="Q328" s="42">
        <v>0</v>
      </c>
      <c r="S328" s="42">
        <v>0</v>
      </c>
      <c r="U328" s="42">
        <v>0</v>
      </c>
      <c r="W328" s="42">
        <v>0</v>
      </c>
      <c r="Y328" s="2">
        <f t="shared" ref="Y328" si="60">SUM(G328:X328)</f>
        <v>0</v>
      </c>
      <c r="AA328" s="42">
        <v>0</v>
      </c>
      <c r="AC328" s="42">
        <v>0</v>
      </c>
      <c r="AE328" s="42">
        <v>0</v>
      </c>
      <c r="AG328" s="42">
        <v>0</v>
      </c>
      <c r="AI328" s="42">
        <v>0</v>
      </c>
      <c r="AK328" s="42">
        <f t="shared" ref="AK328" si="61">SUM(AA328:AJ328)</f>
        <v>0</v>
      </c>
      <c r="AM328" s="42">
        <f t="shared" ref="AM328" si="62">+AK328+Y328</f>
        <v>0</v>
      </c>
    </row>
    <row r="329" spans="1:39">
      <c r="A329" s="9" t="s">
        <v>466</v>
      </c>
      <c r="B329" s="9"/>
      <c r="C329" s="9" t="s">
        <v>109</v>
      </c>
      <c r="D329" s="9"/>
      <c r="E329" s="23">
        <v>44297</v>
      </c>
      <c r="G329" s="42">
        <v>13781425</v>
      </c>
      <c r="I329" s="42">
        <v>0</v>
      </c>
      <c r="K329" s="42">
        <f>33512737+65251</f>
        <v>33577988</v>
      </c>
      <c r="M329" s="42">
        <v>25317</v>
      </c>
      <c r="O329" s="42">
        <f>1175359+63446+49814+28372+40883</f>
        <v>1357874</v>
      </c>
      <c r="Q329" s="42">
        <v>143653</v>
      </c>
      <c r="S329" s="42">
        <v>0</v>
      </c>
      <c r="U329" s="42">
        <v>53696</v>
      </c>
      <c r="W329" s="42">
        <v>1358981</v>
      </c>
      <c r="Y329" s="2">
        <f t="shared" si="58"/>
        <v>50298934</v>
      </c>
      <c r="AA329" s="42">
        <v>3400000</v>
      </c>
      <c r="AC329" s="42">
        <v>0</v>
      </c>
      <c r="AE329" s="42">
        <v>2500000</v>
      </c>
      <c r="AG329" s="42">
        <v>22101</v>
      </c>
      <c r="AI329" s="42">
        <v>0</v>
      </c>
      <c r="AK329" s="42">
        <f t="shared" si="59"/>
        <v>5922101</v>
      </c>
      <c r="AM329" s="42">
        <f t="shared" si="55"/>
        <v>56221035</v>
      </c>
    </row>
    <row r="330" spans="1:39">
      <c r="A330" s="9" t="s">
        <v>716</v>
      </c>
      <c r="B330" s="9"/>
      <c r="C330" s="9" t="s">
        <v>20</v>
      </c>
      <c r="D330" s="9"/>
      <c r="E330" s="23">
        <v>44305</v>
      </c>
      <c r="G330" s="42">
        <v>12217224</v>
      </c>
      <c r="I330" s="42">
        <v>0</v>
      </c>
      <c r="K330" s="42">
        <v>20950406</v>
      </c>
      <c r="M330" s="42">
        <v>124</v>
      </c>
      <c r="O330" s="42">
        <f>719168+8719</f>
        <v>727887</v>
      </c>
      <c r="Q330" s="42">
        <v>46695</v>
      </c>
      <c r="S330" s="42">
        <v>0</v>
      </c>
      <c r="U330" s="42">
        <v>94977</v>
      </c>
      <c r="W330" s="42">
        <v>1765931</v>
      </c>
      <c r="Y330" s="2">
        <f t="shared" si="58"/>
        <v>35803244</v>
      </c>
      <c r="AA330" s="42">
        <v>745823</v>
      </c>
      <c r="AC330" s="42">
        <v>0</v>
      </c>
      <c r="AE330" s="42">
        <v>0</v>
      </c>
      <c r="AG330" s="42">
        <v>0</v>
      </c>
      <c r="AI330" s="42">
        <v>0</v>
      </c>
      <c r="AK330" s="42">
        <f t="shared" si="59"/>
        <v>745823</v>
      </c>
      <c r="AM330" s="42">
        <f t="shared" ref="AM330:AM362" si="63">+AK330+Y330</f>
        <v>36549067</v>
      </c>
    </row>
    <row r="331" spans="1:39">
      <c r="A331" s="9" t="s">
        <v>204</v>
      </c>
      <c r="B331" s="9"/>
      <c r="C331" s="9" t="s">
        <v>11</v>
      </c>
      <c r="D331" s="9"/>
      <c r="E331" s="23">
        <v>45831</v>
      </c>
      <c r="F331" s="7"/>
      <c r="G331" s="42">
        <v>2429806</v>
      </c>
      <c r="I331" s="42">
        <v>0</v>
      </c>
      <c r="K331" s="42">
        <v>4586680</v>
      </c>
      <c r="M331" s="42">
        <v>3070</v>
      </c>
      <c r="O331" s="42">
        <f>628481+5670+31073</f>
        <v>665224</v>
      </c>
      <c r="Q331" s="42">
        <v>57431</v>
      </c>
      <c r="S331" s="42">
        <v>0</v>
      </c>
      <c r="U331" s="42">
        <v>14363</v>
      </c>
      <c r="W331" s="42">
        <v>9789</v>
      </c>
      <c r="Y331" s="2">
        <f t="shared" si="58"/>
        <v>7766363</v>
      </c>
      <c r="AA331" s="42">
        <v>0</v>
      </c>
      <c r="AC331" s="42">
        <v>0</v>
      </c>
      <c r="AE331" s="42">
        <v>0</v>
      </c>
      <c r="AG331" s="42">
        <v>0</v>
      </c>
      <c r="AI331" s="42">
        <v>0</v>
      </c>
      <c r="AK331" s="42">
        <f t="shared" si="59"/>
        <v>0</v>
      </c>
      <c r="AM331" s="42">
        <f t="shared" si="63"/>
        <v>7766363</v>
      </c>
    </row>
    <row r="332" spans="1:39">
      <c r="A332" s="9" t="s">
        <v>524</v>
      </c>
      <c r="B332" s="9"/>
      <c r="C332" s="9" t="s">
        <v>64</v>
      </c>
      <c r="D332" s="9"/>
      <c r="E332" s="23">
        <v>50211</v>
      </c>
      <c r="G332" s="42">
        <v>2386809</v>
      </c>
      <c r="I332" s="42">
        <v>0</v>
      </c>
      <c r="K332" s="42">
        <v>5659042</v>
      </c>
      <c r="M332" s="42">
        <v>-2614</v>
      </c>
      <c r="O332" s="42">
        <f>355636+14100</f>
        <v>369736</v>
      </c>
      <c r="Q332" s="42">
        <v>28110</v>
      </c>
      <c r="S332" s="42">
        <v>0</v>
      </c>
      <c r="U332" s="42">
        <v>11950</v>
      </c>
      <c r="W332" s="42">
        <v>149461</v>
      </c>
      <c r="Y332" s="2">
        <f t="shared" si="58"/>
        <v>8602494</v>
      </c>
      <c r="AA332" s="42">
        <v>0</v>
      </c>
      <c r="AC332" s="42">
        <v>0</v>
      </c>
      <c r="AE332" s="42">
        <v>0</v>
      </c>
      <c r="AG332" s="42">
        <v>0</v>
      </c>
      <c r="AI332" s="42">
        <v>0</v>
      </c>
      <c r="AK332" s="42">
        <f t="shared" si="59"/>
        <v>0</v>
      </c>
      <c r="AM332" s="42">
        <f t="shared" si="63"/>
        <v>8602494</v>
      </c>
    </row>
    <row r="333" spans="1:39">
      <c r="A333" s="9" t="s">
        <v>286</v>
      </c>
      <c r="B333" s="9"/>
      <c r="C333" s="9" t="s">
        <v>24</v>
      </c>
      <c r="D333" s="9"/>
      <c r="E333" s="23">
        <v>46805</v>
      </c>
      <c r="G333" s="42">
        <v>5451035</v>
      </c>
      <c r="I333" s="42">
        <v>0</v>
      </c>
      <c r="K333" s="42">
        <f>6220143+28409</f>
        <v>6248552</v>
      </c>
      <c r="M333" s="42">
        <v>1705</v>
      </c>
      <c r="O333" s="42">
        <f>995291+38321+203493+152428</f>
        <v>1389533</v>
      </c>
      <c r="Q333" s="42">
        <v>110871</v>
      </c>
      <c r="S333" s="42">
        <v>0</v>
      </c>
      <c r="U333" s="42">
        <v>0</v>
      </c>
      <c r="W333" s="42">
        <v>229736</v>
      </c>
      <c r="Y333" s="2">
        <f t="shared" si="58"/>
        <v>13431432</v>
      </c>
      <c r="AA333" s="42">
        <v>0</v>
      </c>
      <c r="AC333" s="42">
        <v>0</v>
      </c>
      <c r="AE333" s="42">
        <v>0</v>
      </c>
      <c r="AG333" s="42">
        <v>0</v>
      </c>
      <c r="AI333" s="42">
        <v>0</v>
      </c>
      <c r="AK333" s="42">
        <f t="shared" si="59"/>
        <v>0</v>
      </c>
      <c r="AM333" s="42">
        <f t="shared" si="63"/>
        <v>13431432</v>
      </c>
    </row>
    <row r="334" spans="1:39">
      <c r="A334" s="9" t="s">
        <v>324</v>
      </c>
      <c r="B334" s="9"/>
      <c r="C334" s="9" t="s">
        <v>32</v>
      </c>
      <c r="D334" s="9"/>
      <c r="E334" s="23">
        <v>44313</v>
      </c>
      <c r="G334" s="42">
        <v>14758271</v>
      </c>
      <c r="I334" s="42">
        <v>0</v>
      </c>
      <c r="K334" s="42">
        <v>5569400</v>
      </c>
      <c r="M334" s="42">
        <v>0</v>
      </c>
      <c r="O334" s="42">
        <f>261155+14643</f>
        <v>275798</v>
      </c>
      <c r="Q334" s="42">
        <v>43415</v>
      </c>
      <c r="S334" s="42">
        <v>0</v>
      </c>
      <c r="U334" s="42">
        <v>0</v>
      </c>
      <c r="W334" s="42">
        <v>24745</v>
      </c>
      <c r="Y334" s="2">
        <f t="shared" si="58"/>
        <v>20671629</v>
      </c>
      <c r="AA334" s="42">
        <v>0</v>
      </c>
      <c r="AC334" s="42">
        <v>0</v>
      </c>
      <c r="AE334" s="42">
        <v>0</v>
      </c>
      <c r="AG334" s="42">
        <v>0</v>
      </c>
      <c r="AI334" s="42">
        <v>0</v>
      </c>
      <c r="AK334" s="42">
        <f t="shared" si="59"/>
        <v>0</v>
      </c>
      <c r="AM334" s="42">
        <f t="shared" si="63"/>
        <v>20671629</v>
      </c>
    </row>
    <row r="335" spans="1:39" hidden="1">
      <c r="A335" s="9" t="s">
        <v>607</v>
      </c>
      <c r="B335" s="9"/>
      <c r="C335" s="9" t="s">
        <v>70</v>
      </c>
      <c r="D335" s="9"/>
      <c r="E335" s="23">
        <v>44321</v>
      </c>
      <c r="G335" s="42">
        <v>0</v>
      </c>
      <c r="I335" s="42">
        <v>0</v>
      </c>
      <c r="K335" s="42">
        <v>0</v>
      </c>
      <c r="M335" s="42">
        <v>0</v>
      </c>
      <c r="O335" s="42">
        <v>0</v>
      </c>
      <c r="Q335" s="42">
        <v>0</v>
      </c>
      <c r="S335" s="42">
        <v>0</v>
      </c>
      <c r="U335" s="42">
        <v>0</v>
      </c>
      <c r="W335" s="42">
        <v>0</v>
      </c>
      <c r="Y335" s="2">
        <f t="shared" si="58"/>
        <v>0</v>
      </c>
      <c r="AA335" s="42">
        <v>0</v>
      </c>
      <c r="AC335" s="42">
        <v>0</v>
      </c>
      <c r="AE335" s="42">
        <v>0</v>
      </c>
      <c r="AG335" s="42">
        <v>0</v>
      </c>
      <c r="AI335" s="42">
        <v>0</v>
      </c>
      <c r="AK335" s="42">
        <f t="shared" si="59"/>
        <v>0</v>
      </c>
      <c r="AM335" s="42">
        <f t="shared" si="63"/>
        <v>0</v>
      </c>
    </row>
    <row r="336" spans="1:39">
      <c r="A336" s="9" t="s">
        <v>407</v>
      </c>
      <c r="B336" s="9"/>
      <c r="C336" s="9" t="s">
        <v>46</v>
      </c>
      <c r="D336" s="9"/>
      <c r="E336" s="23">
        <v>44339</v>
      </c>
      <c r="G336" s="42">
        <v>8016153</v>
      </c>
      <c r="I336" s="42">
        <v>0</v>
      </c>
      <c r="K336" s="42">
        <f>34744686+119292</f>
        <v>34863978</v>
      </c>
      <c r="M336" s="42">
        <v>49270</v>
      </c>
      <c r="O336" s="42">
        <f>1632114+11244</f>
        <v>1643358</v>
      </c>
      <c r="Q336" s="42">
        <v>43176</v>
      </c>
      <c r="S336" s="42">
        <v>93475</v>
      </c>
      <c r="U336" s="42">
        <v>0</v>
      </c>
      <c r="W336" s="42">
        <v>305872</v>
      </c>
      <c r="Y336" s="2">
        <f t="shared" si="58"/>
        <v>45015282</v>
      </c>
      <c r="AA336" s="42">
        <v>0</v>
      </c>
      <c r="AC336" s="42">
        <v>0</v>
      </c>
      <c r="AE336" s="42">
        <v>0</v>
      </c>
      <c r="AG336" s="42">
        <v>273762</v>
      </c>
      <c r="AI336" s="42">
        <v>0</v>
      </c>
      <c r="AK336" s="42">
        <f t="shared" si="59"/>
        <v>273762</v>
      </c>
      <c r="AM336" s="42">
        <f t="shared" si="63"/>
        <v>45289044</v>
      </c>
    </row>
    <row r="337" spans="1:39" hidden="1">
      <c r="A337" s="9" t="s">
        <v>680</v>
      </c>
      <c r="B337" s="9"/>
      <c r="C337" s="9" t="s">
        <v>419</v>
      </c>
      <c r="D337" s="9"/>
      <c r="E337" s="23">
        <v>48553</v>
      </c>
      <c r="G337" s="42">
        <v>0</v>
      </c>
      <c r="I337" s="42">
        <v>0</v>
      </c>
      <c r="K337" s="42">
        <v>0</v>
      </c>
      <c r="M337" s="42">
        <v>0</v>
      </c>
      <c r="O337" s="42">
        <v>0</v>
      </c>
      <c r="Q337" s="42">
        <v>0</v>
      </c>
      <c r="S337" s="42">
        <v>0</v>
      </c>
      <c r="U337" s="42">
        <v>0</v>
      </c>
      <c r="W337" s="42">
        <v>0</v>
      </c>
      <c r="Y337" s="2">
        <f t="shared" si="58"/>
        <v>0</v>
      </c>
      <c r="AA337" s="42">
        <v>0</v>
      </c>
      <c r="AC337" s="42">
        <v>0</v>
      </c>
      <c r="AE337" s="42">
        <v>0</v>
      </c>
      <c r="AG337" s="42">
        <v>0</v>
      </c>
      <c r="AI337" s="42">
        <v>0</v>
      </c>
      <c r="AM337" s="42">
        <f t="shared" si="63"/>
        <v>0</v>
      </c>
    </row>
    <row r="338" spans="1:39">
      <c r="A338" s="9" t="s">
        <v>496</v>
      </c>
      <c r="B338" s="9"/>
      <c r="C338" s="9" t="s">
        <v>62</v>
      </c>
      <c r="D338" s="9"/>
      <c r="E338" s="23">
        <v>49882</v>
      </c>
      <c r="G338" s="42">
        <v>7685081</v>
      </c>
      <c r="I338" s="42">
        <v>0</v>
      </c>
      <c r="K338" s="42">
        <v>11033500</v>
      </c>
      <c r="M338" s="42">
        <v>26391</v>
      </c>
      <c r="O338" s="42">
        <f>1497419+2689+300</f>
        <v>1500408</v>
      </c>
      <c r="Q338" s="42">
        <v>136704</v>
      </c>
      <c r="S338" s="42">
        <v>0</v>
      </c>
      <c r="U338" s="42">
        <v>11217</v>
      </c>
      <c r="W338" s="42">
        <v>114265</v>
      </c>
      <c r="Y338" s="2">
        <f t="shared" si="58"/>
        <v>20507566</v>
      </c>
      <c r="AA338" s="42">
        <v>16486</v>
      </c>
      <c r="AC338" s="42">
        <v>0</v>
      </c>
      <c r="AE338" s="42">
        <v>0</v>
      </c>
      <c r="AG338" s="42">
        <v>0</v>
      </c>
      <c r="AI338" s="42">
        <v>0</v>
      </c>
      <c r="AK338" s="42">
        <f t="shared" si="59"/>
        <v>16486</v>
      </c>
      <c r="AM338" s="42">
        <f t="shared" si="63"/>
        <v>20524052</v>
      </c>
    </row>
    <row r="339" spans="1:39">
      <c r="A339" s="9" t="s">
        <v>215</v>
      </c>
      <c r="B339" s="9"/>
      <c r="C339" s="9" t="s">
        <v>15</v>
      </c>
      <c r="D339" s="9"/>
      <c r="E339" s="23">
        <v>44347</v>
      </c>
      <c r="F339" s="7"/>
      <c r="G339" s="42">
        <v>2238640</v>
      </c>
      <c r="I339" s="42">
        <v>0</v>
      </c>
      <c r="K339" s="42">
        <v>9273164</v>
      </c>
      <c r="M339" s="42">
        <v>0</v>
      </c>
      <c r="O339" s="42">
        <f>981463+289703+11797</f>
        <v>1282963</v>
      </c>
      <c r="Q339" s="42">
        <v>0</v>
      </c>
      <c r="S339" s="42">
        <v>0</v>
      </c>
      <c r="U339" s="42">
        <v>0</v>
      </c>
      <c r="W339" s="42">
        <v>168638</v>
      </c>
      <c r="Y339" s="2">
        <f t="shared" si="58"/>
        <v>12963405</v>
      </c>
      <c r="AA339" s="42">
        <v>0</v>
      </c>
      <c r="AC339" s="42">
        <v>0</v>
      </c>
      <c r="AE339" s="42">
        <v>0</v>
      </c>
      <c r="AG339" s="42">
        <f>74453+10500</f>
        <v>84953</v>
      </c>
      <c r="AI339" s="42">
        <v>0</v>
      </c>
      <c r="AK339" s="42">
        <f t="shared" si="59"/>
        <v>84953</v>
      </c>
      <c r="AM339" s="42">
        <f t="shared" si="63"/>
        <v>13048358</v>
      </c>
    </row>
    <row r="340" spans="1:39">
      <c r="A340" s="9" t="s">
        <v>761</v>
      </c>
      <c r="B340" s="9"/>
      <c r="C340" s="9" t="s">
        <v>66</v>
      </c>
      <c r="D340" s="9"/>
      <c r="E340" s="23">
        <v>45476</v>
      </c>
      <c r="G340" s="42">
        <v>23007255</v>
      </c>
      <c r="I340" s="42">
        <v>0</v>
      </c>
      <c r="K340" s="42">
        <f>23173692+50466</f>
        <v>23224158</v>
      </c>
      <c r="M340" s="42">
        <v>23724</v>
      </c>
      <c r="O340" s="42">
        <f>457868+17499+254323+116217</f>
        <v>845907</v>
      </c>
      <c r="Q340" s="42">
        <v>472324</v>
      </c>
      <c r="S340" s="42">
        <v>7134</v>
      </c>
      <c r="U340" s="42">
        <v>2708</v>
      </c>
      <c r="W340" s="42">
        <v>325663</v>
      </c>
      <c r="Y340" s="2">
        <f t="shared" si="58"/>
        <v>47908873</v>
      </c>
      <c r="AA340" s="42">
        <v>0</v>
      </c>
      <c r="AC340" s="42">
        <v>0</v>
      </c>
      <c r="AE340" s="42">
        <v>22106</v>
      </c>
      <c r="AG340" s="42">
        <v>0</v>
      </c>
      <c r="AI340" s="42">
        <v>0</v>
      </c>
      <c r="AK340" s="42">
        <f t="shared" si="59"/>
        <v>22106</v>
      </c>
      <c r="AM340" s="42">
        <f t="shared" si="63"/>
        <v>47930979</v>
      </c>
    </row>
    <row r="341" spans="1:39">
      <c r="A341" s="9" t="s">
        <v>542</v>
      </c>
      <c r="B341" s="9"/>
      <c r="C341" s="9" t="s">
        <v>69</v>
      </c>
      <c r="D341" s="9"/>
      <c r="E341" s="23">
        <v>50450</v>
      </c>
      <c r="G341" s="42">
        <v>52342026</v>
      </c>
      <c r="I341" s="42">
        <v>0</v>
      </c>
      <c r="K341" s="42">
        <v>40654613</v>
      </c>
      <c r="M341" s="42">
        <v>20090</v>
      </c>
      <c r="O341" s="42">
        <f>2433008+1071132</f>
        <v>3504140</v>
      </c>
      <c r="Q341" s="42">
        <v>530760</v>
      </c>
      <c r="S341" s="42">
        <v>0</v>
      </c>
      <c r="U341" s="42">
        <v>0</v>
      </c>
      <c r="W341" s="42">
        <v>139990</v>
      </c>
      <c r="Y341" s="2">
        <f t="shared" si="58"/>
        <v>97191619</v>
      </c>
      <c r="AA341" s="42">
        <v>0</v>
      </c>
      <c r="AC341" s="42">
        <v>0</v>
      </c>
      <c r="AE341" s="42">
        <v>0</v>
      </c>
      <c r="AG341" s="42">
        <v>0</v>
      </c>
      <c r="AI341" s="42">
        <v>0</v>
      </c>
      <c r="AK341" s="42">
        <f t="shared" si="59"/>
        <v>0</v>
      </c>
      <c r="AM341" s="42">
        <f t="shared" si="63"/>
        <v>97191619</v>
      </c>
    </row>
    <row r="342" spans="1:39">
      <c r="A342" s="9" t="s">
        <v>497</v>
      </c>
      <c r="B342" s="9"/>
      <c r="C342" s="9" t="s">
        <v>62</v>
      </c>
      <c r="D342" s="9"/>
      <c r="E342" s="23">
        <v>44354</v>
      </c>
      <c r="G342" s="42">
        <v>12564954</v>
      </c>
      <c r="I342" s="42">
        <v>25881</v>
      </c>
      <c r="K342" s="42">
        <v>23690620</v>
      </c>
      <c r="M342" s="42">
        <v>24312</v>
      </c>
      <c r="O342" s="42">
        <f>1183926+92090+553282</f>
        <v>1829298</v>
      </c>
      <c r="Q342" s="42">
        <v>72450</v>
      </c>
      <c r="S342" s="42">
        <v>0</v>
      </c>
      <c r="U342" s="42">
        <v>5761</v>
      </c>
      <c r="W342" s="42">
        <v>191173</v>
      </c>
      <c r="Y342" s="2">
        <f t="shared" si="58"/>
        <v>38404449</v>
      </c>
      <c r="AA342" s="42">
        <v>0</v>
      </c>
      <c r="AC342" s="42">
        <v>0</v>
      </c>
      <c r="AE342" s="42">
        <v>0</v>
      </c>
      <c r="AG342" s="42">
        <f>114458+1510</f>
        <v>115968</v>
      </c>
      <c r="AI342" s="42">
        <v>0</v>
      </c>
      <c r="AK342" s="42">
        <f t="shared" si="59"/>
        <v>115968</v>
      </c>
      <c r="AM342" s="42">
        <f t="shared" si="63"/>
        <v>38520417</v>
      </c>
    </row>
    <row r="343" spans="1:39">
      <c r="A343" s="9" t="s">
        <v>525</v>
      </c>
      <c r="B343" s="9"/>
      <c r="C343" s="9" t="s">
        <v>64</v>
      </c>
      <c r="D343" s="9"/>
      <c r="E343" s="23">
        <v>50153</v>
      </c>
      <c r="G343" s="42">
        <v>4382419</v>
      </c>
      <c r="I343" s="42">
        <v>0</v>
      </c>
      <c r="K343" s="42">
        <v>3451088</v>
      </c>
      <c r="M343" s="42">
        <v>2526</v>
      </c>
      <c r="O343" s="42">
        <f>455148+2100+2360</f>
        <v>459608</v>
      </c>
      <c r="Q343" s="42">
        <v>31069</v>
      </c>
      <c r="S343" s="42">
        <v>0</v>
      </c>
      <c r="U343" s="42">
        <v>1257</v>
      </c>
      <c r="W343" s="42">
        <f>354375+38780</f>
        <v>393155</v>
      </c>
      <c r="Y343" s="2">
        <f t="shared" si="58"/>
        <v>8721122</v>
      </c>
      <c r="AA343" s="42">
        <v>0</v>
      </c>
      <c r="AC343" s="42">
        <v>0</v>
      </c>
      <c r="AE343" s="42">
        <v>0</v>
      </c>
      <c r="AG343" s="42">
        <v>4000</v>
      </c>
      <c r="AI343" s="42">
        <v>0</v>
      </c>
      <c r="AK343" s="42">
        <f t="shared" si="59"/>
        <v>4000</v>
      </c>
      <c r="AM343" s="42">
        <f t="shared" si="63"/>
        <v>8725122</v>
      </c>
    </row>
    <row r="344" spans="1:39" hidden="1">
      <c r="A344" s="8" t="s">
        <v>865</v>
      </c>
      <c r="B344" s="9"/>
      <c r="C344" s="9" t="s">
        <v>114</v>
      </c>
      <c r="D344" s="9"/>
      <c r="E344" s="23">
        <v>44362</v>
      </c>
      <c r="G344" s="42">
        <v>0</v>
      </c>
      <c r="I344" s="42">
        <v>0</v>
      </c>
      <c r="K344" s="42">
        <v>0</v>
      </c>
      <c r="M344" s="42">
        <v>0</v>
      </c>
      <c r="O344" s="42">
        <v>0</v>
      </c>
      <c r="Q344" s="42">
        <v>0</v>
      </c>
      <c r="S344" s="42">
        <v>0</v>
      </c>
      <c r="U344" s="42">
        <v>0</v>
      </c>
      <c r="W344" s="42">
        <v>0</v>
      </c>
      <c r="Y344" s="2">
        <f t="shared" si="58"/>
        <v>0</v>
      </c>
      <c r="AA344" s="42">
        <v>0</v>
      </c>
      <c r="AC344" s="42">
        <v>0</v>
      </c>
      <c r="AE344" s="42">
        <v>0</v>
      </c>
      <c r="AG344" s="42">
        <v>0</v>
      </c>
      <c r="AI344" s="42">
        <v>0</v>
      </c>
      <c r="AK344" s="42">
        <f t="shared" si="59"/>
        <v>0</v>
      </c>
      <c r="AM344" s="42">
        <f t="shared" si="63"/>
        <v>0</v>
      </c>
    </row>
    <row r="345" spans="1:39">
      <c r="A345" s="9" t="s">
        <v>717</v>
      </c>
      <c r="B345" s="9"/>
      <c r="C345" s="9" t="s">
        <v>20</v>
      </c>
      <c r="D345" s="9"/>
      <c r="E345" s="23">
        <v>44370</v>
      </c>
      <c r="G345" s="42">
        <v>47775745</v>
      </c>
      <c r="I345" s="42">
        <v>0</v>
      </c>
      <c r="K345" s="42">
        <v>11017255</v>
      </c>
      <c r="M345" s="42">
        <v>57257</v>
      </c>
      <c r="O345" s="42">
        <f>396060+6640+67283</f>
        <v>469983</v>
      </c>
      <c r="Q345" s="42">
        <v>20218</v>
      </c>
      <c r="S345" s="42">
        <v>1815164</v>
      </c>
      <c r="U345" s="42">
        <v>20196</v>
      </c>
      <c r="W345" s="42">
        <v>154173</v>
      </c>
      <c r="Y345" s="2">
        <f t="shared" si="58"/>
        <v>61329991</v>
      </c>
      <c r="AA345" s="42">
        <v>0</v>
      </c>
      <c r="AC345" s="42">
        <v>0</v>
      </c>
      <c r="AE345" s="42">
        <v>0</v>
      </c>
      <c r="AG345" s="42">
        <v>0</v>
      </c>
      <c r="AI345" s="42">
        <v>0</v>
      </c>
      <c r="AK345" s="42">
        <f t="shared" si="59"/>
        <v>0</v>
      </c>
      <c r="AM345" s="42">
        <f t="shared" si="63"/>
        <v>61329991</v>
      </c>
    </row>
    <row r="346" spans="1:39">
      <c r="A346" s="9" t="s">
        <v>442</v>
      </c>
      <c r="B346" s="9"/>
      <c r="C346" s="9" t="s">
        <v>51</v>
      </c>
      <c r="D346" s="9"/>
      <c r="E346" s="23">
        <v>48850</v>
      </c>
      <c r="G346" s="42">
        <v>2885414</v>
      </c>
      <c r="I346" s="42">
        <v>0</v>
      </c>
      <c r="K346" s="42">
        <v>11476218</v>
      </c>
      <c r="M346" s="42">
        <v>0</v>
      </c>
      <c r="O346" s="42">
        <f>3002007+946+379848</f>
        <v>3382801</v>
      </c>
      <c r="Q346" s="42">
        <v>40750</v>
      </c>
      <c r="S346" s="42">
        <v>3345</v>
      </c>
      <c r="U346" s="42">
        <v>536</v>
      </c>
      <c r="W346" s="42">
        <v>164881</v>
      </c>
      <c r="Y346" s="2">
        <f t="shared" si="58"/>
        <v>17953945</v>
      </c>
      <c r="AA346" s="42">
        <v>0</v>
      </c>
      <c r="AC346" s="42">
        <v>0</v>
      </c>
      <c r="AE346" s="42">
        <v>0</v>
      </c>
      <c r="AG346" s="42">
        <f>1200+102134</f>
        <v>103334</v>
      </c>
      <c r="AI346" s="42">
        <v>0</v>
      </c>
      <c r="AK346" s="42">
        <f t="shared" si="59"/>
        <v>103334</v>
      </c>
      <c r="AM346" s="42">
        <f t="shared" si="63"/>
        <v>18057279</v>
      </c>
    </row>
    <row r="347" spans="1:39" hidden="1">
      <c r="A347" s="9" t="s">
        <v>800</v>
      </c>
      <c r="B347" s="9"/>
      <c r="C347" s="9" t="s">
        <v>33</v>
      </c>
      <c r="D347" s="9"/>
      <c r="E347" s="23">
        <v>47456</v>
      </c>
      <c r="G347" s="42">
        <v>0</v>
      </c>
      <c r="I347" s="42">
        <v>0</v>
      </c>
      <c r="K347" s="42">
        <v>0</v>
      </c>
      <c r="M347" s="42">
        <v>0</v>
      </c>
      <c r="O347" s="42">
        <v>0</v>
      </c>
      <c r="Q347" s="42">
        <v>0</v>
      </c>
      <c r="S347" s="42">
        <v>0</v>
      </c>
      <c r="U347" s="42">
        <v>0</v>
      </c>
      <c r="W347" s="42">
        <v>0</v>
      </c>
      <c r="Y347" s="2">
        <f t="shared" si="58"/>
        <v>0</v>
      </c>
      <c r="AA347" s="42">
        <v>0</v>
      </c>
      <c r="AC347" s="42">
        <v>0</v>
      </c>
      <c r="AE347" s="42">
        <v>0</v>
      </c>
      <c r="AG347" s="42">
        <v>0</v>
      </c>
      <c r="AI347" s="42">
        <v>0</v>
      </c>
      <c r="AK347" s="42">
        <f t="shared" si="59"/>
        <v>0</v>
      </c>
      <c r="AM347" s="42">
        <f t="shared" si="63"/>
        <v>0</v>
      </c>
    </row>
    <row r="348" spans="1:39">
      <c r="A348" s="9" t="s">
        <v>633</v>
      </c>
      <c r="B348" s="9"/>
      <c r="C348" s="9" t="s">
        <v>64</v>
      </c>
      <c r="D348" s="9"/>
      <c r="E348" s="23">
        <v>50229</v>
      </c>
      <c r="G348" s="42">
        <v>1705415</v>
      </c>
      <c r="I348" s="42">
        <v>0</v>
      </c>
      <c r="K348" s="42">
        <v>3969606</v>
      </c>
      <c r="M348" s="42">
        <v>1490</v>
      </c>
      <c r="O348" s="42">
        <f>1030960+27694+14440</f>
        <v>1073094</v>
      </c>
      <c r="Q348" s="42">
        <v>23078</v>
      </c>
      <c r="S348" s="42">
        <v>0</v>
      </c>
      <c r="U348" s="42">
        <v>0</v>
      </c>
      <c r="W348" s="42">
        <v>4214</v>
      </c>
      <c r="Y348" s="2">
        <f t="shared" si="58"/>
        <v>6776897</v>
      </c>
      <c r="AA348" s="42">
        <v>0</v>
      </c>
      <c r="AC348" s="42">
        <v>0</v>
      </c>
      <c r="AE348" s="42">
        <v>0</v>
      </c>
      <c r="AG348" s="42">
        <v>0</v>
      </c>
      <c r="AI348" s="42">
        <v>0</v>
      </c>
      <c r="AK348" s="42">
        <f t="shared" si="59"/>
        <v>0</v>
      </c>
      <c r="AM348" s="42">
        <f t="shared" si="63"/>
        <v>6776897</v>
      </c>
    </row>
    <row r="349" spans="1:39">
      <c r="A349" s="9" t="s">
        <v>762</v>
      </c>
      <c r="B349" s="9"/>
      <c r="C349" s="9" t="s">
        <v>227</v>
      </c>
      <c r="D349" s="9"/>
      <c r="E349" s="23">
        <v>45484</v>
      </c>
      <c r="F349" s="7"/>
      <c r="G349" s="42">
        <v>1706223</v>
      </c>
      <c r="I349" s="42">
        <v>1480545</v>
      </c>
      <c r="K349" s="42">
        <f>4413606+39276</f>
        <v>4452882</v>
      </c>
      <c r="M349" s="42">
        <v>2010</v>
      </c>
      <c r="O349" s="42">
        <f>722034+29012</f>
        <v>751046</v>
      </c>
      <c r="Q349" s="42">
        <v>28088</v>
      </c>
      <c r="S349" s="42">
        <v>0</v>
      </c>
      <c r="U349" s="42">
        <v>0</v>
      </c>
      <c r="W349" s="42">
        <v>401173</v>
      </c>
      <c r="Y349" s="2">
        <f t="shared" si="58"/>
        <v>8821967</v>
      </c>
      <c r="AA349" s="42">
        <v>0</v>
      </c>
      <c r="AC349" s="42">
        <v>0</v>
      </c>
      <c r="AE349" s="42">
        <v>0</v>
      </c>
      <c r="AG349" s="42">
        <v>0</v>
      </c>
      <c r="AI349" s="42">
        <v>0</v>
      </c>
      <c r="AK349" s="42">
        <f t="shared" si="59"/>
        <v>0</v>
      </c>
      <c r="AM349" s="42">
        <f t="shared" si="63"/>
        <v>8821967</v>
      </c>
    </row>
    <row r="350" spans="1:39">
      <c r="A350" s="9" t="s">
        <v>415</v>
      </c>
      <c r="B350" s="9"/>
      <c r="C350" s="9" t="s">
        <v>47</v>
      </c>
      <c r="D350" s="9"/>
      <c r="E350" s="23">
        <v>44388</v>
      </c>
      <c r="G350" s="42">
        <v>41487050</v>
      </c>
      <c r="I350" s="42">
        <v>0</v>
      </c>
      <c r="K350" s="42">
        <v>24499421</v>
      </c>
      <c r="M350" s="42">
        <v>32274</v>
      </c>
      <c r="O350" s="42">
        <f>683402+29130+436076</f>
        <v>1148608</v>
      </c>
      <c r="Q350" s="42">
        <v>635637</v>
      </c>
      <c r="S350" s="42">
        <v>0</v>
      </c>
      <c r="U350" s="42">
        <v>229031</v>
      </c>
      <c r="W350" s="42">
        <v>494729</v>
      </c>
      <c r="Y350" s="2">
        <f t="shared" si="58"/>
        <v>68526750</v>
      </c>
      <c r="AA350" s="42">
        <v>0</v>
      </c>
      <c r="AC350" s="42">
        <v>0</v>
      </c>
      <c r="AE350" s="42">
        <v>0</v>
      </c>
      <c r="AG350" s="42">
        <f>9500+390180</f>
        <v>399680</v>
      </c>
      <c r="AI350" s="42">
        <v>0</v>
      </c>
      <c r="AK350" s="42">
        <f t="shared" si="59"/>
        <v>399680</v>
      </c>
      <c r="AM350" s="42">
        <f t="shared" si="63"/>
        <v>68926430</v>
      </c>
    </row>
    <row r="351" spans="1:39">
      <c r="A351" s="9" t="s">
        <v>418</v>
      </c>
      <c r="B351" s="9"/>
      <c r="C351" s="9" t="s">
        <v>417</v>
      </c>
      <c r="D351" s="9"/>
      <c r="E351" s="23">
        <v>48520</v>
      </c>
      <c r="G351" s="42">
        <v>2455870</v>
      </c>
      <c r="I351" s="42">
        <v>0</v>
      </c>
      <c r="K351" s="42">
        <v>14529789</v>
      </c>
      <c r="M351" s="42">
        <v>26886</v>
      </c>
      <c r="O351" s="42">
        <f>630228+1340+1236</f>
        <v>632804</v>
      </c>
      <c r="Q351" s="42">
        <v>13689</v>
      </c>
      <c r="S351" s="42">
        <v>0</v>
      </c>
      <c r="U351" s="42">
        <v>11371</v>
      </c>
      <c r="W351" s="42">
        <v>76249</v>
      </c>
      <c r="Y351" s="2">
        <f t="shared" si="58"/>
        <v>17746658</v>
      </c>
      <c r="AA351" s="42">
        <v>0</v>
      </c>
      <c r="AC351" s="42">
        <v>0</v>
      </c>
      <c r="AE351" s="42">
        <v>0</v>
      </c>
      <c r="AG351" s="42">
        <f>7675+1606</f>
        <v>9281</v>
      </c>
      <c r="AI351" s="42">
        <v>0</v>
      </c>
      <c r="AK351" s="42">
        <f t="shared" si="59"/>
        <v>9281</v>
      </c>
      <c r="AM351" s="42">
        <f t="shared" si="63"/>
        <v>17755939</v>
      </c>
    </row>
    <row r="352" spans="1:39">
      <c r="A352" s="9" t="s">
        <v>763</v>
      </c>
      <c r="B352" s="9"/>
      <c r="C352" s="9" t="s">
        <v>41</v>
      </c>
      <c r="D352" s="9"/>
      <c r="E352" s="23">
        <v>45492</v>
      </c>
      <c r="G352" s="42">
        <v>59932454</v>
      </c>
      <c r="I352" s="42">
        <v>0</v>
      </c>
      <c r="K352" s="42">
        <v>29718037</v>
      </c>
      <c r="M352" s="42">
        <v>230273</v>
      </c>
      <c r="O352" s="42">
        <f>1517283+23953+48392</f>
        <v>1589628</v>
      </c>
      <c r="Q352" s="42">
        <v>508088</v>
      </c>
      <c r="S352" s="42">
        <v>989076</v>
      </c>
      <c r="U352" s="42">
        <v>46175</v>
      </c>
      <c r="W352" s="42">
        <v>934310</v>
      </c>
      <c r="Y352" s="2">
        <f t="shared" si="58"/>
        <v>93948041</v>
      </c>
      <c r="AA352" s="42">
        <v>17102</v>
      </c>
      <c r="AC352" s="42">
        <v>0</v>
      </c>
      <c r="AE352" s="42">
        <v>0</v>
      </c>
      <c r="AG352" s="42">
        <v>12377</v>
      </c>
      <c r="AI352" s="42">
        <v>0</v>
      </c>
      <c r="AK352" s="42">
        <f t="shared" si="59"/>
        <v>29479</v>
      </c>
      <c r="AM352" s="42">
        <f t="shared" si="63"/>
        <v>93977520</v>
      </c>
    </row>
    <row r="353" spans="1:39">
      <c r="A353" s="9" t="s">
        <v>421</v>
      </c>
      <c r="B353" s="9"/>
      <c r="C353" s="9" t="s">
        <v>48</v>
      </c>
      <c r="D353" s="9"/>
      <c r="E353" s="23">
        <v>48629</v>
      </c>
      <c r="G353" s="42">
        <v>3415715</v>
      </c>
      <c r="I353" s="42">
        <v>2872138</v>
      </c>
      <c r="K353" s="42">
        <f>1121+5109148</f>
        <v>5110269</v>
      </c>
      <c r="M353" s="42">
        <v>7626</v>
      </c>
      <c r="O353" s="42">
        <f>585268+1705+70430+10306</f>
        <v>667709</v>
      </c>
      <c r="Q353" s="42">
        <v>23035</v>
      </c>
      <c r="S353" s="42">
        <v>0</v>
      </c>
      <c r="U353" s="42">
        <v>34066</v>
      </c>
      <c r="W353" s="42">
        <v>39785</v>
      </c>
      <c r="Y353" s="2">
        <f t="shared" si="58"/>
        <v>12170343</v>
      </c>
      <c r="AA353" s="42">
        <v>0</v>
      </c>
      <c r="AC353" s="42">
        <v>0</v>
      </c>
      <c r="AE353" s="42">
        <v>0</v>
      </c>
      <c r="AG353" s="42">
        <v>64284</v>
      </c>
      <c r="AI353" s="42">
        <v>0</v>
      </c>
      <c r="AK353" s="42">
        <f t="shared" si="59"/>
        <v>64284</v>
      </c>
      <c r="AM353" s="42">
        <f t="shared" si="63"/>
        <v>12234627</v>
      </c>
    </row>
    <row r="354" spans="1:39">
      <c r="A354" s="9" t="s">
        <v>295</v>
      </c>
      <c r="B354" s="9"/>
      <c r="C354" s="9" t="s">
        <v>26</v>
      </c>
      <c r="D354" s="9"/>
      <c r="E354" s="23">
        <v>46920</v>
      </c>
      <c r="G354" s="42">
        <v>11636185</v>
      </c>
      <c r="I354" s="42">
        <v>0</v>
      </c>
      <c r="K354" s="42">
        <v>10887018</v>
      </c>
      <c r="M354" s="42">
        <v>23573</v>
      </c>
      <c r="O354" s="42">
        <f>1733987+4137</f>
        <v>1738124</v>
      </c>
      <c r="Q354" s="42">
        <v>134808</v>
      </c>
      <c r="S354" s="42">
        <v>418554</v>
      </c>
      <c r="U354" s="42">
        <v>0</v>
      </c>
      <c r="W354" s="42">
        <v>99270</v>
      </c>
      <c r="Y354" s="2">
        <f t="shared" si="58"/>
        <v>24937532</v>
      </c>
      <c r="AA354" s="42">
        <v>0</v>
      </c>
      <c r="AC354" s="42">
        <v>0</v>
      </c>
      <c r="AE354" s="42">
        <v>0</v>
      </c>
      <c r="AG354" s="42">
        <v>11231</v>
      </c>
      <c r="AI354" s="42">
        <v>0</v>
      </c>
      <c r="AK354" s="42">
        <f t="shared" si="59"/>
        <v>11231</v>
      </c>
      <c r="AM354" s="42">
        <f t="shared" si="63"/>
        <v>24948763</v>
      </c>
    </row>
    <row r="355" spans="1:39">
      <c r="A355" s="9" t="s">
        <v>429</v>
      </c>
      <c r="B355" s="9"/>
      <c r="C355" s="9" t="s">
        <v>50</v>
      </c>
      <c r="D355" s="9"/>
      <c r="E355" s="23">
        <v>44396</v>
      </c>
      <c r="G355" s="42">
        <v>28554480</v>
      </c>
      <c r="I355" s="42">
        <v>0</v>
      </c>
      <c r="K355" s="42">
        <v>17494426</v>
      </c>
      <c r="M355" s="42">
        <v>6470</v>
      </c>
      <c r="O355" s="42">
        <f>662058+114539+77008</f>
        <v>853605</v>
      </c>
      <c r="Q355" s="42">
        <v>77401</v>
      </c>
      <c r="S355" s="42">
        <v>177396</v>
      </c>
      <c r="U355" s="42">
        <v>18486</v>
      </c>
      <c r="W355" s="42">
        <v>157378</v>
      </c>
      <c r="Y355" s="2">
        <f t="shared" si="58"/>
        <v>47339642</v>
      </c>
      <c r="AA355" s="42">
        <v>0</v>
      </c>
      <c r="AC355" s="42">
        <v>0</v>
      </c>
      <c r="AE355" s="42">
        <v>0</v>
      </c>
      <c r="AG355" s="42">
        <f>13006+2309</f>
        <v>15315</v>
      </c>
      <c r="AI355" s="42">
        <v>0</v>
      </c>
      <c r="AK355" s="42">
        <f t="shared" si="59"/>
        <v>15315</v>
      </c>
      <c r="AM355" s="42">
        <f t="shared" si="63"/>
        <v>47354957</v>
      </c>
    </row>
    <row r="356" spans="1:39" hidden="1">
      <c r="A356" s="9" t="s">
        <v>806</v>
      </c>
      <c r="B356" s="9"/>
      <c r="C356" s="9" t="s">
        <v>53</v>
      </c>
      <c r="D356" s="9"/>
      <c r="E356" s="23">
        <v>48959</v>
      </c>
      <c r="G356" s="42">
        <v>0</v>
      </c>
      <c r="I356" s="42">
        <v>0</v>
      </c>
      <c r="K356" s="42">
        <v>0</v>
      </c>
      <c r="M356" s="42">
        <v>0</v>
      </c>
      <c r="O356" s="42">
        <v>0</v>
      </c>
      <c r="Q356" s="42">
        <v>0</v>
      </c>
      <c r="S356" s="42">
        <v>0</v>
      </c>
      <c r="U356" s="42">
        <v>0</v>
      </c>
      <c r="W356" s="42">
        <v>0</v>
      </c>
      <c r="Y356" s="2">
        <f t="shared" si="58"/>
        <v>0</v>
      </c>
      <c r="AA356" s="42">
        <v>0</v>
      </c>
      <c r="AC356" s="42">
        <v>0</v>
      </c>
      <c r="AE356" s="42">
        <v>0</v>
      </c>
      <c r="AG356" s="42">
        <v>0</v>
      </c>
      <c r="AI356" s="42">
        <v>0</v>
      </c>
      <c r="AK356" s="42">
        <f t="shared" ref="AK356" si="64">SUM(AA356:AJ356)</f>
        <v>0</v>
      </c>
      <c r="AM356" s="42">
        <f t="shared" ref="AM356" si="65">+AK356+Y356</f>
        <v>0</v>
      </c>
    </row>
    <row r="357" spans="1:39">
      <c r="A357" s="9" t="s">
        <v>224</v>
      </c>
      <c r="B357" s="9"/>
      <c r="C357" s="9" t="s">
        <v>220</v>
      </c>
      <c r="D357" s="9"/>
      <c r="E357" s="23">
        <v>44404</v>
      </c>
      <c r="F357" s="7"/>
      <c r="G357" s="42">
        <v>28061386</v>
      </c>
      <c r="I357" s="42">
        <v>0</v>
      </c>
      <c r="K357" s="42">
        <v>36730159</v>
      </c>
      <c r="M357" s="42">
        <v>723</v>
      </c>
      <c r="O357" s="42">
        <f>566267+22675+164606</f>
        <v>753548</v>
      </c>
      <c r="Q357" s="42">
        <v>58899</v>
      </c>
      <c r="S357" s="42">
        <v>444506</v>
      </c>
      <c r="U357" s="42">
        <v>10717</v>
      </c>
      <c r="W357" s="42">
        <v>115511</v>
      </c>
      <c r="Y357" s="2">
        <f t="shared" si="58"/>
        <v>66175449</v>
      </c>
      <c r="AA357" s="42">
        <v>0</v>
      </c>
      <c r="AC357" s="42">
        <v>0</v>
      </c>
      <c r="AE357" s="42">
        <v>0</v>
      </c>
      <c r="AG357" s="42">
        <v>480</v>
      </c>
      <c r="AI357" s="42">
        <v>0</v>
      </c>
      <c r="AK357" s="42">
        <f t="shared" si="59"/>
        <v>480</v>
      </c>
      <c r="AM357" s="42">
        <f t="shared" si="63"/>
        <v>66175929</v>
      </c>
    </row>
    <row r="358" spans="1:39">
      <c r="A358" s="9" t="s">
        <v>384</v>
      </c>
      <c r="B358" s="9"/>
      <c r="C358" s="9" t="s">
        <v>44</v>
      </c>
      <c r="D358" s="9"/>
      <c r="E358" s="23">
        <v>48173</v>
      </c>
      <c r="G358" s="42">
        <v>9824585</v>
      </c>
      <c r="I358" s="42">
        <v>0</v>
      </c>
      <c r="K358" s="42">
        <v>12683580</v>
      </c>
      <c r="M358" s="42">
        <v>5631</v>
      </c>
      <c r="O358" s="42">
        <v>2385016</v>
      </c>
      <c r="Q358" s="42">
        <v>363104</v>
      </c>
      <c r="S358" s="42">
        <v>0</v>
      </c>
      <c r="U358" s="42">
        <v>0</v>
      </c>
      <c r="W358" s="42">
        <v>195011</v>
      </c>
      <c r="Y358" s="2">
        <f t="shared" si="58"/>
        <v>25456927</v>
      </c>
      <c r="AA358" s="42">
        <v>0</v>
      </c>
      <c r="AC358" s="42">
        <v>0</v>
      </c>
      <c r="AE358" s="42">
        <v>0</v>
      </c>
      <c r="AG358" s="42">
        <f>336998+96043</f>
        <v>433041</v>
      </c>
      <c r="AI358" s="42">
        <v>0</v>
      </c>
      <c r="AK358" s="42">
        <f t="shared" si="59"/>
        <v>433041</v>
      </c>
      <c r="AM358" s="42">
        <f t="shared" si="63"/>
        <v>25889968</v>
      </c>
    </row>
    <row r="359" spans="1:39">
      <c r="A359" s="9" t="s">
        <v>764</v>
      </c>
      <c r="B359" s="9"/>
      <c r="C359" s="9" t="s">
        <v>112</v>
      </c>
      <c r="D359" s="9"/>
      <c r="E359" s="23">
        <v>45500</v>
      </c>
      <c r="F359" s="7"/>
      <c r="G359" s="42">
        <v>32039846</v>
      </c>
      <c r="I359" s="42">
        <v>0</v>
      </c>
      <c r="K359" s="42">
        <v>21479774</v>
      </c>
      <c r="M359" s="42">
        <v>24333</v>
      </c>
      <c r="O359" s="42">
        <f>2874815+179172</f>
        <v>3053987</v>
      </c>
      <c r="Q359" s="42">
        <v>174355</v>
      </c>
      <c r="S359" s="42">
        <v>2041499</v>
      </c>
      <c r="U359" s="42">
        <v>0</v>
      </c>
      <c r="W359" s="42">
        <v>457985</v>
      </c>
      <c r="Y359" s="2">
        <f t="shared" si="58"/>
        <v>59271779</v>
      </c>
      <c r="AA359" s="42">
        <v>0</v>
      </c>
      <c r="AC359" s="42">
        <v>0</v>
      </c>
      <c r="AE359" s="42">
        <v>0</v>
      </c>
      <c r="AG359" s="42">
        <v>0</v>
      </c>
      <c r="AI359" s="42">
        <v>0</v>
      </c>
      <c r="AK359" s="42">
        <f t="shared" si="59"/>
        <v>0</v>
      </c>
      <c r="AM359" s="42">
        <f t="shared" si="63"/>
        <v>59271779</v>
      </c>
    </row>
    <row r="360" spans="1:39" hidden="1">
      <c r="A360" s="9" t="s">
        <v>608</v>
      </c>
      <c r="B360" s="9"/>
      <c r="C360" s="9" t="s">
        <v>548</v>
      </c>
      <c r="D360" s="9"/>
      <c r="E360" s="23">
        <v>50633</v>
      </c>
      <c r="G360" s="42">
        <v>0</v>
      </c>
      <c r="I360" s="42">
        <v>0</v>
      </c>
      <c r="K360" s="42">
        <v>0</v>
      </c>
      <c r="M360" s="42">
        <v>0</v>
      </c>
      <c r="O360" s="42">
        <v>0</v>
      </c>
      <c r="Q360" s="42">
        <v>0</v>
      </c>
      <c r="S360" s="42">
        <v>0</v>
      </c>
      <c r="U360" s="42">
        <v>0</v>
      </c>
      <c r="W360" s="42">
        <v>0</v>
      </c>
      <c r="Y360" s="2">
        <f t="shared" si="58"/>
        <v>0</v>
      </c>
      <c r="AA360" s="42">
        <v>0</v>
      </c>
      <c r="AC360" s="42">
        <v>0</v>
      </c>
      <c r="AE360" s="42">
        <v>0</v>
      </c>
      <c r="AG360" s="42">
        <v>0</v>
      </c>
      <c r="AI360" s="42">
        <v>0</v>
      </c>
      <c r="AK360" s="42">
        <f t="shared" si="59"/>
        <v>0</v>
      </c>
      <c r="AM360" s="42">
        <f t="shared" si="63"/>
        <v>0</v>
      </c>
    </row>
    <row r="361" spans="1:39" hidden="1">
      <c r="A361" s="9" t="s">
        <v>880</v>
      </c>
      <c r="B361" s="9"/>
      <c r="C361" s="9" t="s">
        <v>464</v>
      </c>
      <c r="D361" s="9"/>
      <c r="E361" s="23">
        <v>49361</v>
      </c>
      <c r="G361" s="42">
        <v>0</v>
      </c>
      <c r="I361" s="42">
        <v>0</v>
      </c>
      <c r="K361" s="42">
        <v>0</v>
      </c>
      <c r="M361" s="42">
        <v>0</v>
      </c>
      <c r="O361" s="42">
        <v>0</v>
      </c>
      <c r="Q361" s="42">
        <v>0</v>
      </c>
      <c r="S361" s="42">
        <v>0</v>
      </c>
      <c r="U361" s="42">
        <v>0</v>
      </c>
      <c r="W361" s="42">
        <v>0</v>
      </c>
      <c r="Y361" s="2">
        <f t="shared" si="58"/>
        <v>0</v>
      </c>
      <c r="AA361" s="42">
        <v>0</v>
      </c>
      <c r="AC361" s="42">
        <v>0</v>
      </c>
      <c r="AE361" s="42">
        <v>0</v>
      </c>
      <c r="AG361" s="42">
        <v>0</v>
      </c>
      <c r="AI361" s="42">
        <v>0</v>
      </c>
      <c r="AK361" s="42">
        <f t="shared" si="59"/>
        <v>0</v>
      </c>
      <c r="AM361" s="42">
        <f t="shared" si="63"/>
        <v>0</v>
      </c>
    </row>
    <row r="362" spans="1:39" hidden="1">
      <c r="A362" s="9" t="s">
        <v>801</v>
      </c>
      <c r="B362" s="9"/>
      <c r="C362" s="9" t="s">
        <v>48</v>
      </c>
      <c r="D362" s="9"/>
      <c r="E362" s="23">
        <v>45518</v>
      </c>
      <c r="G362" s="42">
        <v>0</v>
      </c>
      <c r="I362" s="42">
        <v>0</v>
      </c>
      <c r="K362" s="42">
        <v>0</v>
      </c>
      <c r="M362" s="42">
        <v>0</v>
      </c>
      <c r="O362" s="42">
        <v>0</v>
      </c>
      <c r="Q362" s="42">
        <v>0</v>
      </c>
      <c r="S362" s="42">
        <v>0</v>
      </c>
      <c r="U362" s="42">
        <v>0</v>
      </c>
      <c r="W362" s="42">
        <v>0</v>
      </c>
      <c r="Y362" s="2">
        <f t="shared" si="58"/>
        <v>0</v>
      </c>
      <c r="AA362" s="42">
        <v>0</v>
      </c>
      <c r="AC362" s="42">
        <v>0</v>
      </c>
      <c r="AE362" s="42">
        <v>0</v>
      </c>
      <c r="AG362" s="42">
        <v>0</v>
      </c>
      <c r="AI362" s="42">
        <v>0</v>
      </c>
      <c r="AK362" s="42">
        <f t="shared" si="59"/>
        <v>0</v>
      </c>
      <c r="AM362" s="42">
        <f t="shared" si="63"/>
        <v>0</v>
      </c>
    </row>
    <row r="363" spans="1:39">
      <c r="A363" s="9" t="s">
        <v>498</v>
      </c>
      <c r="B363" s="9"/>
      <c r="C363" s="9" t="s">
        <v>62</v>
      </c>
      <c r="D363" s="9"/>
      <c r="E363" s="23">
        <v>49890</v>
      </c>
      <c r="G363" s="42">
        <v>4900452</v>
      </c>
      <c r="I363" s="42">
        <v>0</v>
      </c>
      <c r="K363" s="42">
        <v>9911334</v>
      </c>
      <c r="M363" s="42">
        <v>4312</v>
      </c>
      <c r="O363" s="42">
        <f>946536+15163</f>
        <v>961699</v>
      </c>
      <c r="Q363" s="42">
        <v>112526</v>
      </c>
      <c r="S363" s="42">
        <v>0</v>
      </c>
      <c r="U363" s="42">
        <v>8454</v>
      </c>
      <c r="W363" s="42">
        <v>92402</v>
      </c>
      <c r="Y363" s="2">
        <f t="shared" si="58"/>
        <v>15991179</v>
      </c>
      <c r="AA363" s="42">
        <v>0</v>
      </c>
      <c r="AC363" s="42">
        <v>0</v>
      </c>
      <c r="AE363" s="42">
        <v>0</v>
      </c>
      <c r="AG363" s="42">
        <v>0</v>
      </c>
      <c r="AI363" s="42">
        <v>0</v>
      </c>
      <c r="AK363" s="42">
        <f t="shared" si="59"/>
        <v>0</v>
      </c>
      <c r="AM363" s="42">
        <f t="shared" ref="AM363:AM376" si="66">+AK363+Y363</f>
        <v>15991179</v>
      </c>
    </row>
    <row r="364" spans="1:39">
      <c r="A364" s="9" t="s">
        <v>479</v>
      </c>
      <c r="B364" s="9"/>
      <c r="C364" s="9" t="s">
        <v>59</v>
      </c>
      <c r="D364" s="9"/>
      <c r="E364" s="23">
        <v>49627</v>
      </c>
      <c r="G364" s="42">
        <v>1734253</v>
      </c>
      <c r="I364" s="42">
        <v>0</v>
      </c>
      <c r="K364" s="42">
        <v>9438984</v>
      </c>
      <c r="M364" s="42">
        <v>0</v>
      </c>
      <c r="O364" s="42">
        <f>2116586+878+876</f>
        <v>2118340</v>
      </c>
      <c r="Q364" s="42">
        <v>184714</v>
      </c>
      <c r="S364" s="42">
        <v>0</v>
      </c>
      <c r="U364" s="42">
        <v>8352</v>
      </c>
      <c r="W364" s="42">
        <v>254080</v>
      </c>
      <c r="Y364" s="2">
        <f t="shared" si="58"/>
        <v>13738723</v>
      </c>
      <c r="AA364" s="42">
        <v>0</v>
      </c>
      <c r="AC364" s="42">
        <v>0</v>
      </c>
      <c r="AE364" s="42">
        <v>0</v>
      </c>
      <c r="AG364" s="42">
        <v>0</v>
      </c>
      <c r="AI364" s="42">
        <v>0</v>
      </c>
      <c r="AK364" s="42">
        <f t="shared" si="59"/>
        <v>0</v>
      </c>
      <c r="AM364" s="42">
        <f t="shared" si="66"/>
        <v>13738723</v>
      </c>
    </row>
    <row r="365" spans="1:39">
      <c r="A365" s="9" t="s">
        <v>212</v>
      </c>
      <c r="B365" s="9"/>
      <c r="C365" s="9" t="s">
        <v>14</v>
      </c>
      <c r="D365" s="9"/>
      <c r="E365" s="23">
        <v>45948</v>
      </c>
      <c r="F365" s="7"/>
      <c r="G365" s="42">
        <v>3505487</v>
      </c>
      <c r="I365" s="42">
        <v>1503146</v>
      </c>
      <c r="K365" s="42">
        <v>3584796</v>
      </c>
      <c r="M365" s="42">
        <v>4384</v>
      </c>
      <c r="O365" s="42">
        <v>78534</v>
      </c>
      <c r="Q365" s="42">
        <v>0</v>
      </c>
      <c r="S365" s="42">
        <v>45445</v>
      </c>
      <c r="U365" s="42">
        <v>24678</v>
      </c>
      <c r="W365" s="42">
        <v>176666</v>
      </c>
      <c r="Y365" s="2">
        <f t="shared" si="58"/>
        <v>8923136</v>
      </c>
      <c r="AA365" s="42">
        <v>0</v>
      </c>
      <c r="AC365" s="42">
        <v>0</v>
      </c>
      <c r="AE365" s="42">
        <v>0</v>
      </c>
      <c r="AG365" s="42">
        <v>0</v>
      </c>
      <c r="AI365" s="42">
        <v>0</v>
      </c>
      <c r="AK365" s="42">
        <f t="shared" si="59"/>
        <v>0</v>
      </c>
      <c r="AM365" s="42">
        <f t="shared" si="66"/>
        <v>8923136</v>
      </c>
    </row>
    <row r="366" spans="1:39" hidden="1">
      <c r="A366" s="9" t="s">
        <v>635</v>
      </c>
      <c r="B366" s="9"/>
      <c r="C366" s="9" t="s">
        <v>21</v>
      </c>
      <c r="D366" s="9"/>
      <c r="E366" s="23">
        <v>46672</v>
      </c>
      <c r="G366" s="42">
        <v>0</v>
      </c>
      <c r="I366" s="42">
        <v>0</v>
      </c>
      <c r="K366" s="42">
        <v>0</v>
      </c>
      <c r="M366" s="42">
        <v>0</v>
      </c>
      <c r="O366" s="42">
        <v>0</v>
      </c>
      <c r="Q366" s="42">
        <v>0</v>
      </c>
      <c r="S366" s="42">
        <v>0</v>
      </c>
      <c r="U366" s="42">
        <v>0</v>
      </c>
      <c r="W366" s="42">
        <v>0</v>
      </c>
      <c r="Y366" s="2">
        <f t="shared" si="58"/>
        <v>0</v>
      </c>
      <c r="AA366" s="42">
        <v>0</v>
      </c>
      <c r="AC366" s="42">
        <v>0</v>
      </c>
      <c r="AE366" s="42">
        <v>0</v>
      </c>
      <c r="AG366" s="42">
        <v>0</v>
      </c>
      <c r="AI366" s="42">
        <v>0</v>
      </c>
      <c r="AK366" s="42">
        <f t="shared" si="59"/>
        <v>0</v>
      </c>
      <c r="AM366" s="42">
        <f t="shared" si="66"/>
        <v>0</v>
      </c>
    </row>
    <row r="367" spans="1:39">
      <c r="A367" s="9" t="s">
        <v>506</v>
      </c>
      <c r="B367" s="9"/>
      <c r="C367" s="9" t="s">
        <v>63</v>
      </c>
      <c r="D367" s="9"/>
      <c r="E367" s="23">
        <v>50039</v>
      </c>
      <c r="G367" s="42">
        <v>2785171</v>
      </c>
      <c r="I367" s="42">
        <v>0</v>
      </c>
      <c r="K367" s="42">
        <v>3991657</v>
      </c>
      <c r="M367" s="42">
        <v>17517</v>
      </c>
      <c r="O367" s="42">
        <v>1556333</v>
      </c>
      <c r="Q367" s="42">
        <v>63997</v>
      </c>
      <c r="S367" s="42">
        <v>0</v>
      </c>
      <c r="U367" s="42">
        <v>286</v>
      </c>
      <c r="W367" s="42">
        <v>45152</v>
      </c>
      <c r="Y367" s="2">
        <f t="shared" si="58"/>
        <v>8460113</v>
      </c>
      <c r="AA367" s="42">
        <v>0</v>
      </c>
      <c r="AC367" s="42">
        <v>0</v>
      </c>
      <c r="AE367" s="42">
        <v>0</v>
      </c>
      <c r="AG367" s="42">
        <v>0</v>
      </c>
      <c r="AI367" s="42">
        <v>0</v>
      </c>
      <c r="AK367" s="42">
        <f t="shared" si="59"/>
        <v>0</v>
      </c>
      <c r="AM367" s="42">
        <f t="shared" si="66"/>
        <v>8460113</v>
      </c>
    </row>
    <row r="368" spans="1:39" hidden="1">
      <c r="A368" s="9" t="s">
        <v>616</v>
      </c>
      <c r="B368" s="9"/>
      <c r="C368" s="9" t="s">
        <v>553</v>
      </c>
      <c r="D368" s="9"/>
      <c r="E368" s="23">
        <v>50740</v>
      </c>
      <c r="G368" s="42">
        <v>0</v>
      </c>
      <c r="I368" s="42">
        <v>0</v>
      </c>
      <c r="K368" s="42">
        <v>0</v>
      </c>
      <c r="M368" s="42">
        <v>0</v>
      </c>
      <c r="O368" s="42">
        <v>0</v>
      </c>
      <c r="Q368" s="42">
        <v>0</v>
      </c>
      <c r="S368" s="42">
        <v>0</v>
      </c>
      <c r="U368" s="42">
        <v>0</v>
      </c>
      <c r="W368" s="42">
        <v>0</v>
      </c>
      <c r="Y368" s="2">
        <f t="shared" si="58"/>
        <v>0</v>
      </c>
      <c r="AA368" s="42">
        <v>0</v>
      </c>
      <c r="AC368" s="42">
        <v>0</v>
      </c>
      <c r="AE368" s="42">
        <v>0</v>
      </c>
      <c r="AG368" s="42">
        <v>0</v>
      </c>
      <c r="AI368" s="42">
        <v>0</v>
      </c>
      <c r="AK368" s="42">
        <f t="shared" ref="AK368:AK375" si="67">SUM(AA368:AJ368)</f>
        <v>0</v>
      </c>
      <c r="AM368" s="42">
        <f t="shared" si="66"/>
        <v>0</v>
      </c>
    </row>
    <row r="369" spans="1:39">
      <c r="A369" s="8" t="s">
        <v>905</v>
      </c>
      <c r="B369" s="9"/>
      <c r="C369" s="9" t="s">
        <v>220</v>
      </c>
      <c r="D369" s="9"/>
      <c r="E369" s="23">
        <v>139303</v>
      </c>
      <c r="F369" s="7"/>
      <c r="G369" s="42">
        <v>11065411</v>
      </c>
      <c r="I369" s="42">
        <v>0</v>
      </c>
      <c r="K369" s="42">
        <v>6641412</v>
      </c>
      <c r="M369" s="42">
        <v>4875</v>
      </c>
      <c r="O369" s="42">
        <f>1306681+18703+13727</f>
        <v>1339111</v>
      </c>
      <c r="Q369" s="42">
        <v>206843</v>
      </c>
      <c r="S369" s="42">
        <v>1223376</v>
      </c>
      <c r="U369" s="42">
        <v>9453</v>
      </c>
      <c r="W369" s="42">
        <v>62488</v>
      </c>
      <c r="Y369" s="2">
        <f t="shared" si="58"/>
        <v>20552969</v>
      </c>
      <c r="AA369" s="42">
        <v>0</v>
      </c>
      <c r="AC369" s="42">
        <v>0</v>
      </c>
      <c r="AE369" s="42">
        <v>427000</v>
      </c>
      <c r="AG369" s="42">
        <v>0</v>
      </c>
      <c r="AI369" s="42">
        <v>0</v>
      </c>
      <c r="AK369" s="42">
        <f t="shared" si="67"/>
        <v>427000</v>
      </c>
      <c r="AM369" s="42">
        <f t="shared" si="66"/>
        <v>20979969</v>
      </c>
    </row>
    <row r="370" spans="1:39" s="24" customFormat="1">
      <c r="A370" s="51" t="s">
        <v>354</v>
      </c>
      <c r="B370" s="51"/>
      <c r="C370" s="51" t="s">
        <v>37</v>
      </c>
      <c r="D370" s="51"/>
      <c r="E370" s="23">
        <v>47712</v>
      </c>
      <c r="G370" s="42">
        <v>2056519</v>
      </c>
      <c r="H370" s="42"/>
      <c r="I370" s="42">
        <v>1155299</v>
      </c>
      <c r="J370" s="42"/>
      <c r="K370" s="42">
        <f>2431565+38861</f>
        <v>2470426</v>
      </c>
      <c r="L370" s="42"/>
      <c r="M370" s="42">
        <v>821</v>
      </c>
      <c r="N370" s="42"/>
      <c r="O370" s="42">
        <f>537174+64+37261</f>
        <v>574499</v>
      </c>
      <c r="P370" s="42"/>
      <c r="Q370" s="42">
        <v>21617</v>
      </c>
      <c r="R370" s="42"/>
      <c r="S370" s="42">
        <v>0</v>
      </c>
      <c r="T370" s="42"/>
      <c r="U370" s="42">
        <v>0</v>
      </c>
      <c r="V370" s="42"/>
      <c r="W370" s="42">
        <v>6395</v>
      </c>
      <c r="X370" s="42"/>
      <c r="Y370" s="2">
        <f t="shared" si="58"/>
        <v>6285576</v>
      </c>
      <c r="Z370" s="42"/>
      <c r="AA370" s="42">
        <v>0</v>
      </c>
      <c r="AB370" s="42"/>
      <c r="AC370" s="42">
        <v>0</v>
      </c>
      <c r="AD370" s="42"/>
      <c r="AE370" s="42">
        <v>0</v>
      </c>
      <c r="AF370" s="42"/>
      <c r="AG370" s="42">
        <v>0</v>
      </c>
      <c r="AH370" s="42"/>
      <c r="AI370" s="42">
        <v>0</v>
      </c>
      <c r="AJ370" s="42"/>
      <c r="AK370" s="42">
        <f t="shared" si="67"/>
        <v>0</v>
      </c>
      <c r="AL370" s="42"/>
      <c r="AM370" s="42">
        <f t="shared" si="66"/>
        <v>6285576</v>
      </c>
    </row>
    <row r="371" spans="1:39" hidden="1">
      <c r="A371" s="9" t="s">
        <v>802</v>
      </c>
      <c r="B371" s="9"/>
      <c r="C371" s="9" t="s">
        <v>548</v>
      </c>
      <c r="D371" s="9"/>
      <c r="E371" s="23">
        <v>45526</v>
      </c>
      <c r="G371" s="42">
        <v>0</v>
      </c>
      <c r="I371" s="42">
        <v>0</v>
      </c>
      <c r="K371" s="42">
        <v>0</v>
      </c>
      <c r="M371" s="42">
        <v>0</v>
      </c>
      <c r="O371" s="42">
        <v>0</v>
      </c>
      <c r="Q371" s="42">
        <v>0</v>
      </c>
      <c r="S371" s="42">
        <v>0</v>
      </c>
      <c r="U371" s="42">
        <v>0</v>
      </c>
      <c r="W371" s="42">
        <v>0</v>
      </c>
      <c r="Y371" s="2">
        <f t="shared" si="58"/>
        <v>0</v>
      </c>
      <c r="AA371" s="42">
        <v>0</v>
      </c>
      <c r="AC371" s="42">
        <v>0</v>
      </c>
      <c r="AE371" s="42">
        <v>0</v>
      </c>
      <c r="AG371" s="42">
        <v>0</v>
      </c>
      <c r="AI371" s="42">
        <v>0</v>
      </c>
      <c r="AK371" s="42">
        <f t="shared" si="67"/>
        <v>0</v>
      </c>
      <c r="AM371" s="42">
        <f t="shared" si="66"/>
        <v>0</v>
      </c>
    </row>
    <row r="372" spans="1:39" s="24" customFormat="1">
      <c r="A372" s="51" t="s">
        <v>436</v>
      </c>
      <c r="B372" s="51"/>
      <c r="C372" s="51" t="s">
        <v>437</v>
      </c>
      <c r="D372" s="51"/>
      <c r="E372" s="51">
        <v>48777</v>
      </c>
      <c r="G372" s="24">
        <v>3884655</v>
      </c>
      <c r="I372" s="24">
        <v>0</v>
      </c>
      <c r="K372" s="24">
        <v>14785977</v>
      </c>
      <c r="M372" s="24">
        <v>95499</v>
      </c>
      <c r="O372" s="24">
        <f>46587+290690+2677</f>
        <v>339954</v>
      </c>
      <c r="Q372" s="24">
        <v>0</v>
      </c>
      <c r="S372" s="24">
        <v>0</v>
      </c>
      <c r="U372" s="24">
        <v>5112</v>
      </c>
      <c r="W372" s="24">
        <v>60388</v>
      </c>
      <c r="Y372" s="60">
        <f t="shared" si="58"/>
        <v>19171585</v>
      </c>
      <c r="AA372" s="24">
        <v>0</v>
      </c>
      <c r="AC372" s="24">
        <v>0</v>
      </c>
      <c r="AE372" s="24">
        <v>0</v>
      </c>
      <c r="AG372" s="24">
        <f>242948+35200</f>
        <v>278148</v>
      </c>
      <c r="AI372" s="24">
        <v>0</v>
      </c>
      <c r="AK372" s="24">
        <f t="shared" si="67"/>
        <v>278148</v>
      </c>
      <c r="AM372" s="24">
        <f t="shared" si="66"/>
        <v>19449733</v>
      </c>
    </row>
    <row r="373" spans="1:39">
      <c r="A373" s="9" t="s">
        <v>765</v>
      </c>
      <c r="B373" s="9"/>
      <c r="C373" s="9" t="s">
        <v>78</v>
      </c>
      <c r="D373" s="9"/>
      <c r="E373" s="23">
        <v>45534</v>
      </c>
      <c r="G373" s="42">
        <v>3889907</v>
      </c>
      <c r="I373" s="42">
        <v>0</v>
      </c>
      <c r="K373" s="42">
        <v>6526215</v>
      </c>
      <c r="M373" s="42">
        <v>13189</v>
      </c>
      <c r="O373" s="42">
        <v>594700</v>
      </c>
      <c r="Q373" s="42">
        <v>85780</v>
      </c>
      <c r="S373" s="42">
        <v>0</v>
      </c>
      <c r="U373" s="42">
        <v>0</v>
      </c>
      <c r="W373" s="42">
        <v>651059</v>
      </c>
      <c r="Y373" s="2">
        <f t="shared" si="58"/>
        <v>11760850</v>
      </c>
      <c r="AA373" s="42">
        <v>0</v>
      </c>
      <c r="AC373" s="42">
        <v>0</v>
      </c>
      <c r="AE373" s="42">
        <v>0</v>
      </c>
      <c r="AG373" s="42">
        <v>0</v>
      </c>
      <c r="AI373" s="42">
        <v>0</v>
      </c>
      <c r="AK373" s="42">
        <f t="shared" si="67"/>
        <v>0</v>
      </c>
      <c r="AM373" s="42">
        <f t="shared" si="66"/>
        <v>11760850</v>
      </c>
    </row>
    <row r="374" spans="1:39" hidden="1">
      <c r="A374" s="8" t="s">
        <v>866</v>
      </c>
      <c r="B374" s="9"/>
      <c r="C374" s="9" t="s">
        <v>40</v>
      </c>
      <c r="D374" s="9"/>
      <c r="E374" s="23">
        <v>44420</v>
      </c>
      <c r="G374" s="42">
        <v>0</v>
      </c>
      <c r="I374" s="42">
        <v>0</v>
      </c>
      <c r="K374" s="42">
        <v>0</v>
      </c>
      <c r="M374" s="42">
        <v>0</v>
      </c>
      <c r="O374" s="42">
        <v>0</v>
      </c>
      <c r="Q374" s="42">
        <v>0</v>
      </c>
      <c r="S374" s="42">
        <v>0</v>
      </c>
      <c r="U374" s="42">
        <v>0</v>
      </c>
      <c r="W374" s="42">
        <v>0</v>
      </c>
      <c r="Y374" s="2">
        <f t="shared" si="58"/>
        <v>0</v>
      </c>
      <c r="AA374" s="42">
        <v>0</v>
      </c>
      <c r="AC374" s="42">
        <v>0</v>
      </c>
      <c r="AE374" s="42">
        <v>0</v>
      </c>
      <c r="AG374" s="42">
        <v>0</v>
      </c>
      <c r="AI374" s="42">
        <v>0</v>
      </c>
      <c r="AK374" s="42">
        <f t="shared" si="67"/>
        <v>0</v>
      </c>
      <c r="AM374" s="42">
        <f t="shared" si="66"/>
        <v>0</v>
      </c>
    </row>
    <row r="375" spans="1:39">
      <c r="A375" s="9" t="s">
        <v>706</v>
      </c>
      <c r="B375" s="9"/>
      <c r="C375" s="9" t="s">
        <v>32</v>
      </c>
      <c r="D375" s="9"/>
      <c r="E375" s="23">
        <v>44412</v>
      </c>
      <c r="G375" s="42">
        <v>10802735</v>
      </c>
      <c r="I375" s="42">
        <v>0</v>
      </c>
      <c r="K375" s="42">
        <v>22540601</v>
      </c>
      <c r="M375" s="42">
        <v>15658</v>
      </c>
      <c r="O375" s="42">
        <f>714453+24082</f>
        <v>738535</v>
      </c>
      <c r="Q375" s="42">
        <v>49674</v>
      </c>
      <c r="S375" s="42">
        <v>0</v>
      </c>
      <c r="U375" s="42">
        <v>0</v>
      </c>
      <c r="W375" s="42">
        <v>315489</v>
      </c>
      <c r="Y375" s="2">
        <f t="shared" si="58"/>
        <v>34462692</v>
      </c>
      <c r="AA375" s="42">
        <v>0</v>
      </c>
      <c r="AC375" s="42">
        <v>0</v>
      </c>
      <c r="AE375" s="42">
        <v>0</v>
      </c>
      <c r="AG375" s="42">
        <v>0</v>
      </c>
      <c r="AI375" s="42">
        <v>0</v>
      </c>
      <c r="AK375" s="42">
        <f t="shared" si="67"/>
        <v>0</v>
      </c>
      <c r="AM375" s="42">
        <f t="shared" si="66"/>
        <v>34462692</v>
      </c>
    </row>
    <row r="376" spans="1:39">
      <c r="A376" s="9" t="s">
        <v>344</v>
      </c>
      <c r="B376" s="9"/>
      <c r="C376" s="9" t="s">
        <v>34</v>
      </c>
      <c r="D376" s="9"/>
      <c r="E376" s="23">
        <v>44438</v>
      </c>
      <c r="G376" s="42">
        <v>7488003</v>
      </c>
      <c r="I376" s="42">
        <v>0</v>
      </c>
      <c r="K376" s="42">
        <v>11095348</v>
      </c>
      <c r="M376" s="42">
        <v>27729</v>
      </c>
      <c r="O376" s="42">
        <f>833140+2639+61144</f>
        <v>896923</v>
      </c>
      <c r="Q376" s="42">
        <v>73721</v>
      </c>
      <c r="S376" s="42">
        <v>208804</v>
      </c>
      <c r="U376" s="42">
        <v>22477</v>
      </c>
      <c r="W376" s="42">
        <v>36380</v>
      </c>
      <c r="Y376" s="2">
        <f t="shared" ref="Y376:Y389" si="68">SUM(G376:X376)</f>
        <v>19849385</v>
      </c>
      <c r="AA376" s="42">
        <v>2070</v>
      </c>
      <c r="AC376" s="42">
        <v>0</v>
      </c>
      <c r="AE376" s="42">
        <v>0</v>
      </c>
      <c r="AG376" s="42">
        <v>1528</v>
      </c>
      <c r="AI376" s="42">
        <v>0</v>
      </c>
      <c r="AK376" s="42">
        <f t="shared" ref="AK376:AK389" si="69">SUM(AA376:AJ376)</f>
        <v>3598</v>
      </c>
      <c r="AM376" s="42">
        <f t="shared" si="66"/>
        <v>19852983</v>
      </c>
    </row>
    <row r="377" spans="1:39" hidden="1">
      <c r="A377" s="9" t="s">
        <v>759</v>
      </c>
      <c r="B377" s="9"/>
      <c r="C377" s="9" t="s">
        <v>57</v>
      </c>
      <c r="D377" s="9"/>
      <c r="E377" s="23">
        <v>49270</v>
      </c>
      <c r="G377" s="42">
        <v>0</v>
      </c>
      <c r="I377" s="42">
        <v>0</v>
      </c>
      <c r="K377" s="42">
        <v>0</v>
      </c>
      <c r="M377" s="42">
        <v>0</v>
      </c>
      <c r="O377" s="42">
        <v>0</v>
      </c>
      <c r="Q377" s="42">
        <v>0</v>
      </c>
      <c r="S377" s="42">
        <v>0</v>
      </c>
      <c r="U377" s="42">
        <v>0</v>
      </c>
      <c r="W377" s="42">
        <v>0</v>
      </c>
      <c r="Y377" s="2"/>
      <c r="AA377" s="42">
        <v>0</v>
      </c>
      <c r="AC377" s="42">
        <v>0</v>
      </c>
      <c r="AE377" s="42">
        <v>0</v>
      </c>
      <c r="AG377" s="42">
        <v>0</v>
      </c>
      <c r="AI377" s="42">
        <v>0</v>
      </c>
    </row>
    <row r="378" spans="1:39">
      <c r="A378" s="9" t="s">
        <v>210</v>
      </c>
      <c r="B378" s="9"/>
      <c r="C378" s="9" t="s">
        <v>13</v>
      </c>
      <c r="D378" s="9"/>
      <c r="E378" s="23">
        <v>44446</v>
      </c>
      <c r="F378" s="7"/>
      <c r="G378" s="42">
        <v>1885696</v>
      </c>
      <c r="I378" s="42">
        <v>0</v>
      </c>
      <c r="K378" s="42">
        <v>8715611</v>
      </c>
      <c r="M378" s="42">
        <v>5779</v>
      </c>
      <c r="O378" s="42">
        <v>628730</v>
      </c>
      <c r="Q378" s="42">
        <v>0</v>
      </c>
      <c r="S378" s="42">
        <v>0</v>
      </c>
      <c r="U378" s="42">
        <v>0</v>
      </c>
      <c r="W378" s="42">
        <v>50837</v>
      </c>
      <c r="Y378" s="2">
        <f t="shared" si="68"/>
        <v>11286653</v>
      </c>
      <c r="AA378" s="42">
        <v>0</v>
      </c>
      <c r="AC378" s="42">
        <v>0</v>
      </c>
      <c r="AE378" s="42">
        <v>0</v>
      </c>
      <c r="AG378" s="42">
        <v>0</v>
      </c>
      <c r="AI378" s="42">
        <v>0</v>
      </c>
      <c r="AK378" s="42">
        <f>SUM(AA378:AJ378)</f>
        <v>0</v>
      </c>
      <c r="AM378" s="42">
        <f t="shared" ref="AM378:AM418" si="70">+AK378+Y378</f>
        <v>11286653</v>
      </c>
    </row>
    <row r="379" spans="1:39">
      <c r="A379" s="9" t="s">
        <v>603</v>
      </c>
      <c r="B379" s="9"/>
      <c r="C379" s="9" t="s">
        <v>27</v>
      </c>
      <c r="D379" s="9"/>
      <c r="E379" s="23">
        <v>46995</v>
      </c>
      <c r="G379" s="42">
        <v>35367176</v>
      </c>
      <c r="I379" s="42">
        <v>0</v>
      </c>
      <c r="K379" s="42">
        <f>7255438+30030</f>
        <v>7285468</v>
      </c>
      <c r="M379" s="42">
        <v>0</v>
      </c>
      <c r="O379" s="42">
        <v>460261</v>
      </c>
      <c r="Q379" s="42">
        <v>337916</v>
      </c>
      <c r="S379" s="42">
        <v>6329122</v>
      </c>
      <c r="U379" s="42">
        <v>0</v>
      </c>
      <c r="W379" s="42">
        <v>1453972</v>
      </c>
      <c r="Y379" s="2">
        <f t="shared" si="68"/>
        <v>51233915</v>
      </c>
      <c r="AA379" s="42">
        <v>0</v>
      </c>
      <c r="AC379" s="42">
        <v>0</v>
      </c>
      <c r="AE379" s="42">
        <v>0</v>
      </c>
      <c r="AG379" s="42">
        <v>0</v>
      </c>
      <c r="AI379" s="42">
        <v>0</v>
      </c>
      <c r="AK379" s="42">
        <f t="shared" si="69"/>
        <v>0</v>
      </c>
      <c r="AM379" s="42">
        <f t="shared" si="70"/>
        <v>51233915</v>
      </c>
    </row>
    <row r="380" spans="1:39">
      <c r="A380" s="9" t="s">
        <v>480</v>
      </c>
      <c r="B380" s="9"/>
      <c r="C380" s="9" t="s">
        <v>59</v>
      </c>
      <c r="D380" s="9"/>
      <c r="E380" s="23">
        <v>44461</v>
      </c>
      <c r="G380" s="42">
        <v>780607</v>
      </c>
      <c r="I380" s="42">
        <v>0</v>
      </c>
      <c r="K380" s="42">
        <v>1938387</v>
      </c>
      <c r="M380" s="42">
        <v>9832</v>
      </c>
      <c r="O380" s="42">
        <f>1382827+41323</f>
        <v>1424150</v>
      </c>
      <c r="Q380" s="42">
        <v>0</v>
      </c>
      <c r="S380" s="42">
        <v>0</v>
      </c>
      <c r="U380" s="42">
        <v>13774</v>
      </c>
      <c r="W380" s="42">
        <v>218208</v>
      </c>
      <c r="Y380" s="2">
        <f t="shared" si="68"/>
        <v>4384958</v>
      </c>
      <c r="AA380" s="42">
        <v>0</v>
      </c>
      <c r="AC380" s="42">
        <v>0</v>
      </c>
      <c r="AE380" s="42">
        <v>0</v>
      </c>
      <c r="AG380" s="42">
        <v>89893</v>
      </c>
      <c r="AI380" s="42">
        <v>0</v>
      </c>
      <c r="AK380" s="42">
        <f t="shared" si="69"/>
        <v>89893</v>
      </c>
      <c r="AM380" s="42">
        <f t="shared" si="70"/>
        <v>4474851</v>
      </c>
    </row>
    <row r="381" spans="1:39">
      <c r="A381" s="9" t="s">
        <v>213</v>
      </c>
      <c r="B381" s="9"/>
      <c r="C381" s="9" t="s">
        <v>14</v>
      </c>
      <c r="D381" s="9"/>
      <c r="E381" s="23">
        <v>45955</v>
      </c>
      <c r="F381" s="7"/>
      <c r="G381" s="42">
        <v>2138483</v>
      </c>
      <c r="I381" s="42">
        <v>1589121</v>
      </c>
      <c r="K381" s="42">
        <v>3948753</v>
      </c>
      <c r="M381" s="42">
        <v>9162</v>
      </c>
      <c r="O381" s="42">
        <v>377474</v>
      </c>
      <c r="Q381" s="42">
        <v>0</v>
      </c>
      <c r="S381" s="42">
        <v>30952</v>
      </c>
      <c r="U381" s="42">
        <v>34500</v>
      </c>
      <c r="W381" s="42">
        <v>80156</v>
      </c>
      <c r="Y381" s="2">
        <f t="shared" si="68"/>
        <v>8208601</v>
      </c>
      <c r="AA381" s="42">
        <v>0</v>
      </c>
      <c r="AC381" s="42">
        <v>0</v>
      </c>
      <c r="AE381" s="42">
        <v>0</v>
      </c>
      <c r="AG381" s="42">
        <v>0</v>
      </c>
      <c r="AI381" s="42">
        <v>0</v>
      </c>
      <c r="AK381" s="42">
        <f t="shared" si="69"/>
        <v>0</v>
      </c>
      <c r="AM381" s="42">
        <f t="shared" si="70"/>
        <v>8208601</v>
      </c>
    </row>
    <row r="382" spans="1:39" hidden="1">
      <c r="A382" s="9" t="s">
        <v>700</v>
      </c>
      <c r="B382" s="9"/>
      <c r="C382" s="9" t="s">
        <v>14</v>
      </c>
      <c r="D382" s="9"/>
      <c r="E382" s="23">
        <v>45963</v>
      </c>
      <c r="F382" s="7"/>
      <c r="G382" s="42">
        <v>0</v>
      </c>
      <c r="I382" s="42">
        <v>0</v>
      </c>
      <c r="K382" s="42">
        <v>0</v>
      </c>
      <c r="M382" s="42">
        <v>0</v>
      </c>
      <c r="O382" s="42">
        <v>0</v>
      </c>
      <c r="Q382" s="42">
        <v>0</v>
      </c>
      <c r="S382" s="42">
        <v>0</v>
      </c>
      <c r="U382" s="42">
        <v>0</v>
      </c>
      <c r="W382" s="42">
        <v>0</v>
      </c>
      <c r="Y382" s="2">
        <f t="shared" si="68"/>
        <v>0</v>
      </c>
      <c r="AA382" s="42">
        <v>0</v>
      </c>
      <c r="AC382" s="42">
        <v>0</v>
      </c>
      <c r="AE382" s="42">
        <v>0</v>
      </c>
      <c r="AG382" s="42">
        <v>0</v>
      </c>
      <c r="AI382" s="42">
        <v>0</v>
      </c>
      <c r="AK382" s="42">
        <f t="shared" si="69"/>
        <v>0</v>
      </c>
      <c r="AM382" s="42">
        <f t="shared" si="70"/>
        <v>0</v>
      </c>
    </row>
    <row r="383" spans="1:39">
      <c r="A383" s="9" t="s">
        <v>430</v>
      </c>
      <c r="B383" s="9"/>
      <c r="C383" s="9" t="s">
        <v>50</v>
      </c>
      <c r="D383" s="9"/>
      <c r="E383" s="23">
        <v>48710</v>
      </c>
      <c r="G383" s="42">
        <v>3493723</v>
      </c>
      <c r="I383" s="42">
        <v>0</v>
      </c>
      <c r="K383" s="42">
        <v>6178340</v>
      </c>
      <c r="M383" s="42">
        <v>7886</v>
      </c>
      <c r="O383" s="42">
        <v>984750</v>
      </c>
      <c r="Q383" s="42">
        <v>25892</v>
      </c>
      <c r="S383" s="42">
        <v>0</v>
      </c>
      <c r="U383" s="42">
        <v>0</v>
      </c>
      <c r="W383" s="42">
        <v>121225</v>
      </c>
      <c r="Y383" s="2">
        <f t="shared" si="68"/>
        <v>10811816</v>
      </c>
      <c r="AA383" s="42">
        <v>210324</v>
      </c>
      <c r="AC383" s="42">
        <v>0</v>
      </c>
      <c r="AE383" s="42">
        <v>0</v>
      </c>
      <c r="AG383" s="42">
        <v>0</v>
      </c>
      <c r="AI383" s="42">
        <v>0</v>
      </c>
      <c r="AK383" s="42">
        <f t="shared" si="69"/>
        <v>210324</v>
      </c>
      <c r="AM383" s="42">
        <f t="shared" si="70"/>
        <v>11022140</v>
      </c>
    </row>
    <row r="384" spans="1:39" hidden="1">
      <c r="A384" s="9" t="s">
        <v>803</v>
      </c>
      <c r="B384" s="9"/>
      <c r="C384" s="9" t="s">
        <v>448</v>
      </c>
      <c r="D384" s="9"/>
      <c r="E384" s="23">
        <v>44479</v>
      </c>
      <c r="G384" s="42">
        <v>0</v>
      </c>
      <c r="I384" s="42">
        <v>0</v>
      </c>
      <c r="K384" s="42">
        <v>0</v>
      </c>
      <c r="M384" s="42">
        <v>0</v>
      </c>
      <c r="O384" s="42">
        <v>0</v>
      </c>
      <c r="Q384" s="42">
        <v>0</v>
      </c>
      <c r="S384" s="42">
        <v>0</v>
      </c>
      <c r="U384" s="42">
        <v>0</v>
      </c>
      <c r="W384" s="42">
        <v>0</v>
      </c>
      <c r="Y384" s="2">
        <f t="shared" si="68"/>
        <v>0</v>
      </c>
      <c r="AA384" s="42">
        <v>0</v>
      </c>
      <c r="AC384" s="42">
        <v>0</v>
      </c>
      <c r="AE384" s="42">
        <v>0</v>
      </c>
      <c r="AG384" s="42">
        <v>0</v>
      </c>
      <c r="AI384" s="42">
        <v>0</v>
      </c>
      <c r="AK384" s="42">
        <f t="shared" si="69"/>
        <v>0</v>
      </c>
      <c r="AM384" s="42">
        <f t="shared" si="70"/>
        <v>0</v>
      </c>
    </row>
    <row r="385" spans="1:39">
      <c r="A385" s="9" t="s">
        <v>355</v>
      </c>
      <c r="B385" s="9"/>
      <c r="C385" s="9" t="s">
        <v>37</v>
      </c>
      <c r="D385" s="9"/>
      <c r="E385" s="23">
        <v>47720</v>
      </c>
      <c r="G385" s="42">
        <v>3046331</v>
      </c>
      <c r="I385" s="42">
        <v>0</v>
      </c>
      <c r="K385" s="42">
        <v>5597101</v>
      </c>
      <c r="M385" s="42">
        <v>7271</v>
      </c>
      <c r="O385" s="42">
        <f>368942+299+20460+31818</f>
        <v>421519</v>
      </c>
      <c r="Q385" s="42">
        <v>49608</v>
      </c>
      <c r="S385" s="42">
        <v>0</v>
      </c>
      <c r="U385" s="42">
        <v>65654</v>
      </c>
      <c r="W385" s="42">
        <v>50412</v>
      </c>
      <c r="Y385" s="2">
        <f t="shared" si="68"/>
        <v>9237896</v>
      </c>
      <c r="AA385" s="42">
        <v>0</v>
      </c>
      <c r="AC385" s="42">
        <v>0</v>
      </c>
      <c r="AE385" s="42">
        <v>0</v>
      </c>
      <c r="AG385" s="42">
        <v>0</v>
      </c>
      <c r="AI385" s="42">
        <v>0</v>
      </c>
      <c r="AK385" s="42">
        <f t="shared" si="69"/>
        <v>0</v>
      </c>
      <c r="AM385" s="42">
        <f t="shared" si="70"/>
        <v>9237896</v>
      </c>
    </row>
    <row r="386" spans="1:39">
      <c r="A386" s="9" t="s">
        <v>225</v>
      </c>
      <c r="B386" s="9"/>
      <c r="C386" s="9" t="s">
        <v>220</v>
      </c>
      <c r="D386" s="9"/>
      <c r="E386" s="23">
        <v>46136</v>
      </c>
      <c r="F386" s="7"/>
      <c r="G386" s="42">
        <v>1390106</v>
      </c>
      <c r="I386" s="42">
        <v>0</v>
      </c>
      <c r="K386" s="42">
        <v>4558907</v>
      </c>
      <c r="M386" s="42">
        <v>2182</v>
      </c>
      <c r="O386" s="42">
        <v>7336</v>
      </c>
      <c r="Q386" s="42">
        <v>0</v>
      </c>
      <c r="S386" s="42">
        <v>0</v>
      </c>
      <c r="U386" s="42">
        <v>0</v>
      </c>
      <c r="W386" s="42">
        <v>78124</v>
      </c>
      <c r="Y386" s="2">
        <f t="shared" si="68"/>
        <v>6036655</v>
      </c>
      <c r="AA386" s="42">
        <v>0</v>
      </c>
      <c r="AC386" s="42">
        <v>0</v>
      </c>
      <c r="AE386" s="42">
        <v>0</v>
      </c>
      <c r="AG386" s="42">
        <v>0</v>
      </c>
      <c r="AI386" s="42">
        <v>0</v>
      </c>
      <c r="AK386" s="42">
        <f t="shared" si="69"/>
        <v>0</v>
      </c>
      <c r="AM386" s="42">
        <f t="shared" si="70"/>
        <v>6036655</v>
      </c>
    </row>
    <row r="387" spans="1:39">
      <c r="A387" s="9" t="s">
        <v>533</v>
      </c>
      <c r="B387" s="9"/>
      <c r="C387" s="9" t="s">
        <v>65</v>
      </c>
      <c r="D387" s="9"/>
      <c r="E387" s="23">
        <v>44487</v>
      </c>
      <c r="G387" s="42">
        <v>10952128</v>
      </c>
      <c r="I387" s="42">
        <v>0</v>
      </c>
      <c r="K387" s="42">
        <v>10723242</v>
      </c>
      <c r="M387" s="42">
        <v>26651</v>
      </c>
      <c r="O387" s="42">
        <v>1445573</v>
      </c>
      <c r="Q387" s="42">
        <v>162190</v>
      </c>
      <c r="S387" s="42">
        <v>0</v>
      </c>
      <c r="U387" s="42">
        <v>0</v>
      </c>
      <c r="W387" s="42">
        <v>579266</v>
      </c>
      <c r="Y387" s="2">
        <f t="shared" si="68"/>
        <v>23889050</v>
      </c>
      <c r="AA387" s="42">
        <v>0</v>
      </c>
      <c r="AC387" s="42">
        <v>0</v>
      </c>
      <c r="AE387" s="42">
        <v>0</v>
      </c>
      <c r="AG387" s="42">
        <v>0</v>
      </c>
      <c r="AI387" s="42">
        <v>0</v>
      </c>
      <c r="AK387" s="42">
        <f t="shared" si="69"/>
        <v>0</v>
      </c>
      <c r="AM387" s="42">
        <f t="shared" si="70"/>
        <v>23889050</v>
      </c>
    </row>
    <row r="388" spans="1:39">
      <c r="A388" s="9" t="s">
        <v>766</v>
      </c>
      <c r="B388" s="9"/>
      <c r="C388" s="9" t="s">
        <v>112</v>
      </c>
      <c r="D388" s="9"/>
      <c r="E388" s="23">
        <v>45559</v>
      </c>
      <c r="F388" s="7"/>
      <c r="G388" s="42">
        <v>15063718</v>
      </c>
      <c r="I388" s="42">
        <v>0</v>
      </c>
      <c r="K388" s="42">
        <v>11858328</v>
      </c>
      <c r="M388" s="42">
        <v>161857</v>
      </c>
      <c r="O388" s="42">
        <v>1624641</v>
      </c>
      <c r="Q388" s="42">
        <v>0</v>
      </c>
      <c r="S388" s="42">
        <v>0</v>
      </c>
      <c r="U388" s="42">
        <v>0</v>
      </c>
      <c r="W388" s="42">
        <v>127370</v>
      </c>
      <c r="Y388" s="2">
        <f t="shared" si="68"/>
        <v>28835914</v>
      </c>
      <c r="AA388" s="42">
        <v>0</v>
      </c>
      <c r="AC388" s="42">
        <v>0</v>
      </c>
      <c r="AE388" s="42">
        <v>0</v>
      </c>
      <c r="AG388" s="42">
        <v>0</v>
      </c>
      <c r="AI388" s="42">
        <v>0</v>
      </c>
      <c r="AK388" s="42">
        <f t="shared" si="69"/>
        <v>0</v>
      </c>
      <c r="AM388" s="42">
        <f t="shared" si="70"/>
        <v>28835914</v>
      </c>
    </row>
    <row r="389" spans="1:39" hidden="1">
      <c r="A389" s="9" t="s">
        <v>804</v>
      </c>
      <c r="B389" s="9"/>
      <c r="C389" s="9" t="s">
        <v>60</v>
      </c>
      <c r="D389" s="9"/>
      <c r="E389" s="23">
        <v>49718</v>
      </c>
      <c r="G389" s="42">
        <v>0</v>
      </c>
      <c r="I389" s="42">
        <v>0</v>
      </c>
      <c r="K389" s="42">
        <v>0</v>
      </c>
      <c r="M389" s="42">
        <v>0</v>
      </c>
      <c r="O389" s="42">
        <v>0</v>
      </c>
      <c r="Q389" s="42">
        <v>0</v>
      </c>
      <c r="S389" s="42">
        <v>0</v>
      </c>
      <c r="U389" s="42">
        <v>0</v>
      </c>
      <c r="W389" s="42">
        <v>0</v>
      </c>
      <c r="Y389" s="2">
        <f t="shared" si="68"/>
        <v>0</v>
      </c>
      <c r="AA389" s="42">
        <v>0</v>
      </c>
      <c r="AC389" s="42">
        <v>0</v>
      </c>
      <c r="AE389" s="42">
        <v>0</v>
      </c>
      <c r="AG389" s="42">
        <v>0</v>
      </c>
      <c r="AI389" s="42">
        <v>0</v>
      </c>
      <c r="AK389" s="42">
        <f t="shared" si="69"/>
        <v>0</v>
      </c>
      <c r="AM389" s="42">
        <f t="shared" si="70"/>
        <v>0</v>
      </c>
    </row>
    <row r="390" spans="1:39">
      <c r="A390" s="9" t="s">
        <v>374</v>
      </c>
      <c r="B390" s="9"/>
      <c r="C390" s="9" t="s">
        <v>42</v>
      </c>
      <c r="D390" s="9"/>
      <c r="E390" s="23">
        <v>44453</v>
      </c>
      <c r="G390" s="42">
        <v>19437678</v>
      </c>
      <c r="I390" s="42">
        <v>8082852</v>
      </c>
      <c r="K390" s="42">
        <f>30221300+252313</f>
        <v>30473613</v>
      </c>
      <c r="M390" s="42">
        <v>39982</v>
      </c>
      <c r="O390" s="42">
        <f>788387+94812+129328+6578+23449</f>
        <v>1042554</v>
      </c>
      <c r="Q390" s="42">
        <v>297</v>
      </c>
      <c r="S390" s="42">
        <v>6622</v>
      </c>
      <c r="U390" s="42">
        <v>130547</v>
      </c>
      <c r="W390" s="42">
        <v>496843</v>
      </c>
      <c r="Y390" s="2">
        <f>SUM(G390:X390)</f>
        <v>59710988</v>
      </c>
      <c r="AA390" s="42">
        <v>0</v>
      </c>
      <c r="AC390" s="42">
        <v>0</v>
      </c>
      <c r="AE390" s="42">
        <v>0</v>
      </c>
      <c r="AG390" s="42">
        <v>45899</v>
      </c>
      <c r="AI390" s="42">
        <v>0</v>
      </c>
      <c r="AK390" s="42">
        <f>SUM(AA390:AJ390)</f>
        <v>45899</v>
      </c>
      <c r="AM390" s="42">
        <f t="shared" si="70"/>
        <v>59756887</v>
      </c>
    </row>
    <row r="391" spans="1:39" hidden="1">
      <c r="A391" s="8" t="s">
        <v>867</v>
      </c>
      <c r="B391" s="9"/>
      <c r="C391" s="9" t="s">
        <v>30</v>
      </c>
      <c r="D391" s="9"/>
      <c r="E391" s="23">
        <v>47217</v>
      </c>
      <c r="G391" s="42">
        <v>0</v>
      </c>
      <c r="I391" s="42">
        <v>0</v>
      </c>
      <c r="K391" s="42">
        <v>0</v>
      </c>
      <c r="M391" s="42">
        <v>0</v>
      </c>
      <c r="O391" s="42">
        <v>0</v>
      </c>
      <c r="Q391" s="42">
        <v>0</v>
      </c>
      <c r="S391" s="42">
        <v>0</v>
      </c>
      <c r="U391" s="42">
        <v>0</v>
      </c>
      <c r="W391" s="42">
        <v>0</v>
      </c>
      <c r="Y391" s="2">
        <f t="shared" ref="Y391:Y403" si="71">SUM(G391:X391)</f>
        <v>0</v>
      </c>
      <c r="AA391" s="42">
        <v>0</v>
      </c>
      <c r="AC391" s="42">
        <v>0</v>
      </c>
      <c r="AE391" s="42">
        <v>0</v>
      </c>
      <c r="AG391" s="42">
        <v>0</v>
      </c>
      <c r="AI391" s="42">
        <v>0</v>
      </c>
      <c r="AK391" s="42">
        <v>0</v>
      </c>
      <c r="AM391" s="42">
        <f t="shared" si="70"/>
        <v>0</v>
      </c>
    </row>
    <row r="392" spans="1:39">
      <c r="A392" s="9" t="s">
        <v>767</v>
      </c>
      <c r="B392" s="9"/>
      <c r="C392" s="9" t="s">
        <v>65</v>
      </c>
      <c r="D392" s="9"/>
      <c r="E392" s="23">
        <v>45542</v>
      </c>
      <c r="G392" s="42">
        <v>2667027</v>
      </c>
      <c r="I392" s="42">
        <v>0</v>
      </c>
      <c r="K392" s="42">
        <v>5980980</v>
      </c>
      <c r="M392" s="42">
        <v>0</v>
      </c>
      <c r="O392" s="42">
        <f>805187+15261+325</f>
        <v>820773</v>
      </c>
      <c r="Q392" s="42">
        <v>45071</v>
      </c>
      <c r="S392" s="42">
        <v>0</v>
      </c>
      <c r="U392" s="42">
        <v>3578</v>
      </c>
      <c r="W392" s="42">
        <v>45337</v>
      </c>
      <c r="Y392" s="2">
        <f t="shared" si="71"/>
        <v>9562766</v>
      </c>
      <c r="AA392" s="42">
        <v>0</v>
      </c>
      <c r="AC392" s="42">
        <v>0</v>
      </c>
      <c r="AE392" s="42">
        <v>0</v>
      </c>
      <c r="AG392" s="42">
        <v>102107</v>
      </c>
      <c r="AI392" s="42">
        <v>0</v>
      </c>
      <c r="AK392" s="42">
        <f t="shared" ref="AK392:AK403" si="72">SUM(AA392:AJ392)</f>
        <v>102107</v>
      </c>
      <c r="AM392" s="42">
        <f t="shared" si="70"/>
        <v>9664873</v>
      </c>
    </row>
    <row r="393" spans="1:39">
      <c r="A393" s="9" t="s">
        <v>768</v>
      </c>
      <c r="B393" s="9"/>
      <c r="C393" s="9" t="s">
        <v>64</v>
      </c>
      <c r="D393" s="9"/>
      <c r="E393" s="23">
        <v>45567</v>
      </c>
      <c r="G393" s="42">
        <v>2637920</v>
      </c>
      <c r="I393" s="42">
        <v>0</v>
      </c>
      <c r="K393" s="42">
        <v>7657098</v>
      </c>
      <c r="M393" s="42">
        <v>4901</v>
      </c>
      <c r="O393" s="42">
        <f>340112+1400</f>
        <v>341512</v>
      </c>
      <c r="Q393" s="42">
        <v>87078</v>
      </c>
      <c r="S393" s="42">
        <v>0</v>
      </c>
      <c r="U393" s="42">
        <v>840</v>
      </c>
      <c r="W393" s="42">
        <v>44374</v>
      </c>
      <c r="Y393" s="2">
        <f t="shared" si="71"/>
        <v>10773723</v>
      </c>
      <c r="AA393" s="42">
        <v>0</v>
      </c>
      <c r="AC393" s="42">
        <v>0</v>
      </c>
      <c r="AE393" s="42">
        <v>0</v>
      </c>
      <c r="AG393" s="42">
        <v>0</v>
      </c>
      <c r="AI393" s="42">
        <v>0</v>
      </c>
      <c r="AK393" s="42">
        <f t="shared" si="72"/>
        <v>0</v>
      </c>
      <c r="AM393" s="42">
        <f t="shared" si="70"/>
        <v>10773723</v>
      </c>
    </row>
    <row r="394" spans="1:39" hidden="1">
      <c r="A394" s="9" t="s">
        <v>805</v>
      </c>
      <c r="B394" s="9"/>
      <c r="C394" s="9" t="s">
        <v>48</v>
      </c>
      <c r="D394" s="9"/>
      <c r="E394" s="23">
        <v>48637</v>
      </c>
      <c r="G394" s="42">
        <v>0</v>
      </c>
      <c r="I394" s="42">
        <v>0</v>
      </c>
      <c r="K394" s="42">
        <v>0</v>
      </c>
      <c r="M394" s="42">
        <v>0</v>
      </c>
      <c r="O394" s="42">
        <v>0</v>
      </c>
      <c r="Q394" s="42">
        <v>0</v>
      </c>
      <c r="S394" s="42">
        <v>0</v>
      </c>
      <c r="U394" s="42">
        <v>0</v>
      </c>
      <c r="W394" s="42">
        <v>0</v>
      </c>
      <c r="Y394" s="2">
        <f t="shared" si="71"/>
        <v>0</v>
      </c>
      <c r="AA394" s="42">
        <v>0</v>
      </c>
      <c r="AC394" s="42">
        <v>0</v>
      </c>
      <c r="AE394" s="42">
        <v>0</v>
      </c>
      <c r="AG394" s="42">
        <v>0</v>
      </c>
      <c r="AI394" s="42">
        <v>0</v>
      </c>
      <c r="AK394" s="42">
        <f t="shared" si="72"/>
        <v>0</v>
      </c>
      <c r="AM394" s="42">
        <f t="shared" si="70"/>
        <v>0</v>
      </c>
    </row>
    <row r="395" spans="1:39">
      <c r="A395" s="9" t="s">
        <v>601</v>
      </c>
      <c r="B395" s="9"/>
      <c r="C395" s="9" t="s">
        <v>64</v>
      </c>
      <c r="D395" s="9"/>
      <c r="E395" s="23">
        <v>44495</v>
      </c>
      <c r="G395" s="42">
        <v>6686180</v>
      </c>
      <c r="I395" s="42">
        <v>0</v>
      </c>
      <c r="K395" s="42">
        <v>14505007</v>
      </c>
      <c r="M395" s="42">
        <v>2970</v>
      </c>
      <c r="O395" s="42">
        <f>928268+24014+74802</f>
        <v>1027084</v>
      </c>
      <c r="Q395" s="42">
        <v>38915</v>
      </c>
      <c r="S395" s="42">
        <v>0</v>
      </c>
      <c r="U395" s="42">
        <v>4992</v>
      </c>
      <c r="W395" s="42">
        <v>42078</v>
      </c>
      <c r="Y395" s="2">
        <f t="shared" si="71"/>
        <v>22307226</v>
      </c>
      <c r="AA395" s="42">
        <v>0</v>
      </c>
      <c r="AC395" s="42">
        <v>0</v>
      </c>
      <c r="AE395" s="42">
        <v>0</v>
      </c>
      <c r="AG395" s="42">
        <v>0</v>
      </c>
      <c r="AI395" s="42">
        <v>0</v>
      </c>
      <c r="AK395" s="42">
        <f t="shared" si="72"/>
        <v>0</v>
      </c>
      <c r="AM395" s="42">
        <f t="shared" si="70"/>
        <v>22307226</v>
      </c>
    </row>
    <row r="396" spans="1:39">
      <c r="A396" s="9" t="s">
        <v>446</v>
      </c>
      <c r="B396" s="9"/>
      <c r="C396" s="9" t="s">
        <v>52</v>
      </c>
      <c r="D396" s="9"/>
      <c r="E396" s="23">
        <v>48900</v>
      </c>
      <c r="G396" s="42">
        <v>3937945</v>
      </c>
      <c r="I396" s="42">
        <v>0</v>
      </c>
      <c r="K396" s="42">
        <v>5612469</v>
      </c>
      <c r="M396" s="42">
        <v>11769</v>
      </c>
      <c r="O396" s="42">
        <f>812031+310</f>
        <v>812341</v>
      </c>
      <c r="Q396" s="42">
        <v>27759</v>
      </c>
      <c r="S396" s="42">
        <v>0</v>
      </c>
      <c r="U396" s="42">
        <v>6859</v>
      </c>
      <c r="W396" s="42">
        <v>32561</v>
      </c>
      <c r="Y396" s="2">
        <f t="shared" si="71"/>
        <v>10441703</v>
      </c>
      <c r="AA396" s="42">
        <v>0</v>
      </c>
      <c r="AC396" s="42">
        <v>0</v>
      </c>
      <c r="AE396" s="42">
        <v>23655</v>
      </c>
      <c r="AG396" s="42">
        <v>0</v>
      </c>
      <c r="AI396" s="42">
        <v>0</v>
      </c>
      <c r="AK396" s="42">
        <f t="shared" si="72"/>
        <v>23655</v>
      </c>
      <c r="AM396" s="42">
        <f t="shared" si="70"/>
        <v>10465358</v>
      </c>
    </row>
    <row r="397" spans="1:39">
      <c r="A397" s="9" t="s">
        <v>507</v>
      </c>
      <c r="B397" s="9"/>
      <c r="C397" s="9" t="s">
        <v>63</v>
      </c>
      <c r="D397" s="9"/>
      <c r="E397" s="23">
        <v>50047</v>
      </c>
      <c r="G397" s="42">
        <v>26395070</v>
      </c>
      <c r="I397" s="42">
        <v>0</v>
      </c>
      <c r="K397" s="42">
        <v>10850769</v>
      </c>
      <c r="M397" s="42">
        <v>13596</v>
      </c>
      <c r="O397" s="42">
        <f>837497+23888+54239</f>
        <v>915624</v>
      </c>
      <c r="Q397" s="42">
        <v>741500</v>
      </c>
      <c r="S397" s="42">
        <v>225094</v>
      </c>
      <c r="U397" s="42">
        <v>0</v>
      </c>
      <c r="W397" s="42">
        <v>76517</v>
      </c>
      <c r="Y397" s="2">
        <f t="shared" si="71"/>
        <v>39218170</v>
      </c>
      <c r="AA397" s="42">
        <v>0</v>
      </c>
      <c r="AC397" s="42">
        <v>0</v>
      </c>
      <c r="AE397" s="42">
        <v>0</v>
      </c>
      <c r="AG397" s="42">
        <v>6137</v>
      </c>
      <c r="AI397" s="42">
        <v>0</v>
      </c>
      <c r="AK397" s="42">
        <f t="shared" si="72"/>
        <v>6137</v>
      </c>
      <c r="AM397" s="42">
        <f t="shared" si="70"/>
        <v>39224307</v>
      </c>
    </row>
    <row r="398" spans="1:39">
      <c r="A398" s="9" t="s">
        <v>551</v>
      </c>
      <c r="B398" s="9"/>
      <c r="C398" s="9" t="s">
        <v>72</v>
      </c>
      <c r="D398" s="9"/>
      <c r="E398" s="23">
        <v>50708</v>
      </c>
      <c r="G398" s="42">
        <v>3070588</v>
      </c>
      <c r="I398" s="42">
        <v>0</v>
      </c>
      <c r="K398" s="42">
        <v>4098382</v>
      </c>
      <c r="M398" s="42">
        <v>1249</v>
      </c>
      <c r="O398" s="42">
        <v>167289</v>
      </c>
      <c r="Q398" s="42">
        <v>0</v>
      </c>
      <c r="S398" s="42">
        <v>413736</v>
      </c>
      <c r="U398" s="42">
        <v>10330</v>
      </c>
      <c r="W398" s="42">
        <v>98556</v>
      </c>
      <c r="Y398" s="2">
        <f t="shared" si="71"/>
        <v>7860130</v>
      </c>
      <c r="AA398" s="42">
        <v>0</v>
      </c>
      <c r="AC398" s="42">
        <v>0</v>
      </c>
      <c r="AE398" s="42">
        <v>0</v>
      </c>
      <c r="AG398" s="42">
        <v>0</v>
      </c>
      <c r="AI398" s="42">
        <v>0</v>
      </c>
      <c r="AK398" s="42">
        <f t="shared" si="72"/>
        <v>0</v>
      </c>
      <c r="AM398" s="42">
        <f t="shared" si="70"/>
        <v>7860130</v>
      </c>
    </row>
    <row r="399" spans="1:39" hidden="1">
      <c r="A399" s="9" t="s">
        <v>807</v>
      </c>
      <c r="B399" s="9"/>
      <c r="C399" s="9" t="s">
        <v>53</v>
      </c>
      <c r="D399" s="9"/>
      <c r="E399" s="23">
        <v>48967</v>
      </c>
      <c r="G399" s="42">
        <v>0</v>
      </c>
      <c r="I399" s="42">
        <v>0</v>
      </c>
      <c r="K399" s="42">
        <v>0</v>
      </c>
      <c r="M399" s="42">
        <v>0</v>
      </c>
      <c r="O399" s="42">
        <v>0</v>
      </c>
      <c r="Q399" s="42">
        <v>0</v>
      </c>
      <c r="S399" s="42">
        <v>0</v>
      </c>
      <c r="U399" s="42">
        <v>0</v>
      </c>
      <c r="W399" s="42">
        <v>0</v>
      </c>
      <c r="Y399" s="2">
        <f t="shared" si="71"/>
        <v>0</v>
      </c>
      <c r="AA399" s="42">
        <v>0</v>
      </c>
      <c r="AC399" s="42">
        <v>0</v>
      </c>
      <c r="AE399" s="42">
        <v>0</v>
      </c>
      <c r="AG399" s="42">
        <v>0</v>
      </c>
      <c r="AI399" s="42">
        <v>0</v>
      </c>
      <c r="AK399" s="42">
        <f t="shared" si="72"/>
        <v>0</v>
      </c>
      <c r="AM399" s="42">
        <f t="shared" si="70"/>
        <v>0</v>
      </c>
    </row>
    <row r="400" spans="1:39">
      <c r="A400" s="9" t="s">
        <v>499</v>
      </c>
      <c r="B400" s="9"/>
      <c r="C400" s="9" t="s">
        <v>62</v>
      </c>
      <c r="D400" s="9"/>
      <c r="E400" s="23">
        <v>44503</v>
      </c>
      <c r="G400" s="42">
        <v>21407077</v>
      </c>
      <c r="I400" s="42">
        <v>0</v>
      </c>
      <c r="K400" s="42">
        <f>16680537+8853</f>
        <v>16689390</v>
      </c>
      <c r="M400" s="42">
        <v>21284</v>
      </c>
      <c r="O400" s="42">
        <f>430586+19307+413021+65549+41948</f>
        <v>970411</v>
      </c>
      <c r="Q400" s="42">
        <v>86493</v>
      </c>
      <c r="S400" s="42">
        <v>0</v>
      </c>
      <c r="U400" s="42">
        <v>86707</v>
      </c>
      <c r="W400" s="42">
        <v>278717</v>
      </c>
      <c r="Y400" s="2">
        <f t="shared" si="71"/>
        <v>39540079</v>
      </c>
      <c r="AA400" s="42">
        <v>0</v>
      </c>
      <c r="AC400" s="42">
        <v>0</v>
      </c>
      <c r="AE400" s="42">
        <v>0</v>
      </c>
      <c r="AG400" s="42">
        <v>0</v>
      </c>
      <c r="AI400" s="42">
        <v>0</v>
      </c>
      <c r="AK400" s="42">
        <f t="shared" si="72"/>
        <v>0</v>
      </c>
      <c r="AM400" s="42">
        <f t="shared" si="70"/>
        <v>39540079</v>
      </c>
    </row>
    <row r="401" spans="1:39" hidden="1">
      <c r="A401" s="9" t="s">
        <v>808</v>
      </c>
      <c r="B401" s="9"/>
      <c r="C401" s="9" t="s">
        <v>548</v>
      </c>
      <c r="D401" s="9"/>
      <c r="E401" s="23">
        <v>50641</v>
      </c>
      <c r="G401" s="42">
        <v>0</v>
      </c>
      <c r="I401" s="42">
        <v>0</v>
      </c>
      <c r="K401" s="42">
        <v>0</v>
      </c>
      <c r="M401" s="42">
        <v>0</v>
      </c>
      <c r="O401" s="42">
        <v>0</v>
      </c>
      <c r="Q401" s="42">
        <v>0</v>
      </c>
      <c r="S401" s="42">
        <v>0</v>
      </c>
      <c r="U401" s="42">
        <v>0</v>
      </c>
      <c r="W401" s="42">
        <v>0</v>
      </c>
      <c r="Y401" s="2">
        <f t="shared" si="71"/>
        <v>0</v>
      </c>
      <c r="AA401" s="42">
        <v>0</v>
      </c>
      <c r="AC401" s="42">
        <v>0</v>
      </c>
      <c r="AE401" s="42">
        <v>0</v>
      </c>
      <c r="AG401" s="42">
        <v>0</v>
      </c>
      <c r="AI401" s="42">
        <v>0</v>
      </c>
      <c r="AK401" s="42">
        <f t="shared" si="72"/>
        <v>0</v>
      </c>
      <c r="AM401" s="42">
        <f t="shared" si="70"/>
        <v>0</v>
      </c>
    </row>
    <row r="402" spans="1:39">
      <c r="A402" s="9" t="s">
        <v>703</v>
      </c>
      <c r="B402" s="9"/>
      <c r="C402" s="9" t="s">
        <v>32</v>
      </c>
      <c r="D402" s="9"/>
      <c r="E402" s="23">
        <v>44511</v>
      </c>
      <c r="G402" s="42">
        <v>3477104</v>
      </c>
      <c r="I402" s="42">
        <v>0</v>
      </c>
      <c r="K402" s="42">
        <v>8412912</v>
      </c>
      <c r="M402" s="42">
        <v>834</v>
      </c>
      <c r="O402" s="42">
        <f>300410+801</f>
        <v>301211</v>
      </c>
      <c r="Q402" s="42">
        <v>7530</v>
      </c>
      <c r="S402" s="42">
        <v>0</v>
      </c>
      <c r="U402" s="42">
        <v>0</v>
      </c>
      <c r="W402" s="42">
        <v>124042</v>
      </c>
      <c r="Y402" s="2">
        <f t="shared" si="71"/>
        <v>12323633</v>
      </c>
      <c r="AA402" s="42">
        <v>0</v>
      </c>
      <c r="AC402" s="42">
        <v>0</v>
      </c>
      <c r="AE402" s="42">
        <v>0</v>
      </c>
      <c r="AG402" s="42">
        <v>0</v>
      </c>
      <c r="AI402" s="42">
        <v>0</v>
      </c>
      <c r="AK402" s="42">
        <f t="shared" si="72"/>
        <v>0</v>
      </c>
      <c r="AM402" s="42">
        <f t="shared" si="70"/>
        <v>12323633</v>
      </c>
    </row>
    <row r="403" spans="1:39">
      <c r="A403" s="9" t="s">
        <v>375</v>
      </c>
      <c r="B403" s="9"/>
      <c r="C403" s="9" t="s">
        <v>42</v>
      </c>
      <c r="D403" s="9"/>
      <c r="E403" s="23">
        <v>48025</v>
      </c>
      <c r="G403" s="42">
        <v>4448907</v>
      </c>
      <c r="I403" s="42">
        <v>1941106</v>
      </c>
      <c r="K403" s="42">
        <f>8549074+64889</f>
        <v>8613963</v>
      </c>
      <c r="M403" s="42">
        <v>12527</v>
      </c>
      <c r="O403" s="42">
        <f>724913+80908+20104</f>
        <v>825925</v>
      </c>
      <c r="Q403" s="42">
        <v>139010</v>
      </c>
      <c r="S403" s="42">
        <v>0</v>
      </c>
      <c r="U403" s="42">
        <v>78664</v>
      </c>
      <c r="W403" s="42">
        <v>92108</v>
      </c>
      <c r="Y403" s="2">
        <f t="shared" si="71"/>
        <v>16152210</v>
      </c>
      <c r="AA403" s="42">
        <v>46</v>
      </c>
      <c r="AC403" s="42">
        <v>0</v>
      </c>
      <c r="AE403" s="42">
        <v>0</v>
      </c>
      <c r="AG403" s="42">
        <v>288820</v>
      </c>
      <c r="AI403" s="42">
        <v>0</v>
      </c>
      <c r="AK403" s="42">
        <f t="shared" si="72"/>
        <v>288866</v>
      </c>
      <c r="AM403" s="42">
        <f t="shared" si="70"/>
        <v>16441076</v>
      </c>
    </row>
    <row r="404" spans="1:39">
      <c r="A404" s="9" t="s">
        <v>269</v>
      </c>
      <c r="B404" s="9"/>
      <c r="C404" s="9" t="s">
        <v>20</v>
      </c>
      <c r="D404" s="9"/>
      <c r="E404" s="23">
        <v>44529</v>
      </c>
      <c r="G404" s="42">
        <v>38776452</v>
      </c>
      <c r="I404" s="42">
        <v>0</v>
      </c>
      <c r="K404" s="42">
        <v>12842920</v>
      </c>
      <c r="M404" s="42">
        <v>34424</v>
      </c>
      <c r="O404" s="42">
        <f>827990+20192</f>
        <v>848182</v>
      </c>
      <c r="Q404" s="42">
        <v>122385</v>
      </c>
      <c r="S404" s="42">
        <v>0</v>
      </c>
      <c r="U404" s="42">
        <v>0</v>
      </c>
      <c r="W404" s="42">
        <v>741994</v>
      </c>
      <c r="Y404" s="2">
        <f t="shared" ref="Y404:Y408" si="73">SUM(G404:X404)</f>
        <v>53366357</v>
      </c>
      <c r="AA404" s="42">
        <v>0</v>
      </c>
      <c r="AC404" s="42">
        <v>0</v>
      </c>
      <c r="AE404" s="42">
        <v>3315000</v>
      </c>
      <c r="AG404" s="42">
        <v>0</v>
      </c>
      <c r="AI404" s="42">
        <v>0</v>
      </c>
      <c r="AK404" s="42">
        <f t="shared" ref="AK404:AK408" si="74">SUM(AA404:AJ404)</f>
        <v>3315000</v>
      </c>
      <c r="AM404" s="42">
        <f t="shared" si="70"/>
        <v>56681357</v>
      </c>
    </row>
    <row r="405" spans="1:39">
      <c r="A405" s="9" t="s">
        <v>385</v>
      </c>
      <c r="B405" s="9"/>
      <c r="C405" s="9" t="s">
        <v>44</v>
      </c>
      <c r="D405" s="9"/>
      <c r="E405" s="23">
        <v>44537</v>
      </c>
      <c r="G405" s="42">
        <v>20763696</v>
      </c>
      <c r="I405" s="42">
        <v>0</v>
      </c>
      <c r="K405" s="42">
        <v>12012140</v>
      </c>
      <c r="M405" s="42">
        <v>4945</v>
      </c>
      <c r="O405" s="42">
        <f>855459+3719</f>
        <v>859178</v>
      </c>
      <c r="Q405" s="42">
        <v>77483</v>
      </c>
      <c r="S405" s="42">
        <v>0</v>
      </c>
      <c r="U405" s="42">
        <v>0</v>
      </c>
      <c r="W405" s="42">
        <v>445999</v>
      </c>
      <c r="Y405" s="2">
        <f t="shared" si="73"/>
        <v>34163441</v>
      </c>
      <c r="AA405" s="42">
        <v>0</v>
      </c>
      <c r="AC405" s="42">
        <v>0</v>
      </c>
      <c r="AE405" s="42">
        <v>0</v>
      </c>
      <c r="AG405" s="42">
        <v>0</v>
      </c>
      <c r="AI405" s="42">
        <v>0</v>
      </c>
      <c r="AK405" s="42">
        <f t="shared" si="74"/>
        <v>0</v>
      </c>
      <c r="AM405" s="42">
        <f t="shared" si="70"/>
        <v>34163441</v>
      </c>
    </row>
    <row r="406" spans="1:39">
      <c r="A406" s="9" t="s">
        <v>270</v>
      </c>
      <c r="B406" s="9"/>
      <c r="C406" s="9" t="s">
        <v>20</v>
      </c>
      <c r="D406" s="9"/>
      <c r="E406" s="23">
        <v>44545</v>
      </c>
      <c r="G406" s="42">
        <v>35709003</v>
      </c>
      <c r="I406" s="42">
        <v>0</v>
      </c>
      <c r="K406" s="42">
        <v>10352797</v>
      </c>
      <c r="M406" s="42">
        <v>1819</v>
      </c>
      <c r="O406" s="42">
        <f>634336+300+49334</f>
        <v>683970</v>
      </c>
      <c r="Q406" s="42">
        <v>276680</v>
      </c>
      <c r="S406" s="42">
        <v>0</v>
      </c>
      <c r="U406" s="42">
        <v>44756</v>
      </c>
      <c r="W406" s="42">
        <v>165541</v>
      </c>
      <c r="Y406" s="2">
        <f t="shared" si="73"/>
        <v>47234566</v>
      </c>
      <c r="AA406" s="42">
        <v>0</v>
      </c>
      <c r="AC406" s="42">
        <v>0</v>
      </c>
      <c r="AE406" s="42">
        <v>0</v>
      </c>
      <c r="AG406" s="42">
        <v>7400</v>
      </c>
      <c r="AI406" s="42">
        <v>0</v>
      </c>
      <c r="AK406" s="42">
        <f t="shared" si="74"/>
        <v>7400</v>
      </c>
      <c r="AM406" s="42">
        <f t="shared" si="70"/>
        <v>47241966</v>
      </c>
    </row>
    <row r="407" spans="1:39">
      <c r="A407" s="9" t="s">
        <v>536</v>
      </c>
      <c r="B407" s="9"/>
      <c r="C407" s="9" t="s">
        <v>66</v>
      </c>
      <c r="D407" s="9"/>
      <c r="E407" s="23">
        <v>50336</v>
      </c>
      <c r="G407" s="42">
        <v>4085624</v>
      </c>
      <c r="I407" s="42">
        <v>1763222</v>
      </c>
      <c r="K407" s="42">
        <v>7562072</v>
      </c>
      <c r="M407" s="42">
        <v>73923</v>
      </c>
      <c r="O407" s="42">
        <f>931928+19112</f>
        <v>951040</v>
      </c>
      <c r="Q407" s="42">
        <v>0</v>
      </c>
      <c r="S407" s="42">
        <v>0</v>
      </c>
      <c r="U407" s="42">
        <v>28825</v>
      </c>
      <c r="W407" s="42">
        <v>140493</v>
      </c>
      <c r="Y407" s="2">
        <f t="shared" si="73"/>
        <v>14605199</v>
      </c>
      <c r="AA407" s="42">
        <v>0</v>
      </c>
      <c r="AC407" s="42">
        <v>0</v>
      </c>
      <c r="AE407" s="42">
        <v>0</v>
      </c>
      <c r="AG407" s="42">
        <v>0</v>
      </c>
      <c r="AI407" s="42">
        <v>0</v>
      </c>
      <c r="AK407" s="42">
        <f t="shared" si="74"/>
        <v>0</v>
      </c>
      <c r="AM407" s="42">
        <f t="shared" si="70"/>
        <v>14605199</v>
      </c>
    </row>
    <row r="408" spans="1:39">
      <c r="A408" s="9" t="s">
        <v>231</v>
      </c>
      <c r="B408" s="9"/>
      <c r="C408" s="9" t="s">
        <v>17</v>
      </c>
      <c r="D408" s="9"/>
      <c r="E408" s="23">
        <v>46250</v>
      </c>
      <c r="F408" s="7"/>
      <c r="G408" s="42">
        <v>9643165</v>
      </c>
      <c r="I408" s="42">
        <v>0</v>
      </c>
      <c r="K408" s="42">
        <v>14678314</v>
      </c>
      <c r="M408" s="42">
        <v>11953</v>
      </c>
      <c r="O408" s="42">
        <f>2266269+240</f>
        <v>2266509</v>
      </c>
      <c r="Q408" s="42">
        <v>64194</v>
      </c>
      <c r="S408" s="42">
        <v>0</v>
      </c>
      <c r="U408" s="42">
        <v>32490</v>
      </c>
      <c r="W408" s="42">
        <v>39264</v>
      </c>
      <c r="Y408" s="2">
        <f t="shared" si="73"/>
        <v>26735889</v>
      </c>
      <c r="AA408" s="42">
        <v>0</v>
      </c>
      <c r="AC408" s="42">
        <v>0</v>
      </c>
      <c r="AE408" s="42">
        <v>0</v>
      </c>
      <c r="AG408" s="42">
        <v>0</v>
      </c>
      <c r="AI408" s="42">
        <v>0</v>
      </c>
      <c r="AK408" s="42">
        <f t="shared" si="74"/>
        <v>0</v>
      </c>
      <c r="AM408" s="42">
        <f t="shared" si="70"/>
        <v>26735889</v>
      </c>
    </row>
    <row r="409" spans="1:39" hidden="1">
      <c r="A409" s="9" t="s">
        <v>809</v>
      </c>
      <c r="B409" s="9"/>
      <c r="C409" s="9" t="s">
        <v>22</v>
      </c>
      <c r="D409" s="9"/>
      <c r="E409" s="23">
        <v>46722</v>
      </c>
      <c r="G409" s="42">
        <v>0</v>
      </c>
      <c r="I409" s="42">
        <v>0</v>
      </c>
      <c r="K409" s="42">
        <v>0</v>
      </c>
      <c r="M409" s="42">
        <v>0</v>
      </c>
      <c r="O409" s="42">
        <v>0</v>
      </c>
      <c r="Q409" s="42">
        <v>0</v>
      </c>
      <c r="S409" s="42">
        <v>0</v>
      </c>
      <c r="U409" s="42">
        <v>0</v>
      </c>
      <c r="W409" s="42">
        <v>0</v>
      </c>
      <c r="Y409" s="2">
        <f t="shared" ref="Y409:Y458" si="75">SUM(G409:X409)</f>
        <v>0</v>
      </c>
      <c r="AA409" s="42">
        <v>0</v>
      </c>
      <c r="AC409" s="42">
        <v>0</v>
      </c>
      <c r="AE409" s="42">
        <v>0</v>
      </c>
      <c r="AG409" s="42">
        <v>0</v>
      </c>
      <c r="AI409" s="42">
        <v>0</v>
      </c>
      <c r="AK409" s="42">
        <f t="shared" ref="AK409:AK438" si="76">SUM(AA409:AJ409)</f>
        <v>0</v>
      </c>
      <c r="AM409" s="42">
        <f t="shared" si="70"/>
        <v>0</v>
      </c>
    </row>
    <row r="410" spans="1:39" hidden="1">
      <c r="A410" s="9" t="s">
        <v>810</v>
      </c>
      <c r="B410" s="9"/>
      <c r="C410" s="9" t="s">
        <v>448</v>
      </c>
      <c r="D410" s="9"/>
      <c r="E410" s="23">
        <v>49056</v>
      </c>
      <c r="G410" s="42">
        <v>0</v>
      </c>
      <c r="I410" s="42">
        <v>0</v>
      </c>
      <c r="K410" s="42">
        <v>0</v>
      </c>
      <c r="M410" s="42">
        <v>0</v>
      </c>
      <c r="O410" s="42">
        <v>0</v>
      </c>
      <c r="Q410" s="42">
        <v>0</v>
      </c>
      <c r="S410" s="42">
        <v>0</v>
      </c>
      <c r="U410" s="42">
        <v>0</v>
      </c>
      <c r="W410" s="42">
        <v>0</v>
      </c>
      <c r="Y410" s="2">
        <f t="shared" si="75"/>
        <v>0</v>
      </c>
      <c r="AA410" s="42">
        <v>0</v>
      </c>
      <c r="AC410" s="42">
        <v>0</v>
      </c>
      <c r="AE410" s="42">
        <v>0</v>
      </c>
      <c r="AG410" s="42">
        <v>0</v>
      </c>
      <c r="AI410" s="42">
        <v>0</v>
      </c>
      <c r="AK410" s="42">
        <f t="shared" ref="AK410" si="77">SUM(AA410:AJ410)</f>
        <v>0</v>
      </c>
      <c r="AM410" s="42">
        <f t="shared" ref="AM410" si="78">+AK410+Y410</f>
        <v>0</v>
      </c>
    </row>
    <row r="411" spans="1:39">
      <c r="A411" s="9" t="s">
        <v>431</v>
      </c>
      <c r="B411" s="9"/>
      <c r="C411" s="9" t="s">
        <v>50</v>
      </c>
      <c r="D411" s="9"/>
      <c r="E411" s="23">
        <v>48728</v>
      </c>
      <c r="G411" s="42">
        <v>23699622</v>
      </c>
      <c r="I411" s="42">
        <v>0</v>
      </c>
      <c r="K411" s="42">
        <v>22986671</v>
      </c>
      <c r="M411" s="42">
        <v>2965</v>
      </c>
      <c r="O411" s="42">
        <f>944809+307900</f>
        <v>1252709</v>
      </c>
      <c r="Q411" s="42">
        <v>198626</v>
      </c>
      <c r="S411" s="42">
        <v>0</v>
      </c>
      <c r="U411" s="42">
        <v>0</v>
      </c>
      <c r="W411" s="42">
        <v>128994</v>
      </c>
      <c r="Y411" s="2">
        <f t="shared" si="75"/>
        <v>48269587</v>
      </c>
      <c r="AA411" s="42">
        <v>0</v>
      </c>
      <c r="AC411" s="42">
        <v>0</v>
      </c>
      <c r="AE411" s="42">
        <v>0</v>
      </c>
      <c r="AG411" s="42">
        <f>341444+300</f>
        <v>341744</v>
      </c>
      <c r="AI411" s="42">
        <v>0</v>
      </c>
      <c r="AK411" s="42">
        <f t="shared" si="76"/>
        <v>341744</v>
      </c>
      <c r="AM411" s="42">
        <f t="shared" si="70"/>
        <v>48611331</v>
      </c>
    </row>
    <row r="412" spans="1:39">
      <c r="A412" s="9" t="s">
        <v>439</v>
      </c>
      <c r="B412" s="9"/>
      <c r="C412" s="9" t="s">
        <v>78</v>
      </c>
      <c r="D412" s="9"/>
      <c r="E412" s="23">
        <v>48819</v>
      </c>
      <c r="G412" s="42">
        <v>2874259</v>
      </c>
      <c r="I412" s="42">
        <v>1469388</v>
      </c>
      <c r="K412" s="42">
        <f>5518058+20502</f>
        <v>5538560</v>
      </c>
      <c r="M412" s="42">
        <v>1704</v>
      </c>
      <c r="O412" s="42">
        <f>836241+20250+1514</f>
        <v>858005</v>
      </c>
      <c r="Q412" s="42">
        <v>12981</v>
      </c>
      <c r="S412" s="42">
        <v>0</v>
      </c>
      <c r="U412" s="42">
        <v>0</v>
      </c>
      <c r="W412" s="42">
        <v>31098</v>
      </c>
      <c r="Y412" s="2">
        <f t="shared" si="75"/>
        <v>10785995</v>
      </c>
      <c r="AA412" s="42">
        <v>0</v>
      </c>
      <c r="AC412" s="42">
        <v>0</v>
      </c>
      <c r="AE412" s="42">
        <v>0</v>
      </c>
      <c r="AG412" s="42">
        <v>0</v>
      </c>
      <c r="AI412" s="42">
        <v>0</v>
      </c>
      <c r="AK412" s="42">
        <f t="shared" si="76"/>
        <v>0</v>
      </c>
      <c r="AM412" s="42">
        <f t="shared" si="70"/>
        <v>10785995</v>
      </c>
    </row>
    <row r="413" spans="1:39">
      <c r="A413" s="9" t="s">
        <v>376</v>
      </c>
      <c r="B413" s="9"/>
      <c r="C413" s="9" t="s">
        <v>42</v>
      </c>
      <c r="D413" s="9"/>
      <c r="E413" s="23">
        <v>48033</v>
      </c>
      <c r="G413" s="42">
        <v>6390579</v>
      </c>
      <c r="I413" s="42">
        <v>111109</v>
      </c>
      <c r="K413" s="42">
        <v>5200754</v>
      </c>
      <c r="M413" s="42">
        <v>4368</v>
      </c>
      <c r="O413" s="42">
        <f>709461+56931</f>
        <v>766392</v>
      </c>
      <c r="Q413" s="42">
        <v>81112</v>
      </c>
      <c r="S413" s="42">
        <v>0</v>
      </c>
      <c r="U413" s="42">
        <v>1080</v>
      </c>
      <c r="W413" s="42">
        <v>30300</v>
      </c>
      <c r="Y413" s="2">
        <f t="shared" si="75"/>
        <v>12585694</v>
      </c>
      <c r="AA413" s="42">
        <v>0</v>
      </c>
      <c r="AC413" s="42">
        <v>0</v>
      </c>
      <c r="AE413" s="42">
        <v>0</v>
      </c>
      <c r="AG413" s="42">
        <v>2000</v>
      </c>
      <c r="AI413" s="42">
        <v>0</v>
      </c>
      <c r="AK413" s="42">
        <f t="shared" si="76"/>
        <v>2000</v>
      </c>
      <c r="AM413" s="42">
        <f t="shared" si="70"/>
        <v>12587694</v>
      </c>
    </row>
    <row r="414" spans="1:39">
      <c r="A414" s="9" t="s">
        <v>376</v>
      </c>
      <c r="B414" s="9"/>
      <c r="C414" s="9" t="s">
        <v>50</v>
      </c>
      <c r="D414" s="9"/>
      <c r="E414" s="23">
        <v>48736</v>
      </c>
      <c r="G414" s="42">
        <v>6749788</v>
      </c>
      <c r="I414" s="42">
        <v>0</v>
      </c>
      <c r="K414" s="42">
        <v>10989256</v>
      </c>
      <c r="M414" s="42">
        <v>98512</v>
      </c>
      <c r="O414" s="42">
        <f>1389848+97036</f>
        <v>1486884</v>
      </c>
      <c r="Q414" s="42">
        <v>24844</v>
      </c>
      <c r="S414" s="42">
        <v>0</v>
      </c>
      <c r="U414" s="42">
        <v>33735</v>
      </c>
      <c r="W414" s="42">
        <v>2407</v>
      </c>
      <c r="Y414" s="2">
        <f t="shared" si="75"/>
        <v>19385426</v>
      </c>
      <c r="AA414" s="42">
        <v>0</v>
      </c>
      <c r="AC414" s="42">
        <v>0</v>
      </c>
      <c r="AE414" s="42">
        <v>0</v>
      </c>
      <c r="AG414" s="42">
        <v>0</v>
      </c>
      <c r="AI414" s="42">
        <v>0</v>
      </c>
      <c r="AK414" s="42">
        <f t="shared" si="76"/>
        <v>0</v>
      </c>
      <c r="AM414" s="42">
        <f t="shared" si="70"/>
        <v>19385426</v>
      </c>
    </row>
    <row r="415" spans="1:39">
      <c r="A415" s="9" t="s">
        <v>325</v>
      </c>
      <c r="B415" s="9"/>
      <c r="C415" s="9" t="s">
        <v>32</v>
      </c>
      <c r="D415" s="9"/>
      <c r="E415" s="23">
        <v>47365</v>
      </c>
      <c r="G415" s="42">
        <v>44404210</v>
      </c>
      <c r="I415" s="42">
        <v>0</v>
      </c>
      <c r="K415" s="42">
        <v>31940545</v>
      </c>
      <c r="M415" s="42">
        <v>-38164</v>
      </c>
      <c r="O415" s="42">
        <f>1709059+671196+381796</f>
        <v>2762051</v>
      </c>
      <c r="Q415" s="42">
        <v>185004</v>
      </c>
      <c r="S415" s="42">
        <v>3464114</v>
      </c>
      <c r="U415" s="42">
        <v>10500</v>
      </c>
      <c r="W415" s="42">
        <v>184892</v>
      </c>
      <c r="Y415" s="2">
        <f t="shared" si="75"/>
        <v>82913152</v>
      </c>
      <c r="AA415" s="42">
        <v>0</v>
      </c>
      <c r="AC415" s="42">
        <v>0</v>
      </c>
      <c r="AE415" s="42">
        <v>0</v>
      </c>
      <c r="AG415" s="42">
        <v>2850</v>
      </c>
      <c r="AI415" s="42">
        <v>0</v>
      </c>
      <c r="AK415" s="42">
        <f t="shared" si="76"/>
        <v>2850</v>
      </c>
      <c r="AM415" s="42">
        <f t="shared" si="70"/>
        <v>82916002</v>
      </c>
    </row>
    <row r="416" spans="1:39">
      <c r="A416" s="9" t="s">
        <v>592</v>
      </c>
      <c r="B416" s="9"/>
      <c r="C416" s="9" t="s">
        <v>59</v>
      </c>
      <c r="D416" s="9"/>
      <c r="E416" s="23">
        <v>49635</v>
      </c>
      <c r="G416" s="42">
        <v>1785686</v>
      </c>
      <c r="I416" s="42">
        <v>0</v>
      </c>
      <c r="K416" s="42">
        <v>12890758</v>
      </c>
      <c r="M416" s="42">
        <v>3883</v>
      </c>
      <c r="O416" s="42">
        <f>674859+143992</f>
        <v>818851</v>
      </c>
      <c r="Q416" s="42">
        <v>73121</v>
      </c>
      <c r="S416" s="42">
        <v>0</v>
      </c>
      <c r="U416" s="42">
        <v>4208</v>
      </c>
      <c r="W416" s="42">
        <v>41290</v>
      </c>
      <c r="Y416" s="2">
        <f t="shared" si="75"/>
        <v>15617797</v>
      </c>
      <c r="AA416" s="42">
        <v>0</v>
      </c>
      <c r="AC416" s="42">
        <v>0</v>
      </c>
      <c r="AE416" s="42">
        <v>0</v>
      </c>
      <c r="AG416" s="42">
        <v>9968</v>
      </c>
      <c r="AI416" s="42">
        <v>0</v>
      </c>
      <c r="AK416" s="42">
        <f t="shared" si="76"/>
        <v>9968</v>
      </c>
      <c r="AM416" s="42">
        <f t="shared" si="70"/>
        <v>15627765</v>
      </c>
    </row>
    <row r="417" spans="1:39">
      <c r="A417" s="9" t="s">
        <v>325</v>
      </c>
      <c r="B417" s="9"/>
      <c r="C417" s="9" t="s">
        <v>62</v>
      </c>
      <c r="D417" s="9"/>
      <c r="E417" s="23">
        <v>49908</v>
      </c>
      <c r="G417" s="42">
        <v>5926665</v>
      </c>
      <c r="I417" s="42">
        <v>2269255</v>
      </c>
      <c r="K417" s="42">
        <f>14853+9484202+80544</f>
        <v>9579599</v>
      </c>
      <c r="M417" s="42">
        <v>1994</v>
      </c>
      <c r="O417" s="42">
        <f>21664+136308</f>
        <v>157972</v>
      </c>
      <c r="Q417" s="42">
        <v>36267</v>
      </c>
      <c r="S417" s="42">
        <v>0</v>
      </c>
      <c r="U417" s="42">
        <v>0</v>
      </c>
      <c r="W417" s="42">
        <v>98767</v>
      </c>
      <c r="Y417" s="2">
        <f t="shared" si="75"/>
        <v>18070519</v>
      </c>
      <c r="AA417" s="42">
        <v>0</v>
      </c>
      <c r="AC417" s="42">
        <v>0</v>
      </c>
      <c r="AE417" s="42">
        <v>0</v>
      </c>
      <c r="AG417" s="42">
        <v>4790</v>
      </c>
      <c r="AI417" s="42">
        <v>0</v>
      </c>
      <c r="AK417" s="42">
        <f t="shared" si="76"/>
        <v>4790</v>
      </c>
      <c r="AM417" s="42">
        <f t="shared" si="70"/>
        <v>18075309</v>
      </c>
    </row>
    <row r="418" spans="1:39">
      <c r="A418" s="9" t="s">
        <v>232</v>
      </c>
      <c r="B418" s="9"/>
      <c r="C418" s="9" t="s">
        <v>17</v>
      </c>
      <c r="D418" s="9"/>
      <c r="E418" s="23">
        <v>46268</v>
      </c>
      <c r="G418" s="42">
        <v>5474105</v>
      </c>
      <c r="I418" s="42">
        <v>2058273</v>
      </c>
      <c r="K418" s="42">
        <v>7103953</v>
      </c>
      <c r="M418" s="42">
        <v>3153</v>
      </c>
      <c r="O418" s="42">
        <f>1417999+3571+31982</f>
        <v>1453552</v>
      </c>
      <c r="Q418" s="42">
        <v>204522</v>
      </c>
      <c r="S418" s="42">
        <v>0</v>
      </c>
      <c r="U418" s="42">
        <v>0</v>
      </c>
      <c r="W418" s="42">
        <v>44055</v>
      </c>
      <c r="Y418" s="2">
        <f t="shared" si="75"/>
        <v>16341613</v>
      </c>
      <c r="AA418" s="42">
        <v>0</v>
      </c>
      <c r="AC418" s="42">
        <v>0</v>
      </c>
      <c r="AE418" s="42">
        <v>0</v>
      </c>
      <c r="AG418" s="42">
        <v>0</v>
      </c>
      <c r="AI418" s="42">
        <v>0</v>
      </c>
      <c r="AK418" s="42">
        <f t="shared" si="76"/>
        <v>0</v>
      </c>
      <c r="AM418" s="42">
        <f t="shared" si="70"/>
        <v>16341613</v>
      </c>
    </row>
    <row r="419" spans="1:39" hidden="1">
      <c r="A419" s="9" t="s">
        <v>733</v>
      </c>
      <c r="B419" s="9"/>
      <c r="C419" s="9" t="s">
        <v>71</v>
      </c>
      <c r="D419" s="9"/>
      <c r="E419" s="23">
        <v>50575</v>
      </c>
      <c r="G419" s="42">
        <v>0</v>
      </c>
      <c r="I419" s="42">
        <v>0</v>
      </c>
      <c r="K419" s="42">
        <v>0</v>
      </c>
      <c r="M419" s="42">
        <v>0</v>
      </c>
      <c r="O419" s="42">
        <v>0</v>
      </c>
      <c r="Q419" s="42">
        <v>0</v>
      </c>
      <c r="S419" s="42">
        <v>0</v>
      </c>
      <c r="U419" s="42">
        <v>0</v>
      </c>
      <c r="W419" s="42">
        <v>0</v>
      </c>
      <c r="Y419" s="2"/>
      <c r="AA419" s="42">
        <v>0</v>
      </c>
      <c r="AC419" s="42">
        <v>0</v>
      </c>
      <c r="AE419" s="42">
        <v>0</v>
      </c>
      <c r="AG419" s="42">
        <v>0</v>
      </c>
      <c r="AI419" s="42">
        <v>0</v>
      </c>
    </row>
    <row r="420" spans="1:39" hidden="1">
      <c r="A420" s="8" t="s">
        <v>868</v>
      </c>
      <c r="B420" s="9"/>
      <c r="C420" s="9" t="s">
        <v>72</v>
      </c>
      <c r="D420" s="9"/>
      <c r="E420" s="23">
        <v>50716</v>
      </c>
      <c r="G420" s="42">
        <v>0</v>
      </c>
      <c r="I420" s="42">
        <v>0</v>
      </c>
      <c r="K420" s="42">
        <v>0</v>
      </c>
      <c r="M420" s="42">
        <v>0</v>
      </c>
      <c r="O420" s="42">
        <v>0</v>
      </c>
      <c r="Q420" s="42">
        <v>0</v>
      </c>
      <c r="S420" s="42">
        <v>0</v>
      </c>
      <c r="U420" s="42">
        <v>0</v>
      </c>
      <c r="W420" s="42">
        <v>0</v>
      </c>
      <c r="Y420" s="2">
        <f t="shared" si="75"/>
        <v>0</v>
      </c>
      <c r="AA420" s="42">
        <v>0</v>
      </c>
      <c r="AC420" s="42">
        <v>0</v>
      </c>
      <c r="AE420" s="42">
        <v>0</v>
      </c>
      <c r="AG420" s="42">
        <v>0</v>
      </c>
      <c r="AI420" s="42">
        <v>0</v>
      </c>
      <c r="AK420" s="42">
        <f t="shared" si="76"/>
        <v>0</v>
      </c>
      <c r="AM420" s="42">
        <f>+AK420+Y420</f>
        <v>0</v>
      </c>
    </row>
    <row r="421" spans="1:39">
      <c r="A421" s="9" t="s">
        <v>508</v>
      </c>
      <c r="B421" s="9"/>
      <c r="C421" s="9" t="s">
        <v>63</v>
      </c>
      <c r="D421" s="9"/>
      <c r="E421" s="23">
        <v>44552</v>
      </c>
      <c r="G421" s="42">
        <v>7659944</v>
      </c>
      <c r="I421" s="42">
        <v>0</v>
      </c>
      <c r="K421" s="42">
        <v>8333910</v>
      </c>
      <c r="M421" s="42">
        <v>11081</v>
      </c>
      <c r="O421" s="42">
        <f>3636659+273455+3653</f>
        <v>3913767</v>
      </c>
      <c r="Q421" s="42">
        <v>51751</v>
      </c>
      <c r="S421" s="42">
        <v>0</v>
      </c>
      <c r="U421" s="42">
        <v>8580</v>
      </c>
      <c r="W421" s="42">
        <v>82392</v>
      </c>
      <c r="Y421" s="2">
        <f t="shared" si="75"/>
        <v>20061425</v>
      </c>
      <c r="AA421" s="42">
        <v>0</v>
      </c>
      <c r="AC421" s="42">
        <v>0</v>
      </c>
      <c r="AE421" s="42">
        <v>0</v>
      </c>
      <c r="AG421" s="42">
        <f>24260+121322</f>
        <v>145582</v>
      </c>
      <c r="AI421" s="42">
        <v>0</v>
      </c>
      <c r="AK421" s="42">
        <f t="shared" si="76"/>
        <v>145582</v>
      </c>
      <c r="AM421" s="42">
        <f>+AK421+Y421</f>
        <v>20207007</v>
      </c>
    </row>
    <row r="422" spans="1:39">
      <c r="A422" s="9" t="s">
        <v>356</v>
      </c>
      <c r="B422" s="9"/>
      <c r="C422" s="9" t="s">
        <v>37</v>
      </c>
      <c r="D422" s="9"/>
      <c r="E422" s="23">
        <v>44560</v>
      </c>
      <c r="G422" s="42">
        <v>5974588</v>
      </c>
      <c r="I422" s="42">
        <v>1878015</v>
      </c>
      <c r="K422" s="42">
        <v>12517183</v>
      </c>
      <c r="M422" s="42">
        <v>17992</v>
      </c>
      <c r="O422" s="42">
        <f>1174426+37322+15357</f>
        <v>1227105</v>
      </c>
      <c r="Q422" s="42">
        <v>121195</v>
      </c>
      <c r="S422" s="42">
        <v>0</v>
      </c>
      <c r="U422" s="42">
        <v>400</v>
      </c>
      <c r="W422" s="42">
        <v>115957</v>
      </c>
      <c r="Y422" s="2">
        <f t="shared" si="75"/>
        <v>21852435</v>
      </c>
      <c r="AA422" s="42">
        <v>0</v>
      </c>
      <c r="AC422" s="42">
        <v>0</v>
      </c>
      <c r="AE422" s="42">
        <v>0</v>
      </c>
      <c r="AG422" s="42">
        <v>0</v>
      </c>
      <c r="AI422" s="42">
        <v>0</v>
      </c>
      <c r="AK422" s="42">
        <f t="shared" si="76"/>
        <v>0</v>
      </c>
      <c r="AM422" s="42">
        <f>+AK422+Y422</f>
        <v>21852435</v>
      </c>
    </row>
    <row r="423" spans="1:39" hidden="1">
      <c r="A423" s="9" t="s">
        <v>811</v>
      </c>
      <c r="B423" s="9"/>
      <c r="C423" s="9" t="s">
        <v>71</v>
      </c>
      <c r="D423" s="9"/>
      <c r="E423" s="23">
        <v>50567</v>
      </c>
      <c r="G423" s="42">
        <v>0</v>
      </c>
      <c r="I423" s="42">
        <v>0</v>
      </c>
      <c r="K423" s="42">
        <v>0</v>
      </c>
      <c r="M423" s="42">
        <v>0</v>
      </c>
      <c r="O423" s="42">
        <v>0</v>
      </c>
      <c r="Q423" s="42">
        <v>0</v>
      </c>
      <c r="S423" s="42">
        <v>0</v>
      </c>
      <c r="U423" s="42">
        <v>0</v>
      </c>
      <c r="W423" s="42">
        <v>0</v>
      </c>
      <c r="Y423" s="2">
        <f t="shared" ref="Y423" si="79">SUM(G423:X423)</f>
        <v>0</v>
      </c>
      <c r="AA423" s="42">
        <v>0</v>
      </c>
      <c r="AC423" s="42">
        <v>0</v>
      </c>
      <c r="AE423" s="42">
        <v>0</v>
      </c>
      <c r="AG423" s="42">
        <v>0</v>
      </c>
      <c r="AI423" s="42">
        <v>0</v>
      </c>
      <c r="AK423" s="42">
        <f t="shared" ref="AK423" si="80">SUM(AA423:AJ423)</f>
        <v>0</v>
      </c>
      <c r="AM423" s="42">
        <f>+AK423+Y423</f>
        <v>0</v>
      </c>
    </row>
    <row r="424" spans="1:39">
      <c r="A424" s="9" t="s">
        <v>626</v>
      </c>
      <c r="B424" s="9"/>
      <c r="C424" s="9" t="s">
        <v>32</v>
      </c>
      <c r="D424" s="9"/>
      <c r="E424" s="23">
        <v>44578</v>
      </c>
      <c r="G424" s="42">
        <v>14277616</v>
      </c>
      <c r="I424" s="42">
        <v>0</v>
      </c>
      <c r="K424" s="42">
        <v>11549820</v>
      </c>
      <c r="M424" s="42">
        <v>12270</v>
      </c>
      <c r="O424" s="42">
        <f>296982+210757</f>
        <v>507739</v>
      </c>
      <c r="Q424" s="42">
        <v>107115</v>
      </c>
      <c r="S424" s="42">
        <v>439518</v>
      </c>
      <c r="U424" s="42">
        <v>23419</v>
      </c>
      <c r="W424" s="42">
        <v>114091</v>
      </c>
      <c r="Y424" s="2">
        <f t="shared" si="75"/>
        <v>27031588</v>
      </c>
      <c r="AA424" s="42">
        <v>0</v>
      </c>
      <c r="AC424" s="42">
        <v>0</v>
      </c>
      <c r="AE424" s="42">
        <v>0</v>
      </c>
      <c r="AG424" s="42">
        <v>0</v>
      </c>
      <c r="AI424" s="42">
        <v>0</v>
      </c>
      <c r="AK424" s="42">
        <f t="shared" si="76"/>
        <v>0</v>
      </c>
      <c r="AM424" s="42">
        <f>+AK424+Y424</f>
        <v>27031588</v>
      </c>
    </row>
    <row r="425" spans="1:39" hidden="1">
      <c r="A425" s="9" t="s">
        <v>732</v>
      </c>
      <c r="B425" s="9"/>
      <c r="C425" s="9" t="s">
        <v>38</v>
      </c>
      <c r="D425" s="9"/>
      <c r="E425" s="23">
        <v>47761</v>
      </c>
      <c r="G425" s="42">
        <v>0</v>
      </c>
      <c r="I425" s="42">
        <v>0</v>
      </c>
      <c r="K425" s="42">
        <v>0</v>
      </c>
      <c r="M425" s="42">
        <v>0</v>
      </c>
      <c r="O425" s="42">
        <v>0</v>
      </c>
      <c r="Q425" s="42">
        <v>0</v>
      </c>
      <c r="S425" s="42">
        <v>0</v>
      </c>
      <c r="U425" s="42">
        <v>0</v>
      </c>
      <c r="W425" s="42">
        <v>0</v>
      </c>
      <c r="Y425" s="2"/>
      <c r="AA425" s="42">
        <v>0</v>
      </c>
      <c r="AC425" s="42">
        <v>0</v>
      </c>
      <c r="AE425" s="42">
        <v>0</v>
      </c>
      <c r="AG425" s="42">
        <v>0</v>
      </c>
      <c r="AI425" s="42">
        <v>0</v>
      </c>
    </row>
    <row r="426" spans="1:39">
      <c r="A426" s="9" t="s">
        <v>326</v>
      </c>
      <c r="B426" s="9"/>
      <c r="C426" s="9" t="s">
        <v>32</v>
      </c>
      <c r="D426" s="9"/>
      <c r="E426" s="23">
        <v>47373</v>
      </c>
      <c r="G426" s="42">
        <v>20843244</v>
      </c>
      <c r="I426" s="42">
        <v>0</v>
      </c>
      <c r="K426" s="42">
        <v>28211995</v>
      </c>
      <c r="M426" s="42">
        <v>7461</v>
      </c>
      <c r="O426" s="42">
        <f>1216417+34830</f>
        <v>1251247</v>
      </c>
      <c r="Q426" s="42">
        <v>691427</v>
      </c>
      <c r="S426" s="42">
        <v>9694573</v>
      </c>
      <c r="U426" s="42">
        <v>0</v>
      </c>
      <c r="W426" s="42">
        <v>649023</v>
      </c>
      <c r="Y426" s="2">
        <f t="shared" si="75"/>
        <v>61348970</v>
      </c>
      <c r="AA426" s="42">
        <v>0</v>
      </c>
      <c r="AC426" s="42">
        <v>0</v>
      </c>
      <c r="AE426" s="42">
        <v>0</v>
      </c>
      <c r="AG426" s="42">
        <v>329</v>
      </c>
      <c r="AI426" s="42">
        <v>0</v>
      </c>
      <c r="AK426" s="42">
        <f t="shared" si="76"/>
        <v>329</v>
      </c>
      <c r="AM426" s="42">
        <f t="shared" ref="AM426:AM457" si="81">+AK426+Y426</f>
        <v>61349299</v>
      </c>
    </row>
    <row r="427" spans="1:39">
      <c r="A427" s="9" t="s">
        <v>432</v>
      </c>
      <c r="B427" s="9"/>
      <c r="C427" s="9" t="s">
        <v>50</v>
      </c>
      <c r="D427" s="9"/>
      <c r="E427" s="23">
        <v>44586</v>
      </c>
      <c r="G427" s="42">
        <v>13804370</v>
      </c>
      <c r="I427" s="42">
        <v>0</v>
      </c>
      <c r="K427" s="42">
        <v>7505273</v>
      </c>
      <c r="M427" s="42">
        <v>2561</v>
      </c>
      <c r="O427" s="42">
        <f>248380+4864</f>
        <v>253244</v>
      </c>
      <c r="Q427" s="42">
        <v>51676</v>
      </c>
      <c r="S427" s="42">
        <v>0</v>
      </c>
      <c r="U427" s="42">
        <v>9709</v>
      </c>
      <c r="W427" s="42">
        <v>112043</v>
      </c>
      <c r="Y427" s="2">
        <f t="shared" si="75"/>
        <v>21738876</v>
      </c>
      <c r="AA427" s="42">
        <v>904312</v>
      </c>
      <c r="AC427" s="42">
        <v>0</v>
      </c>
      <c r="AE427" s="42">
        <v>0</v>
      </c>
      <c r="AG427" s="42">
        <v>0</v>
      </c>
      <c r="AI427" s="42">
        <v>0</v>
      </c>
      <c r="AK427" s="42">
        <f t="shared" si="76"/>
        <v>904312</v>
      </c>
      <c r="AM427" s="42">
        <f t="shared" si="81"/>
        <v>22643188</v>
      </c>
    </row>
    <row r="428" spans="1:39">
      <c r="A428" s="9" t="s">
        <v>386</v>
      </c>
      <c r="B428" s="9"/>
      <c r="C428" s="9" t="s">
        <v>44</v>
      </c>
      <c r="D428" s="9"/>
      <c r="E428" s="23">
        <v>44594</v>
      </c>
      <c r="G428" s="42">
        <v>8270295</v>
      </c>
      <c r="I428" s="42">
        <v>0</v>
      </c>
      <c r="K428" s="42">
        <v>4108004</v>
      </c>
      <c r="M428" s="42">
        <v>4232</v>
      </c>
      <c r="O428" s="42">
        <f>396148+32007+18395+12734</f>
        <v>459284</v>
      </c>
      <c r="Q428" s="42">
        <v>0</v>
      </c>
      <c r="S428" s="42">
        <v>0</v>
      </c>
      <c r="U428" s="42">
        <v>0</v>
      </c>
      <c r="W428" s="42">
        <v>196234</v>
      </c>
      <c r="Y428" s="2">
        <f t="shared" si="75"/>
        <v>13038049</v>
      </c>
      <c r="AA428" s="42">
        <v>0</v>
      </c>
      <c r="AC428" s="42">
        <v>0</v>
      </c>
      <c r="AE428" s="42">
        <v>0</v>
      </c>
      <c r="AG428" s="42">
        <v>0</v>
      </c>
      <c r="AI428" s="42">
        <v>0</v>
      </c>
      <c r="AK428" s="42">
        <f t="shared" si="76"/>
        <v>0</v>
      </c>
      <c r="AM428" s="42">
        <f t="shared" si="81"/>
        <v>13038049</v>
      </c>
    </row>
    <row r="429" spans="1:39" hidden="1">
      <c r="A429" s="9" t="s">
        <v>609</v>
      </c>
      <c r="B429" s="9"/>
      <c r="C429" s="9" t="s">
        <v>60</v>
      </c>
      <c r="D429" s="9"/>
      <c r="E429" s="23">
        <v>49726</v>
      </c>
      <c r="G429" s="42">
        <v>0</v>
      </c>
      <c r="I429" s="42">
        <v>0</v>
      </c>
      <c r="K429" s="42">
        <v>0</v>
      </c>
      <c r="M429" s="42">
        <v>0</v>
      </c>
      <c r="O429" s="42">
        <v>0</v>
      </c>
      <c r="Q429" s="42">
        <v>0</v>
      </c>
      <c r="S429" s="42">
        <v>0</v>
      </c>
      <c r="U429" s="42">
        <v>0</v>
      </c>
      <c r="W429" s="42">
        <v>0</v>
      </c>
      <c r="Y429" s="2">
        <f t="shared" si="75"/>
        <v>0</v>
      </c>
      <c r="AA429" s="42">
        <v>0</v>
      </c>
      <c r="AC429" s="42">
        <v>0</v>
      </c>
      <c r="AE429" s="42">
        <v>0</v>
      </c>
      <c r="AG429" s="42">
        <v>0</v>
      </c>
      <c r="AI429" s="42">
        <v>0</v>
      </c>
      <c r="AK429" s="42">
        <f t="shared" si="76"/>
        <v>0</v>
      </c>
      <c r="AM429" s="42">
        <f t="shared" si="81"/>
        <v>0</v>
      </c>
    </row>
    <row r="430" spans="1:39">
      <c r="A430" s="9" t="s">
        <v>282</v>
      </c>
      <c r="B430" s="9"/>
      <c r="C430" s="9" t="s">
        <v>23</v>
      </c>
      <c r="D430" s="9"/>
      <c r="E430" s="23">
        <v>46763</v>
      </c>
      <c r="G430" s="42">
        <v>131843888</v>
      </c>
      <c r="I430" s="42">
        <v>0</v>
      </c>
      <c r="K430" s="42">
        <v>22903138</v>
      </c>
      <c r="M430" s="42">
        <v>265822</v>
      </c>
      <c r="O430" s="42">
        <f>1623044+648826</f>
        <v>2271870</v>
      </c>
      <c r="Q430" s="42">
        <v>499770</v>
      </c>
      <c r="S430" s="42">
        <v>17969609</v>
      </c>
      <c r="U430" s="42">
        <v>33756</v>
      </c>
      <c r="W430" s="42">
        <v>917170</v>
      </c>
      <c r="Y430" s="2">
        <f t="shared" si="75"/>
        <v>176705023</v>
      </c>
      <c r="AA430" s="42">
        <v>0</v>
      </c>
      <c r="AC430" s="42">
        <v>0</v>
      </c>
      <c r="AE430" s="42">
        <v>0</v>
      </c>
      <c r="AG430" s="42">
        <v>38184</v>
      </c>
      <c r="AI430" s="42">
        <v>0</v>
      </c>
      <c r="AK430" s="42">
        <f t="shared" si="76"/>
        <v>38184</v>
      </c>
      <c r="AM430" s="42">
        <f t="shared" si="81"/>
        <v>176743207</v>
      </c>
    </row>
    <row r="431" spans="1:39">
      <c r="A431" s="9" t="s">
        <v>271</v>
      </c>
      <c r="B431" s="9"/>
      <c r="C431" s="9" t="s">
        <v>20</v>
      </c>
      <c r="D431" s="9"/>
      <c r="E431" s="23">
        <v>46573</v>
      </c>
      <c r="G431" s="42">
        <v>21923115</v>
      </c>
      <c r="I431" s="42">
        <v>0</v>
      </c>
      <c r="K431" s="42">
        <v>13915069</v>
      </c>
      <c r="M431" s="42">
        <v>40685</v>
      </c>
      <c r="O431" s="42">
        <f>447659+280650+45996</f>
        <v>774305</v>
      </c>
      <c r="Q431" s="42">
        <v>283861</v>
      </c>
      <c r="S431" s="42">
        <v>0</v>
      </c>
      <c r="U431" s="42">
        <v>25054</v>
      </c>
      <c r="W431" s="42">
        <v>756235</v>
      </c>
      <c r="Y431" s="2">
        <f t="shared" si="75"/>
        <v>37718324</v>
      </c>
      <c r="AA431" s="42">
        <v>22949</v>
      </c>
      <c r="AC431" s="42">
        <v>0</v>
      </c>
      <c r="AE431" s="42">
        <v>700000</v>
      </c>
      <c r="AG431" s="42">
        <v>0</v>
      </c>
      <c r="AI431" s="42">
        <v>0</v>
      </c>
      <c r="AK431" s="42">
        <f t="shared" si="76"/>
        <v>722949</v>
      </c>
      <c r="AM431" s="42">
        <f t="shared" si="81"/>
        <v>38441273</v>
      </c>
    </row>
    <row r="432" spans="1:39">
      <c r="A432" s="9" t="s">
        <v>467</v>
      </c>
      <c r="B432" s="9"/>
      <c r="C432" s="9" t="s">
        <v>109</v>
      </c>
      <c r="D432" s="9"/>
      <c r="E432" s="23">
        <v>49478</v>
      </c>
      <c r="G432" s="42">
        <v>8790638</v>
      </c>
      <c r="I432" s="42">
        <v>0</v>
      </c>
      <c r="K432" s="42">
        <f>4778005+31039</f>
        <v>4809044</v>
      </c>
      <c r="M432" s="42">
        <v>23421</v>
      </c>
      <c r="O432" s="42">
        <f>1353843+188953+13586</f>
        <v>1556382</v>
      </c>
      <c r="Q432" s="42">
        <v>23045</v>
      </c>
      <c r="S432" s="42">
        <v>47324</v>
      </c>
      <c r="U432" s="42">
        <v>7992</v>
      </c>
      <c r="W432" s="42">
        <v>97443</v>
      </c>
      <c r="Y432" s="2">
        <f t="shared" si="75"/>
        <v>15355289</v>
      </c>
      <c r="AA432" s="42">
        <v>0</v>
      </c>
      <c r="AC432" s="42">
        <v>0</v>
      </c>
      <c r="AE432" s="42">
        <v>0</v>
      </c>
      <c r="AG432" s="42">
        <v>1488</v>
      </c>
      <c r="AI432" s="42">
        <v>0</v>
      </c>
      <c r="AK432" s="42">
        <f t="shared" si="76"/>
        <v>1488</v>
      </c>
      <c r="AM432" s="42">
        <f t="shared" si="81"/>
        <v>15356777</v>
      </c>
    </row>
    <row r="433" spans="1:39">
      <c r="A433" s="9" t="s">
        <v>272</v>
      </c>
      <c r="B433" s="9"/>
      <c r="C433" s="9" t="s">
        <v>20</v>
      </c>
      <c r="D433" s="9"/>
      <c r="E433" s="23">
        <v>46581</v>
      </c>
      <c r="G433" s="42">
        <v>39784789</v>
      </c>
      <c r="I433" s="42">
        <v>0</v>
      </c>
      <c r="K433" s="42">
        <v>7424078</v>
      </c>
      <c r="M433" s="42">
        <f>173318-255485</f>
        <v>-82167</v>
      </c>
      <c r="O433" s="42">
        <f>3432486+68499+3120+27761</f>
        <v>3531866</v>
      </c>
      <c r="Q433" s="42">
        <v>133213</v>
      </c>
      <c r="S433" s="42">
        <v>0</v>
      </c>
      <c r="U433" s="42">
        <v>20072</v>
      </c>
      <c r="W433" s="42">
        <v>46077</v>
      </c>
      <c r="Y433" s="2">
        <f t="shared" si="75"/>
        <v>50857928</v>
      </c>
      <c r="AA433" s="42">
        <v>0</v>
      </c>
      <c r="AC433" s="42">
        <v>0</v>
      </c>
      <c r="AE433" s="42">
        <v>0</v>
      </c>
      <c r="AG433" s="42">
        <v>4366</v>
      </c>
      <c r="AI433" s="42">
        <v>0</v>
      </c>
      <c r="AK433" s="42">
        <f t="shared" si="76"/>
        <v>4366</v>
      </c>
      <c r="AM433" s="42">
        <f t="shared" si="81"/>
        <v>50862294</v>
      </c>
    </row>
    <row r="434" spans="1:39">
      <c r="A434" s="9" t="s">
        <v>388</v>
      </c>
      <c r="B434" s="9"/>
      <c r="C434" s="9" t="s">
        <v>114</v>
      </c>
      <c r="D434" s="9"/>
      <c r="E434" s="23">
        <v>44602</v>
      </c>
      <c r="G434" s="42">
        <v>18892611</v>
      </c>
      <c r="I434" s="42">
        <v>0</v>
      </c>
      <c r="K434" s="42">
        <f>16045007+35345</f>
        <v>16080352</v>
      </c>
      <c r="M434" s="42">
        <v>14419</v>
      </c>
      <c r="O434" s="42">
        <f>1224833+156392</f>
        <v>1381225</v>
      </c>
      <c r="Q434" s="42">
        <v>100315</v>
      </c>
      <c r="S434" s="42">
        <v>202383</v>
      </c>
      <c r="U434" s="42">
        <v>0</v>
      </c>
      <c r="W434" s="42">
        <v>162050</v>
      </c>
      <c r="Y434" s="2">
        <f t="shared" si="75"/>
        <v>36833355</v>
      </c>
      <c r="AA434" s="42">
        <v>0</v>
      </c>
      <c r="AC434" s="42">
        <v>0</v>
      </c>
      <c r="AE434" s="42">
        <v>0</v>
      </c>
      <c r="AG434" s="42">
        <v>19710</v>
      </c>
      <c r="AI434" s="42">
        <v>0</v>
      </c>
      <c r="AK434" s="42">
        <f t="shared" si="76"/>
        <v>19710</v>
      </c>
      <c r="AM434" s="42">
        <f t="shared" si="81"/>
        <v>36853065</v>
      </c>
    </row>
    <row r="435" spans="1:39" hidden="1">
      <c r="A435" s="9" t="s">
        <v>812</v>
      </c>
      <c r="B435" s="9"/>
      <c r="C435" s="9" t="s">
        <v>71</v>
      </c>
      <c r="D435" s="9"/>
      <c r="E435" s="23">
        <v>44610</v>
      </c>
      <c r="G435" s="42">
        <v>0</v>
      </c>
      <c r="I435" s="42">
        <v>0</v>
      </c>
      <c r="K435" s="42">
        <v>0</v>
      </c>
      <c r="M435" s="42">
        <v>0</v>
      </c>
      <c r="O435" s="42">
        <v>0</v>
      </c>
      <c r="Q435" s="42">
        <v>0</v>
      </c>
      <c r="S435" s="42">
        <v>0</v>
      </c>
      <c r="U435" s="42">
        <v>0</v>
      </c>
      <c r="W435" s="42">
        <v>0</v>
      </c>
      <c r="Y435" s="2">
        <f t="shared" si="75"/>
        <v>0</v>
      </c>
      <c r="AA435" s="42">
        <v>0</v>
      </c>
      <c r="AC435" s="42">
        <v>0</v>
      </c>
      <c r="AE435" s="42">
        <v>0</v>
      </c>
      <c r="AG435" s="42">
        <v>0</v>
      </c>
      <c r="AI435" s="42">
        <v>0</v>
      </c>
      <c r="AK435" s="42">
        <f t="shared" si="76"/>
        <v>0</v>
      </c>
      <c r="AM435" s="42">
        <f t="shared" si="81"/>
        <v>0</v>
      </c>
    </row>
    <row r="436" spans="1:39" hidden="1">
      <c r="A436" s="8" t="s">
        <v>869</v>
      </c>
      <c r="B436" s="9"/>
      <c r="C436" s="9" t="s">
        <v>62</v>
      </c>
      <c r="D436" s="9"/>
      <c r="E436" s="23">
        <v>49916</v>
      </c>
      <c r="G436" s="42">
        <v>0</v>
      </c>
      <c r="I436" s="42">
        <v>0</v>
      </c>
      <c r="K436" s="42">
        <v>0</v>
      </c>
      <c r="M436" s="42">
        <v>0</v>
      </c>
      <c r="O436" s="42">
        <v>0</v>
      </c>
      <c r="Q436" s="42">
        <v>0</v>
      </c>
      <c r="S436" s="42">
        <v>0</v>
      </c>
      <c r="U436" s="42">
        <v>0</v>
      </c>
      <c r="W436" s="42">
        <v>0</v>
      </c>
      <c r="Y436" s="2">
        <f t="shared" si="75"/>
        <v>0</v>
      </c>
      <c r="AA436" s="42">
        <v>0</v>
      </c>
      <c r="AC436" s="42">
        <v>0</v>
      </c>
      <c r="AE436" s="42">
        <v>0</v>
      </c>
      <c r="AG436" s="42">
        <v>0</v>
      </c>
      <c r="AI436" s="42">
        <v>0</v>
      </c>
      <c r="AK436" s="42">
        <f t="shared" si="76"/>
        <v>0</v>
      </c>
      <c r="AM436" s="42">
        <f t="shared" si="81"/>
        <v>0</v>
      </c>
    </row>
    <row r="437" spans="1:39">
      <c r="A437" s="9" t="s">
        <v>552</v>
      </c>
      <c r="B437" s="9"/>
      <c r="C437" s="9" t="s">
        <v>72</v>
      </c>
      <c r="D437" s="9"/>
      <c r="E437" s="23">
        <v>50724</v>
      </c>
      <c r="G437" s="42">
        <v>4327778</v>
      </c>
      <c r="I437" s="42">
        <v>2526041</v>
      </c>
      <c r="K437" s="42">
        <v>5788626</v>
      </c>
      <c r="M437" s="42">
        <v>5138</v>
      </c>
      <c r="O437" s="42">
        <v>557102</v>
      </c>
      <c r="Q437" s="42">
        <v>23500</v>
      </c>
      <c r="S437" s="42">
        <v>0</v>
      </c>
      <c r="U437" s="42">
        <v>23885</v>
      </c>
      <c r="W437" s="42">
        <v>148875</v>
      </c>
      <c r="Y437" s="2">
        <f t="shared" si="75"/>
        <v>13400945</v>
      </c>
      <c r="AA437" s="42">
        <v>0</v>
      </c>
      <c r="AC437" s="42">
        <v>0</v>
      </c>
      <c r="AE437" s="42">
        <v>0</v>
      </c>
      <c r="AG437" s="42">
        <v>226</v>
      </c>
      <c r="AI437" s="42">
        <v>0</v>
      </c>
      <c r="AK437" s="42">
        <f t="shared" si="76"/>
        <v>226</v>
      </c>
      <c r="AM437" s="42">
        <f t="shared" si="81"/>
        <v>13401171</v>
      </c>
    </row>
    <row r="438" spans="1:39">
      <c r="A438" s="9" t="s">
        <v>389</v>
      </c>
      <c r="B438" s="9"/>
      <c r="C438" s="9" t="s">
        <v>114</v>
      </c>
      <c r="D438" s="9"/>
      <c r="E438" s="23">
        <v>48215</v>
      </c>
      <c r="G438" s="42">
        <v>9693962</v>
      </c>
      <c r="I438" s="42">
        <v>0</v>
      </c>
      <c r="K438" s="42">
        <v>3094740</v>
      </c>
      <c r="M438" s="42">
        <v>35001</v>
      </c>
      <c r="O438" s="42">
        <f>39062+450+56496</f>
        <v>96008</v>
      </c>
      <c r="Q438" s="42">
        <v>92342</v>
      </c>
      <c r="S438" s="42">
        <v>0</v>
      </c>
      <c r="U438" s="42">
        <v>0</v>
      </c>
      <c r="W438" s="42">
        <v>118885</v>
      </c>
      <c r="Y438" s="2">
        <f t="shared" si="75"/>
        <v>13130938</v>
      </c>
      <c r="AA438" s="42">
        <v>0</v>
      </c>
      <c r="AC438" s="42">
        <v>0</v>
      </c>
      <c r="AE438" s="42">
        <v>0</v>
      </c>
      <c r="AG438" s="42">
        <f>185772+42022</f>
        <v>227794</v>
      </c>
      <c r="AI438" s="42">
        <v>0</v>
      </c>
      <c r="AK438" s="42">
        <f t="shared" si="76"/>
        <v>227794</v>
      </c>
      <c r="AM438" s="42">
        <f t="shared" si="81"/>
        <v>13358732</v>
      </c>
    </row>
    <row r="439" spans="1:39" hidden="1">
      <c r="A439" s="9" t="s">
        <v>704</v>
      </c>
      <c r="B439" s="9"/>
      <c r="C439" s="9" t="s">
        <v>464</v>
      </c>
      <c r="D439" s="9"/>
      <c r="E439" s="23">
        <v>49379</v>
      </c>
      <c r="G439" s="42">
        <v>0</v>
      </c>
      <c r="I439" s="42">
        <v>0</v>
      </c>
      <c r="K439" s="42">
        <v>0</v>
      </c>
      <c r="M439" s="42">
        <v>0</v>
      </c>
      <c r="O439" s="42">
        <v>0</v>
      </c>
      <c r="Q439" s="42">
        <v>0</v>
      </c>
      <c r="S439" s="42">
        <v>0</v>
      </c>
      <c r="U439" s="42">
        <v>0</v>
      </c>
      <c r="W439" s="42">
        <v>0</v>
      </c>
      <c r="Y439" s="2">
        <f t="shared" si="75"/>
        <v>0</v>
      </c>
      <c r="AA439" s="42">
        <v>0</v>
      </c>
      <c r="AC439" s="42">
        <v>0</v>
      </c>
      <c r="AE439" s="42">
        <v>0</v>
      </c>
      <c r="AG439" s="42">
        <v>0</v>
      </c>
      <c r="AI439" s="42">
        <v>0</v>
      </c>
      <c r="AK439" s="42">
        <f t="shared" ref="AK439:AK487" si="82">SUM(AA439:AJ439)</f>
        <v>0</v>
      </c>
      <c r="AM439" s="42">
        <f t="shared" si="81"/>
        <v>0</v>
      </c>
    </row>
    <row r="440" spans="1:39" hidden="1">
      <c r="A440" s="9" t="s">
        <v>813</v>
      </c>
      <c r="B440" s="9"/>
      <c r="C440" s="9" t="s">
        <v>464</v>
      </c>
      <c r="D440" s="9"/>
      <c r="E440" s="23">
        <v>49387</v>
      </c>
      <c r="G440" s="42">
        <v>0</v>
      </c>
      <c r="I440" s="42">
        <v>0</v>
      </c>
      <c r="K440" s="42">
        <v>0</v>
      </c>
      <c r="M440" s="42">
        <v>0</v>
      </c>
      <c r="O440" s="42">
        <v>0</v>
      </c>
      <c r="Q440" s="42">
        <v>0</v>
      </c>
      <c r="S440" s="42">
        <v>0</v>
      </c>
      <c r="U440" s="42">
        <v>0</v>
      </c>
      <c r="W440" s="42">
        <v>0</v>
      </c>
      <c r="Y440" s="2">
        <f t="shared" si="75"/>
        <v>0</v>
      </c>
      <c r="AA440" s="42">
        <v>0</v>
      </c>
      <c r="AC440" s="42">
        <v>0</v>
      </c>
      <c r="AE440" s="42">
        <v>0</v>
      </c>
      <c r="AG440" s="42">
        <v>0</v>
      </c>
      <c r="AI440" s="42">
        <v>0</v>
      </c>
      <c r="AK440" s="42">
        <f t="shared" si="82"/>
        <v>0</v>
      </c>
      <c r="AM440" s="42">
        <f t="shared" si="81"/>
        <v>0</v>
      </c>
    </row>
    <row r="441" spans="1:39" hidden="1">
      <c r="A441" s="9" t="s">
        <v>814</v>
      </c>
      <c r="B441" s="9"/>
      <c r="C441" s="9" t="s">
        <v>41</v>
      </c>
      <c r="D441" s="9"/>
      <c r="E441" s="23">
        <v>44628</v>
      </c>
      <c r="G441" s="42">
        <v>0</v>
      </c>
      <c r="I441" s="42">
        <v>0</v>
      </c>
      <c r="K441" s="42">
        <v>0</v>
      </c>
      <c r="M441" s="42">
        <v>0</v>
      </c>
      <c r="O441" s="42">
        <v>0</v>
      </c>
      <c r="Q441" s="42">
        <v>0</v>
      </c>
      <c r="S441" s="42">
        <v>0</v>
      </c>
      <c r="U441" s="42">
        <v>0</v>
      </c>
      <c r="W441" s="42">
        <v>0</v>
      </c>
      <c r="Y441" s="2">
        <f t="shared" si="75"/>
        <v>0</v>
      </c>
      <c r="AA441" s="42">
        <v>0</v>
      </c>
      <c r="AC441" s="42">
        <v>0</v>
      </c>
      <c r="AE441" s="42">
        <v>0</v>
      </c>
      <c r="AG441" s="42">
        <v>0</v>
      </c>
      <c r="AI441" s="42">
        <v>0</v>
      </c>
      <c r="AK441" s="42">
        <f t="shared" si="82"/>
        <v>0</v>
      </c>
      <c r="AM441" s="42">
        <f t="shared" si="81"/>
        <v>0</v>
      </c>
    </row>
    <row r="442" spans="1:39" hidden="1">
      <c r="A442" s="9" t="s">
        <v>778</v>
      </c>
      <c r="B442" s="9"/>
      <c r="C442" s="9" t="s">
        <v>41</v>
      </c>
      <c r="D442" s="9"/>
      <c r="E442" s="23">
        <v>47894</v>
      </c>
      <c r="G442" s="42">
        <v>0</v>
      </c>
      <c r="I442" s="42">
        <v>0</v>
      </c>
      <c r="K442" s="42">
        <v>0</v>
      </c>
      <c r="M442" s="42">
        <v>0</v>
      </c>
      <c r="O442" s="42">
        <v>0</v>
      </c>
      <c r="Q442" s="42">
        <v>0</v>
      </c>
      <c r="S442" s="42">
        <v>0</v>
      </c>
      <c r="U442" s="42">
        <v>0</v>
      </c>
      <c r="W442" s="42">
        <v>0</v>
      </c>
      <c r="Y442" s="2">
        <f t="shared" si="75"/>
        <v>0</v>
      </c>
      <c r="AA442" s="42">
        <v>0</v>
      </c>
      <c r="AC442" s="42">
        <v>0</v>
      </c>
      <c r="AE442" s="42">
        <v>0</v>
      </c>
      <c r="AG442" s="42">
        <v>0</v>
      </c>
      <c r="AI442" s="42">
        <v>0</v>
      </c>
      <c r="AK442" s="42">
        <f t="shared" si="82"/>
        <v>0</v>
      </c>
      <c r="AM442" s="42">
        <f t="shared" si="81"/>
        <v>0</v>
      </c>
    </row>
    <row r="443" spans="1:39">
      <c r="A443" s="9" t="s">
        <v>472</v>
      </c>
      <c r="B443" s="9"/>
      <c r="C443" s="9" t="s">
        <v>58</v>
      </c>
      <c r="D443" s="9"/>
      <c r="E443" s="23">
        <v>49510</v>
      </c>
      <c r="G443" s="42">
        <v>1543130</v>
      </c>
      <c r="I443" s="42">
        <v>0</v>
      </c>
      <c r="K443" s="42">
        <v>7000234</v>
      </c>
      <c r="M443" s="42">
        <v>3242</v>
      </c>
      <c r="O443" s="42">
        <f>659006+250</f>
        <v>659256</v>
      </c>
      <c r="Q443" s="42">
        <v>37386</v>
      </c>
      <c r="S443" s="42">
        <v>0</v>
      </c>
      <c r="U443" s="42">
        <v>1350</v>
      </c>
      <c r="W443" s="42">
        <v>42469</v>
      </c>
      <c r="Y443" s="2">
        <f t="shared" si="75"/>
        <v>9287067</v>
      </c>
      <c r="AA443" s="42">
        <v>0</v>
      </c>
      <c r="AC443" s="42">
        <v>0</v>
      </c>
      <c r="AE443" s="42">
        <v>0</v>
      </c>
      <c r="AG443" s="42">
        <v>0</v>
      </c>
      <c r="AI443" s="42">
        <v>0</v>
      </c>
      <c r="AK443" s="42">
        <f t="shared" si="82"/>
        <v>0</v>
      </c>
      <c r="AM443" s="42">
        <f t="shared" si="81"/>
        <v>9287067</v>
      </c>
    </row>
    <row r="444" spans="1:39" hidden="1">
      <c r="A444" s="9" t="s">
        <v>681</v>
      </c>
      <c r="B444" s="9"/>
      <c r="C444" s="9" t="s">
        <v>464</v>
      </c>
      <c r="D444" s="9"/>
      <c r="E444" s="23">
        <v>49395</v>
      </c>
      <c r="G444" s="42">
        <v>0</v>
      </c>
      <c r="I444" s="42">
        <v>0</v>
      </c>
      <c r="K444" s="42">
        <v>0</v>
      </c>
      <c r="M444" s="42">
        <v>0</v>
      </c>
      <c r="O444" s="42">
        <v>0</v>
      </c>
      <c r="Q444" s="42">
        <v>0</v>
      </c>
      <c r="S444" s="42">
        <v>0</v>
      </c>
      <c r="U444" s="42">
        <v>0</v>
      </c>
      <c r="W444" s="42">
        <v>0</v>
      </c>
      <c r="Y444" s="2">
        <f t="shared" si="75"/>
        <v>0</v>
      </c>
      <c r="AA444" s="42">
        <v>0</v>
      </c>
      <c r="AC444" s="42">
        <v>0</v>
      </c>
      <c r="AE444" s="42">
        <v>0</v>
      </c>
      <c r="AG444" s="42">
        <v>0</v>
      </c>
      <c r="AI444" s="42">
        <v>0</v>
      </c>
      <c r="AK444" s="42">
        <f t="shared" si="82"/>
        <v>0</v>
      </c>
      <c r="AM444" s="42">
        <f t="shared" si="81"/>
        <v>0</v>
      </c>
    </row>
    <row r="445" spans="1:39" hidden="1">
      <c r="A445" s="9" t="s">
        <v>682</v>
      </c>
      <c r="B445" s="9"/>
      <c r="C445" s="9" t="s">
        <v>419</v>
      </c>
      <c r="D445" s="9"/>
      <c r="E445" s="23">
        <v>48579</v>
      </c>
      <c r="G445" s="42">
        <v>0</v>
      </c>
      <c r="I445" s="42">
        <v>0</v>
      </c>
      <c r="K445" s="42">
        <v>0</v>
      </c>
      <c r="M445" s="42">
        <v>0</v>
      </c>
      <c r="O445" s="42">
        <v>0</v>
      </c>
      <c r="Q445" s="42">
        <v>0</v>
      </c>
      <c r="S445" s="42">
        <v>0</v>
      </c>
      <c r="U445" s="42">
        <v>0</v>
      </c>
      <c r="W445" s="42">
        <v>0</v>
      </c>
      <c r="Y445" s="2">
        <f t="shared" si="75"/>
        <v>0</v>
      </c>
      <c r="AA445" s="42">
        <v>0</v>
      </c>
      <c r="AC445" s="42">
        <v>0</v>
      </c>
      <c r="AE445" s="42">
        <v>0</v>
      </c>
      <c r="AG445" s="42">
        <v>0</v>
      </c>
      <c r="AI445" s="42">
        <v>0</v>
      </c>
      <c r="AK445" s="42">
        <f t="shared" si="82"/>
        <v>0</v>
      </c>
      <c r="AM445" s="42">
        <f t="shared" si="81"/>
        <v>0</v>
      </c>
    </row>
    <row r="446" spans="1:39">
      <c r="A446" s="9" t="s">
        <v>273</v>
      </c>
      <c r="B446" s="9"/>
      <c r="C446" s="9" t="s">
        <v>20</v>
      </c>
      <c r="D446" s="9"/>
      <c r="E446" s="23">
        <v>44636</v>
      </c>
      <c r="G446" s="42">
        <v>89430060</v>
      </c>
      <c r="I446" s="42">
        <v>0</v>
      </c>
      <c r="K446" s="42">
        <v>40379498</v>
      </c>
      <c r="M446" s="42">
        <v>45888</v>
      </c>
      <c r="O446" s="42">
        <f>3161178+73012+1289936</f>
        <v>4524126</v>
      </c>
      <c r="Q446" s="42">
        <v>621733</v>
      </c>
      <c r="S446" s="42">
        <v>136699</v>
      </c>
      <c r="U446" s="42">
        <v>75980</v>
      </c>
      <c r="W446" s="42">
        <v>1207317</v>
      </c>
      <c r="Y446" s="2">
        <f t="shared" si="75"/>
        <v>136421301</v>
      </c>
      <c r="AA446" s="42">
        <v>0</v>
      </c>
      <c r="AC446" s="42">
        <v>0</v>
      </c>
      <c r="AE446" s="42">
        <v>0</v>
      </c>
      <c r="AG446" s="42">
        <v>9778</v>
      </c>
      <c r="AI446" s="42">
        <v>0</v>
      </c>
      <c r="AK446" s="42">
        <f t="shared" si="82"/>
        <v>9778</v>
      </c>
      <c r="AM446" s="42">
        <f t="shared" si="81"/>
        <v>136431079</v>
      </c>
    </row>
    <row r="447" spans="1:39">
      <c r="A447" s="9" t="s">
        <v>345</v>
      </c>
      <c r="B447" s="9"/>
      <c r="C447" s="9" t="s">
        <v>34</v>
      </c>
      <c r="D447" s="9"/>
      <c r="E447" s="23">
        <v>47597</v>
      </c>
      <c r="G447" s="42">
        <v>2979806</v>
      </c>
      <c r="I447" s="42">
        <v>1961056</v>
      </c>
      <c r="K447" s="42">
        <v>4958786</v>
      </c>
      <c r="M447" s="42">
        <v>6568</v>
      </c>
      <c r="O447" s="42">
        <f>627904+330</f>
        <v>628234</v>
      </c>
      <c r="Q447" s="42">
        <v>63440</v>
      </c>
      <c r="S447" s="42">
        <v>0</v>
      </c>
      <c r="U447" s="42">
        <v>10</v>
      </c>
      <c r="W447" s="42">
        <v>5350</v>
      </c>
      <c r="Y447" s="2">
        <f t="shared" si="75"/>
        <v>10603250</v>
      </c>
      <c r="AA447" s="42">
        <v>2514</v>
      </c>
      <c r="AC447" s="42">
        <v>0</v>
      </c>
      <c r="AE447" s="42">
        <v>0</v>
      </c>
      <c r="AG447" s="42">
        <f>2100+42682</f>
        <v>44782</v>
      </c>
      <c r="AI447" s="42">
        <v>0</v>
      </c>
      <c r="AK447" s="42">
        <f t="shared" si="82"/>
        <v>47296</v>
      </c>
      <c r="AM447" s="42">
        <f t="shared" si="81"/>
        <v>10650546</v>
      </c>
    </row>
    <row r="448" spans="1:39" hidden="1">
      <c r="A448" s="9" t="s">
        <v>769</v>
      </c>
      <c r="B448" s="9"/>
      <c r="C448" s="9" t="s">
        <v>447</v>
      </c>
      <c r="D448" s="9"/>
      <c r="E448" s="23">
        <v>45575</v>
      </c>
      <c r="G448" s="42">
        <v>0</v>
      </c>
      <c r="I448" s="42">
        <v>0</v>
      </c>
      <c r="K448" s="42">
        <v>0</v>
      </c>
      <c r="M448" s="42">
        <v>0</v>
      </c>
      <c r="O448" s="42">
        <v>0</v>
      </c>
      <c r="Q448" s="42">
        <v>0</v>
      </c>
      <c r="S448" s="42">
        <v>0</v>
      </c>
      <c r="U448" s="42">
        <v>0</v>
      </c>
      <c r="W448" s="42">
        <v>0</v>
      </c>
      <c r="Y448" s="2">
        <f t="shared" si="75"/>
        <v>0</v>
      </c>
      <c r="AA448" s="42">
        <v>0</v>
      </c>
      <c r="AC448" s="42">
        <v>0</v>
      </c>
      <c r="AE448" s="42">
        <v>0</v>
      </c>
      <c r="AG448" s="42">
        <v>0</v>
      </c>
      <c r="AI448" s="42">
        <v>0</v>
      </c>
      <c r="AK448" s="42">
        <f t="shared" si="82"/>
        <v>0</v>
      </c>
      <c r="AM448" s="42">
        <f t="shared" si="81"/>
        <v>0</v>
      </c>
    </row>
    <row r="449" spans="1:39">
      <c r="A449" s="9" t="s">
        <v>287</v>
      </c>
      <c r="B449" s="9"/>
      <c r="C449" s="9" t="s">
        <v>24</v>
      </c>
      <c r="D449" s="9"/>
      <c r="E449" s="23">
        <v>46813</v>
      </c>
      <c r="G449" s="42">
        <v>9637665</v>
      </c>
      <c r="I449" s="42">
        <v>0</v>
      </c>
      <c r="K449" s="42">
        <f>6392192+30767</f>
        <v>6422959</v>
      </c>
      <c r="M449" s="42">
        <v>7236</v>
      </c>
      <c r="O449" s="42">
        <f>3537215+27711+146256+30685+18636</f>
        <v>3760503</v>
      </c>
      <c r="Q449" s="42">
        <v>43500</v>
      </c>
      <c r="S449" s="42">
        <v>0</v>
      </c>
      <c r="U449" s="42">
        <v>101769</v>
      </c>
      <c r="W449" s="42">
        <v>100807</v>
      </c>
      <c r="Y449" s="2">
        <f t="shared" si="75"/>
        <v>20074439</v>
      </c>
      <c r="AA449" s="42">
        <v>0</v>
      </c>
      <c r="AC449" s="42">
        <v>0</v>
      </c>
      <c r="AE449" s="42">
        <v>0</v>
      </c>
      <c r="AG449" s="42">
        <v>529</v>
      </c>
      <c r="AI449" s="42">
        <v>0</v>
      </c>
      <c r="AK449" s="42">
        <f t="shared" si="82"/>
        <v>529</v>
      </c>
      <c r="AM449" s="42">
        <f t="shared" si="81"/>
        <v>20074968</v>
      </c>
    </row>
    <row r="450" spans="1:39" hidden="1">
      <c r="A450" s="9" t="s">
        <v>683</v>
      </c>
      <c r="B450" s="9"/>
      <c r="C450" s="9" t="s">
        <v>10</v>
      </c>
      <c r="D450" s="9"/>
      <c r="E450" s="23">
        <v>45781</v>
      </c>
      <c r="G450" s="42">
        <v>0</v>
      </c>
      <c r="I450" s="42">
        <v>0</v>
      </c>
      <c r="K450" s="42">
        <v>0</v>
      </c>
      <c r="M450" s="42">
        <v>0</v>
      </c>
      <c r="O450" s="42">
        <v>0</v>
      </c>
      <c r="Q450" s="42">
        <v>0</v>
      </c>
      <c r="S450" s="42">
        <v>0</v>
      </c>
      <c r="U450" s="42">
        <v>0</v>
      </c>
      <c r="W450" s="42">
        <v>0</v>
      </c>
      <c r="Y450" s="2">
        <f t="shared" si="75"/>
        <v>0</v>
      </c>
      <c r="AA450" s="42">
        <v>0</v>
      </c>
      <c r="AC450" s="42">
        <v>0</v>
      </c>
      <c r="AE450" s="42">
        <v>0</v>
      </c>
      <c r="AG450" s="42">
        <v>0</v>
      </c>
      <c r="AI450" s="42">
        <v>0</v>
      </c>
      <c r="AM450" s="42">
        <f t="shared" si="81"/>
        <v>0</v>
      </c>
    </row>
    <row r="451" spans="1:39">
      <c r="A451" s="9" t="s">
        <v>201</v>
      </c>
      <c r="B451" s="9"/>
      <c r="C451" s="9" t="s">
        <v>41</v>
      </c>
      <c r="D451" s="9"/>
      <c r="E451" s="23">
        <v>47902</v>
      </c>
      <c r="G451" s="42">
        <v>13100942</v>
      </c>
      <c r="I451" s="42">
        <v>0</v>
      </c>
      <c r="K451" s="42">
        <v>10637735</v>
      </c>
      <c r="M451" s="42">
        <v>-56066</v>
      </c>
      <c r="O451" s="42">
        <f>39130+18095+20930</f>
        <v>78155</v>
      </c>
      <c r="Q451" s="42">
        <v>81714</v>
      </c>
      <c r="S451" s="42">
        <v>0</v>
      </c>
      <c r="U451" s="42">
        <v>0</v>
      </c>
      <c r="W451" s="42">
        <v>358571</v>
      </c>
      <c r="Y451" s="2">
        <f t="shared" si="75"/>
        <v>24201051</v>
      </c>
      <c r="AA451" s="42">
        <v>0</v>
      </c>
      <c r="AC451" s="42">
        <v>0</v>
      </c>
      <c r="AE451" s="42">
        <v>0</v>
      </c>
      <c r="AG451" s="42">
        <v>287691</v>
      </c>
      <c r="AI451" s="42">
        <v>0</v>
      </c>
      <c r="AK451" s="42">
        <f t="shared" si="82"/>
        <v>287691</v>
      </c>
      <c r="AM451" s="42">
        <f t="shared" si="81"/>
        <v>24488742</v>
      </c>
    </row>
    <row r="452" spans="1:39">
      <c r="A452" s="9" t="s">
        <v>201</v>
      </c>
      <c r="B452" s="9"/>
      <c r="C452" s="9" t="s">
        <v>62</v>
      </c>
      <c r="D452" s="9"/>
      <c r="E452" s="23">
        <v>49924</v>
      </c>
      <c r="G452" s="42">
        <v>17451023</v>
      </c>
      <c r="I452" s="42">
        <v>0</v>
      </c>
      <c r="K452" s="42">
        <v>18407732</v>
      </c>
      <c r="M452" s="42">
        <v>123850</v>
      </c>
      <c r="O452" s="42">
        <f>2274327+56208</f>
        <v>2330535</v>
      </c>
      <c r="Q452" s="42">
        <v>224205</v>
      </c>
      <c r="S452" s="42">
        <v>0</v>
      </c>
      <c r="U452" s="42">
        <v>0</v>
      </c>
      <c r="W452" s="42">
        <v>175403</v>
      </c>
      <c r="Y452" s="2">
        <f t="shared" si="75"/>
        <v>38712748</v>
      </c>
      <c r="AA452" s="42">
        <v>0</v>
      </c>
      <c r="AC452" s="42">
        <v>0</v>
      </c>
      <c r="AE452" s="42">
        <v>0</v>
      </c>
      <c r="AG452" s="42">
        <v>0</v>
      </c>
      <c r="AI452" s="42">
        <v>0</v>
      </c>
      <c r="AK452" s="42">
        <f t="shared" si="82"/>
        <v>0</v>
      </c>
      <c r="AM452" s="42">
        <f t="shared" si="81"/>
        <v>38712748</v>
      </c>
    </row>
    <row r="453" spans="1:39">
      <c r="A453" s="9" t="s">
        <v>770</v>
      </c>
      <c r="B453" s="9"/>
      <c r="C453" s="9" t="s">
        <v>72</v>
      </c>
      <c r="D453" s="9"/>
      <c r="E453" s="23">
        <v>45583</v>
      </c>
      <c r="G453" s="42">
        <v>26316768</v>
      </c>
      <c r="I453" s="42">
        <v>5729828</v>
      </c>
      <c r="K453" s="42">
        <v>11539542</v>
      </c>
      <c r="M453" s="42">
        <v>18528</v>
      </c>
      <c r="O453" s="42">
        <f>379184+220894</f>
        <v>600078</v>
      </c>
      <c r="Q453" s="42">
        <v>228103</v>
      </c>
      <c r="S453" s="42">
        <v>180934</v>
      </c>
      <c r="U453" s="42">
        <v>0</v>
      </c>
      <c r="W453" s="42">
        <v>277029</v>
      </c>
      <c r="Y453" s="2">
        <f t="shared" si="75"/>
        <v>44890810</v>
      </c>
      <c r="AA453" s="42">
        <v>0</v>
      </c>
      <c r="AC453" s="42">
        <v>0</v>
      </c>
      <c r="AE453" s="42">
        <v>0</v>
      </c>
      <c r="AG453" s="42">
        <v>0</v>
      </c>
      <c r="AI453" s="42">
        <v>0</v>
      </c>
      <c r="AK453" s="42">
        <f t="shared" si="82"/>
        <v>0</v>
      </c>
      <c r="AM453" s="42">
        <f t="shared" si="81"/>
        <v>44890810</v>
      </c>
    </row>
    <row r="454" spans="1:39" hidden="1">
      <c r="A454" s="9" t="s">
        <v>884</v>
      </c>
      <c r="B454" s="9"/>
      <c r="C454" s="9" t="s">
        <v>28</v>
      </c>
      <c r="D454" s="9"/>
      <c r="E454" s="23">
        <v>47076</v>
      </c>
      <c r="G454" s="42">
        <v>0</v>
      </c>
      <c r="I454" s="42">
        <v>0</v>
      </c>
      <c r="K454" s="42">
        <v>0</v>
      </c>
      <c r="M454" s="42">
        <v>0</v>
      </c>
      <c r="O454" s="42">
        <v>0</v>
      </c>
      <c r="Q454" s="42">
        <v>0</v>
      </c>
      <c r="S454" s="42">
        <v>0</v>
      </c>
      <c r="U454" s="42">
        <v>0</v>
      </c>
      <c r="W454" s="42">
        <v>0</v>
      </c>
      <c r="Y454" s="2">
        <f t="shared" si="75"/>
        <v>0</v>
      </c>
      <c r="AA454" s="42">
        <v>0</v>
      </c>
      <c r="AC454" s="42">
        <v>0</v>
      </c>
      <c r="AE454" s="42">
        <v>0</v>
      </c>
      <c r="AG454" s="42">
        <v>0</v>
      </c>
      <c r="AI454" s="42">
        <v>0</v>
      </c>
      <c r="AK454" s="42">
        <f t="shared" si="82"/>
        <v>0</v>
      </c>
      <c r="AM454" s="42">
        <f t="shared" si="81"/>
        <v>0</v>
      </c>
    </row>
    <row r="455" spans="1:39">
      <c r="A455" s="9" t="s">
        <v>294</v>
      </c>
      <c r="B455" s="9"/>
      <c r="C455" s="9" t="s">
        <v>25</v>
      </c>
      <c r="D455" s="9"/>
      <c r="E455" s="23">
        <v>46896</v>
      </c>
      <c r="G455" s="42">
        <v>34987409</v>
      </c>
      <c r="I455" s="42">
        <v>14596621</v>
      </c>
      <c r="K455" s="42">
        <f>46947326+159940</f>
        <v>47107266</v>
      </c>
      <c r="M455" s="42">
        <v>102980</v>
      </c>
      <c r="O455" s="42">
        <f>691700+386279+287973+37320</f>
        <v>1403272</v>
      </c>
      <c r="Q455" s="42">
        <v>849286</v>
      </c>
      <c r="S455" s="42">
        <v>91844</v>
      </c>
      <c r="U455" s="42">
        <v>9936</v>
      </c>
      <c r="W455" s="42">
        <v>194935</v>
      </c>
      <c r="Y455" s="2">
        <f t="shared" si="75"/>
        <v>99343549</v>
      </c>
      <c r="AA455" s="42">
        <v>0</v>
      </c>
      <c r="AC455" s="42">
        <v>0</v>
      </c>
      <c r="AE455" s="42">
        <v>0</v>
      </c>
      <c r="AG455" s="42">
        <v>925275</v>
      </c>
      <c r="AI455" s="42">
        <v>0</v>
      </c>
      <c r="AK455" s="42">
        <f t="shared" si="82"/>
        <v>925275</v>
      </c>
      <c r="AM455" s="42">
        <f t="shared" si="81"/>
        <v>100268824</v>
      </c>
    </row>
    <row r="456" spans="1:39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42">
        <v>0</v>
      </c>
      <c r="M456" s="42">
        <v>0</v>
      </c>
      <c r="O456" s="42">
        <v>0</v>
      </c>
      <c r="Q456" s="42">
        <v>0</v>
      </c>
      <c r="S456" s="42">
        <v>0</v>
      </c>
      <c r="U456" s="42">
        <v>0</v>
      </c>
      <c r="W456" s="42">
        <v>0</v>
      </c>
      <c r="Y456" s="2">
        <f t="shared" si="75"/>
        <v>0</v>
      </c>
      <c r="AA456" s="42">
        <v>0</v>
      </c>
      <c r="AC456" s="42">
        <v>0</v>
      </c>
      <c r="AE456" s="42">
        <v>0</v>
      </c>
      <c r="AG456" s="42">
        <v>0</v>
      </c>
      <c r="AI456" s="42">
        <v>0</v>
      </c>
      <c r="AK456" s="42">
        <f t="shared" si="82"/>
        <v>0</v>
      </c>
      <c r="AM456" s="42">
        <f t="shared" si="81"/>
        <v>0</v>
      </c>
    </row>
    <row r="457" spans="1:39">
      <c r="A457" s="9" t="s">
        <v>422</v>
      </c>
      <c r="B457" s="9"/>
      <c r="C457" s="9" t="s">
        <v>48</v>
      </c>
      <c r="D457" s="9"/>
      <c r="E457" s="23">
        <v>44644</v>
      </c>
      <c r="G457" s="42">
        <v>14403190</v>
      </c>
      <c r="I457" s="42">
        <v>0</v>
      </c>
      <c r="K457" s="42">
        <f>14869244+99661</f>
        <v>14968905</v>
      </c>
      <c r="M457" s="42">
        <v>88640</v>
      </c>
      <c r="O457" s="42">
        <f>258696+45884+122897</f>
        <v>427477</v>
      </c>
      <c r="Q457" s="42">
        <v>159110</v>
      </c>
      <c r="S457" s="42">
        <v>0</v>
      </c>
      <c r="U457" s="42">
        <v>0</v>
      </c>
      <c r="W457" s="42">
        <v>353714</v>
      </c>
      <c r="Y457" s="2">
        <f t="shared" si="75"/>
        <v>30401036</v>
      </c>
      <c r="AA457" s="42">
        <v>0</v>
      </c>
      <c r="AC457" s="42">
        <v>0</v>
      </c>
      <c r="AE457" s="42">
        <v>0</v>
      </c>
      <c r="AG457" s="42">
        <v>0</v>
      </c>
      <c r="AI457" s="42">
        <v>0</v>
      </c>
      <c r="AK457" s="42">
        <f t="shared" si="82"/>
        <v>0</v>
      </c>
      <c r="AM457" s="42">
        <f t="shared" si="81"/>
        <v>30401036</v>
      </c>
    </row>
    <row r="458" spans="1:39">
      <c r="A458" s="9" t="s">
        <v>304</v>
      </c>
      <c r="B458" s="9"/>
      <c r="C458" s="9" t="s">
        <v>62</v>
      </c>
      <c r="D458" s="9"/>
      <c r="E458" s="23">
        <v>49932</v>
      </c>
      <c r="G458" s="42">
        <v>25949162</v>
      </c>
      <c r="I458" s="42">
        <v>0</v>
      </c>
      <c r="K458" s="42">
        <f>20205039+81994</f>
        <v>20287033</v>
      </c>
      <c r="M458" s="42">
        <v>26621</v>
      </c>
      <c r="O458" s="42">
        <f>956908+122574+209998</f>
        <v>1289480</v>
      </c>
      <c r="Q458" s="42">
        <v>414610</v>
      </c>
      <c r="S458" s="42">
        <v>0</v>
      </c>
      <c r="U458" s="42">
        <v>0</v>
      </c>
      <c r="W458" s="42">
        <v>422046</v>
      </c>
      <c r="Y458" s="2">
        <f t="shared" si="75"/>
        <v>48388952</v>
      </c>
      <c r="AA458" s="42">
        <v>0</v>
      </c>
      <c r="AC458" s="42">
        <v>0</v>
      </c>
      <c r="AE458" s="42">
        <v>0</v>
      </c>
      <c r="AG458" s="42">
        <v>10362</v>
      </c>
      <c r="AI458" s="42">
        <v>0</v>
      </c>
      <c r="AK458" s="42">
        <f t="shared" si="82"/>
        <v>10362</v>
      </c>
      <c r="AM458" s="42">
        <f t="shared" ref="AM458:AM489" si="83">+AK458+Y458</f>
        <v>48399314</v>
      </c>
    </row>
    <row r="459" spans="1:39">
      <c r="A459" s="9" t="s">
        <v>408</v>
      </c>
      <c r="B459" s="9"/>
      <c r="C459" s="9" t="s">
        <v>46</v>
      </c>
      <c r="D459" s="9"/>
      <c r="E459" s="23">
        <v>48421</v>
      </c>
      <c r="G459" s="42">
        <v>3738253</v>
      </c>
      <c r="I459" s="42">
        <v>0</v>
      </c>
      <c r="K459" s="42">
        <v>4289883</v>
      </c>
      <c r="M459" s="42">
        <v>12191</v>
      </c>
      <c r="O459" s="42">
        <f>1917506+18108</f>
        <v>1935614</v>
      </c>
      <c r="Q459" s="42">
        <v>124553</v>
      </c>
      <c r="S459" s="42">
        <v>0</v>
      </c>
      <c r="U459" s="42">
        <v>16661</v>
      </c>
      <c r="W459" s="42">
        <v>245705</v>
      </c>
      <c r="Y459" s="2">
        <f t="shared" ref="Y459:Y487" si="84">SUM(G459:X459)</f>
        <v>10362860</v>
      </c>
      <c r="AA459" s="42">
        <v>0</v>
      </c>
      <c r="AC459" s="42">
        <v>0</v>
      </c>
      <c r="AE459" s="42">
        <v>0</v>
      </c>
      <c r="AG459" s="42">
        <v>0</v>
      </c>
      <c r="AI459" s="42">
        <v>0</v>
      </c>
      <c r="AK459" s="42">
        <f t="shared" si="82"/>
        <v>0</v>
      </c>
      <c r="AM459" s="42">
        <f t="shared" si="83"/>
        <v>10362860</v>
      </c>
    </row>
    <row r="460" spans="1:39">
      <c r="A460" s="9" t="s">
        <v>468</v>
      </c>
      <c r="B460" s="9"/>
      <c r="C460" s="9" t="s">
        <v>109</v>
      </c>
      <c r="D460" s="9"/>
      <c r="E460" s="23">
        <v>49460</v>
      </c>
      <c r="G460" s="42">
        <v>1632903</v>
      </c>
      <c r="I460" s="42">
        <v>909602</v>
      </c>
      <c r="K460" s="42">
        <v>5060377</v>
      </c>
      <c r="M460" s="42">
        <v>3487</v>
      </c>
      <c r="O460" s="42">
        <f>445499+16289+760</f>
        <v>462548</v>
      </c>
      <c r="Q460" s="42">
        <v>0</v>
      </c>
      <c r="S460" s="42">
        <v>0</v>
      </c>
      <c r="U460" s="42">
        <v>789</v>
      </c>
      <c r="W460" s="42">
        <v>53064</v>
      </c>
      <c r="Y460" s="2">
        <f t="shared" si="84"/>
        <v>8122770</v>
      </c>
      <c r="AA460" s="42">
        <v>0</v>
      </c>
      <c r="AC460" s="42">
        <v>0</v>
      </c>
      <c r="AE460" s="42">
        <v>0</v>
      </c>
      <c r="AG460" s="42">
        <v>149818</v>
      </c>
      <c r="AI460" s="42">
        <v>0</v>
      </c>
      <c r="AK460" s="42">
        <f t="shared" si="82"/>
        <v>149818</v>
      </c>
      <c r="AM460" s="42">
        <f t="shared" si="83"/>
        <v>8272588</v>
      </c>
    </row>
    <row r="461" spans="1:39">
      <c r="A461" s="9" t="s">
        <v>718</v>
      </c>
      <c r="B461" s="9"/>
      <c r="C461" s="9" t="s">
        <v>45</v>
      </c>
      <c r="D461" s="9"/>
      <c r="E461" s="23">
        <v>48348</v>
      </c>
      <c r="G461" s="42">
        <v>11217517</v>
      </c>
      <c r="I461" s="42">
        <v>0</v>
      </c>
      <c r="K461" s="42">
        <v>7338839</v>
      </c>
      <c r="M461" s="42">
        <v>2219</v>
      </c>
      <c r="O461" s="42">
        <f>239779+17677</f>
        <v>257456</v>
      </c>
      <c r="Q461" s="42">
        <v>249455</v>
      </c>
      <c r="S461" s="42">
        <v>0</v>
      </c>
      <c r="U461" s="42">
        <v>11350</v>
      </c>
      <c r="W461" s="42">
        <v>9031</v>
      </c>
      <c r="Y461" s="2">
        <f t="shared" si="84"/>
        <v>19085867</v>
      </c>
      <c r="AA461" s="42">
        <v>0</v>
      </c>
      <c r="AC461" s="42">
        <v>0</v>
      </c>
      <c r="AE461" s="42">
        <v>0</v>
      </c>
      <c r="AG461" s="42">
        <f>2200+480000</f>
        <v>482200</v>
      </c>
      <c r="AI461" s="42">
        <v>0</v>
      </c>
      <c r="AK461" s="42">
        <f t="shared" si="82"/>
        <v>482200</v>
      </c>
      <c r="AM461" s="42">
        <f t="shared" si="83"/>
        <v>19568067</v>
      </c>
    </row>
    <row r="462" spans="1:39" hidden="1">
      <c r="A462" s="9" t="s">
        <v>816</v>
      </c>
      <c r="B462" s="9"/>
      <c r="C462" s="9" t="s">
        <v>53</v>
      </c>
      <c r="D462" s="9"/>
      <c r="E462" s="23">
        <v>44651</v>
      </c>
      <c r="G462" s="42">
        <v>0</v>
      </c>
      <c r="I462" s="42">
        <v>0</v>
      </c>
      <c r="K462" s="42">
        <v>0</v>
      </c>
      <c r="M462" s="42">
        <v>0</v>
      </c>
      <c r="O462" s="42">
        <v>0</v>
      </c>
      <c r="Q462" s="42">
        <v>0</v>
      </c>
      <c r="S462" s="42">
        <v>0</v>
      </c>
      <c r="U462" s="42">
        <v>0</v>
      </c>
      <c r="W462" s="42">
        <v>0</v>
      </c>
      <c r="Y462" s="2">
        <f t="shared" si="84"/>
        <v>0</v>
      </c>
      <c r="AA462" s="42">
        <v>0</v>
      </c>
      <c r="AC462" s="42">
        <v>0</v>
      </c>
      <c r="AE462" s="42">
        <v>0</v>
      </c>
      <c r="AG462" s="42">
        <v>0</v>
      </c>
      <c r="AI462" s="42">
        <v>0</v>
      </c>
      <c r="AK462" s="42">
        <f t="shared" si="82"/>
        <v>0</v>
      </c>
      <c r="AM462" s="42">
        <f t="shared" si="83"/>
        <v>0</v>
      </c>
    </row>
    <row r="463" spans="1:39">
      <c r="A463" s="9" t="s">
        <v>481</v>
      </c>
      <c r="B463" s="9"/>
      <c r="C463" s="9" t="s">
        <v>59</v>
      </c>
      <c r="D463" s="9"/>
      <c r="E463" s="23">
        <v>44669</v>
      </c>
      <c r="G463" s="42">
        <v>4120391</v>
      </c>
      <c r="I463" s="42">
        <v>0</v>
      </c>
      <c r="K463" s="42">
        <v>18821221</v>
      </c>
      <c r="M463" s="42">
        <v>22266</v>
      </c>
      <c r="O463" s="42">
        <f>769053+25176+2757</f>
        <v>796986</v>
      </c>
      <c r="Q463" s="42">
        <v>56121</v>
      </c>
      <c r="S463" s="42">
        <v>0</v>
      </c>
      <c r="U463" s="42">
        <v>8776</v>
      </c>
      <c r="W463" s="42">
        <v>116055</v>
      </c>
      <c r="Y463" s="2">
        <f t="shared" si="84"/>
        <v>23941816</v>
      </c>
      <c r="AA463" s="42">
        <v>0</v>
      </c>
      <c r="AC463" s="42">
        <v>0</v>
      </c>
      <c r="AE463" s="42">
        <v>0</v>
      </c>
      <c r="AG463" s="42">
        <v>179424</v>
      </c>
      <c r="AI463" s="42">
        <v>0</v>
      </c>
      <c r="AK463" s="42">
        <f t="shared" si="82"/>
        <v>179424</v>
      </c>
      <c r="AM463" s="42">
        <f t="shared" si="83"/>
        <v>24121240</v>
      </c>
    </row>
    <row r="464" spans="1:39" hidden="1">
      <c r="A464" s="9" t="s">
        <v>684</v>
      </c>
      <c r="B464" s="9"/>
      <c r="C464" s="9" t="s">
        <v>57</v>
      </c>
      <c r="D464" s="9"/>
      <c r="E464" s="23">
        <v>49288</v>
      </c>
      <c r="G464" s="42">
        <v>0</v>
      </c>
      <c r="I464" s="42">
        <v>0</v>
      </c>
      <c r="K464" s="42">
        <v>0</v>
      </c>
      <c r="M464" s="42">
        <v>0</v>
      </c>
      <c r="O464" s="42">
        <v>0</v>
      </c>
      <c r="Q464" s="42">
        <v>0</v>
      </c>
      <c r="S464" s="42">
        <v>0</v>
      </c>
      <c r="U464" s="42">
        <v>0</v>
      </c>
      <c r="W464" s="42">
        <v>0</v>
      </c>
      <c r="Y464" s="2">
        <f t="shared" si="84"/>
        <v>0</v>
      </c>
      <c r="AA464" s="42">
        <v>0</v>
      </c>
      <c r="AC464" s="42">
        <v>0</v>
      </c>
      <c r="AE464" s="42">
        <v>0</v>
      </c>
      <c r="AG464" s="42">
        <v>0</v>
      </c>
      <c r="AI464" s="42">
        <v>0</v>
      </c>
      <c r="AK464" s="42">
        <f t="shared" si="82"/>
        <v>0</v>
      </c>
      <c r="AM464" s="42">
        <f t="shared" si="83"/>
        <v>0</v>
      </c>
    </row>
    <row r="465" spans="1:39">
      <c r="A465" s="9" t="s">
        <v>327</v>
      </c>
      <c r="B465" s="9"/>
      <c r="C465" s="9" t="s">
        <v>32</v>
      </c>
      <c r="D465" s="9"/>
      <c r="E465" s="23">
        <v>44677</v>
      </c>
      <c r="G465" s="42">
        <v>46516683</v>
      </c>
      <c r="I465" s="42">
        <v>0</v>
      </c>
      <c r="K465" s="42">
        <v>23161277</v>
      </c>
      <c r="M465" s="42">
        <v>114527</v>
      </c>
      <c r="O465" s="42">
        <f>4917188+16726</f>
        <v>4933914</v>
      </c>
      <c r="Q465" s="42">
        <v>9207</v>
      </c>
      <c r="S465" s="42">
        <v>266425</v>
      </c>
      <c r="U465" s="42">
        <v>0</v>
      </c>
      <c r="W465" s="42">
        <v>258631</v>
      </c>
      <c r="Y465" s="2">
        <f t="shared" si="84"/>
        <v>75260664</v>
      </c>
      <c r="AA465" s="42">
        <v>0</v>
      </c>
      <c r="AC465" s="42">
        <v>0</v>
      </c>
      <c r="AE465" s="42">
        <v>0</v>
      </c>
      <c r="AG465" s="42">
        <v>17519</v>
      </c>
      <c r="AI465" s="42">
        <v>0</v>
      </c>
      <c r="AK465" s="42">
        <f t="shared" si="82"/>
        <v>17519</v>
      </c>
      <c r="AM465" s="42">
        <f t="shared" si="83"/>
        <v>75278183</v>
      </c>
    </row>
    <row r="466" spans="1:39" hidden="1">
      <c r="A466" s="9" t="s">
        <v>817</v>
      </c>
      <c r="B466" s="9"/>
      <c r="C466" s="9" t="s">
        <v>53</v>
      </c>
      <c r="D466" s="9"/>
      <c r="E466" s="23">
        <v>48975</v>
      </c>
      <c r="F466" s="7"/>
      <c r="G466" s="42">
        <v>0</v>
      </c>
      <c r="I466" s="42">
        <v>0</v>
      </c>
      <c r="K466" s="42">
        <v>0</v>
      </c>
      <c r="M466" s="42">
        <v>0</v>
      </c>
      <c r="O466" s="42">
        <v>0</v>
      </c>
      <c r="Q466" s="42">
        <v>0</v>
      </c>
      <c r="S466" s="42">
        <v>0</v>
      </c>
      <c r="U466" s="42">
        <v>0</v>
      </c>
      <c r="W466" s="42">
        <v>0</v>
      </c>
      <c r="Y466" s="2">
        <f t="shared" ref="Y466" si="85">SUM(G466:X466)</f>
        <v>0</v>
      </c>
      <c r="AA466" s="42">
        <v>0</v>
      </c>
      <c r="AC466" s="42">
        <v>0</v>
      </c>
      <c r="AE466" s="42">
        <v>0</v>
      </c>
      <c r="AG466" s="42">
        <v>0</v>
      </c>
      <c r="AI466" s="42">
        <v>0</v>
      </c>
      <c r="AK466" s="42">
        <f t="shared" ref="AK466" si="86">SUM(AA466:AJ466)</f>
        <v>0</v>
      </c>
      <c r="AM466" s="42">
        <f t="shared" ref="AM466" si="87">+AK466+Y466</f>
        <v>0</v>
      </c>
    </row>
    <row r="467" spans="1:39" hidden="1">
      <c r="A467" s="9" t="s">
        <v>818</v>
      </c>
      <c r="B467" s="9"/>
      <c r="C467" s="9" t="s">
        <v>12</v>
      </c>
      <c r="D467" s="9"/>
      <c r="E467" s="23">
        <v>45880</v>
      </c>
      <c r="F467" s="7"/>
      <c r="G467" s="42">
        <v>0</v>
      </c>
      <c r="I467" s="42">
        <v>0</v>
      </c>
      <c r="K467" s="42">
        <v>0</v>
      </c>
      <c r="M467" s="42">
        <v>0</v>
      </c>
      <c r="O467" s="42">
        <v>0</v>
      </c>
      <c r="Q467" s="42">
        <v>0</v>
      </c>
      <c r="S467" s="42">
        <v>0</v>
      </c>
      <c r="U467" s="42">
        <v>0</v>
      </c>
      <c r="W467" s="42">
        <v>0</v>
      </c>
      <c r="Y467" s="2">
        <f t="shared" si="84"/>
        <v>0</v>
      </c>
      <c r="AA467" s="42">
        <v>0</v>
      </c>
      <c r="AC467" s="42">
        <v>0</v>
      </c>
      <c r="AE467" s="42">
        <v>0</v>
      </c>
      <c r="AG467" s="42">
        <v>0</v>
      </c>
      <c r="AI467" s="42">
        <v>0</v>
      </c>
      <c r="AK467" s="42">
        <f t="shared" si="82"/>
        <v>0</v>
      </c>
      <c r="AM467" s="42">
        <f t="shared" si="83"/>
        <v>0</v>
      </c>
    </row>
    <row r="468" spans="1:39" s="24" customFormat="1">
      <c r="A468" s="51" t="s">
        <v>627</v>
      </c>
      <c r="B468" s="51"/>
      <c r="C468" s="51" t="s">
        <v>56</v>
      </c>
      <c r="D468" s="51"/>
      <c r="E468" s="23">
        <v>44685</v>
      </c>
      <c r="G468" s="42">
        <v>9857859</v>
      </c>
      <c r="H468" s="42"/>
      <c r="I468" s="42">
        <v>0</v>
      </c>
      <c r="J468" s="42"/>
      <c r="K468" s="42">
        <f>14989369+81565</f>
        <v>15070934</v>
      </c>
      <c r="L468" s="42"/>
      <c r="M468" s="42">
        <v>11679</v>
      </c>
      <c r="N468" s="42"/>
      <c r="O468" s="42">
        <f>784299+31218+375+62965+5920</f>
        <v>884777</v>
      </c>
      <c r="P468" s="42"/>
      <c r="Q468" s="42">
        <v>80439</v>
      </c>
      <c r="R468" s="42"/>
      <c r="S468" s="42">
        <v>63411</v>
      </c>
      <c r="T468" s="42"/>
      <c r="U468" s="42">
        <v>8660</v>
      </c>
      <c r="V468" s="42"/>
      <c r="W468" s="42">
        <v>62573</v>
      </c>
      <c r="X468" s="42"/>
      <c r="Y468" s="2">
        <f t="shared" si="84"/>
        <v>26040332</v>
      </c>
      <c r="Z468" s="42"/>
      <c r="AA468" s="42">
        <v>0</v>
      </c>
      <c r="AB468" s="42"/>
      <c r="AC468" s="42">
        <v>0</v>
      </c>
      <c r="AD468" s="42"/>
      <c r="AE468" s="42">
        <v>0</v>
      </c>
      <c r="AF468" s="42"/>
      <c r="AG468" s="42">
        <v>398697</v>
      </c>
      <c r="AH468" s="42"/>
      <c r="AI468" s="42">
        <v>0</v>
      </c>
      <c r="AJ468" s="42"/>
      <c r="AK468" s="42">
        <f t="shared" si="82"/>
        <v>398697</v>
      </c>
      <c r="AL468" s="42"/>
      <c r="AM468" s="42">
        <f t="shared" si="83"/>
        <v>26439029</v>
      </c>
    </row>
    <row r="469" spans="1:39">
      <c r="A469" s="9" t="s">
        <v>328</v>
      </c>
      <c r="B469" s="9"/>
      <c r="C469" s="9" t="s">
        <v>32</v>
      </c>
      <c r="D469" s="9"/>
      <c r="E469" s="23">
        <v>44693</v>
      </c>
      <c r="G469" s="42">
        <v>7496966</v>
      </c>
      <c r="I469" s="42">
        <v>0</v>
      </c>
      <c r="K469" s="42">
        <v>5389297</v>
      </c>
      <c r="M469" s="42">
        <v>16998</v>
      </c>
      <c r="O469" s="42">
        <f>1822459+37372</f>
        <v>1859831</v>
      </c>
      <c r="Q469" s="42">
        <v>25341</v>
      </c>
      <c r="S469" s="42">
        <v>0</v>
      </c>
      <c r="U469" s="42">
        <v>28866</v>
      </c>
      <c r="W469" s="42">
        <v>142666</v>
      </c>
      <c r="Y469" s="2">
        <f t="shared" si="84"/>
        <v>14959965</v>
      </c>
      <c r="AA469" s="42">
        <v>0</v>
      </c>
      <c r="AC469" s="42">
        <v>0</v>
      </c>
      <c r="AE469" s="42">
        <v>0</v>
      </c>
      <c r="AG469" s="42">
        <v>515669</v>
      </c>
      <c r="AI469" s="42">
        <v>0</v>
      </c>
      <c r="AK469" s="42">
        <f t="shared" si="82"/>
        <v>515669</v>
      </c>
      <c r="AM469" s="42">
        <f t="shared" si="83"/>
        <v>15475634</v>
      </c>
    </row>
    <row r="470" spans="1:39">
      <c r="A470" s="9" t="s">
        <v>509</v>
      </c>
      <c r="B470" s="9"/>
      <c r="C470" s="9" t="s">
        <v>63</v>
      </c>
      <c r="D470" s="9"/>
      <c r="E470" s="23">
        <v>50054</v>
      </c>
      <c r="G470" s="42">
        <v>25037179</v>
      </c>
      <c r="I470" s="42">
        <v>0</v>
      </c>
      <c r="K470" s="42">
        <v>6213832</v>
      </c>
      <c r="M470" s="42">
        <v>56068</v>
      </c>
      <c r="O470" s="42">
        <f>515829+122466</f>
        <v>638295</v>
      </c>
      <c r="Q470" s="42">
        <v>116785</v>
      </c>
      <c r="S470" s="42">
        <v>0</v>
      </c>
      <c r="U470" s="42">
        <v>32258</v>
      </c>
      <c r="W470" s="42">
        <v>98425</v>
      </c>
      <c r="Y470" s="2">
        <f t="shared" si="84"/>
        <v>32192842</v>
      </c>
      <c r="AA470" s="42">
        <v>0</v>
      </c>
      <c r="AC470" s="42">
        <v>0</v>
      </c>
      <c r="AE470" s="42">
        <v>0</v>
      </c>
      <c r="AG470" s="42">
        <f>2380+1100</f>
        <v>3480</v>
      </c>
      <c r="AI470" s="42">
        <v>0</v>
      </c>
      <c r="AK470" s="42">
        <f t="shared" si="82"/>
        <v>3480</v>
      </c>
      <c r="AM470" s="42">
        <f t="shared" si="83"/>
        <v>32196322</v>
      </c>
    </row>
    <row r="471" spans="1:39" hidden="1">
      <c r="A471" s="9" t="s">
        <v>819</v>
      </c>
      <c r="B471" s="9"/>
      <c r="C471" s="9" t="s">
        <v>27</v>
      </c>
      <c r="D471" s="9"/>
      <c r="E471" s="23">
        <v>47001</v>
      </c>
      <c r="G471" s="42">
        <v>0</v>
      </c>
      <c r="I471" s="42">
        <v>0</v>
      </c>
      <c r="K471" s="42">
        <v>0</v>
      </c>
      <c r="M471" s="42">
        <v>0</v>
      </c>
      <c r="O471" s="42">
        <v>0</v>
      </c>
      <c r="Q471" s="42">
        <v>0</v>
      </c>
      <c r="S471" s="42">
        <v>0</v>
      </c>
      <c r="U471" s="42">
        <v>0</v>
      </c>
      <c r="W471" s="42">
        <v>0</v>
      </c>
      <c r="Y471" s="2">
        <f t="shared" si="84"/>
        <v>0</v>
      </c>
      <c r="AA471" s="42">
        <v>0</v>
      </c>
      <c r="AC471" s="42">
        <v>0</v>
      </c>
      <c r="AE471" s="42">
        <v>0</v>
      </c>
      <c r="AG471" s="42">
        <v>0</v>
      </c>
      <c r="AI471" s="42">
        <v>0</v>
      </c>
      <c r="AK471" s="42">
        <f t="shared" si="82"/>
        <v>0</v>
      </c>
      <c r="AM471" s="42">
        <f t="shared" si="83"/>
        <v>0</v>
      </c>
    </row>
    <row r="472" spans="1:39">
      <c r="A472" s="9" t="s">
        <v>274</v>
      </c>
      <c r="B472" s="9"/>
      <c r="C472" s="9" t="s">
        <v>20</v>
      </c>
      <c r="D472" s="9"/>
      <c r="E472" s="23">
        <v>46599</v>
      </c>
      <c r="G472" s="42">
        <v>10016692</v>
      </c>
      <c r="I472" s="42">
        <v>0</v>
      </c>
      <c r="K472" s="42">
        <v>3255751</v>
      </c>
      <c r="M472" s="42">
        <v>1780</v>
      </c>
      <c r="O472" s="42">
        <f>331679+28143</f>
        <v>359822</v>
      </c>
      <c r="Q472" s="42">
        <v>35799</v>
      </c>
      <c r="S472" s="42">
        <v>0</v>
      </c>
      <c r="U472" s="42">
        <v>401</v>
      </c>
      <c r="W472" s="42">
        <v>93855</v>
      </c>
      <c r="Y472" s="2">
        <f t="shared" si="84"/>
        <v>13764100</v>
      </c>
      <c r="AA472" s="42">
        <v>0</v>
      </c>
      <c r="AC472" s="42">
        <v>0</v>
      </c>
      <c r="AE472" s="42">
        <v>0</v>
      </c>
      <c r="AG472" s="42">
        <v>0</v>
      </c>
      <c r="AI472" s="42">
        <v>0</v>
      </c>
      <c r="AK472" s="42">
        <f t="shared" si="82"/>
        <v>0</v>
      </c>
      <c r="AM472" s="42">
        <f t="shared" si="83"/>
        <v>13764100</v>
      </c>
    </row>
    <row r="473" spans="1:39" s="24" customFormat="1">
      <c r="A473" s="51" t="s">
        <v>409</v>
      </c>
      <c r="B473" s="51"/>
      <c r="C473" s="51" t="s">
        <v>46</v>
      </c>
      <c r="D473" s="51"/>
      <c r="E473" s="51">
        <v>48439</v>
      </c>
      <c r="G473" s="24">
        <v>2792601</v>
      </c>
      <c r="I473" s="24">
        <v>0</v>
      </c>
      <c r="K473" s="24">
        <v>3449895</v>
      </c>
      <c r="M473" s="24">
        <v>8990</v>
      </c>
      <c r="O473" s="24">
        <f>1218563+70053</f>
        <v>1288616</v>
      </c>
      <c r="Q473" s="24">
        <v>26941</v>
      </c>
      <c r="S473" s="24">
        <v>139130</v>
      </c>
      <c r="U473" s="24">
        <v>136</v>
      </c>
      <c r="W473" s="24">
        <v>24379</v>
      </c>
      <c r="Y473" s="60">
        <f t="shared" si="84"/>
        <v>7730688</v>
      </c>
      <c r="AA473" s="24">
        <v>0</v>
      </c>
      <c r="AC473" s="24">
        <v>0</v>
      </c>
      <c r="AE473" s="24">
        <v>0</v>
      </c>
      <c r="AG473" s="24">
        <v>222202</v>
      </c>
      <c r="AI473" s="24">
        <v>0</v>
      </c>
      <c r="AK473" s="24">
        <f t="shared" si="82"/>
        <v>222202</v>
      </c>
      <c r="AM473" s="24">
        <f t="shared" si="83"/>
        <v>7952890</v>
      </c>
    </row>
    <row r="474" spans="1:39" hidden="1">
      <c r="A474" s="9" t="s">
        <v>885</v>
      </c>
      <c r="B474" s="9"/>
      <c r="C474" s="9" t="s">
        <v>337</v>
      </c>
      <c r="D474" s="9"/>
      <c r="E474" s="23">
        <v>47506</v>
      </c>
      <c r="G474" s="42">
        <v>0</v>
      </c>
      <c r="I474" s="42">
        <v>0</v>
      </c>
      <c r="K474" s="42">
        <v>0</v>
      </c>
      <c r="M474" s="42">
        <v>0</v>
      </c>
      <c r="O474" s="42">
        <v>0</v>
      </c>
      <c r="Q474" s="42">
        <v>0</v>
      </c>
      <c r="S474" s="42">
        <v>0</v>
      </c>
      <c r="U474" s="42">
        <v>0</v>
      </c>
      <c r="W474" s="42">
        <v>0</v>
      </c>
      <c r="Y474" s="2">
        <f t="shared" si="84"/>
        <v>0</v>
      </c>
      <c r="AA474" s="42">
        <v>0</v>
      </c>
      <c r="AC474" s="42">
        <v>0</v>
      </c>
      <c r="AE474" s="42">
        <v>0</v>
      </c>
      <c r="AG474" s="42">
        <v>0</v>
      </c>
      <c r="AI474" s="42">
        <v>0</v>
      </c>
      <c r="AK474" s="42">
        <f t="shared" si="82"/>
        <v>0</v>
      </c>
      <c r="AM474" s="42">
        <f t="shared" si="83"/>
        <v>0</v>
      </c>
    </row>
    <row r="475" spans="1:39">
      <c r="A475" s="9" t="s">
        <v>252</v>
      </c>
      <c r="B475" s="9"/>
      <c r="C475" s="9" t="s">
        <v>19</v>
      </c>
      <c r="D475" s="9"/>
      <c r="E475" s="23">
        <v>46474</v>
      </c>
      <c r="F475" s="7"/>
      <c r="G475" s="42">
        <v>2449973</v>
      </c>
      <c r="I475" s="42">
        <v>0</v>
      </c>
      <c r="K475" s="42">
        <f>7589284+33180</f>
        <v>7622464</v>
      </c>
      <c r="M475" s="42">
        <v>2203</v>
      </c>
      <c r="O475" s="42">
        <f>365481+26272</f>
        <v>391753</v>
      </c>
      <c r="Q475" s="42">
        <v>82349</v>
      </c>
      <c r="S475" s="42">
        <v>0</v>
      </c>
      <c r="U475" s="42">
        <v>0</v>
      </c>
      <c r="W475" s="42">
        <v>14205</v>
      </c>
      <c r="Y475" s="2">
        <f t="shared" si="84"/>
        <v>10562947</v>
      </c>
      <c r="AA475" s="42">
        <v>0</v>
      </c>
      <c r="AC475" s="42">
        <v>0</v>
      </c>
      <c r="AE475" s="42">
        <v>0</v>
      </c>
      <c r="AG475" s="42">
        <v>0</v>
      </c>
      <c r="AI475" s="42">
        <v>0</v>
      </c>
      <c r="AK475" s="42">
        <f t="shared" si="82"/>
        <v>0</v>
      </c>
      <c r="AM475" s="42">
        <f t="shared" si="83"/>
        <v>10562947</v>
      </c>
    </row>
    <row r="476" spans="1:39" hidden="1">
      <c r="A476" s="9" t="s">
        <v>820</v>
      </c>
      <c r="B476" s="9"/>
      <c r="C476" s="9" t="s">
        <v>77</v>
      </c>
      <c r="D476" s="9"/>
      <c r="E476" s="23">
        <v>46078</v>
      </c>
      <c r="F476" s="7"/>
      <c r="G476" s="42">
        <v>0</v>
      </c>
      <c r="I476" s="42">
        <v>0</v>
      </c>
      <c r="K476" s="42">
        <v>0</v>
      </c>
      <c r="M476" s="42">
        <v>0</v>
      </c>
      <c r="O476" s="42">
        <v>0</v>
      </c>
      <c r="Q476" s="42">
        <v>0</v>
      </c>
      <c r="S476" s="42">
        <v>0</v>
      </c>
      <c r="U476" s="42">
        <v>0</v>
      </c>
      <c r="W476" s="42">
        <v>0</v>
      </c>
      <c r="Y476" s="2">
        <f t="shared" si="84"/>
        <v>0</v>
      </c>
      <c r="AA476" s="42">
        <v>0</v>
      </c>
      <c r="AC476" s="42">
        <v>0</v>
      </c>
      <c r="AE476" s="42">
        <v>0</v>
      </c>
      <c r="AG476" s="42">
        <v>0</v>
      </c>
      <c r="AI476" s="42">
        <v>0</v>
      </c>
      <c r="AK476" s="42">
        <f t="shared" si="82"/>
        <v>0</v>
      </c>
      <c r="AM476" s="42">
        <f t="shared" si="83"/>
        <v>0</v>
      </c>
    </row>
    <row r="477" spans="1:39" hidden="1">
      <c r="A477" s="9" t="s">
        <v>821</v>
      </c>
      <c r="B477" s="9"/>
      <c r="C477" s="9" t="s">
        <v>71</v>
      </c>
      <c r="D477" s="9"/>
      <c r="E477" s="23">
        <v>45591</v>
      </c>
      <c r="G477" s="42">
        <v>0</v>
      </c>
      <c r="I477" s="42">
        <v>0</v>
      </c>
      <c r="K477" s="42">
        <v>0</v>
      </c>
      <c r="M477" s="42">
        <v>0</v>
      </c>
      <c r="O477" s="42">
        <v>0</v>
      </c>
      <c r="Q477" s="42">
        <v>0</v>
      </c>
      <c r="S477" s="42">
        <v>0</v>
      </c>
      <c r="U477" s="42">
        <v>0</v>
      </c>
      <c r="W477" s="42">
        <v>0</v>
      </c>
      <c r="Y477" s="2">
        <f t="shared" si="84"/>
        <v>0</v>
      </c>
      <c r="AA477" s="42">
        <v>0</v>
      </c>
      <c r="AC477" s="42">
        <v>0</v>
      </c>
      <c r="AE477" s="42">
        <v>0</v>
      </c>
      <c r="AG477" s="42">
        <v>0</v>
      </c>
      <c r="AI477" s="42">
        <v>0</v>
      </c>
      <c r="AK477" s="42">
        <f t="shared" si="82"/>
        <v>0</v>
      </c>
      <c r="AM477" s="42">
        <f t="shared" si="83"/>
        <v>0</v>
      </c>
    </row>
    <row r="478" spans="1:39">
      <c r="A478" s="9" t="s">
        <v>410</v>
      </c>
      <c r="B478" s="9"/>
      <c r="C478" s="9" t="s">
        <v>46</v>
      </c>
      <c r="D478" s="9"/>
      <c r="E478" s="23">
        <v>48447</v>
      </c>
      <c r="G478" s="42">
        <v>5488281</v>
      </c>
      <c r="I478" s="42">
        <v>0</v>
      </c>
      <c r="K478" s="42">
        <v>6070525</v>
      </c>
      <c r="M478" s="42">
        <v>2536</v>
      </c>
      <c r="O478" s="42">
        <f>3110827+25837</f>
        <v>3136664</v>
      </c>
      <c r="Q478" s="42">
        <v>0</v>
      </c>
      <c r="S478" s="42">
        <v>229297</v>
      </c>
      <c r="U478" s="42">
        <v>725</v>
      </c>
      <c r="W478" s="42">
        <v>212358</v>
      </c>
      <c r="Y478" s="2">
        <f t="shared" si="84"/>
        <v>15140386</v>
      </c>
      <c r="AA478" s="42">
        <v>0</v>
      </c>
      <c r="AC478" s="42">
        <v>0</v>
      </c>
      <c r="AE478" s="42">
        <v>0</v>
      </c>
      <c r="AG478" s="42">
        <v>54524</v>
      </c>
      <c r="AI478" s="42">
        <v>0</v>
      </c>
      <c r="AK478" s="42">
        <f t="shared" si="82"/>
        <v>54524</v>
      </c>
      <c r="AM478" s="42">
        <f t="shared" si="83"/>
        <v>15194910</v>
      </c>
    </row>
    <row r="479" spans="1:39">
      <c r="A479" s="9" t="s">
        <v>253</v>
      </c>
      <c r="B479" s="9"/>
      <c r="C479" s="9" t="s">
        <v>19</v>
      </c>
      <c r="D479" s="9"/>
      <c r="E479" s="23">
        <v>46482</v>
      </c>
      <c r="F479" s="7"/>
      <c r="G479" s="42">
        <v>8624645</v>
      </c>
      <c r="I479" s="42">
        <v>0</v>
      </c>
      <c r="K479" s="42">
        <v>9497913</v>
      </c>
      <c r="M479" s="42">
        <v>16317</v>
      </c>
      <c r="O479" s="42">
        <f>980629+2573+4326</f>
        <v>987528</v>
      </c>
      <c r="Q479" s="42">
        <v>60803</v>
      </c>
      <c r="S479" s="42">
        <v>0</v>
      </c>
      <c r="U479" s="42">
        <v>21496</v>
      </c>
      <c r="W479" s="42">
        <v>194128</v>
      </c>
      <c r="Y479" s="2">
        <f t="shared" si="84"/>
        <v>19402830</v>
      </c>
      <c r="AA479" s="42">
        <v>0</v>
      </c>
      <c r="AC479" s="42">
        <v>0</v>
      </c>
      <c r="AE479" s="42">
        <v>0</v>
      </c>
      <c r="AG479" s="42">
        <f>37+58241</f>
        <v>58278</v>
      </c>
      <c r="AI479" s="42">
        <v>0</v>
      </c>
      <c r="AK479" s="42">
        <f t="shared" si="82"/>
        <v>58278</v>
      </c>
      <c r="AM479" s="42">
        <f t="shared" si="83"/>
        <v>19461108</v>
      </c>
    </row>
    <row r="480" spans="1:39" hidden="1">
      <c r="A480" s="9" t="s">
        <v>822</v>
      </c>
      <c r="B480" s="9"/>
      <c r="C480" s="9" t="s">
        <v>337</v>
      </c>
      <c r="D480" s="9"/>
      <c r="E480" s="23">
        <v>47514</v>
      </c>
      <c r="G480" s="42">
        <v>0</v>
      </c>
      <c r="I480" s="42">
        <v>0</v>
      </c>
      <c r="K480" s="42">
        <v>0</v>
      </c>
      <c r="M480" s="42">
        <v>0</v>
      </c>
      <c r="O480" s="42">
        <v>0</v>
      </c>
      <c r="Q480" s="42">
        <v>0</v>
      </c>
      <c r="S480" s="42">
        <v>0</v>
      </c>
      <c r="U480" s="42">
        <v>0</v>
      </c>
      <c r="W480" s="42">
        <v>0</v>
      </c>
      <c r="Y480" s="2">
        <f t="shared" si="84"/>
        <v>0</v>
      </c>
      <c r="AA480" s="42">
        <v>0</v>
      </c>
      <c r="AC480" s="42">
        <v>0</v>
      </c>
      <c r="AE480" s="42">
        <v>0</v>
      </c>
      <c r="AG480" s="42">
        <v>0</v>
      </c>
      <c r="AI480" s="42">
        <v>0</v>
      </c>
      <c r="AK480" s="42">
        <f t="shared" si="82"/>
        <v>0</v>
      </c>
      <c r="AM480" s="42">
        <f t="shared" si="83"/>
        <v>0</v>
      </c>
    </row>
    <row r="481" spans="1:39">
      <c r="A481" s="9" t="s">
        <v>377</v>
      </c>
      <c r="B481" s="9"/>
      <c r="C481" s="9" t="s">
        <v>41</v>
      </c>
      <c r="D481" s="9"/>
      <c r="E481" s="23">
        <v>47894</v>
      </c>
      <c r="G481" s="42">
        <v>22712996</v>
      </c>
      <c r="I481" s="42">
        <v>0</v>
      </c>
      <c r="K481" s="42">
        <v>11940505</v>
      </c>
      <c r="M481" s="42">
        <v>1044</v>
      </c>
      <c r="O481" s="42">
        <f>311743+1160348+5269</f>
        <v>1477360</v>
      </c>
      <c r="Q481" s="42">
        <v>153355</v>
      </c>
      <c r="S481" s="42">
        <v>98206</v>
      </c>
      <c r="U481" s="42">
        <v>54672</v>
      </c>
      <c r="W481" s="42">
        <v>271941</v>
      </c>
      <c r="Y481" s="2">
        <f t="shared" si="84"/>
        <v>36710079</v>
      </c>
      <c r="AA481" s="42">
        <v>0</v>
      </c>
      <c r="AC481" s="42">
        <v>0</v>
      </c>
      <c r="AE481" s="42">
        <v>0</v>
      </c>
      <c r="AG481" s="42">
        <v>0</v>
      </c>
      <c r="AI481" s="42">
        <v>0</v>
      </c>
      <c r="AK481" s="42">
        <f t="shared" si="82"/>
        <v>0</v>
      </c>
      <c r="AM481" s="42">
        <f t="shared" si="83"/>
        <v>36710079</v>
      </c>
    </row>
    <row r="482" spans="1:39">
      <c r="A482" s="9" t="s">
        <v>377</v>
      </c>
      <c r="B482" s="9"/>
      <c r="C482" s="9" t="s">
        <v>43</v>
      </c>
      <c r="D482" s="9"/>
      <c r="E482" s="23">
        <v>48090</v>
      </c>
      <c r="G482" s="42">
        <v>1388333</v>
      </c>
      <c r="I482" s="42">
        <v>1354354</v>
      </c>
      <c r="K482" s="42">
        <v>4035613</v>
      </c>
      <c r="M482" s="42">
        <v>5617</v>
      </c>
      <c r="O482" s="42">
        <f>403376+3219+27426+50</f>
        <v>434071</v>
      </c>
      <c r="Q482" s="42">
        <v>3835</v>
      </c>
      <c r="S482" s="42">
        <v>0</v>
      </c>
      <c r="U482" s="42">
        <v>4230</v>
      </c>
      <c r="W482" s="42">
        <v>29154</v>
      </c>
      <c r="Y482" s="2">
        <f>SUM(G482:X482)</f>
        <v>7255207</v>
      </c>
      <c r="AA482" s="42">
        <v>0</v>
      </c>
      <c r="AC482" s="42">
        <v>0</v>
      </c>
      <c r="AE482" s="42">
        <v>0</v>
      </c>
      <c r="AG482" s="42">
        <v>158707</v>
      </c>
      <c r="AI482" s="42">
        <v>0</v>
      </c>
      <c r="AK482" s="42">
        <f t="shared" si="82"/>
        <v>158707</v>
      </c>
      <c r="AM482" s="42">
        <f t="shared" si="83"/>
        <v>7413914</v>
      </c>
    </row>
    <row r="483" spans="1:39">
      <c r="A483" s="9" t="s">
        <v>368</v>
      </c>
      <c r="B483" s="9"/>
      <c r="C483" s="9" t="s">
        <v>364</v>
      </c>
      <c r="D483" s="9"/>
      <c r="E483" s="23">
        <v>47944</v>
      </c>
      <c r="G483" s="42">
        <v>2241999</v>
      </c>
      <c r="I483" s="42">
        <v>0</v>
      </c>
      <c r="K483" s="42">
        <v>13585371</v>
      </c>
      <c r="M483" s="42">
        <v>14005</v>
      </c>
      <c r="O483" s="42">
        <v>883285</v>
      </c>
      <c r="Q483" s="42">
        <v>36666</v>
      </c>
      <c r="S483" s="42">
        <v>0</v>
      </c>
      <c r="U483" s="42">
        <v>94</v>
      </c>
      <c r="W483" s="42">
        <v>274340</v>
      </c>
      <c r="Y483" s="2">
        <f t="shared" si="84"/>
        <v>17035760</v>
      </c>
      <c r="AA483" s="42">
        <v>0</v>
      </c>
      <c r="AC483" s="42">
        <v>0</v>
      </c>
      <c r="AE483" s="42">
        <v>0</v>
      </c>
      <c r="AG483" s="42">
        <v>0</v>
      </c>
      <c r="AI483" s="42">
        <v>0</v>
      </c>
      <c r="AK483" s="42">
        <f t="shared" si="82"/>
        <v>0</v>
      </c>
      <c r="AM483" s="42">
        <f t="shared" si="83"/>
        <v>17035760</v>
      </c>
    </row>
    <row r="484" spans="1:39">
      <c r="A484" s="9" t="s">
        <v>707</v>
      </c>
      <c r="B484" s="9"/>
      <c r="C484" s="9" t="s">
        <v>20</v>
      </c>
      <c r="D484" s="9"/>
      <c r="E484" s="23">
        <v>44701</v>
      </c>
      <c r="G484" s="42">
        <v>27124281</v>
      </c>
      <c r="I484" s="42">
        <v>0</v>
      </c>
      <c r="K484" s="42">
        <f>5059908+1126921</f>
        <v>6186829</v>
      </c>
      <c r="M484" s="42">
        <v>28554</v>
      </c>
      <c r="O484" s="42">
        <f>84547+78071+200480+20303+116085</f>
        <v>499486</v>
      </c>
      <c r="Q484" s="42">
        <v>16675</v>
      </c>
      <c r="S484" s="42">
        <v>0</v>
      </c>
      <c r="U484" s="42">
        <v>63055</v>
      </c>
      <c r="W484" s="42">
        <v>183140</v>
      </c>
      <c r="Y484" s="2">
        <f t="shared" si="84"/>
        <v>34102020</v>
      </c>
      <c r="AA484" s="42">
        <v>0</v>
      </c>
      <c r="AC484" s="42">
        <v>0</v>
      </c>
      <c r="AE484" s="42">
        <v>0</v>
      </c>
      <c r="AG484" s="42">
        <v>0</v>
      </c>
      <c r="AI484" s="42">
        <v>0</v>
      </c>
      <c r="AK484" s="42">
        <f t="shared" si="82"/>
        <v>0</v>
      </c>
      <c r="AM484" s="42">
        <f t="shared" si="83"/>
        <v>34102020</v>
      </c>
    </row>
    <row r="485" spans="1:39">
      <c r="A485" s="9" t="s">
        <v>319</v>
      </c>
      <c r="B485" s="9"/>
      <c r="C485" s="9" t="s">
        <v>31</v>
      </c>
      <c r="D485" s="9"/>
      <c r="E485" s="23">
        <v>47308</v>
      </c>
      <c r="G485" s="42">
        <v>5706211</v>
      </c>
      <c r="I485" s="42">
        <v>0</v>
      </c>
      <c r="K485" s="42">
        <v>10030260</v>
      </c>
      <c r="M485" s="42">
        <v>9251</v>
      </c>
      <c r="O485" s="42">
        <f>707797+179360</f>
        <v>887157</v>
      </c>
      <c r="Q485" s="42">
        <v>113972</v>
      </c>
      <c r="S485" s="42">
        <v>0</v>
      </c>
      <c r="U485" s="42">
        <v>13065</v>
      </c>
      <c r="W485" s="42">
        <v>36340</v>
      </c>
      <c r="Y485" s="2">
        <f t="shared" si="84"/>
        <v>16796256</v>
      </c>
      <c r="AA485" s="42">
        <v>0</v>
      </c>
      <c r="AC485" s="42">
        <v>0</v>
      </c>
      <c r="AE485" s="42">
        <v>0</v>
      </c>
      <c r="AG485" s="42">
        <v>0</v>
      </c>
      <c r="AI485" s="42">
        <v>0</v>
      </c>
      <c r="AK485" s="42">
        <f t="shared" si="82"/>
        <v>0</v>
      </c>
      <c r="AM485" s="42">
        <f t="shared" si="83"/>
        <v>16796256</v>
      </c>
    </row>
    <row r="486" spans="1:39">
      <c r="A486" s="9" t="s">
        <v>459</v>
      </c>
      <c r="B486" s="9"/>
      <c r="C486" s="9" t="s">
        <v>56</v>
      </c>
      <c r="D486" s="9"/>
      <c r="E486" s="23">
        <v>49213</v>
      </c>
      <c r="G486" s="42">
        <v>5447447</v>
      </c>
      <c r="I486" s="42">
        <v>0</v>
      </c>
      <c r="K486" s="42">
        <v>5137617</v>
      </c>
      <c r="M486" s="42">
        <v>832</v>
      </c>
      <c r="O486" s="42">
        <f>474967+2966</f>
        <v>477933</v>
      </c>
      <c r="Q486" s="42">
        <v>333</v>
      </c>
      <c r="S486" s="42">
        <v>0</v>
      </c>
      <c r="U486" s="42">
        <v>12549</v>
      </c>
      <c r="W486" s="42">
        <v>81453</v>
      </c>
      <c r="Y486" s="2">
        <f t="shared" si="84"/>
        <v>11158164</v>
      </c>
      <c r="AA486" s="42">
        <v>0</v>
      </c>
      <c r="AC486" s="42">
        <v>0</v>
      </c>
      <c r="AE486" s="42">
        <v>0</v>
      </c>
      <c r="AG486" s="42">
        <v>0</v>
      </c>
      <c r="AI486" s="42">
        <v>0</v>
      </c>
      <c r="AK486" s="42">
        <f t="shared" si="82"/>
        <v>0</v>
      </c>
      <c r="AM486" s="42">
        <f t="shared" si="83"/>
        <v>11158164</v>
      </c>
    </row>
    <row r="487" spans="1:39" ht="12" customHeight="1">
      <c r="A487" s="9" t="s">
        <v>708</v>
      </c>
      <c r="B487" s="9"/>
      <c r="C487" s="9" t="s">
        <v>220</v>
      </c>
      <c r="D487" s="9"/>
      <c r="E487" s="23">
        <v>46144</v>
      </c>
      <c r="F487" s="7"/>
      <c r="G487" s="42">
        <v>8282950</v>
      </c>
      <c r="I487" s="42">
        <v>2599600</v>
      </c>
      <c r="K487" s="42">
        <v>11782615</v>
      </c>
      <c r="M487" s="42">
        <v>-7182</v>
      </c>
      <c r="O487" s="42">
        <f>131136+89664</f>
        <v>220800</v>
      </c>
      <c r="Q487" s="42">
        <v>305734</v>
      </c>
      <c r="S487" s="42">
        <v>0</v>
      </c>
      <c r="U487" s="42">
        <v>0</v>
      </c>
      <c r="W487" s="42">
        <v>71182</v>
      </c>
      <c r="Y487" s="2">
        <f t="shared" si="84"/>
        <v>23255699</v>
      </c>
      <c r="AA487" s="42">
        <v>0</v>
      </c>
      <c r="AC487" s="42">
        <v>0</v>
      </c>
      <c r="AE487" s="42">
        <v>0</v>
      </c>
      <c r="AG487" s="42">
        <v>0</v>
      </c>
      <c r="AI487" s="42">
        <v>0</v>
      </c>
      <c r="AK487" s="42">
        <f t="shared" si="82"/>
        <v>0</v>
      </c>
      <c r="AM487" s="42">
        <f t="shared" si="83"/>
        <v>23255699</v>
      </c>
    </row>
    <row r="488" spans="1:39">
      <c r="A488" s="9" t="s">
        <v>771</v>
      </c>
      <c r="B488" s="9"/>
      <c r="C488" s="9" t="s">
        <v>72</v>
      </c>
      <c r="D488" s="9"/>
      <c r="E488" s="23">
        <v>45609</v>
      </c>
      <c r="G488" s="42">
        <v>13051644</v>
      </c>
      <c r="I488" s="42">
        <v>0</v>
      </c>
      <c r="K488" s="42">
        <v>7675438</v>
      </c>
      <c r="M488" s="42">
        <v>0</v>
      </c>
      <c r="O488" s="42">
        <v>493125</v>
      </c>
      <c r="Q488" s="42">
        <v>13507</v>
      </c>
      <c r="S488" s="42">
        <v>594055</v>
      </c>
      <c r="U488" s="42">
        <v>1570783</v>
      </c>
      <c r="W488" s="42">
        <v>211873</v>
      </c>
      <c r="Y488" s="2">
        <f>SUM(G488:X488)</f>
        <v>23610425</v>
      </c>
      <c r="AA488" s="42">
        <v>0</v>
      </c>
      <c r="AC488" s="42">
        <v>0</v>
      </c>
      <c r="AE488" s="42">
        <v>0</v>
      </c>
      <c r="AG488" s="42">
        <v>109748</v>
      </c>
      <c r="AI488" s="42">
        <v>0</v>
      </c>
      <c r="AK488" s="42">
        <f>SUM(AA488:AJ488)</f>
        <v>109748</v>
      </c>
      <c r="AM488" s="42">
        <f t="shared" si="83"/>
        <v>23720173</v>
      </c>
    </row>
    <row r="489" spans="1:39">
      <c r="A489" s="9" t="s">
        <v>488</v>
      </c>
      <c r="B489" s="9"/>
      <c r="C489" s="9" t="s">
        <v>61</v>
      </c>
      <c r="D489" s="9"/>
      <c r="E489" s="23">
        <v>49817</v>
      </c>
      <c r="G489" s="42">
        <v>936962</v>
      </c>
      <c r="I489" s="42">
        <v>397139</v>
      </c>
      <c r="K489" s="42">
        <v>2218038</v>
      </c>
      <c r="M489" s="42">
        <v>188</v>
      </c>
      <c r="O489" s="42">
        <v>323272</v>
      </c>
      <c r="Q489" s="42">
        <v>9253</v>
      </c>
      <c r="S489" s="42">
        <v>0</v>
      </c>
      <c r="U489" s="42">
        <v>8932</v>
      </c>
      <c r="W489" s="42">
        <v>67064</v>
      </c>
      <c r="Y489" s="2">
        <f>SUM(G489:X489)</f>
        <v>3960848</v>
      </c>
      <c r="AA489" s="42">
        <v>0</v>
      </c>
      <c r="AC489" s="42">
        <v>0</v>
      </c>
      <c r="AE489" s="42">
        <v>0</v>
      </c>
      <c r="AG489" s="42">
        <v>5894</v>
      </c>
      <c r="AI489" s="42">
        <v>0</v>
      </c>
      <c r="AK489" s="42">
        <f>SUM(AA489:AJ489)</f>
        <v>5894</v>
      </c>
      <c r="AM489" s="42">
        <f t="shared" si="83"/>
        <v>3966742</v>
      </c>
    </row>
    <row r="490" spans="1:39">
      <c r="A490" s="9" t="s">
        <v>602</v>
      </c>
      <c r="B490" s="9"/>
      <c r="C490" s="9" t="s">
        <v>111</v>
      </c>
      <c r="D490" s="9"/>
      <c r="E490" s="23">
        <v>44735</v>
      </c>
      <c r="G490" s="42">
        <v>8546398</v>
      </c>
      <c r="I490" s="42">
        <v>8719</v>
      </c>
      <c r="K490" s="42">
        <f>8983594+151580</f>
        <v>9135174</v>
      </c>
      <c r="M490" s="42">
        <v>864</v>
      </c>
      <c r="O490" s="42">
        <f>1074655+179773+5087</f>
        <v>1259515</v>
      </c>
      <c r="Q490" s="42">
        <v>68717</v>
      </c>
      <c r="S490" s="42">
        <v>0</v>
      </c>
      <c r="U490" s="42">
        <v>9986</v>
      </c>
      <c r="W490" s="42">
        <v>416768</v>
      </c>
      <c r="Y490" s="2">
        <f t="shared" ref="Y490:Y539" si="88">SUM(G490:X490)</f>
        <v>19446141</v>
      </c>
      <c r="AA490" s="42">
        <v>0</v>
      </c>
      <c r="AC490" s="42">
        <v>0</v>
      </c>
      <c r="AE490" s="42">
        <v>0</v>
      </c>
      <c r="AG490" s="42">
        <v>0</v>
      </c>
      <c r="AI490" s="42">
        <v>0</v>
      </c>
      <c r="AK490" s="42">
        <f t="shared" ref="AK490:AK507" si="89">SUM(AA490:AJ490)</f>
        <v>0</v>
      </c>
      <c r="AM490" s="42">
        <f t="shared" ref="AM490:AM521" si="90">+AK490+Y490</f>
        <v>19446141</v>
      </c>
    </row>
    <row r="491" spans="1:39">
      <c r="A491" s="9" t="s">
        <v>288</v>
      </c>
      <c r="B491" s="9"/>
      <c r="C491" s="9" t="s">
        <v>24</v>
      </c>
      <c r="D491" s="9"/>
      <c r="E491" s="23">
        <v>44743</v>
      </c>
      <c r="G491" s="42">
        <v>18397160</v>
      </c>
      <c r="I491" s="42">
        <v>0</v>
      </c>
      <c r="K491" s="42">
        <v>20968010</v>
      </c>
      <c r="M491" s="42">
        <v>8755</v>
      </c>
      <c r="O491" s="42">
        <f>1288703+74374</f>
        <v>1363077</v>
      </c>
      <c r="Q491" s="42">
        <v>48230</v>
      </c>
      <c r="S491" s="42">
        <v>0</v>
      </c>
      <c r="U491" s="42">
        <v>0</v>
      </c>
      <c r="W491" s="42">
        <v>418229</v>
      </c>
      <c r="Y491" s="2">
        <f t="shared" si="88"/>
        <v>41203461</v>
      </c>
      <c r="AA491" s="42">
        <v>40000</v>
      </c>
      <c r="AC491" s="42">
        <v>0</v>
      </c>
      <c r="AE491" s="42">
        <v>0</v>
      </c>
      <c r="AG491" s="42">
        <v>1010</v>
      </c>
      <c r="AI491" s="42">
        <v>0</v>
      </c>
      <c r="AK491" s="42">
        <f t="shared" si="89"/>
        <v>41010</v>
      </c>
      <c r="AM491" s="42">
        <f t="shared" si="90"/>
        <v>41244471</v>
      </c>
    </row>
    <row r="492" spans="1:39">
      <c r="A492" s="9" t="s">
        <v>500</v>
      </c>
      <c r="B492" s="9"/>
      <c r="C492" s="9" t="s">
        <v>62</v>
      </c>
      <c r="D492" s="9"/>
      <c r="E492" s="23">
        <v>49940</v>
      </c>
      <c r="G492" s="42">
        <v>3616097</v>
      </c>
      <c r="I492" s="42">
        <v>0</v>
      </c>
      <c r="K492" s="42">
        <f>12932+8399588+43295</f>
        <v>8455815</v>
      </c>
      <c r="M492" s="42">
        <v>8452</v>
      </c>
      <c r="O492" s="42">
        <f>620518+18101+23180+325941+56137</f>
        <v>1043877</v>
      </c>
      <c r="Q492" s="42">
        <v>88707</v>
      </c>
      <c r="S492" s="42">
        <v>0</v>
      </c>
      <c r="U492" s="42">
        <v>16128</v>
      </c>
      <c r="W492" s="42">
        <v>55396</v>
      </c>
      <c r="Y492" s="2">
        <f t="shared" si="88"/>
        <v>13284472</v>
      </c>
      <c r="AA492" s="42">
        <v>0</v>
      </c>
      <c r="AC492" s="42">
        <v>0</v>
      </c>
      <c r="AE492" s="42">
        <v>0</v>
      </c>
      <c r="AG492" s="42">
        <v>0</v>
      </c>
      <c r="AI492" s="42">
        <v>0</v>
      </c>
      <c r="AK492" s="42">
        <f t="shared" si="89"/>
        <v>0</v>
      </c>
      <c r="AM492" s="42">
        <f t="shared" si="90"/>
        <v>13284472</v>
      </c>
    </row>
    <row r="493" spans="1:39">
      <c r="A493" s="9" t="s">
        <v>453</v>
      </c>
      <c r="B493" s="9"/>
      <c r="C493" s="9" t="s">
        <v>55</v>
      </c>
      <c r="D493" s="9"/>
      <c r="E493" s="23">
        <v>49130</v>
      </c>
      <c r="G493" s="42">
        <v>2074795</v>
      </c>
      <c r="I493" s="42">
        <v>0</v>
      </c>
      <c r="K493" s="42">
        <v>10937036</v>
      </c>
      <c r="M493" s="42">
        <v>8126</v>
      </c>
      <c r="O493" s="42">
        <f>3104+695801+14904</f>
        <v>713809</v>
      </c>
      <c r="Q493" s="42">
        <v>20117</v>
      </c>
      <c r="S493" s="42">
        <v>0</v>
      </c>
      <c r="U493" s="42">
        <v>0</v>
      </c>
      <c r="W493" s="42">
        <v>88241</v>
      </c>
      <c r="Y493" s="2">
        <f t="shared" si="88"/>
        <v>13842124</v>
      </c>
      <c r="AA493" s="42">
        <v>0</v>
      </c>
      <c r="AC493" s="42">
        <v>0</v>
      </c>
      <c r="AE493" s="42">
        <v>0</v>
      </c>
      <c r="AG493" s="42">
        <v>6000</v>
      </c>
      <c r="AI493" s="42">
        <v>0</v>
      </c>
      <c r="AK493" s="42">
        <f t="shared" si="89"/>
        <v>6000</v>
      </c>
      <c r="AM493" s="42">
        <f t="shared" si="90"/>
        <v>13848124</v>
      </c>
    </row>
    <row r="494" spans="1:39">
      <c r="A494" s="9" t="s">
        <v>402</v>
      </c>
      <c r="B494" s="9"/>
      <c r="C494" s="9" t="s">
        <v>45</v>
      </c>
      <c r="D494" s="9"/>
      <c r="E494" s="23">
        <v>48355</v>
      </c>
      <c r="G494" s="42">
        <v>1014652</v>
      </c>
      <c r="I494" s="42">
        <v>464971</v>
      </c>
      <c r="K494" s="42">
        <v>4160754</v>
      </c>
      <c r="M494" s="42">
        <v>398</v>
      </c>
      <c r="O494" s="42">
        <v>308240</v>
      </c>
      <c r="Q494" s="42">
        <v>2578</v>
      </c>
      <c r="S494" s="42">
        <v>0</v>
      </c>
      <c r="U494" s="42">
        <v>14250</v>
      </c>
      <c r="W494" s="42">
        <v>200947</v>
      </c>
      <c r="Y494" s="2">
        <f t="shared" si="88"/>
        <v>6166790</v>
      </c>
      <c r="AA494" s="42">
        <v>0</v>
      </c>
      <c r="AC494" s="42">
        <v>0</v>
      </c>
      <c r="AE494" s="42">
        <v>0</v>
      </c>
      <c r="AG494" s="42">
        <v>0</v>
      </c>
      <c r="AI494" s="42">
        <v>0</v>
      </c>
      <c r="AK494" s="42">
        <f t="shared" si="89"/>
        <v>0</v>
      </c>
      <c r="AM494" s="42">
        <f t="shared" si="90"/>
        <v>6166790</v>
      </c>
    </row>
    <row r="495" spans="1:39">
      <c r="A495" s="9" t="s">
        <v>484</v>
      </c>
      <c r="B495" s="9"/>
      <c r="C495" s="9" t="s">
        <v>60</v>
      </c>
      <c r="D495" s="9"/>
      <c r="E495" s="23">
        <v>49684</v>
      </c>
      <c r="G495" s="42">
        <v>2227974</v>
      </c>
      <c r="I495" s="42">
        <v>1079503</v>
      </c>
      <c r="K495" s="42">
        <f>4397859+15884</f>
        <v>4413743</v>
      </c>
      <c r="M495" s="42">
        <v>11675</v>
      </c>
      <c r="O495" s="42">
        <f>733565+36493+16988+13724</f>
        <v>800770</v>
      </c>
      <c r="Q495" s="42">
        <v>20068</v>
      </c>
      <c r="S495" s="42">
        <v>0</v>
      </c>
      <c r="U495" s="42">
        <v>11618</v>
      </c>
      <c r="W495" s="42">
        <v>2920</v>
      </c>
      <c r="Y495" s="2">
        <f t="shared" si="88"/>
        <v>8568271</v>
      </c>
      <c r="AA495" s="42">
        <v>0</v>
      </c>
      <c r="AC495" s="42">
        <v>0</v>
      </c>
      <c r="AE495" s="42">
        <v>0</v>
      </c>
      <c r="AG495" s="42">
        <v>184991</v>
      </c>
      <c r="AI495" s="42">
        <v>0</v>
      </c>
      <c r="AK495" s="42">
        <f t="shared" si="89"/>
        <v>184991</v>
      </c>
      <c r="AM495" s="42">
        <f t="shared" si="90"/>
        <v>8753262</v>
      </c>
    </row>
    <row r="496" spans="1:39">
      <c r="A496" s="9" t="s">
        <v>216</v>
      </c>
      <c r="B496" s="9"/>
      <c r="C496" s="9" t="s">
        <v>15</v>
      </c>
      <c r="D496" s="9"/>
      <c r="E496" s="23">
        <v>46003</v>
      </c>
      <c r="F496" s="7"/>
      <c r="G496" s="42">
        <v>1633110</v>
      </c>
      <c r="I496" s="42">
        <v>0</v>
      </c>
      <c r="K496" s="42">
        <v>2596477</v>
      </c>
      <c r="M496" s="42">
        <v>1991</v>
      </c>
      <c r="O496" s="42">
        <f>1255102+10085</f>
        <v>1265187</v>
      </c>
      <c r="Q496" s="42">
        <v>74215</v>
      </c>
      <c r="S496" s="42">
        <v>367207</v>
      </c>
      <c r="U496" s="42">
        <v>3867</v>
      </c>
      <c r="W496" s="42">
        <v>9428</v>
      </c>
      <c r="Y496" s="2">
        <f t="shared" si="88"/>
        <v>5951482</v>
      </c>
      <c r="AA496" s="42">
        <v>0</v>
      </c>
      <c r="AC496" s="42">
        <v>0</v>
      </c>
      <c r="AE496" s="42">
        <v>0</v>
      </c>
      <c r="AG496" s="42">
        <v>0</v>
      </c>
      <c r="AI496" s="42">
        <v>0</v>
      </c>
      <c r="AK496" s="42">
        <f t="shared" si="89"/>
        <v>0</v>
      </c>
      <c r="AM496" s="42">
        <f t="shared" si="90"/>
        <v>5951482</v>
      </c>
    </row>
    <row r="497" spans="1:39">
      <c r="A497" s="9" t="s">
        <v>709</v>
      </c>
      <c r="B497" s="9"/>
      <c r="C497" s="9" t="s">
        <v>20</v>
      </c>
      <c r="D497" s="9"/>
      <c r="E497" s="23">
        <v>44750</v>
      </c>
      <c r="G497" s="42">
        <v>63197572</v>
      </c>
      <c r="I497" s="42">
        <v>0</v>
      </c>
      <c r="K497" s="42">
        <v>23458302</v>
      </c>
      <c r="M497" s="42">
        <v>124298</v>
      </c>
      <c r="O497" s="42">
        <f>1546677+49338+195627</f>
        <v>1791642</v>
      </c>
      <c r="Q497" s="42">
        <v>87017</v>
      </c>
      <c r="S497" s="42">
        <v>0</v>
      </c>
      <c r="U497" s="42">
        <v>30703</v>
      </c>
      <c r="W497" s="42">
        <v>352383</v>
      </c>
      <c r="Y497" s="2">
        <f t="shared" si="88"/>
        <v>89041917</v>
      </c>
      <c r="AA497" s="42">
        <v>0</v>
      </c>
      <c r="AC497" s="42">
        <v>0</v>
      </c>
      <c r="AE497" s="42">
        <v>0</v>
      </c>
      <c r="AG497" s="42">
        <v>1000</v>
      </c>
      <c r="AI497" s="42">
        <v>0</v>
      </c>
      <c r="AK497" s="42">
        <f t="shared" si="89"/>
        <v>1000</v>
      </c>
      <c r="AM497" s="42">
        <f t="shared" si="90"/>
        <v>89042917</v>
      </c>
    </row>
    <row r="498" spans="1:39" hidden="1">
      <c r="A498" s="9" t="s">
        <v>694</v>
      </c>
      <c r="B498" s="9"/>
      <c r="C498" s="9" t="s">
        <v>10</v>
      </c>
      <c r="D498" s="9"/>
      <c r="E498" s="23">
        <v>45779</v>
      </c>
      <c r="G498" s="42">
        <v>0</v>
      </c>
      <c r="I498" s="42">
        <v>0</v>
      </c>
      <c r="K498" s="42">
        <v>0</v>
      </c>
      <c r="M498" s="42">
        <v>0</v>
      </c>
      <c r="O498" s="42">
        <v>0</v>
      </c>
      <c r="Q498" s="42">
        <v>0</v>
      </c>
      <c r="S498" s="42">
        <v>0</v>
      </c>
      <c r="U498" s="42">
        <v>0</v>
      </c>
      <c r="W498" s="42">
        <v>0</v>
      </c>
      <c r="Y498" s="2">
        <f t="shared" si="88"/>
        <v>0</v>
      </c>
      <c r="AA498" s="42">
        <v>0</v>
      </c>
      <c r="AC498" s="42">
        <v>0</v>
      </c>
      <c r="AE498" s="42">
        <v>0</v>
      </c>
      <c r="AG498" s="42">
        <v>0</v>
      </c>
      <c r="AI498" s="42">
        <v>0</v>
      </c>
      <c r="AM498" s="42">
        <f t="shared" si="90"/>
        <v>0</v>
      </c>
    </row>
    <row r="499" spans="1:39">
      <c r="A499" s="9" t="s">
        <v>783</v>
      </c>
      <c r="B499" s="9"/>
      <c r="C499" s="9" t="s">
        <v>44</v>
      </c>
      <c r="D499" s="9"/>
      <c r="E499" s="23">
        <v>44768</v>
      </c>
      <c r="G499" s="42">
        <v>10083750</v>
      </c>
      <c r="I499" s="42">
        <v>0</v>
      </c>
      <c r="K499" s="42">
        <v>6640480</v>
      </c>
      <c r="M499" s="42">
        <v>8854</v>
      </c>
      <c r="O499" s="42">
        <v>1400792</v>
      </c>
      <c r="Q499" s="42">
        <v>8822</v>
      </c>
      <c r="S499" s="42">
        <v>0</v>
      </c>
      <c r="U499" s="42">
        <v>0</v>
      </c>
      <c r="W499" s="42">
        <v>184726</v>
      </c>
      <c r="Y499" s="2">
        <f t="shared" si="88"/>
        <v>18327424</v>
      </c>
      <c r="AA499" s="42">
        <v>0</v>
      </c>
      <c r="AC499" s="42">
        <v>0</v>
      </c>
      <c r="AE499" s="42">
        <v>0</v>
      </c>
      <c r="AG499" s="42">
        <v>0</v>
      </c>
      <c r="AI499" s="42">
        <v>0</v>
      </c>
      <c r="AK499" s="42">
        <f t="shared" si="89"/>
        <v>0</v>
      </c>
      <c r="AM499" s="42">
        <f t="shared" si="90"/>
        <v>18327424</v>
      </c>
    </row>
    <row r="500" spans="1:39">
      <c r="A500" s="9" t="s">
        <v>469</v>
      </c>
      <c r="B500" s="9"/>
      <c r="C500" s="9" t="s">
        <v>109</v>
      </c>
      <c r="D500" s="9"/>
      <c r="E500" s="23">
        <v>44776</v>
      </c>
      <c r="G500" s="42">
        <v>5255091</v>
      </c>
      <c r="I500" s="42">
        <v>2482903</v>
      </c>
      <c r="K500" s="42">
        <f>8864304+25233</f>
        <v>8889537</v>
      </c>
      <c r="M500" s="42">
        <v>9215</v>
      </c>
      <c r="O500" s="42">
        <f>406504+32143+47366+53881</f>
        <v>539894</v>
      </c>
      <c r="Q500" s="42">
        <v>107548</v>
      </c>
      <c r="S500" s="42">
        <v>0</v>
      </c>
      <c r="U500" s="42">
        <v>4382</v>
      </c>
      <c r="W500" s="42">
        <v>165299</v>
      </c>
      <c r="Y500" s="2">
        <f t="shared" si="88"/>
        <v>17453869</v>
      </c>
      <c r="AA500" s="42">
        <v>0</v>
      </c>
      <c r="AC500" s="42">
        <v>0</v>
      </c>
      <c r="AE500" s="42">
        <v>0</v>
      </c>
      <c r="AG500" s="42">
        <v>0</v>
      </c>
      <c r="AI500" s="42">
        <v>0</v>
      </c>
      <c r="AK500" s="42">
        <f t="shared" si="89"/>
        <v>0</v>
      </c>
      <c r="AM500" s="42">
        <f t="shared" si="90"/>
        <v>17453869</v>
      </c>
    </row>
    <row r="501" spans="1:39" hidden="1">
      <c r="A501" s="9" t="s">
        <v>827</v>
      </c>
      <c r="B501" s="9"/>
      <c r="C501" s="9" t="s">
        <v>61</v>
      </c>
      <c r="D501" s="9"/>
      <c r="E501" s="23">
        <v>44784</v>
      </c>
      <c r="G501" s="42">
        <v>0</v>
      </c>
      <c r="I501" s="42">
        <v>0</v>
      </c>
      <c r="K501" s="42">
        <v>0</v>
      </c>
      <c r="M501" s="42">
        <v>0</v>
      </c>
      <c r="O501" s="42">
        <v>0</v>
      </c>
      <c r="Q501" s="42">
        <v>0</v>
      </c>
      <c r="S501" s="42">
        <v>0</v>
      </c>
      <c r="U501" s="42">
        <v>0</v>
      </c>
      <c r="W501" s="42">
        <v>0</v>
      </c>
      <c r="Y501" s="2">
        <f t="shared" si="88"/>
        <v>0</v>
      </c>
      <c r="AA501" s="42">
        <v>0</v>
      </c>
      <c r="AC501" s="42">
        <v>0</v>
      </c>
      <c r="AE501" s="42">
        <v>0</v>
      </c>
      <c r="AG501" s="42">
        <v>0</v>
      </c>
      <c r="AI501" s="42">
        <v>0</v>
      </c>
      <c r="AK501" s="42">
        <f t="shared" si="89"/>
        <v>0</v>
      </c>
      <c r="AM501" s="42">
        <f t="shared" si="90"/>
        <v>0</v>
      </c>
    </row>
    <row r="502" spans="1:39">
      <c r="A502" s="9" t="s">
        <v>275</v>
      </c>
      <c r="B502" s="9"/>
      <c r="C502" s="9" t="s">
        <v>20</v>
      </c>
      <c r="D502" s="9"/>
      <c r="E502" s="23">
        <v>46607</v>
      </c>
      <c r="G502" s="42">
        <v>48733679</v>
      </c>
      <c r="I502" s="42">
        <v>0</v>
      </c>
      <c r="K502" s="42">
        <v>16199237</v>
      </c>
      <c r="M502" s="42">
        <v>88663</v>
      </c>
      <c r="O502" s="42">
        <f>839360+167126+209531</f>
        <v>1216017</v>
      </c>
      <c r="Q502" s="42">
        <v>2192</v>
      </c>
      <c r="S502" s="42">
        <v>398400</v>
      </c>
      <c r="U502" s="42">
        <v>52375</v>
      </c>
      <c r="W502" s="42">
        <v>576945</v>
      </c>
      <c r="Y502" s="2">
        <f t="shared" si="88"/>
        <v>67267508</v>
      </c>
      <c r="AA502" s="42">
        <v>0</v>
      </c>
      <c r="AC502" s="42">
        <v>0</v>
      </c>
      <c r="AE502" s="42">
        <v>0</v>
      </c>
      <c r="AG502" s="42">
        <f>8752+90570</f>
        <v>99322</v>
      </c>
      <c r="AI502" s="42">
        <v>0</v>
      </c>
      <c r="AK502" s="42">
        <f t="shared" si="89"/>
        <v>99322</v>
      </c>
      <c r="AM502" s="42">
        <f t="shared" si="90"/>
        <v>67366830</v>
      </c>
    </row>
    <row r="503" spans="1:39" ht="12.75" customHeight="1">
      <c r="A503" s="9" t="s">
        <v>628</v>
      </c>
      <c r="B503" s="9"/>
      <c r="C503" s="9" t="s">
        <v>37</v>
      </c>
      <c r="D503" s="9"/>
      <c r="E503" s="23">
        <v>47738</v>
      </c>
      <c r="G503" s="42">
        <v>1404786</v>
      </c>
      <c r="I503" s="42">
        <v>951981</v>
      </c>
      <c r="K503" s="42">
        <v>5013019</v>
      </c>
      <c r="M503" s="42">
        <v>7375</v>
      </c>
      <c r="O503" s="42">
        <f>325348+3156+17697</f>
        <v>346201</v>
      </c>
      <c r="Q503" s="42">
        <v>25104</v>
      </c>
      <c r="S503" s="42">
        <v>0</v>
      </c>
      <c r="U503" s="42">
        <v>14243</v>
      </c>
      <c r="W503" s="42">
        <v>25454</v>
      </c>
      <c r="Y503" s="2">
        <f t="shared" si="88"/>
        <v>7788163</v>
      </c>
      <c r="AA503" s="42">
        <v>0</v>
      </c>
      <c r="AC503" s="42">
        <v>0</v>
      </c>
      <c r="AE503" s="42">
        <v>0</v>
      </c>
      <c r="AG503" s="42">
        <v>120007</v>
      </c>
      <c r="AI503" s="42">
        <v>0</v>
      </c>
      <c r="AK503" s="42">
        <f t="shared" si="89"/>
        <v>120007</v>
      </c>
      <c r="AM503" s="42">
        <f t="shared" si="90"/>
        <v>7908170</v>
      </c>
    </row>
    <row r="504" spans="1:39">
      <c r="A504" s="9" t="s">
        <v>276</v>
      </c>
      <c r="B504" s="9"/>
      <c r="C504" s="9" t="s">
        <v>20</v>
      </c>
      <c r="D504" s="9"/>
      <c r="E504" s="23">
        <v>44792</v>
      </c>
      <c r="G504" s="42">
        <v>44056057</v>
      </c>
      <c r="I504" s="42">
        <v>0</v>
      </c>
      <c r="K504" s="42">
        <v>13215773</v>
      </c>
      <c r="M504" s="42">
        <v>58000</v>
      </c>
      <c r="O504" s="42">
        <f>1975710+58947+82495</f>
        <v>2117152</v>
      </c>
      <c r="Q504" s="42">
        <v>86990</v>
      </c>
      <c r="S504" s="42">
        <v>504000</v>
      </c>
      <c r="U504" s="42">
        <v>0</v>
      </c>
      <c r="W504" s="42">
        <v>995042</v>
      </c>
      <c r="Y504" s="2">
        <f t="shared" si="88"/>
        <v>61033014</v>
      </c>
      <c r="AA504" s="42">
        <v>0</v>
      </c>
      <c r="AC504" s="42">
        <v>0</v>
      </c>
      <c r="AE504" s="42">
        <v>0</v>
      </c>
      <c r="AG504" s="42">
        <v>0</v>
      </c>
      <c r="AI504" s="42">
        <v>0</v>
      </c>
      <c r="AK504" s="42">
        <f t="shared" si="89"/>
        <v>0</v>
      </c>
      <c r="AM504" s="42">
        <f t="shared" si="90"/>
        <v>61033014</v>
      </c>
    </row>
    <row r="505" spans="1:39">
      <c r="A505" s="9" t="s">
        <v>369</v>
      </c>
      <c r="B505" s="9"/>
      <c r="C505" s="9" t="s">
        <v>364</v>
      </c>
      <c r="D505" s="9"/>
      <c r="E505" s="23">
        <v>47951</v>
      </c>
      <c r="G505" s="42">
        <v>3061289</v>
      </c>
      <c r="I505" s="42">
        <v>0</v>
      </c>
      <c r="K505" s="42">
        <v>12504500</v>
      </c>
      <c r="M505" s="42">
        <v>20374</v>
      </c>
      <c r="O505" s="42">
        <f>104768+57400</f>
        <v>162168</v>
      </c>
      <c r="Q505" s="42">
        <v>34038</v>
      </c>
      <c r="S505" s="42">
        <v>0</v>
      </c>
      <c r="U505" s="42">
        <v>2611</v>
      </c>
      <c r="W505" s="42">
        <v>86369</v>
      </c>
      <c r="Y505" s="2">
        <f t="shared" si="88"/>
        <v>15871349</v>
      </c>
      <c r="AA505" s="42">
        <v>150000</v>
      </c>
      <c r="AC505" s="42">
        <v>0</v>
      </c>
      <c r="AE505" s="42">
        <v>0</v>
      </c>
      <c r="AG505" s="42">
        <v>194988</v>
      </c>
      <c r="AI505" s="42">
        <v>0</v>
      </c>
      <c r="AK505" s="42">
        <f t="shared" si="89"/>
        <v>344988</v>
      </c>
      <c r="AM505" s="42">
        <f t="shared" si="90"/>
        <v>16216337</v>
      </c>
    </row>
    <row r="506" spans="1:39">
      <c r="A506" s="9" t="s">
        <v>403</v>
      </c>
      <c r="B506" s="9"/>
      <c r="C506" s="9" t="s">
        <v>45</v>
      </c>
      <c r="D506" s="9"/>
      <c r="E506" s="23">
        <v>48363</v>
      </c>
      <c r="G506" s="42">
        <v>4797456</v>
      </c>
      <c r="I506" s="42">
        <v>0</v>
      </c>
      <c r="K506" s="42">
        <v>5458996</v>
      </c>
      <c r="M506" s="42">
        <v>1601</v>
      </c>
      <c r="O506" s="42">
        <f>2391+26956</f>
        <v>29347</v>
      </c>
      <c r="Q506" s="42">
        <v>85822</v>
      </c>
      <c r="S506" s="42">
        <v>0</v>
      </c>
      <c r="U506" s="42">
        <v>2549</v>
      </c>
      <c r="W506" s="42">
        <v>1468</v>
      </c>
      <c r="Y506" s="2">
        <f t="shared" si="88"/>
        <v>10377239</v>
      </c>
      <c r="AA506" s="42">
        <v>0</v>
      </c>
      <c r="AC506" s="42">
        <v>0</v>
      </c>
      <c r="AE506" s="42">
        <v>0</v>
      </c>
      <c r="AG506" s="42">
        <v>0</v>
      </c>
      <c r="AI506" s="42">
        <v>0</v>
      </c>
      <c r="AK506" s="42">
        <f t="shared" si="89"/>
        <v>0</v>
      </c>
      <c r="AM506" s="42">
        <f t="shared" si="90"/>
        <v>10377239</v>
      </c>
    </row>
    <row r="507" spans="1:39">
      <c r="A507" s="9" t="s">
        <v>460</v>
      </c>
      <c r="B507" s="9"/>
      <c r="C507" s="9" t="s">
        <v>56</v>
      </c>
      <c r="D507" s="9"/>
      <c r="E507" s="23">
        <v>49221</v>
      </c>
      <c r="G507" s="42">
        <v>5837829</v>
      </c>
      <c r="I507" s="42">
        <v>0</v>
      </c>
      <c r="K507" s="42">
        <v>12573646</v>
      </c>
      <c r="M507" s="42">
        <v>14189</v>
      </c>
      <c r="O507" s="42">
        <f>513595+1648</f>
        <v>515243</v>
      </c>
      <c r="Q507" s="42">
        <v>48340</v>
      </c>
      <c r="S507" s="42">
        <v>0</v>
      </c>
      <c r="U507" s="42">
        <v>3064</v>
      </c>
      <c r="W507" s="42">
        <v>96394</v>
      </c>
      <c r="Y507" s="2">
        <f t="shared" si="88"/>
        <v>19088705</v>
      </c>
      <c r="AA507" s="42">
        <v>0</v>
      </c>
      <c r="AC507" s="42">
        <v>0</v>
      </c>
      <c r="AE507" s="42">
        <v>0</v>
      </c>
      <c r="AG507" s="42">
        <f>2758+72637</f>
        <v>75395</v>
      </c>
      <c r="AI507" s="42">
        <v>0</v>
      </c>
      <c r="AK507" s="42">
        <f t="shared" si="89"/>
        <v>75395</v>
      </c>
      <c r="AM507" s="42">
        <f t="shared" si="90"/>
        <v>19164100</v>
      </c>
    </row>
    <row r="508" spans="1:39">
      <c r="A508" s="9" t="s">
        <v>460</v>
      </c>
      <c r="B508" s="9"/>
      <c r="C508" s="9" t="s">
        <v>71</v>
      </c>
      <c r="D508" s="9"/>
      <c r="E508" s="23">
        <v>50583</v>
      </c>
      <c r="G508" s="42">
        <v>7480186</v>
      </c>
      <c r="I508" s="42">
        <v>0</v>
      </c>
      <c r="K508" s="42">
        <v>5756069</v>
      </c>
      <c r="M508" s="42">
        <v>1477</v>
      </c>
      <c r="O508" s="42">
        <f>901958+244293+3655</f>
        <v>1149906</v>
      </c>
      <c r="Q508" s="42">
        <v>80242</v>
      </c>
      <c r="S508" s="42">
        <v>0</v>
      </c>
      <c r="U508" s="42">
        <v>7911</v>
      </c>
      <c r="W508" s="42">
        <v>97697</v>
      </c>
      <c r="Y508" s="2">
        <f t="shared" si="88"/>
        <v>14573488</v>
      </c>
      <c r="AA508" s="42">
        <v>10349</v>
      </c>
      <c r="AC508" s="42">
        <v>0</v>
      </c>
      <c r="AE508" s="42">
        <v>0</v>
      </c>
      <c r="AG508" s="42">
        <v>0</v>
      </c>
      <c r="AI508" s="42">
        <v>0</v>
      </c>
      <c r="AK508" s="42">
        <f t="shared" ref="AK508:AK539" si="91">SUM(AA508:AJ508)</f>
        <v>10349</v>
      </c>
      <c r="AM508" s="42">
        <f t="shared" si="90"/>
        <v>14583837</v>
      </c>
    </row>
    <row r="509" spans="1:39">
      <c r="A509" s="9" t="s">
        <v>233</v>
      </c>
      <c r="B509" s="9"/>
      <c r="C509" s="9" t="s">
        <v>17</v>
      </c>
      <c r="D509" s="9"/>
      <c r="E509" s="23">
        <v>46276</v>
      </c>
      <c r="F509" s="7"/>
      <c r="G509" s="42">
        <v>2152480</v>
      </c>
      <c r="I509" s="42">
        <v>936742</v>
      </c>
      <c r="K509" s="42">
        <v>3495697</v>
      </c>
      <c r="M509" s="42">
        <v>0</v>
      </c>
      <c r="O509" s="42">
        <v>449007</v>
      </c>
      <c r="Q509" s="42">
        <v>10644</v>
      </c>
      <c r="S509" s="42">
        <v>0</v>
      </c>
      <c r="U509" s="42">
        <v>7798</v>
      </c>
      <c r="W509" s="42">
        <v>5750</v>
      </c>
      <c r="Y509" s="2">
        <f t="shared" si="88"/>
        <v>7058118</v>
      </c>
      <c r="AA509" s="42">
        <v>0</v>
      </c>
      <c r="AC509" s="42">
        <v>0</v>
      </c>
      <c r="AE509" s="42">
        <v>0</v>
      </c>
      <c r="AG509" s="42">
        <f>101280+5000</f>
        <v>106280</v>
      </c>
      <c r="AI509" s="42">
        <v>0</v>
      </c>
      <c r="AK509" s="42">
        <f t="shared" si="91"/>
        <v>106280</v>
      </c>
      <c r="AM509" s="42">
        <f t="shared" si="90"/>
        <v>7164398</v>
      </c>
    </row>
    <row r="510" spans="1:39">
      <c r="A510" s="9" t="s">
        <v>233</v>
      </c>
      <c r="B510" s="9"/>
      <c r="C510" s="9" t="s">
        <v>58</v>
      </c>
      <c r="D510" s="9"/>
      <c r="E510" s="23">
        <v>49528</v>
      </c>
      <c r="G510" s="42">
        <v>1642687</v>
      </c>
      <c r="I510" s="42">
        <v>27417</v>
      </c>
      <c r="K510" s="42">
        <v>7891765</v>
      </c>
      <c r="M510" s="42">
        <v>16769</v>
      </c>
      <c r="O510" s="42">
        <f>864056+36252+69199</f>
        <v>969507</v>
      </c>
      <c r="Q510" s="42">
        <v>33459</v>
      </c>
      <c r="S510" s="42">
        <v>0</v>
      </c>
      <c r="U510" s="42">
        <v>0</v>
      </c>
      <c r="W510" s="42">
        <v>98154</v>
      </c>
      <c r="Y510" s="2">
        <f t="shared" si="88"/>
        <v>10679758</v>
      </c>
      <c r="AA510" s="42">
        <v>0</v>
      </c>
      <c r="AC510" s="42">
        <v>0</v>
      </c>
      <c r="AE510" s="42">
        <v>0</v>
      </c>
      <c r="AG510" s="42">
        <v>0</v>
      </c>
      <c r="AI510" s="42">
        <v>0</v>
      </c>
      <c r="AK510" s="42">
        <f t="shared" si="91"/>
        <v>0</v>
      </c>
      <c r="AM510" s="42">
        <f t="shared" si="90"/>
        <v>10679758</v>
      </c>
    </row>
    <row r="511" spans="1:39">
      <c r="A511" s="9" t="s">
        <v>640</v>
      </c>
      <c r="B511" s="9"/>
      <c r="C511" s="9" t="s">
        <v>111</v>
      </c>
      <c r="D511" s="9"/>
      <c r="E511" s="23">
        <v>46441</v>
      </c>
      <c r="F511" s="7"/>
      <c r="G511" s="42">
        <v>1595887</v>
      </c>
      <c r="I511" s="42">
        <v>0</v>
      </c>
      <c r="K511" s="42">
        <v>6361034</v>
      </c>
      <c r="M511" s="42">
        <v>110</v>
      </c>
      <c r="O511" s="42">
        <f>537165+70633</f>
        <v>607798</v>
      </c>
      <c r="Q511" s="42">
        <v>36154</v>
      </c>
      <c r="S511" s="42">
        <v>0</v>
      </c>
      <c r="U511" s="42">
        <v>0</v>
      </c>
      <c r="W511" s="42">
        <v>101795</v>
      </c>
      <c r="Y511" s="2">
        <f>SUM(G511:X511)</f>
        <v>8702778</v>
      </c>
      <c r="AA511" s="42">
        <v>0</v>
      </c>
      <c r="AC511" s="42">
        <v>0</v>
      </c>
      <c r="AE511" s="42">
        <v>0</v>
      </c>
      <c r="AG511" s="42">
        <v>0</v>
      </c>
      <c r="AI511" s="42">
        <v>0</v>
      </c>
      <c r="AK511" s="42">
        <f>SUM(AA511:AJ511)</f>
        <v>0</v>
      </c>
      <c r="AM511" s="42">
        <f t="shared" si="90"/>
        <v>8702778</v>
      </c>
    </row>
    <row r="512" spans="1:39">
      <c r="A512" s="9" t="s">
        <v>248</v>
      </c>
      <c r="B512" s="9"/>
      <c r="C512" s="9" t="s">
        <v>417</v>
      </c>
      <c r="D512" s="9"/>
      <c r="E512" s="23">
        <v>48538</v>
      </c>
      <c r="F512" s="7"/>
      <c r="G512" s="42">
        <v>1682500</v>
      </c>
      <c r="I512" s="42">
        <v>0</v>
      </c>
      <c r="K512" s="42">
        <v>4580596</v>
      </c>
      <c r="M512" s="42">
        <v>21218</v>
      </c>
      <c r="O512" s="42">
        <v>396026</v>
      </c>
      <c r="Q512" s="42">
        <v>2743</v>
      </c>
      <c r="S512" s="42">
        <v>0</v>
      </c>
      <c r="U512" s="42">
        <v>6640</v>
      </c>
      <c r="W512" s="42">
        <v>29477</v>
      </c>
      <c r="Y512" s="2">
        <f t="shared" si="88"/>
        <v>6719200</v>
      </c>
      <c r="AA512" s="42">
        <v>0</v>
      </c>
      <c r="AC512" s="42">
        <v>0</v>
      </c>
      <c r="AE512" s="42">
        <v>122878</v>
      </c>
      <c r="AG512" s="42">
        <v>76859</v>
      </c>
      <c r="AI512" s="42">
        <v>0</v>
      </c>
      <c r="AK512" s="42">
        <f t="shared" si="91"/>
        <v>199737</v>
      </c>
      <c r="AM512" s="42">
        <f t="shared" si="90"/>
        <v>6918937</v>
      </c>
    </row>
    <row r="513" spans="1:39" hidden="1">
      <c r="A513" s="9" t="s">
        <v>695</v>
      </c>
      <c r="B513" s="9"/>
      <c r="C513" s="9" t="s">
        <v>448</v>
      </c>
      <c r="D513" s="9"/>
      <c r="E513" s="23">
        <v>49064</v>
      </c>
      <c r="F513" s="7"/>
      <c r="G513" s="42">
        <v>0</v>
      </c>
      <c r="I513" s="42">
        <v>0</v>
      </c>
      <c r="K513" s="42">
        <v>0</v>
      </c>
      <c r="M513" s="42">
        <v>0</v>
      </c>
      <c r="O513" s="42">
        <v>0</v>
      </c>
      <c r="Q513" s="42">
        <v>0</v>
      </c>
      <c r="S513" s="42">
        <v>0</v>
      </c>
      <c r="U513" s="42">
        <v>0</v>
      </c>
      <c r="W513" s="42">
        <v>0</v>
      </c>
      <c r="Y513" s="2">
        <f t="shared" si="88"/>
        <v>0</v>
      </c>
      <c r="AA513" s="42">
        <v>0</v>
      </c>
      <c r="AC513" s="42">
        <v>0</v>
      </c>
      <c r="AE513" s="42">
        <v>0</v>
      </c>
      <c r="AG513" s="42">
        <v>0</v>
      </c>
      <c r="AI513" s="42">
        <v>0</v>
      </c>
      <c r="AK513" s="42">
        <f t="shared" si="91"/>
        <v>0</v>
      </c>
      <c r="AM513" s="42">
        <f t="shared" si="90"/>
        <v>0</v>
      </c>
    </row>
    <row r="514" spans="1:39">
      <c r="A514" s="9" t="s">
        <v>526</v>
      </c>
      <c r="B514" s="9"/>
      <c r="C514" s="9" t="s">
        <v>64</v>
      </c>
      <c r="D514" s="9"/>
      <c r="E514" s="23">
        <v>50237</v>
      </c>
      <c r="G514" s="42">
        <v>1348798</v>
      </c>
      <c r="I514" s="42">
        <v>0</v>
      </c>
      <c r="K514" s="42">
        <v>2949523</v>
      </c>
      <c r="M514" s="42">
        <v>4316</v>
      </c>
      <c r="O514" s="42">
        <f>375447+83457</f>
        <v>458904</v>
      </c>
      <c r="Q514" s="42">
        <v>8694</v>
      </c>
      <c r="S514" s="42">
        <v>0</v>
      </c>
      <c r="U514" s="42">
        <v>35</v>
      </c>
      <c r="W514" s="42">
        <f>250261+60831</f>
        <v>311092</v>
      </c>
      <c r="Y514" s="2">
        <f t="shared" si="88"/>
        <v>5081362</v>
      </c>
      <c r="AA514" s="42">
        <v>0</v>
      </c>
      <c r="AC514" s="42">
        <v>0</v>
      </c>
      <c r="AE514" s="42">
        <v>0</v>
      </c>
      <c r="AG514" s="42">
        <v>4606</v>
      </c>
      <c r="AI514" s="42">
        <v>0</v>
      </c>
      <c r="AK514" s="42">
        <f t="shared" si="91"/>
        <v>4606</v>
      </c>
      <c r="AM514" s="42">
        <f t="shared" si="90"/>
        <v>5085968</v>
      </c>
    </row>
    <row r="515" spans="1:39" hidden="1">
      <c r="A515" s="9" t="s">
        <v>823</v>
      </c>
      <c r="B515" s="9"/>
      <c r="C515" s="9" t="s">
        <v>42</v>
      </c>
      <c r="D515" s="9"/>
      <c r="E515" s="23">
        <v>48041</v>
      </c>
      <c r="G515" s="42">
        <v>0</v>
      </c>
      <c r="I515" s="42">
        <v>0</v>
      </c>
      <c r="K515" s="42">
        <v>0</v>
      </c>
      <c r="M515" s="42">
        <v>0</v>
      </c>
      <c r="O515" s="42">
        <v>0</v>
      </c>
      <c r="Q515" s="42">
        <v>0</v>
      </c>
      <c r="S515" s="42">
        <v>0</v>
      </c>
      <c r="U515" s="42">
        <v>0</v>
      </c>
      <c r="W515" s="42">
        <v>0</v>
      </c>
      <c r="Y515" s="2">
        <f t="shared" si="88"/>
        <v>0</v>
      </c>
      <c r="AA515" s="42">
        <v>0</v>
      </c>
      <c r="AC515" s="42">
        <v>0</v>
      </c>
      <c r="AE515" s="42">
        <v>0</v>
      </c>
      <c r="AG515" s="42">
        <v>0</v>
      </c>
      <c r="AI515" s="42">
        <v>0</v>
      </c>
      <c r="AK515" s="42">
        <f t="shared" si="91"/>
        <v>0</v>
      </c>
      <c r="AM515" s="42">
        <f t="shared" si="90"/>
        <v>0</v>
      </c>
    </row>
    <row r="516" spans="1:39">
      <c r="A516" s="9" t="s">
        <v>329</v>
      </c>
      <c r="B516" s="9"/>
      <c r="C516" s="9" t="s">
        <v>32</v>
      </c>
      <c r="D516" s="9"/>
      <c r="E516" s="23">
        <v>47381</v>
      </c>
      <c r="G516" s="42">
        <v>13644211</v>
      </c>
      <c r="I516" s="42">
        <v>0</v>
      </c>
      <c r="K516" s="42">
        <v>15325885</v>
      </c>
      <c r="M516" s="42">
        <v>16832</v>
      </c>
      <c r="O516" s="42">
        <f>348540+33382</f>
        <v>381922</v>
      </c>
      <c r="Q516" s="42">
        <v>76552</v>
      </c>
      <c r="S516" s="42">
        <v>244701</v>
      </c>
      <c r="U516" s="42">
        <v>0</v>
      </c>
      <c r="W516" s="42">
        <v>197223</v>
      </c>
      <c r="Y516" s="2">
        <f t="shared" si="88"/>
        <v>29887326</v>
      </c>
      <c r="AA516" s="42">
        <v>0</v>
      </c>
      <c r="AC516" s="42">
        <v>0</v>
      </c>
      <c r="AE516" s="42">
        <v>0</v>
      </c>
      <c r="AG516" s="42">
        <v>606</v>
      </c>
      <c r="AI516" s="42">
        <v>0</v>
      </c>
      <c r="AK516" s="42">
        <f t="shared" si="91"/>
        <v>606</v>
      </c>
      <c r="AM516" s="42">
        <f t="shared" si="90"/>
        <v>29887932</v>
      </c>
    </row>
    <row r="517" spans="1:39">
      <c r="A517" s="9" t="s">
        <v>305</v>
      </c>
      <c r="B517" s="9"/>
      <c r="C517" s="9" t="s">
        <v>27</v>
      </c>
      <c r="D517" s="9"/>
      <c r="E517" s="23">
        <v>44800</v>
      </c>
      <c r="G517" s="42">
        <v>84788092</v>
      </c>
      <c r="I517" s="42">
        <v>0</v>
      </c>
      <c r="K517" s="42">
        <f>109667424+498140</f>
        <v>110165564</v>
      </c>
      <c r="M517" s="42">
        <v>112879</v>
      </c>
      <c r="O517" s="42">
        <v>1595764</v>
      </c>
      <c r="Q517" s="42">
        <v>0</v>
      </c>
      <c r="S517" s="42">
        <v>580252</v>
      </c>
      <c r="U517" s="42">
        <v>0</v>
      </c>
      <c r="W517" s="42">
        <v>3524963</v>
      </c>
      <c r="Y517" s="2">
        <f t="shared" si="88"/>
        <v>200767514</v>
      </c>
      <c r="AA517" s="42">
        <v>221441</v>
      </c>
      <c r="AC517" s="42">
        <v>0</v>
      </c>
      <c r="AE517" s="42">
        <v>0</v>
      </c>
      <c r="AG517" s="42">
        <v>64965</v>
      </c>
      <c r="AI517" s="42">
        <v>0</v>
      </c>
      <c r="AK517" s="42">
        <f t="shared" si="91"/>
        <v>286406</v>
      </c>
      <c r="AM517" s="42">
        <f t="shared" si="90"/>
        <v>201053920</v>
      </c>
    </row>
    <row r="518" spans="1:39" hidden="1">
      <c r="A518" s="9" t="s">
        <v>696</v>
      </c>
      <c r="B518" s="9"/>
      <c r="C518" s="9" t="s">
        <v>10</v>
      </c>
      <c r="D518" s="9"/>
      <c r="E518" s="23">
        <v>45807</v>
      </c>
      <c r="F518" s="7"/>
      <c r="G518" s="42">
        <v>0</v>
      </c>
      <c r="I518" s="42">
        <v>0</v>
      </c>
      <c r="K518" s="42">
        <v>0</v>
      </c>
      <c r="M518" s="42">
        <v>0</v>
      </c>
      <c r="O518" s="42">
        <v>0</v>
      </c>
      <c r="Q518" s="42">
        <v>0</v>
      </c>
      <c r="S518" s="42">
        <v>0</v>
      </c>
      <c r="U518" s="42">
        <v>0</v>
      </c>
      <c r="W518" s="42">
        <v>0</v>
      </c>
      <c r="Y518" s="2">
        <f t="shared" si="88"/>
        <v>0</v>
      </c>
      <c r="AA518" s="42">
        <v>0</v>
      </c>
      <c r="AC518" s="42">
        <v>0</v>
      </c>
      <c r="AE518" s="42">
        <v>0</v>
      </c>
      <c r="AG518" s="42">
        <v>0</v>
      </c>
      <c r="AI518" s="42">
        <v>0</v>
      </c>
      <c r="AK518" s="42">
        <f t="shared" si="91"/>
        <v>0</v>
      </c>
      <c r="AM518" s="42">
        <f t="shared" si="90"/>
        <v>0</v>
      </c>
    </row>
    <row r="519" spans="1:39">
      <c r="A519" s="8" t="s">
        <v>838</v>
      </c>
      <c r="B519" s="9"/>
      <c r="C519" s="9" t="s">
        <v>69</v>
      </c>
      <c r="D519" s="9"/>
      <c r="E519" s="23">
        <v>50427</v>
      </c>
      <c r="G519" s="42">
        <v>29475861</v>
      </c>
      <c r="I519" s="42">
        <v>0</v>
      </c>
      <c r="K519" s="42">
        <v>14479778</v>
      </c>
      <c r="M519" s="42">
        <v>20089</v>
      </c>
      <c r="O519" s="42">
        <f>591713+984311</f>
        <v>1576024</v>
      </c>
      <c r="Q519" s="42">
        <v>137978</v>
      </c>
      <c r="S519" s="42">
        <v>0</v>
      </c>
      <c r="U519" s="42">
        <v>30890</v>
      </c>
      <c r="W519" s="42">
        <f>1362+504714</f>
        <v>506076</v>
      </c>
      <c r="Y519" s="2">
        <f t="shared" si="88"/>
        <v>46226696</v>
      </c>
      <c r="AA519" s="42">
        <v>0</v>
      </c>
      <c r="AC519" s="42">
        <v>0</v>
      </c>
      <c r="AE519" s="42">
        <v>0</v>
      </c>
      <c r="AG519" s="42">
        <v>0</v>
      </c>
      <c r="AI519" s="42">
        <v>0</v>
      </c>
      <c r="AK519" s="42">
        <f t="shared" si="91"/>
        <v>0</v>
      </c>
      <c r="AM519" s="42">
        <f t="shared" si="90"/>
        <v>46226696</v>
      </c>
    </row>
    <row r="520" spans="1:39">
      <c r="A520" s="9" t="s">
        <v>624</v>
      </c>
      <c r="B520" s="9"/>
      <c r="C520" s="9" t="s">
        <v>17</v>
      </c>
      <c r="D520" s="9"/>
      <c r="E520" s="23">
        <v>44818</v>
      </c>
      <c r="G520" s="42">
        <v>19569415</v>
      </c>
      <c r="I520" s="42">
        <v>0</v>
      </c>
      <c r="K520" s="42">
        <v>57975445</v>
      </c>
      <c r="M520" s="42">
        <v>123116</v>
      </c>
      <c r="O520" s="42">
        <f>1087915+28474</f>
        <v>1116389</v>
      </c>
      <c r="Q520" s="42">
        <v>166519</v>
      </c>
      <c r="S520" s="42">
        <v>0</v>
      </c>
      <c r="U520" s="42">
        <v>24795</v>
      </c>
      <c r="W520" s="42">
        <v>682163</v>
      </c>
      <c r="Y520" s="2">
        <f t="shared" si="88"/>
        <v>79657842</v>
      </c>
      <c r="AA520" s="42">
        <v>0</v>
      </c>
      <c r="AC520" s="42">
        <v>0</v>
      </c>
      <c r="AE520" s="42">
        <v>522753</v>
      </c>
      <c r="AG520" s="42">
        <v>17428</v>
      </c>
      <c r="AI520" s="42">
        <v>0</v>
      </c>
      <c r="AK520" s="42">
        <f t="shared" si="91"/>
        <v>540181</v>
      </c>
      <c r="AM520" s="42">
        <f t="shared" si="90"/>
        <v>80198023</v>
      </c>
    </row>
    <row r="521" spans="1:39">
      <c r="A521" s="9" t="s">
        <v>710</v>
      </c>
      <c r="B521" s="9"/>
      <c r="C521" s="9" t="s">
        <v>114</v>
      </c>
      <c r="D521" s="9"/>
      <c r="E521" s="23">
        <v>48223</v>
      </c>
      <c r="G521" s="42">
        <v>23300498</v>
      </c>
      <c r="I521" s="42">
        <v>0</v>
      </c>
      <c r="K521" s="42">
        <f>16914+10009765+10324</f>
        <v>10037003</v>
      </c>
      <c r="M521" s="42">
        <v>5850</v>
      </c>
      <c r="O521" s="42">
        <f>756019+197305+130614+46145</f>
        <v>1130083</v>
      </c>
      <c r="Q521" s="42">
        <v>174347</v>
      </c>
      <c r="S521" s="42">
        <v>94952</v>
      </c>
      <c r="U521" s="42">
        <v>1401</v>
      </c>
      <c r="W521" s="42">
        <v>7611</v>
      </c>
      <c r="Y521" s="2">
        <f t="shared" si="88"/>
        <v>34751745</v>
      </c>
      <c r="AA521" s="42">
        <v>0</v>
      </c>
      <c r="AC521" s="42">
        <v>0</v>
      </c>
      <c r="AE521" s="42">
        <v>0</v>
      </c>
      <c r="AG521" s="42">
        <v>0</v>
      </c>
      <c r="AI521" s="42">
        <v>0</v>
      </c>
      <c r="AK521" s="42">
        <f t="shared" si="91"/>
        <v>0</v>
      </c>
      <c r="AM521" s="42">
        <f t="shared" si="90"/>
        <v>34751745</v>
      </c>
    </row>
    <row r="522" spans="1:39">
      <c r="A522" s="9" t="s">
        <v>390</v>
      </c>
      <c r="B522" s="9"/>
      <c r="C522" s="9" t="s">
        <v>45</v>
      </c>
      <c r="D522" s="9"/>
      <c r="E522" s="23">
        <v>48371</v>
      </c>
      <c r="G522" s="42">
        <v>2888269</v>
      </c>
      <c r="I522" s="42">
        <v>2012517</v>
      </c>
      <c r="K522" s="42">
        <f>5040783+27398</f>
        <v>5068181</v>
      </c>
      <c r="M522" s="42">
        <v>3889</v>
      </c>
      <c r="O522" s="42">
        <f>11778+28682+6000</f>
        <v>46460</v>
      </c>
      <c r="Q522" s="42">
        <v>48140</v>
      </c>
      <c r="S522" s="42">
        <v>0</v>
      </c>
      <c r="U522" s="42">
        <v>53679</v>
      </c>
      <c r="W522" s="42">
        <v>469360</v>
      </c>
      <c r="Y522" s="2">
        <f t="shared" si="88"/>
        <v>10590495</v>
      </c>
      <c r="AA522" s="42">
        <v>0</v>
      </c>
      <c r="AC522" s="42">
        <v>0</v>
      </c>
      <c r="AE522" s="42">
        <v>0</v>
      </c>
      <c r="AG522" s="42">
        <v>0</v>
      </c>
      <c r="AI522" s="42">
        <v>0</v>
      </c>
      <c r="AK522" s="42">
        <f t="shared" si="91"/>
        <v>0</v>
      </c>
      <c r="AM522" s="42">
        <f t="shared" ref="AM522:AM553" si="92">+AK522+Y522</f>
        <v>10590495</v>
      </c>
    </row>
    <row r="523" spans="1:39">
      <c r="A523" s="9" t="s">
        <v>390</v>
      </c>
      <c r="B523" s="9"/>
      <c r="C523" s="9" t="s">
        <v>63</v>
      </c>
      <c r="D523" s="9"/>
      <c r="E523" s="23">
        <v>50062</v>
      </c>
      <c r="G523" s="42">
        <v>9806848</v>
      </c>
      <c r="I523" s="42">
        <v>0</v>
      </c>
      <c r="K523" s="42">
        <v>12505786</v>
      </c>
      <c r="M523" s="42">
        <v>26302</v>
      </c>
      <c r="O523" s="42">
        <f>2206257+68839+9492</f>
        <v>2284588</v>
      </c>
      <c r="Q523" s="42">
        <v>134164</v>
      </c>
      <c r="S523" s="42">
        <v>0</v>
      </c>
      <c r="U523" s="42">
        <v>0</v>
      </c>
      <c r="W523" s="42">
        <v>88965</v>
      </c>
      <c r="Y523" s="2">
        <f t="shared" si="88"/>
        <v>24846653</v>
      </c>
      <c r="AA523" s="42">
        <v>0</v>
      </c>
      <c r="AC523" s="42">
        <v>0</v>
      </c>
      <c r="AE523" s="42">
        <v>0</v>
      </c>
      <c r="AG523" s="42">
        <v>1000</v>
      </c>
      <c r="AI523" s="42">
        <v>0</v>
      </c>
      <c r="AK523" s="42">
        <f t="shared" si="91"/>
        <v>1000</v>
      </c>
      <c r="AM523" s="42">
        <f t="shared" si="92"/>
        <v>24847653</v>
      </c>
    </row>
    <row r="524" spans="1:39">
      <c r="A524" s="9" t="s">
        <v>780</v>
      </c>
      <c r="B524" s="9"/>
      <c r="C524" s="9" t="s">
        <v>32</v>
      </c>
      <c r="D524" s="9"/>
      <c r="E524" s="23">
        <v>44719</v>
      </c>
      <c r="G524" s="42">
        <v>4373588</v>
      </c>
      <c r="I524" s="42">
        <v>0</v>
      </c>
      <c r="K524" s="42">
        <v>6188457</v>
      </c>
      <c r="M524" s="42">
        <v>2614</v>
      </c>
      <c r="O524" s="42">
        <f>1391774</f>
        <v>1391774</v>
      </c>
      <c r="Q524" s="42">
        <v>39193</v>
      </c>
      <c r="S524" s="42">
        <v>0</v>
      </c>
      <c r="U524" s="42">
        <v>0</v>
      </c>
      <c r="W524" s="42">
        <v>247522</v>
      </c>
      <c r="Y524" s="2">
        <f t="shared" si="88"/>
        <v>12243148</v>
      </c>
      <c r="AA524" s="42">
        <v>0</v>
      </c>
      <c r="AC524" s="42">
        <v>0</v>
      </c>
      <c r="AE524" s="42">
        <v>0</v>
      </c>
      <c r="AG524" s="42">
        <v>0</v>
      </c>
      <c r="AI524" s="42">
        <v>0</v>
      </c>
      <c r="AK524" s="42">
        <f>SUM(AA524:AJ524)</f>
        <v>0</v>
      </c>
      <c r="AM524" s="42">
        <f t="shared" si="92"/>
        <v>12243148</v>
      </c>
    </row>
    <row r="525" spans="1:39">
      <c r="A525" s="9" t="s">
        <v>781</v>
      </c>
      <c r="B525" s="9"/>
      <c r="C525" s="9" t="s">
        <v>15</v>
      </c>
      <c r="D525" s="9"/>
      <c r="E525" s="23">
        <v>45997</v>
      </c>
      <c r="F525" s="7"/>
      <c r="G525" s="42">
        <v>6994652</v>
      </c>
      <c r="I525" s="42">
        <v>0</v>
      </c>
      <c r="K525" s="42">
        <v>4552083</v>
      </c>
      <c r="M525" s="42">
        <v>1240</v>
      </c>
      <c r="O525" s="42">
        <f>1357971+250+102187</f>
        <v>1460408</v>
      </c>
      <c r="Q525" s="42">
        <v>0</v>
      </c>
      <c r="S525" s="42">
        <v>0</v>
      </c>
      <c r="U525" s="42">
        <v>11092</v>
      </c>
      <c r="W525" s="42">
        <v>78173</v>
      </c>
      <c r="Y525" s="2">
        <f t="shared" si="88"/>
        <v>13097648</v>
      </c>
      <c r="AA525" s="42">
        <v>0</v>
      </c>
      <c r="AC525" s="42">
        <v>0</v>
      </c>
      <c r="AE525" s="42">
        <v>65356</v>
      </c>
      <c r="AG525" s="42">
        <v>0</v>
      </c>
      <c r="AI525" s="42">
        <v>0</v>
      </c>
      <c r="AK525" s="42">
        <f t="shared" si="91"/>
        <v>65356</v>
      </c>
      <c r="AM525" s="42">
        <f t="shared" si="92"/>
        <v>13163004</v>
      </c>
    </row>
    <row r="526" spans="1:39" hidden="1">
      <c r="A526" s="9" t="s">
        <v>697</v>
      </c>
      <c r="B526" s="9"/>
      <c r="C526" s="9" t="s">
        <v>419</v>
      </c>
      <c r="D526" s="9"/>
      <c r="E526" s="23">
        <v>48587</v>
      </c>
      <c r="G526" s="42">
        <v>0</v>
      </c>
      <c r="I526" s="42">
        <v>0</v>
      </c>
      <c r="K526" s="42">
        <v>0</v>
      </c>
      <c r="M526" s="42">
        <v>0</v>
      </c>
      <c r="O526" s="42">
        <v>0</v>
      </c>
      <c r="Q526" s="42">
        <v>0</v>
      </c>
      <c r="S526" s="42">
        <v>0</v>
      </c>
      <c r="U526" s="42">
        <v>0</v>
      </c>
      <c r="W526" s="42">
        <v>0</v>
      </c>
      <c r="Y526" s="2">
        <f t="shared" si="88"/>
        <v>0</v>
      </c>
      <c r="AA526" s="42">
        <v>0</v>
      </c>
      <c r="AC526" s="42">
        <v>0</v>
      </c>
      <c r="AE526" s="42">
        <v>0</v>
      </c>
      <c r="AG526" s="42">
        <v>0</v>
      </c>
      <c r="AI526" s="42">
        <v>0</v>
      </c>
      <c r="AK526" s="42">
        <f t="shared" si="91"/>
        <v>0</v>
      </c>
      <c r="AM526" s="42">
        <f t="shared" si="92"/>
        <v>0</v>
      </c>
    </row>
    <row r="527" spans="1:39" hidden="1">
      <c r="A527" s="9" t="s">
        <v>698</v>
      </c>
      <c r="B527" s="9"/>
      <c r="C527" s="9" t="s">
        <v>14</v>
      </c>
      <c r="D527" s="9"/>
      <c r="E527" s="23">
        <v>44727</v>
      </c>
      <c r="F527" s="7"/>
      <c r="G527" s="42">
        <v>0</v>
      </c>
      <c r="I527" s="42">
        <v>0</v>
      </c>
      <c r="K527" s="42">
        <v>0</v>
      </c>
      <c r="M527" s="42">
        <v>0</v>
      </c>
      <c r="O527" s="42">
        <v>0</v>
      </c>
      <c r="Q527" s="42">
        <v>0</v>
      </c>
      <c r="S527" s="42">
        <v>0</v>
      </c>
      <c r="U527" s="42">
        <v>0</v>
      </c>
      <c r="W527" s="42">
        <v>0</v>
      </c>
      <c r="Y527" s="2">
        <f t="shared" si="88"/>
        <v>0</v>
      </c>
      <c r="AA527" s="42">
        <v>0</v>
      </c>
      <c r="AC527" s="42">
        <v>0</v>
      </c>
      <c r="AE527" s="42">
        <v>0</v>
      </c>
      <c r="AG527" s="42">
        <v>0</v>
      </c>
      <c r="AI527" s="42">
        <v>0</v>
      </c>
      <c r="AK527" s="42">
        <f t="shared" si="91"/>
        <v>0</v>
      </c>
      <c r="AM527" s="42">
        <f t="shared" si="92"/>
        <v>0</v>
      </c>
    </row>
    <row r="528" spans="1:39">
      <c r="A528" s="9" t="s">
        <v>362</v>
      </c>
      <c r="B528" s="9"/>
      <c r="C528" s="9" t="s">
        <v>39</v>
      </c>
      <c r="D528" s="9"/>
      <c r="E528" s="23">
        <v>44826</v>
      </c>
      <c r="G528" s="42">
        <v>3367059</v>
      </c>
      <c r="I528" s="42">
        <v>0</v>
      </c>
      <c r="K528" s="42">
        <v>12250050</v>
      </c>
      <c r="M528" s="42">
        <v>2771</v>
      </c>
      <c r="O528" s="42">
        <f>3267647+32508+25635</f>
        <v>3325790</v>
      </c>
      <c r="Q528" s="42">
        <v>0</v>
      </c>
      <c r="S528" s="42">
        <v>0</v>
      </c>
      <c r="U528" s="42">
        <v>5877</v>
      </c>
      <c r="W528" s="42">
        <v>113959</v>
      </c>
      <c r="Y528" s="2">
        <f t="shared" si="88"/>
        <v>19065506</v>
      </c>
      <c r="AA528" s="42">
        <v>0</v>
      </c>
      <c r="AC528" s="42">
        <v>0</v>
      </c>
      <c r="AE528" s="42">
        <v>0</v>
      </c>
      <c r="AG528" s="42">
        <v>0</v>
      </c>
      <c r="AI528" s="42">
        <v>0</v>
      </c>
      <c r="AK528" s="42">
        <f>SUM(AA528:AJ528)</f>
        <v>0</v>
      </c>
      <c r="AM528" s="42">
        <f t="shared" si="92"/>
        <v>19065506</v>
      </c>
    </row>
    <row r="529" spans="1:39">
      <c r="A529" s="9" t="s">
        <v>510</v>
      </c>
      <c r="B529" s="9"/>
      <c r="C529" s="9" t="s">
        <v>63</v>
      </c>
      <c r="D529" s="9"/>
      <c r="E529" s="23">
        <v>44834</v>
      </c>
      <c r="G529" s="42">
        <v>31355675</v>
      </c>
      <c r="I529" s="42">
        <v>0</v>
      </c>
      <c r="K529" s="42">
        <f>16879+18642494+39000</f>
        <v>18698373</v>
      </c>
      <c r="M529" s="42">
        <v>12726</v>
      </c>
      <c r="O529" s="42">
        <f>2264406+130852</f>
        <v>2395258</v>
      </c>
      <c r="Q529" s="42">
        <v>464517</v>
      </c>
      <c r="S529" s="42">
        <v>0</v>
      </c>
      <c r="U529" s="42">
        <v>0</v>
      </c>
      <c r="W529" s="42">
        <v>446202</v>
      </c>
      <c r="Y529" s="2">
        <f t="shared" si="88"/>
        <v>53372751</v>
      </c>
      <c r="AA529" s="42">
        <v>0</v>
      </c>
      <c r="AC529" s="42">
        <v>0</v>
      </c>
      <c r="AE529" s="42">
        <v>0</v>
      </c>
      <c r="AG529" s="42">
        <v>0</v>
      </c>
      <c r="AI529" s="42">
        <v>0</v>
      </c>
      <c r="AK529" s="42">
        <f t="shared" si="91"/>
        <v>0</v>
      </c>
      <c r="AM529" s="42">
        <f t="shared" si="92"/>
        <v>53372751</v>
      </c>
    </row>
    <row r="530" spans="1:39" hidden="1">
      <c r="A530" s="9" t="s">
        <v>699</v>
      </c>
      <c r="B530" s="9"/>
      <c r="C530" s="9" t="s">
        <v>65</v>
      </c>
      <c r="D530" s="9"/>
      <c r="E530" s="23">
        <v>50294</v>
      </c>
      <c r="G530" s="42">
        <v>0</v>
      </c>
      <c r="I530" s="42">
        <v>0</v>
      </c>
      <c r="K530" s="42">
        <v>0</v>
      </c>
      <c r="M530" s="42">
        <v>0</v>
      </c>
      <c r="O530" s="42">
        <v>0</v>
      </c>
      <c r="Q530" s="42">
        <v>0</v>
      </c>
      <c r="S530" s="42">
        <v>0</v>
      </c>
      <c r="U530" s="42">
        <v>0</v>
      </c>
      <c r="W530" s="42">
        <v>0</v>
      </c>
      <c r="Y530" s="2">
        <f t="shared" si="88"/>
        <v>0</v>
      </c>
      <c r="AA530" s="42">
        <v>0</v>
      </c>
      <c r="AC530" s="42">
        <v>0</v>
      </c>
      <c r="AE530" s="42">
        <v>0</v>
      </c>
      <c r="AG530" s="42">
        <v>0</v>
      </c>
      <c r="AI530" s="42">
        <v>0</v>
      </c>
      <c r="AK530" s="42">
        <f t="shared" si="91"/>
        <v>0</v>
      </c>
      <c r="AM530" s="42">
        <f t="shared" si="92"/>
        <v>0</v>
      </c>
    </row>
    <row r="531" spans="1:39">
      <c r="A531" s="9" t="s">
        <v>461</v>
      </c>
      <c r="B531" s="9"/>
      <c r="C531" s="9" t="s">
        <v>56</v>
      </c>
      <c r="D531" s="9"/>
      <c r="E531" s="23">
        <v>49239</v>
      </c>
      <c r="G531" s="42">
        <v>13142340</v>
      </c>
      <c r="I531" s="42">
        <v>0</v>
      </c>
      <c r="K531" s="42">
        <v>7559537</v>
      </c>
      <c r="M531" s="42">
        <v>4513</v>
      </c>
      <c r="O531" s="42">
        <f>282583+4650</f>
        <v>287233</v>
      </c>
      <c r="Q531" s="42">
        <v>154848</v>
      </c>
      <c r="S531" s="42">
        <v>210811</v>
      </c>
      <c r="U531" s="42">
        <v>2238</v>
      </c>
      <c r="W531" s="42">
        <v>136250</v>
      </c>
      <c r="Y531" s="2">
        <f t="shared" si="88"/>
        <v>21497770</v>
      </c>
      <c r="AA531" s="42">
        <v>0</v>
      </c>
      <c r="AC531" s="42">
        <v>0</v>
      </c>
      <c r="AE531" s="42">
        <v>0</v>
      </c>
      <c r="AG531" s="42">
        <v>726</v>
      </c>
      <c r="AI531" s="42">
        <v>0</v>
      </c>
      <c r="AK531" s="42">
        <f t="shared" si="91"/>
        <v>726</v>
      </c>
      <c r="AM531" s="42">
        <f t="shared" si="92"/>
        <v>21498496</v>
      </c>
    </row>
    <row r="532" spans="1:39">
      <c r="A532" s="9" t="s">
        <v>277</v>
      </c>
      <c r="B532" s="9"/>
      <c r="C532" s="9" t="s">
        <v>20</v>
      </c>
      <c r="D532" s="9"/>
      <c r="E532" s="23">
        <v>44842</v>
      </c>
      <c r="G532" s="42">
        <v>45993698</v>
      </c>
      <c r="I532" s="42">
        <v>0</v>
      </c>
      <c r="K532" s="42">
        <v>19475349</v>
      </c>
      <c r="M532" s="42">
        <v>3698</v>
      </c>
      <c r="O532" s="42">
        <f>964944</f>
        <v>964944</v>
      </c>
      <c r="Q532" s="42">
        <v>450507</v>
      </c>
      <c r="S532" s="42">
        <v>2037264</v>
      </c>
      <c r="U532" s="42">
        <v>0</v>
      </c>
      <c r="W532" s="42">
        <v>293189</v>
      </c>
      <c r="Y532" s="2">
        <f t="shared" si="88"/>
        <v>69218649</v>
      </c>
      <c r="AA532" s="42">
        <v>0</v>
      </c>
      <c r="AC532" s="42">
        <v>0</v>
      </c>
      <c r="AE532" s="42">
        <v>0</v>
      </c>
      <c r="AG532" s="42">
        <v>23040</v>
      </c>
      <c r="AI532" s="42">
        <v>0</v>
      </c>
      <c r="AK532" s="42">
        <f t="shared" si="91"/>
        <v>23040</v>
      </c>
      <c r="AM532" s="42">
        <f t="shared" si="92"/>
        <v>69241689</v>
      </c>
    </row>
    <row r="533" spans="1:39">
      <c r="A533" s="9" t="s">
        <v>404</v>
      </c>
      <c r="B533" s="9"/>
      <c r="C533" s="9" t="s">
        <v>45</v>
      </c>
      <c r="D533" s="9"/>
      <c r="E533" s="23">
        <v>44859</v>
      </c>
      <c r="G533" s="42">
        <v>4137339</v>
      </c>
      <c r="I533" s="42">
        <v>0</v>
      </c>
      <c r="K533" s="42">
        <v>11656231</v>
      </c>
      <c r="M533" s="42">
        <v>6599</v>
      </c>
      <c r="O533" s="42">
        <f>1063300+14224</f>
        <v>1077524</v>
      </c>
      <c r="Q533" s="42">
        <v>141656</v>
      </c>
      <c r="S533" s="42">
        <v>0</v>
      </c>
      <c r="U533" s="42">
        <v>14600</v>
      </c>
      <c r="W533" s="42">
        <v>25356</v>
      </c>
      <c r="Y533" s="2">
        <f t="shared" si="88"/>
        <v>17059305</v>
      </c>
      <c r="AA533" s="42">
        <v>0</v>
      </c>
      <c r="AC533" s="42">
        <v>0</v>
      </c>
      <c r="AE533" s="42">
        <v>0</v>
      </c>
      <c r="AG533" s="42">
        <v>0</v>
      </c>
      <c r="AI533" s="42">
        <v>0</v>
      </c>
      <c r="AK533" s="42">
        <f t="shared" si="91"/>
        <v>0</v>
      </c>
      <c r="AM533" s="42">
        <f t="shared" si="92"/>
        <v>17059305</v>
      </c>
    </row>
    <row r="534" spans="1:39" hidden="1">
      <c r="A534" s="9" t="s">
        <v>906</v>
      </c>
      <c r="B534" s="9"/>
      <c r="C534" s="9" t="s">
        <v>548</v>
      </c>
      <c r="D534" s="9"/>
      <c r="E534" s="23">
        <v>50658</v>
      </c>
      <c r="G534" s="42">
        <v>0</v>
      </c>
      <c r="I534" s="42">
        <v>0</v>
      </c>
      <c r="K534" s="42">
        <v>0</v>
      </c>
      <c r="M534" s="42">
        <v>0</v>
      </c>
      <c r="O534" s="42">
        <v>0</v>
      </c>
      <c r="Q534" s="42">
        <v>0</v>
      </c>
      <c r="S534" s="42">
        <v>0</v>
      </c>
      <c r="U534" s="42">
        <v>0</v>
      </c>
      <c r="W534" s="42">
        <v>0</v>
      </c>
      <c r="Y534" s="2">
        <f t="shared" si="88"/>
        <v>0</v>
      </c>
      <c r="AA534" s="42">
        <v>0</v>
      </c>
      <c r="AC534" s="42">
        <v>0</v>
      </c>
      <c r="AE534" s="42">
        <v>0</v>
      </c>
      <c r="AG534" s="42">
        <v>0</v>
      </c>
      <c r="AI534" s="42">
        <v>0</v>
      </c>
      <c r="AK534" s="42">
        <f t="shared" si="91"/>
        <v>0</v>
      </c>
      <c r="AM534" s="42">
        <f t="shared" si="92"/>
        <v>0</v>
      </c>
    </row>
    <row r="535" spans="1:39">
      <c r="A535" s="9" t="s">
        <v>310</v>
      </c>
      <c r="B535" s="9"/>
      <c r="C535" s="9" t="s">
        <v>28</v>
      </c>
      <c r="D535" s="9"/>
      <c r="E535" s="23">
        <v>47092</v>
      </c>
      <c r="G535" s="42">
        <v>4414207</v>
      </c>
      <c r="I535" s="42">
        <v>1569155</v>
      </c>
      <c r="K535" s="42">
        <v>4907821</v>
      </c>
      <c r="M535" s="42">
        <v>36719</v>
      </c>
      <c r="O535" s="42">
        <f>615586</f>
        <v>615586</v>
      </c>
      <c r="Q535" s="42">
        <v>0</v>
      </c>
      <c r="S535" s="42">
        <v>0</v>
      </c>
      <c r="U535" s="42">
        <v>9708</v>
      </c>
      <c r="W535" s="42">
        <v>262088</v>
      </c>
      <c r="Y535" s="2">
        <f t="shared" si="88"/>
        <v>11815284</v>
      </c>
      <c r="AA535" s="42">
        <v>0</v>
      </c>
      <c r="AC535" s="42">
        <v>0</v>
      </c>
      <c r="AE535" s="42">
        <v>0</v>
      </c>
      <c r="AG535" s="42">
        <v>1250</v>
      </c>
      <c r="AI535" s="42">
        <v>0</v>
      </c>
      <c r="AK535" s="42">
        <f t="shared" si="91"/>
        <v>1250</v>
      </c>
      <c r="AM535" s="42">
        <f t="shared" si="92"/>
        <v>11816534</v>
      </c>
    </row>
    <row r="536" spans="1:39">
      <c r="A536" s="9" t="s">
        <v>623</v>
      </c>
      <c r="B536" s="9"/>
      <c r="C536" s="9" t="s">
        <v>49</v>
      </c>
      <c r="D536" s="9"/>
      <c r="E536" s="23">
        <v>48652</v>
      </c>
      <c r="G536" s="42">
        <v>9562383</v>
      </c>
      <c r="I536" s="42">
        <v>0</v>
      </c>
      <c r="K536" s="42">
        <v>15150515</v>
      </c>
      <c r="M536" s="42">
        <v>15826</v>
      </c>
      <c r="O536" s="42">
        <f>131522+7716+24083</f>
        <v>163321</v>
      </c>
      <c r="Q536" s="42">
        <v>2100</v>
      </c>
      <c r="S536" s="42">
        <v>0</v>
      </c>
      <c r="U536" s="42">
        <v>4100</v>
      </c>
      <c r="W536" s="42">
        <v>274331</v>
      </c>
      <c r="Y536" s="2">
        <f t="shared" si="88"/>
        <v>25172576</v>
      </c>
      <c r="AA536" s="42">
        <v>0</v>
      </c>
      <c r="AC536" s="42">
        <v>0</v>
      </c>
      <c r="AE536" s="42">
        <v>21915</v>
      </c>
      <c r="AG536" s="42">
        <f>1363+6737</f>
        <v>8100</v>
      </c>
      <c r="AI536" s="42">
        <v>0</v>
      </c>
      <c r="AK536" s="42">
        <f t="shared" si="91"/>
        <v>30015</v>
      </c>
      <c r="AM536" s="42">
        <f t="shared" si="92"/>
        <v>25202591</v>
      </c>
    </row>
    <row r="537" spans="1:39">
      <c r="A537" s="8" t="s">
        <v>828</v>
      </c>
      <c r="B537" s="9"/>
      <c r="C537" s="9" t="s">
        <v>32</v>
      </c>
      <c r="D537" s="9"/>
      <c r="E537" s="23">
        <v>44867</v>
      </c>
      <c r="G537" s="42">
        <v>50498715</v>
      </c>
      <c r="I537" s="42">
        <v>0</v>
      </c>
      <c r="K537" s="42">
        <v>16348757</v>
      </c>
      <c r="M537" s="42">
        <v>10317</v>
      </c>
      <c r="O537" s="42">
        <f>1007389+91935</f>
        <v>1099324</v>
      </c>
      <c r="Q537" s="42">
        <v>6700</v>
      </c>
      <c r="S537" s="42">
        <v>1439177</v>
      </c>
      <c r="U537" s="42">
        <v>0</v>
      </c>
      <c r="W537" s="42">
        <v>845062</v>
      </c>
      <c r="Y537" s="2">
        <f t="shared" si="88"/>
        <v>70248052</v>
      </c>
      <c r="AA537" s="42">
        <v>0</v>
      </c>
      <c r="AC537" s="42">
        <v>0</v>
      </c>
      <c r="AE537" s="42">
        <v>0</v>
      </c>
      <c r="AG537" s="42">
        <v>0</v>
      </c>
      <c r="AI537" s="42">
        <v>0</v>
      </c>
      <c r="AK537" s="42">
        <f t="shared" si="91"/>
        <v>0</v>
      </c>
      <c r="AM537" s="42">
        <f t="shared" si="92"/>
        <v>70248052</v>
      </c>
    </row>
    <row r="538" spans="1:39">
      <c r="A538" s="9" t="s">
        <v>391</v>
      </c>
      <c r="B538" s="9"/>
      <c r="C538" s="9" t="s">
        <v>114</v>
      </c>
      <c r="D538" s="9"/>
      <c r="E538" s="23">
        <v>44875</v>
      </c>
      <c r="G538" s="42">
        <v>53679344</v>
      </c>
      <c r="I538" s="42">
        <v>0</v>
      </c>
      <c r="K538" s="42">
        <v>22036351</v>
      </c>
      <c r="M538" s="42">
        <v>18129</v>
      </c>
      <c r="O538" s="42">
        <f>863327+41078+457932+51828+98837</f>
        <v>1513002</v>
      </c>
      <c r="Q538" s="42">
        <v>305138</v>
      </c>
      <c r="S538" s="42">
        <v>327779</v>
      </c>
      <c r="U538" s="42">
        <v>81859</v>
      </c>
      <c r="W538" s="42">
        <v>280346</v>
      </c>
      <c r="Y538" s="2">
        <f t="shared" si="88"/>
        <v>78241948</v>
      </c>
      <c r="AA538" s="42">
        <v>0</v>
      </c>
      <c r="AC538" s="42">
        <v>0</v>
      </c>
      <c r="AE538" s="42">
        <v>0</v>
      </c>
      <c r="AG538" s="42">
        <v>32871</v>
      </c>
      <c r="AI538" s="42">
        <v>0</v>
      </c>
      <c r="AK538" s="42">
        <f t="shared" si="91"/>
        <v>32871</v>
      </c>
      <c r="AM538" s="42">
        <f t="shared" si="92"/>
        <v>78274819</v>
      </c>
    </row>
    <row r="539" spans="1:39">
      <c r="A539" s="9" t="s">
        <v>370</v>
      </c>
      <c r="B539" s="9"/>
      <c r="C539" s="9" t="s">
        <v>364</v>
      </c>
      <c r="D539" s="9"/>
      <c r="E539" s="23">
        <v>47969</v>
      </c>
      <c r="G539" s="42">
        <v>971323</v>
      </c>
      <c r="I539" s="42">
        <v>0</v>
      </c>
      <c r="K539" s="42">
        <v>5918409</v>
      </c>
      <c r="M539" s="42">
        <v>29772</v>
      </c>
      <c r="O539" s="42">
        <v>713945</v>
      </c>
      <c r="Q539" s="42">
        <v>15511</v>
      </c>
      <c r="S539" s="42">
        <v>4784</v>
      </c>
      <c r="U539" s="42">
        <v>6454</v>
      </c>
      <c r="W539" s="42">
        <v>57039</v>
      </c>
      <c r="Y539" s="2">
        <f t="shared" si="88"/>
        <v>7717237</v>
      </c>
      <c r="AA539" s="42">
        <v>0</v>
      </c>
      <c r="AC539" s="42">
        <v>0</v>
      </c>
      <c r="AE539" s="42">
        <v>0</v>
      </c>
      <c r="AG539" s="42">
        <v>31205</v>
      </c>
      <c r="AI539" s="42">
        <v>0</v>
      </c>
      <c r="AK539" s="42">
        <f t="shared" si="91"/>
        <v>31205</v>
      </c>
      <c r="AM539" s="42">
        <f t="shared" si="92"/>
        <v>7748442</v>
      </c>
    </row>
    <row r="540" spans="1:39">
      <c r="A540" s="9" t="s">
        <v>711</v>
      </c>
      <c r="B540" s="9"/>
      <c r="C540" s="9" t="s">
        <v>220</v>
      </c>
      <c r="D540" s="9"/>
      <c r="E540" s="23">
        <v>46151</v>
      </c>
      <c r="F540" s="7"/>
      <c r="G540" s="42">
        <v>20513608</v>
      </c>
      <c r="I540" s="42">
        <v>0</v>
      </c>
      <c r="K540" s="42">
        <v>9593117</v>
      </c>
      <c r="M540" s="42">
        <v>27460</v>
      </c>
      <c r="O540" s="42">
        <v>1319777</v>
      </c>
      <c r="Q540" s="42">
        <v>0</v>
      </c>
      <c r="S540" s="42">
        <v>0</v>
      </c>
      <c r="U540" s="42">
        <v>0</v>
      </c>
      <c r="W540" s="42">
        <v>535209</v>
      </c>
      <c r="Y540" s="2">
        <f t="shared" ref="Y540:Y554" si="93">SUM(G540:X540)</f>
        <v>31989171</v>
      </c>
      <c r="AA540" s="42">
        <v>0</v>
      </c>
      <c r="AC540" s="42">
        <v>0</v>
      </c>
      <c r="AE540" s="42">
        <v>0</v>
      </c>
      <c r="AG540" s="42">
        <v>0</v>
      </c>
      <c r="AI540" s="42">
        <v>0</v>
      </c>
      <c r="AK540" s="42">
        <f t="shared" ref="AK540:AK573" si="94">SUM(AA540:AJ540)</f>
        <v>0</v>
      </c>
      <c r="AM540" s="42">
        <f t="shared" si="92"/>
        <v>31989171</v>
      </c>
    </row>
    <row r="541" spans="1:39">
      <c r="A541" s="9" t="s">
        <v>511</v>
      </c>
      <c r="B541" s="9"/>
      <c r="C541" s="9" t="s">
        <v>63</v>
      </c>
      <c r="D541" s="9"/>
      <c r="E541" s="23">
        <v>44883</v>
      </c>
      <c r="G541" s="42">
        <v>13357222</v>
      </c>
      <c r="I541" s="42">
        <v>0</v>
      </c>
      <c r="K541" s="42">
        <v>10322909</v>
      </c>
      <c r="M541" s="42">
        <v>6405</v>
      </c>
      <c r="O541" s="42">
        <f>461508+77692+380054</f>
        <v>919254</v>
      </c>
      <c r="Q541" s="42">
        <v>309085</v>
      </c>
      <c r="S541" s="42">
        <v>0</v>
      </c>
      <c r="U541" s="42">
        <v>0</v>
      </c>
      <c r="W541" s="42">
        <v>138218</v>
      </c>
      <c r="Y541" s="2">
        <f t="shared" si="93"/>
        <v>25053093</v>
      </c>
      <c r="AA541" s="42">
        <v>0</v>
      </c>
      <c r="AC541" s="42">
        <v>0</v>
      </c>
      <c r="AE541" s="42">
        <v>0</v>
      </c>
      <c r="AG541" s="42">
        <v>2000</v>
      </c>
      <c r="AI541" s="42">
        <v>0</v>
      </c>
      <c r="AK541" s="42">
        <f t="shared" si="94"/>
        <v>2000</v>
      </c>
      <c r="AM541" s="42">
        <f t="shared" si="92"/>
        <v>25055093</v>
      </c>
    </row>
    <row r="542" spans="1:39">
      <c r="A542" s="9" t="s">
        <v>451</v>
      </c>
      <c r="B542" s="9"/>
      <c r="C542" s="9" t="s">
        <v>54</v>
      </c>
      <c r="D542" s="9"/>
      <c r="E542" s="23">
        <v>49098</v>
      </c>
      <c r="G542" s="42">
        <v>8483337</v>
      </c>
      <c r="I542" s="42">
        <v>3942139</v>
      </c>
      <c r="K542" s="42">
        <f>73392+17108877+51744</f>
        <v>17234013</v>
      </c>
      <c r="M542" s="42">
        <v>51593</v>
      </c>
      <c r="O542" s="42">
        <f>673812+311512+14800</f>
        <v>1000124</v>
      </c>
      <c r="Q542" s="42">
        <v>113545</v>
      </c>
      <c r="S542" s="42">
        <v>23873</v>
      </c>
      <c r="U542" s="42">
        <v>41135</v>
      </c>
      <c r="W542" s="42">
        <v>13292</v>
      </c>
      <c r="Y542" s="2">
        <f t="shared" si="93"/>
        <v>30903051</v>
      </c>
      <c r="AA542" s="42">
        <v>0</v>
      </c>
      <c r="AC542" s="42">
        <v>0</v>
      </c>
      <c r="AE542" s="42">
        <v>0</v>
      </c>
      <c r="AG542" s="42">
        <v>6881</v>
      </c>
      <c r="AI542" s="42">
        <v>0</v>
      </c>
      <c r="AK542" s="42">
        <f t="shared" si="94"/>
        <v>6881</v>
      </c>
      <c r="AM542" s="42">
        <f t="shared" si="92"/>
        <v>30909932</v>
      </c>
    </row>
    <row r="543" spans="1:39">
      <c r="A543" s="9" t="s">
        <v>234</v>
      </c>
      <c r="B543" s="9"/>
      <c r="C543" s="9" t="s">
        <v>17</v>
      </c>
      <c r="D543" s="9"/>
      <c r="E543" s="23">
        <v>46243</v>
      </c>
      <c r="F543" s="7"/>
      <c r="G543" s="42">
        <v>7409160</v>
      </c>
      <c r="I543" s="42">
        <v>0</v>
      </c>
      <c r="K543" s="42">
        <v>16889964</v>
      </c>
      <c r="M543" s="42">
        <v>7829</v>
      </c>
      <c r="O543" s="42">
        <f>1561651+17112+86848</f>
        <v>1665611</v>
      </c>
      <c r="Q543" s="42">
        <v>33421</v>
      </c>
      <c r="S543" s="42">
        <v>0</v>
      </c>
      <c r="U543" s="42">
        <v>21604</v>
      </c>
      <c r="W543" s="42">
        <v>104459</v>
      </c>
      <c r="Y543" s="2">
        <f t="shared" si="93"/>
        <v>26132048</v>
      </c>
      <c r="AA543" s="42">
        <v>0</v>
      </c>
      <c r="AC543" s="42">
        <v>0</v>
      </c>
      <c r="AE543" s="42">
        <v>0</v>
      </c>
      <c r="AG543" s="42">
        <f>18050+798224</f>
        <v>816274</v>
      </c>
      <c r="AI543" s="42">
        <v>0</v>
      </c>
      <c r="AK543" s="42">
        <f t="shared" si="94"/>
        <v>816274</v>
      </c>
      <c r="AM543" s="42">
        <f t="shared" si="92"/>
        <v>26948322</v>
      </c>
    </row>
    <row r="544" spans="1:39">
      <c r="A544" s="9" t="s">
        <v>719</v>
      </c>
      <c r="B544" s="9"/>
      <c r="C544" s="9" t="s">
        <v>32</v>
      </c>
      <c r="D544" s="9"/>
      <c r="E544" s="23">
        <v>47399</v>
      </c>
      <c r="G544" s="42">
        <v>11319853</v>
      </c>
      <c r="I544" s="42">
        <v>2200090</v>
      </c>
      <c r="K544" s="42">
        <v>6135557</v>
      </c>
      <c r="M544" s="42">
        <v>6783</v>
      </c>
      <c r="O544" s="42">
        <f>498422+52504</f>
        <v>550926</v>
      </c>
      <c r="Q544" s="42">
        <v>15191</v>
      </c>
      <c r="S544" s="42">
        <v>0</v>
      </c>
      <c r="U544" s="42">
        <v>0</v>
      </c>
      <c r="W544" s="42">
        <v>260355</v>
      </c>
      <c r="Y544" s="2">
        <f t="shared" si="93"/>
        <v>20488755</v>
      </c>
      <c r="AA544" s="42">
        <v>0</v>
      </c>
      <c r="AC544" s="42">
        <v>0</v>
      </c>
      <c r="AE544" s="42">
        <v>0</v>
      </c>
      <c r="AG544" s="42">
        <v>0</v>
      </c>
      <c r="AI544" s="42">
        <v>0</v>
      </c>
      <c r="AK544" s="42">
        <f t="shared" si="94"/>
        <v>0</v>
      </c>
      <c r="AM544" s="42">
        <f t="shared" si="92"/>
        <v>20488755</v>
      </c>
    </row>
    <row r="545" spans="1:39">
      <c r="A545" s="9" t="s">
        <v>485</v>
      </c>
      <c r="B545" s="9"/>
      <c r="C545" s="9" t="s">
        <v>60</v>
      </c>
      <c r="D545" s="9"/>
      <c r="E545" s="23">
        <v>44891</v>
      </c>
      <c r="G545" s="42">
        <v>7225455</v>
      </c>
      <c r="I545" s="42">
        <v>0</v>
      </c>
      <c r="K545" s="42">
        <v>11268739</v>
      </c>
      <c r="M545" s="42">
        <v>7331</v>
      </c>
      <c r="O545" s="42">
        <f>1054567+65028+73113+30287+80555</f>
        <v>1303550</v>
      </c>
      <c r="Q545" s="42">
        <v>127415</v>
      </c>
      <c r="S545" s="42">
        <v>39957</v>
      </c>
      <c r="U545" s="42">
        <v>12105</v>
      </c>
      <c r="W545" s="42">
        <v>24914</v>
      </c>
      <c r="Y545" s="2">
        <f t="shared" si="93"/>
        <v>20009466</v>
      </c>
      <c r="AA545" s="42">
        <v>0</v>
      </c>
      <c r="AC545" s="42">
        <v>0</v>
      </c>
      <c r="AE545" s="42">
        <v>0</v>
      </c>
      <c r="AG545" s="42">
        <v>0</v>
      </c>
      <c r="AI545" s="42">
        <v>0</v>
      </c>
      <c r="AK545" s="42">
        <f t="shared" si="94"/>
        <v>0</v>
      </c>
      <c r="AM545" s="42">
        <f t="shared" si="92"/>
        <v>20009466</v>
      </c>
    </row>
    <row r="546" spans="1:39">
      <c r="A546" s="9" t="s">
        <v>772</v>
      </c>
      <c r="B546" s="9"/>
      <c r="C546" s="9" t="s">
        <v>48</v>
      </c>
      <c r="D546" s="9"/>
      <c r="E546" s="23">
        <v>45617</v>
      </c>
      <c r="G546" s="42">
        <v>10507646</v>
      </c>
      <c r="I546" s="42">
        <v>0</v>
      </c>
      <c r="K546" s="42">
        <f>9256516+4794</f>
        <v>9261310</v>
      </c>
      <c r="M546" s="42">
        <v>4377</v>
      </c>
      <c r="O546" s="42">
        <f>817160</f>
        <v>817160</v>
      </c>
      <c r="Q546" s="42">
        <v>403195</v>
      </c>
      <c r="S546" s="42">
        <v>0</v>
      </c>
      <c r="U546" s="42">
        <v>0</v>
      </c>
      <c r="W546" s="42">
        <v>122250</v>
      </c>
      <c r="Y546" s="2">
        <f t="shared" si="93"/>
        <v>21115938</v>
      </c>
      <c r="AA546" s="42">
        <v>0</v>
      </c>
      <c r="AC546" s="42">
        <v>0</v>
      </c>
      <c r="AE546" s="42">
        <v>0</v>
      </c>
      <c r="AG546" s="42">
        <v>401</v>
      </c>
      <c r="AI546" s="42">
        <v>0</v>
      </c>
      <c r="AK546" s="42">
        <f t="shared" si="94"/>
        <v>401</v>
      </c>
      <c r="AM546" s="42">
        <f t="shared" si="92"/>
        <v>21116339</v>
      </c>
    </row>
    <row r="547" spans="1:39">
      <c r="A547" s="9" t="s">
        <v>392</v>
      </c>
      <c r="B547" s="9"/>
      <c r="C547" s="9" t="s">
        <v>114</v>
      </c>
      <c r="D547" s="9"/>
      <c r="E547" s="23">
        <v>44909</v>
      </c>
      <c r="G547" s="42">
        <v>83399751</v>
      </c>
      <c r="I547" s="42">
        <v>0</v>
      </c>
      <c r="K547" s="42">
        <f>213157949+895882</f>
        <v>214053831</v>
      </c>
      <c r="M547" s="42">
        <v>80188</v>
      </c>
      <c r="O547" s="42">
        <f>2000243+528656+63854</f>
        <v>2592753</v>
      </c>
      <c r="Q547" s="42">
        <v>232237</v>
      </c>
      <c r="S547" s="42">
        <v>0</v>
      </c>
      <c r="U547" s="42">
        <v>0</v>
      </c>
      <c r="W547" s="42">
        <v>6701844</v>
      </c>
      <c r="Y547" s="2">
        <f t="shared" si="93"/>
        <v>307060604</v>
      </c>
      <c r="AA547" s="42">
        <v>0</v>
      </c>
      <c r="AC547" s="42">
        <v>0</v>
      </c>
      <c r="AE547" s="42">
        <v>0</v>
      </c>
      <c r="AG547" s="42">
        <v>0</v>
      </c>
      <c r="AI547" s="42">
        <v>0</v>
      </c>
      <c r="AK547" s="42">
        <f t="shared" si="94"/>
        <v>0</v>
      </c>
      <c r="AM547" s="42">
        <f t="shared" si="92"/>
        <v>307060604</v>
      </c>
    </row>
    <row r="548" spans="1:39" hidden="1">
      <c r="A548" s="9" t="s">
        <v>882</v>
      </c>
      <c r="B548" s="9"/>
      <c r="C548" s="9" t="s">
        <v>114</v>
      </c>
      <c r="D548" s="9"/>
      <c r="E548" s="23"/>
      <c r="G548" s="42">
        <v>0</v>
      </c>
      <c r="I548" s="42">
        <v>0</v>
      </c>
      <c r="K548" s="42">
        <v>0</v>
      </c>
      <c r="M548" s="42">
        <v>0</v>
      </c>
      <c r="O548" s="42">
        <v>0</v>
      </c>
      <c r="Q548" s="42">
        <v>0</v>
      </c>
      <c r="S548" s="42">
        <v>0</v>
      </c>
      <c r="U548" s="42">
        <v>0</v>
      </c>
      <c r="W548" s="42">
        <v>0</v>
      </c>
      <c r="Y548" s="2">
        <f t="shared" si="93"/>
        <v>0</v>
      </c>
      <c r="AA548" s="42">
        <v>0</v>
      </c>
      <c r="AC548" s="42">
        <v>0</v>
      </c>
      <c r="AE548" s="42">
        <v>0</v>
      </c>
      <c r="AG548" s="42">
        <v>0</v>
      </c>
      <c r="AI548" s="42">
        <v>0</v>
      </c>
      <c r="AK548" s="42">
        <f t="shared" si="94"/>
        <v>0</v>
      </c>
      <c r="AM548" s="42">
        <f t="shared" si="92"/>
        <v>0</v>
      </c>
    </row>
    <row r="549" spans="1:39">
      <c r="A549" s="9" t="s">
        <v>720</v>
      </c>
      <c r="B549" s="9"/>
      <c r="C549" s="9" t="s">
        <v>39</v>
      </c>
      <c r="D549" s="9"/>
      <c r="E549" s="23">
        <v>44917</v>
      </c>
      <c r="G549" s="42">
        <v>1420565</v>
      </c>
      <c r="I549" s="42">
        <v>0</v>
      </c>
      <c r="K549" s="42">
        <v>4173763</v>
      </c>
      <c r="M549" s="42">
        <v>1145</v>
      </c>
      <c r="O549" s="42">
        <f>761008</f>
        <v>761008</v>
      </c>
      <c r="Q549" s="42">
        <v>69726</v>
      </c>
      <c r="S549" s="42">
        <v>0</v>
      </c>
      <c r="U549" s="42">
        <v>14856</v>
      </c>
      <c r="W549" s="42">
        <v>25340</v>
      </c>
      <c r="Y549" s="2">
        <f t="shared" si="93"/>
        <v>6466403</v>
      </c>
      <c r="AA549" s="42">
        <v>0</v>
      </c>
      <c r="AC549" s="42">
        <v>0</v>
      </c>
      <c r="AE549" s="42">
        <v>0</v>
      </c>
      <c r="AG549" s="42">
        <v>0</v>
      </c>
      <c r="AI549" s="42">
        <v>0</v>
      </c>
      <c r="AK549" s="42">
        <f t="shared" si="94"/>
        <v>0</v>
      </c>
      <c r="AM549" s="42">
        <f t="shared" si="92"/>
        <v>6466403</v>
      </c>
    </row>
    <row r="550" spans="1:39">
      <c r="A550" s="9" t="s">
        <v>228</v>
      </c>
      <c r="B550" s="9"/>
      <c r="C550" s="9" t="s">
        <v>227</v>
      </c>
      <c r="D550" s="9"/>
      <c r="E550" s="23">
        <v>46201</v>
      </c>
      <c r="F550" s="7"/>
      <c r="G550" s="42">
        <v>2089454</v>
      </c>
      <c r="I550" s="42">
        <v>1750882</v>
      </c>
      <c r="K550" s="42">
        <v>5360802</v>
      </c>
      <c r="M550" s="42">
        <v>1736</v>
      </c>
      <c r="O550" s="42">
        <f>583126+33038+4077</f>
        <v>620241</v>
      </c>
      <c r="Q550" s="42">
        <v>42329</v>
      </c>
      <c r="S550" s="42">
        <v>0</v>
      </c>
      <c r="U550" s="42">
        <v>22661</v>
      </c>
      <c r="W550" s="42">
        <v>0</v>
      </c>
      <c r="Y550" s="2">
        <f t="shared" si="93"/>
        <v>9888105</v>
      </c>
      <c r="AA550" s="42">
        <v>0</v>
      </c>
      <c r="AC550" s="42">
        <v>0</v>
      </c>
      <c r="AE550" s="42">
        <v>0</v>
      </c>
      <c r="AG550" s="42">
        <v>0</v>
      </c>
      <c r="AI550" s="42">
        <v>0</v>
      </c>
      <c r="AK550" s="42">
        <f t="shared" si="94"/>
        <v>0</v>
      </c>
      <c r="AM550" s="42">
        <f t="shared" si="92"/>
        <v>9888105</v>
      </c>
    </row>
    <row r="551" spans="1:39" s="24" customFormat="1">
      <c r="A551" s="51" t="s">
        <v>463</v>
      </c>
      <c r="B551" s="51"/>
      <c r="C551" s="51" t="s">
        <v>57</v>
      </c>
      <c r="D551" s="51"/>
      <c r="E551" s="23">
        <v>91397</v>
      </c>
      <c r="G551" s="42">
        <v>3528343</v>
      </c>
      <c r="H551" s="42"/>
      <c r="I551" s="42">
        <v>0</v>
      </c>
      <c r="J551" s="42"/>
      <c r="K551" s="42">
        <v>4450328</v>
      </c>
      <c r="L551" s="42"/>
      <c r="M551" s="42">
        <v>4323</v>
      </c>
      <c r="N551" s="42"/>
      <c r="O551" s="42">
        <f>325979+9650</f>
        <v>335629</v>
      </c>
      <c r="P551" s="42"/>
      <c r="Q551" s="42">
        <v>35902</v>
      </c>
      <c r="R551" s="42"/>
      <c r="S551" s="42">
        <v>0</v>
      </c>
      <c r="T551" s="42"/>
      <c r="U551" s="42">
        <v>1000</v>
      </c>
      <c r="V551" s="42"/>
      <c r="W551" s="42">
        <v>70389</v>
      </c>
      <c r="X551" s="42"/>
      <c r="Y551" s="2">
        <f t="shared" si="93"/>
        <v>8425914</v>
      </c>
      <c r="Z551" s="42"/>
      <c r="AA551" s="42">
        <v>0</v>
      </c>
      <c r="AB551" s="42"/>
      <c r="AC551" s="42">
        <v>0</v>
      </c>
      <c r="AD551" s="42"/>
      <c r="AE551" s="42">
        <v>0</v>
      </c>
      <c r="AF551" s="42"/>
      <c r="AG551" s="42">
        <v>0</v>
      </c>
      <c r="AH551" s="42"/>
      <c r="AI551" s="42">
        <v>0</v>
      </c>
      <c r="AJ551" s="42"/>
      <c r="AK551" s="42">
        <f t="shared" si="94"/>
        <v>0</v>
      </c>
      <c r="AL551" s="42"/>
      <c r="AM551" s="42">
        <f t="shared" si="92"/>
        <v>8425914</v>
      </c>
    </row>
    <row r="552" spans="1:39">
      <c r="A552" s="9" t="s">
        <v>211</v>
      </c>
      <c r="B552" s="9"/>
      <c r="C552" s="9" t="s">
        <v>13</v>
      </c>
      <c r="D552" s="9"/>
      <c r="E552" s="23">
        <v>45922</v>
      </c>
      <c r="F552" s="7"/>
      <c r="G552" s="42">
        <v>743077</v>
      </c>
      <c r="I552" s="42">
        <v>0</v>
      </c>
      <c r="K552" s="42">
        <v>7028949</v>
      </c>
      <c r="M552" s="42">
        <v>3645</v>
      </c>
      <c r="O552" s="42">
        <f>641979+70</f>
        <v>642049</v>
      </c>
      <c r="Q552" s="42">
        <v>0</v>
      </c>
      <c r="S552" s="42">
        <v>0</v>
      </c>
      <c r="U552" s="42">
        <v>59336</v>
      </c>
      <c r="W552" s="42">
        <v>61099</v>
      </c>
      <c r="Y552" s="2">
        <f t="shared" si="93"/>
        <v>8538155</v>
      </c>
      <c r="AA552" s="42">
        <v>0</v>
      </c>
      <c r="AC552" s="42">
        <v>0</v>
      </c>
      <c r="AE552" s="42">
        <v>37260</v>
      </c>
      <c r="AG552" s="42">
        <v>6068</v>
      </c>
      <c r="AI552" s="42">
        <v>0</v>
      </c>
      <c r="AK552" s="42">
        <f t="shared" si="94"/>
        <v>43328</v>
      </c>
      <c r="AM552" s="42">
        <f t="shared" si="92"/>
        <v>8581483</v>
      </c>
    </row>
    <row r="553" spans="1:39">
      <c r="A553" s="9" t="s">
        <v>443</v>
      </c>
      <c r="B553" s="9"/>
      <c r="C553" s="9" t="s">
        <v>51</v>
      </c>
      <c r="D553" s="9"/>
      <c r="E553" s="23">
        <v>48876</v>
      </c>
      <c r="G553" s="42">
        <v>5770224</v>
      </c>
      <c r="I553" s="42">
        <v>0</v>
      </c>
      <c r="K553" s="42">
        <v>15931042</v>
      </c>
      <c r="M553" s="42">
        <v>0</v>
      </c>
      <c r="O553" s="42">
        <v>1499431</v>
      </c>
      <c r="Q553" s="42">
        <v>215580</v>
      </c>
      <c r="S553" s="42">
        <v>115595</v>
      </c>
      <c r="U553" s="42">
        <v>5556</v>
      </c>
      <c r="W553" s="42">
        <v>84279</v>
      </c>
      <c r="Y553" s="2">
        <f t="shared" si="93"/>
        <v>23621707</v>
      </c>
      <c r="AA553" s="42">
        <v>0</v>
      </c>
      <c r="AC553" s="42">
        <v>0</v>
      </c>
      <c r="AE553" s="42">
        <v>0</v>
      </c>
      <c r="AG553" s="42">
        <v>0</v>
      </c>
      <c r="AI553" s="42">
        <v>0</v>
      </c>
      <c r="AK553" s="42">
        <f t="shared" si="94"/>
        <v>0</v>
      </c>
      <c r="AM553" s="42">
        <f t="shared" si="92"/>
        <v>23621707</v>
      </c>
    </row>
    <row r="554" spans="1:39" hidden="1">
      <c r="A554" s="9" t="s">
        <v>685</v>
      </c>
      <c r="B554" s="9"/>
      <c r="C554" s="9" t="s">
        <v>21</v>
      </c>
      <c r="D554" s="9"/>
      <c r="E554" s="23">
        <v>46680</v>
      </c>
      <c r="G554" s="42">
        <v>0</v>
      </c>
      <c r="I554" s="42">
        <v>0</v>
      </c>
      <c r="K554" s="42">
        <v>0</v>
      </c>
      <c r="M554" s="42">
        <v>0</v>
      </c>
      <c r="O554" s="42">
        <v>0</v>
      </c>
      <c r="Q554" s="42">
        <v>0</v>
      </c>
      <c r="S554" s="42">
        <v>0</v>
      </c>
      <c r="U554" s="42">
        <v>0</v>
      </c>
      <c r="W554" s="42">
        <v>0</v>
      </c>
      <c r="Y554" s="2">
        <f t="shared" si="93"/>
        <v>0</v>
      </c>
      <c r="AA554" s="42">
        <v>0</v>
      </c>
      <c r="AC554" s="42">
        <v>0</v>
      </c>
      <c r="AE554" s="42">
        <v>0</v>
      </c>
      <c r="AG554" s="42">
        <v>0</v>
      </c>
      <c r="AI554" s="42">
        <v>0</v>
      </c>
      <c r="AK554" s="42">
        <f t="shared" si="94"/>
        <v>0</v>
      </c>
      <c r="AM554" s="42">
        <f t="shared" ref="AM554:AM575" si="95">+AK554+Y554</f>
        <v>0</v>
      </c>
    </row>
    <row r="555" spans="1:39" hidden="1">
      <c r="A555" s="8" t="s">
        <v>829</v>
      </c>
      <c r="B555" s="9"/>
      <c r="C555" s="9" t="s">
        <v>71</v>
      </c>
      <c r="D555" s="9"/>
      <c r="E555" s="23">
        <v>50591</v>
      </c>
      <c r="G555" s="42">
        <v>0</v>
      </c>
      <c r="I555" s="42">
        <v>0</v>
      </c>
      <c r="K555" s="42">
        <v>0</v>
      </c>
      <c r="M555" s="42">
        <v>0</v>
      </c>
      <c r="O555" s="42">
        <v>0</v>
      </c>
      <c r="Q555" s="42">
        <v>0</v>
      </c>
      <c r="S555" s="42">
        <v>0</v>
      </c>
      <c r="U555" s="42">
        <v>0</v>
      </c>
      <c r="W555" s="42">
        <v>0</v>
      </c>
      <c r="Y555" s="2">
        <f t="shared" ref="Y555:Y599" si="96">SUM(G555:X555)</f>
        <v>0</v>
      </c>
      <c r="AA555" s="42">
        <v>0</v>
      </c>
      <c r="AC555" s="42">
        <v>0</v>
      </c>
      <c r="AE555" s="42">
        <v>0</v>
      </c>
      <c r="AG555" s="42">
        <v>0</v>
      </c>
      <c r="AI555" s="42">
        <v>0</v>
      </c>
      <c r="AK555" s="42">
        <f t="shared" si="94"/>
        <v>0</v>
      </c>
      <c r="AM555" s="42">
        <f t="shared" si="95"/>
        <v>0</v>
      </c>
    </row>
    <row r="556" spans="1:39">
      <c r="A556" s="9" t="s">
        <v>433</v>
      </c>
      <c r="B556" s="9"/>
      <c r="C556" s="9" t="s">
        <v>50</v>
      </c>
      <c r="D556" s="9"/>
      <c r="E556" s="23">
        <v>48694</v>
      </c>
      <c r="G556" s="42">
        <v>7031006</v>
      </c>
      <c r="I556" s="42">
        <v>0</v>
      </c>
      <c r="K556" s="42">
        <v>22814067</v>
      </c>
      <c r="M556" s="42">
        <v>14830</v>
      </c>
      <c r="O556" s="42">
        <f>351599+137151</f>
        <v>488750</v>
      </c>
      <c r="Q556" s="42">
        <v>27401</v>
      </c>
      <c r="S556" s="42">
        <v>0</v>
      </c>
      <c r="U556" s="42">
        <v>0</v>
      </c>
      <c r="W556" s="42">
        <v>493312</v>
      </c>
      <c r="Y556" s="2">
        <f t="shared" si="96"/>
        <v>30869366</v>
      </c>
      <c r="AA556" s="42">
        <v>2234</v>
      </c>
      <c r="AC556" s="42">
        <v>0</v>
      </c>
      <c r="AE556" s="42">
        <v>0</v>
      </c>
      <c r="AG556" s="42">
        <v>650</v>
      </c>
      <c r="AI556" s="42">
        <v>0</v>
      </c>
      <c r="AK556" s="42">
        <f t="shared" si="94"/>
        <v>2884</v>
      </c>
      <c r="AM556" s="42">
        <f t="shared" si="95"/>
        <v>30872250</v>
      </c>
    </row>
    <row r="557" spans="1:39" s="24" customFormat="1">
      <c r="A557" s="51" t="s">
        <v>423</v>
      </c>
      <c r="B557" s="51"/>
      <c r="C557" s="51" t="s">
        <v>48</v>
      </c>
      <c r="D557" s="51"/>
      <c r="E557" s="51">
        <v>44925</v>
      </c>
      <c r="G557" s="24">
        <v>14042349</v>
      </c>
      <c r="I557" s="24">
        <v>9674986</v>
      </c>
      <c r="K557" s="24">
        <v>15128507</v>
      </c>
      <c r="M557" s="24">
        <v>12948</v>
      </c>
      <c r="O557" s="24">
        <v>982983</v>
      </c>
      <c r="Q557" s="24">
        <v>357984</v>
      </c>
      <c r="S557" s="24">
        <v>0</v>
      </c>
      <c r="U557" s="24">
        <v>0</v>
      </c>
      <c r="W557" s="24">
        <v>358341</v>
      </c>
      <c r="Y557" s="60">
        <f t="shared" si="96"/>
        <v>40558098</v>
      </c>
      <c r="AA557" s="24">
        <v>0</v>
      </c>
      <c r="AC557" s="24">
        <v>0</v>
      </c>
      <c r="AE557" s="24">
        <v>0</v>
      </c>
      <c r="AG557" s="24">
        <v>7205</v>
      </c>
      <c r="AI557" s="24">
        <v>0</v>
      </c>
      <c r="AK557" s="24">
        <f t="shared" si="94"/>
        <v>7205</v>
      </c>
      <c r="AM557" s="24">
        <f t="shared" si="95"/>
        <v>40565303</v>
      </c>
    </row>
    <row r="558" spans="1:39">
      <c r="A558" s="9" t="s">
        <v>534</v>
      </c>
      <c r="B558" s="9"/>
      <c r="C558" s="9" t="s">
        <v>65</v>
      </c>
      <c r="D558" s="9"/>
      <c r="E558" s="23">
        <v>50302</v>
      </c>
      <c r="G558" s="42">
        <v>5246990</v>
      </c>
      <c r="I558" s="42">
        <v>0</v>
      </c>
      <c r="K558" s="42">
        <f>42277+6189807</f>
        <v>6232084</v>
      </c>
      <c r="M558" s="42">
        <v>2230</v>
      </c>
      <c r="O558" s="42">
        <f>467118+59504+1549</f>
        <v>528171</v>
      </c>
      <c r="Q558" s="42">
        <v>50355</v>
      </c>
      <c r="S558" s="42">
        <v>0</v>
      </c>
      <c r="U558" s="42">
        <v>2330</v>
      </c>
      <c r="W558" s="42">
        <v>38020</v>
      </c>
      <c r="Y558" s="2">
        <f t="shared" si="96"/>
        <v>12100180</v>
      </c>
      <c r="AA558" s="42">
        <v>358</v>
      </c>
      <c r="AC558" s="42">
        <v>0</v>
      </c>
      <c r="AE558" s="42">
        <v>0</v>
      </c>
      <c r="AG558" s="42">
        <v>0</v>
      </c>
      <c r="AI558" s="42">
        <v>0</v>
      </c>
      <c r="AK558" s="42">
        <f t="shared" si="94"/>
        <v>358</v>
      </c>
      <c r="AM558" s="42">
        <f t="shared" si="95"/>
        <v>12100538</v>
      </c>
    </row>
    <row r="559" spans="1:39">
      <c r="A559" s="9" t="s">
        <v>501</v>
      </c>
      <c r="B559" s="9"/>
      <c r="C559" s="9" t="s">
        <v>62</v>
      </c>
      <c r="D559" s="9"/>
      <c r="E559" s="23">
        <v>49957</v>
      </c>
      <c r="G559" s="42">
        <v>4523223</v>
      </c>
      <c r="I559" s="42">
        <v>0</v>
      </c>
      <c r="K559" s="42">
        <v>6333091</v>
      </c>
      <c r="M559" s="42">
        <v>11346</v>
      </c>
      <c r="O559" s="42">
        <f>1022995+2417+44573</f>
        <v>1069985</v>
      </c>
      <c r="Q559" s="42">
        <v>159931</v>
      </c>
      <c r="S559" s="42">
        <v>0</v>
      </c>
      <c r="U559" s="42">
        <v>4155</v>
      </c>
      <c r="W559" s="42">
        <v>9800</v>
      </c>
      <c r="Y559" s="2">
        <f t="shared" si="96"/>
        <v>12111531</v>
      </c>
      <c r="AA559" s="42">
        <v>0</v>
      </c>
      <c r="AC559" s="42">
        <v>0</v>
      </c>
      <c r="AE559" s="42">
        <v>0</v>
      </c>
      <c r="AG559" s="42">
        <v>0</v>
      </c>
      <c r="AI559" s="42">
        <v>0</v>
      </c>
      <c r="AK559" s="42">
        <f t="shared" si="94"/>
        <v>0</v>
      </c>
      <c r="AM559" s="42">
        <f t="shared" si="95"/>
        <v>12111531</v>
      </c>
    </row>
    <row r="560" spans="1:39" hidden="1">
      <c r="A560" s="9" t="s">
        <v>689</v>
      </c>
      <c r="B560" s="9"/>
      <c r="C560" s="9" t="s">
        <v>57</v>
      </c>
      <c r="D560" s="9"/>
      <c r="E560" s="23">
        <v>49296</v>
      </c>
      <c r="G560" s="42">
        <v>0</v>
      </c>
      <c r="I560" s="42">
        <v>0</v>
      </c>
      <c r="K560" s="42">
        <v>0</v>
      </c>
      <c r="M560" s="42">
        <v>0</v>
      </c>
      <c r="O560" s="42">
        <v>0</v>
      </c>
      <c r="Q560" s="42">
        <v>0</v>
      </c>
      <c r="S560" s="42">
        <v>0</v>
      </c>
      <c r="U560" s="42">
        <v>0</v>
      </c>
      <c r="W560" s="42">
        <v>0</v>
      </c>
      <c r="Y560" s="2">
        <f t="shared" si="96"/>
        <v>0</v>
      </c>
      <c r="AA560" s="42">
        <v>0</v>
      </c>
      <c r="AC560" s="42">
        <v>0</v>
      </c>
      <c r="AE560" s="42">
        <v>0</v>
      </c>
      <c r="AG560" s="42">
        <v>0</v>
      </c>
      <c r="AI560" s="42">
        <v>0</v>
      </c>
      <c r="AK560" s="42">
        <f t="shared" si="94"/>
        <v>0</v>
      </c>
      <c r="AM560" s="42">
        <f t="shared" si="95"/>
        <v>0</v>
      </c>
    </row>
    <row r="561" spans="1:39">
      <c r="A561" s="9" t="s">
        <v>512</v>
      </c>
      <c r="B561" s="9"/>
      <c r="C561" s="9" t="s">
        <v>63</v>
      </c>
      <c r="D561" s="9"/>
      <c r="E561" s="23">
        <v>50070</v>
      </c>
      <c r="G561" s="42">
        <v>23266786</v>
      </c>
      <c r="I561" s="42">
        <v>0</v>
      </c>
      <c r="K561" s="42">
        <v>13282754</v>
      </c>
      <c r="M561" s="42">
        <v>35914</v>
      </c>
      <c r="O561" s="42">
        <f>1082238+64865</f>
        <v>1147103</v>
      </c>
      <c r="Q561" s="42">
        <v>190480</v>
      </c>
      <c r="S561" s="42">
        <v>63290</v>
      </c>
      <c r="U561" s="42">
        <v>275</v>
      </c>
      <c r="W561" s="42">
        <v>29544</v>
      </c>
      <c r="Y561" s="2">
        <f t="shared" si="96"/>
        <v>38016146</v>
      </c>
      <c r="AA561" s="42">
        <v>0</v>
      </c>
      <c r="AC561" s="42">
        <v>0</v>
      </c>
      <c r="AE561" s="42">
        <v>0</v>
      </c>
      <c r="AG561" s="42">
        <v>0</v>
      </c>
      <c r="AI561" s="42">
        <v>0</v>
      </c>
      <c r="AK561" s="42">
        <f t="shared" si="94"/>
        <v>0</v>
      </c>
      <c r="AM561" s="42">
        <f t="shared" si="95"/>
        <v>38016146</v>
      </c>
    </row>
    <row r="562" spans="1:39">
      <c r="A562" s="8" t="s">
        <v>907</v>
      </c>
      <c r="B562" s="9"/>
      <c r="C562" s="9" t="s">
        <v>15</v>
      </c>
      <c r="D562" s="9"/>
      <c r="E562" s="23">
        <v>46011</v>
      </c>
      <c r="F562" s="7"/>
      <c r="G562" s="42">
        <v>2998060</v>
      </c>
      <c r="I562" s="42">
        <v>0</v>
      </c>
      <c r="K562" s="42">
        <v>8305210</v>
      </c>
      <c r="M562" s="42">
        <v>4580</v>
      </c>
      <c r="O562" s="42">
        <f>1482943+7005</f>
        <v>1489948</v>
      </c>
      <c r="Q562" s="42">
        <v>7458</v>
      </c>
      <c r="S562" s="42">
        <v>0</v>
      </c>
      <c r="U562" s="42">
        <v>3271</v>
      </c>
      <c r="W562" s="42">
        <v>30687</v>
      </c>
      <c r="Y562" s="2">
        <f t="shared" si="96"/>
        <v>12839214</v>
      </c>
      <c r="AA562" s="42">
        <v>0</v>
      </c>
      <c r="AC562" s="42">
        <v>0</v>
      </c>
      <c r="AE562" s="42">
        <v>60591</v>
      </c>
      <c r="AG562" s="42">
        <v>0</v>
      </c>
      <c r="AI562" s="42">
        <v>0</v>
      </c>
      <c r="AK562" s="42">
        <f t="shared" si="94"/>
        <v>60591</v>
      </c>
      <c r="AM562" s="42">
        <f t="shared" si="95"/>
        <v>12899805</v>
      </c>
    </row>
    <row r="563" spans="1:39">
      <c r="A563" s="9" t="s">
        <v>473</v>
      </c>
      <c r="B563" s="9"/>
      <c r="C563" s="9" t="s">
        <v>58</v>
      </c>
      <c r="D563" s="9"/>
      <c r="E563" s="23">
        <v>49536</v>
      </c>
      <c r="G563" s="42">
        <v>3298547</v>
      </c>
      <c r="I563" s="42">
        <v>1191006</v>
      </c>
      <c r="K563" s="42">
        <v>10125946</v>
      </c>
      <c r="M563" s="42">
        <v>0</v>
      </c>
      <c r="O563" s="42">
        <f>3191306+12599+25284</f>
        <v>3229189</v>
      </c>
      <c r="Q563" s="42">
        <v>42652</v>
      </c>
      <c r="S563" s="42">
        <v>0</v>
      </c>
      <c r="U563" s="42">
        <v>0</v>
      </c>
      <c r="W563" s="42">
        <v>159133</v>
      </c>
      <c r="Y563" s="2">
        <f t="shared" si="96"/>
        <v>18046473</v>
      </c>
      <c r="AA563" s="42">
        <v>0</v>
      </c>
      <c r="AC563" s="42">
        <v>0</v>
      </c>
      <c r="AE563" s="42">
        <v>0</v>
      </c>
      <c r="AG563" s="42">
        <v>0</v>
      </c>
      <c r="AI563" s="42">
        <v>0</v>
      </c>
      <c r="AK563" s="42">
        <f t="shared" si="94"/>
        <v>0</v>
      </c>
      <c r="AM563" s="42">
        <f t="shared" si="95"/>
        <v>18046473</v>
      </c>
    </row>
    <row r="564" spans="1:39">
      <c r="A564" s="9" t="s">
        <v>249</v>
      </c>
      <c r="B564" s="9"/>
      <c r="C564" s="9" t="s">
        <v>111</v>
      </c>
      <c r="D564" s="9"/>
      <c r="E564" s="23">
        <v>46458</v>
      </c>
      <c r="F564" s="7"/>
      <c r="G564" s="42">
        <v>2388766</v>
      </c>
      <c r="I564" s="42">
        <v>828769</v>
      </c>
      <c r="K564" s="42">
        <f>7134651+33007</f>
        <v>7167658</v>
      </c>
      <c r="M564" s="42">
        <v>49154</v>
      </c>
      <c r="O564" s="42">
        <f>795870+14133+21114+11872</f>
        <v>842989</v>
      </c>
      <c r="Q564" s="42">
        <v>55004</v>
      </c>
      <c r="S564" s="42">
        <v>0</v>
      </c>
      <c r="U564" s="42">
        <v>3682</v>
      </c>
      <c r="W564" s="42">
        <v>12077</v>
      </c>
      <c r="Y564" s="2">
        <f t="shared" si="96"/>
        <v>11348099</v>
      </c>
      <c r="AA564" s="42">
        <v>0</v>
      </c>
      <c r="AC564" s="42">
        <v>0</v>
      </c>
      <c r="AE564" s="42">
        <v>0</v>
      </c>
      <c r="AG564" s="42">
        <v>0</v>
      </c>
      <c r="AI564" s="42">
        <v>0</v>
      </c>
      <c r="AK564" s="42">
        <f t="shared" si="94"/>
        <v>0</v>
      </c>
      <c r="AM564" s="42">
        <f t="shared" si="95"/>
        <v>11348099</v>
      </c>
    </row>
    <row r="565" spans="1:39">
      <c r="A565" s="9" t="s">
        <v>306</v>
      </c>
      <c r="B565" s="9"/>
      <c r="C565" s="9" t="s">
        <v>27</v>
      </c>
      <c r="D565" s="9"/>
      <c r="E565" s="23">
        <v>44933</v>
      </c>
      <c r="G565" s="42">
        <v>61401672</v>
      </c>
      <c r="I565" s="42">
        <v>0</v>
      </c>
      <c r="K565" s="42">
        <v>12507305</v>
      </c>
      <c r="M565" s="42">
        <v>128656</v>
      </c>
      <c r="O565" s="42">
        <f>277784+353147</f>
        <v>630931</v>
      </c>
      <c r="Q565" s="42">
        <v>167268</v>
      </c>
      <c r="S565" s="42">
        <v>1510212</v>
      </c>
      <c r="U565" s="42">
        <v>0</v>
      </c>
      <c r="W565" s="42">
        <v>962660</v>
      </c>
      <c r="Y565" s="2">
        <f t="shared" si="96"/>
        <v>77308704</v>
      </c>
      <c r="AA565" s="42">
        <v>0</v>
      </c>
      <c r="AC565" s="42">
        <v>0</v>
      </c>
      <c r="AE565" s="42">
        <v>0</v>
      </c>
      <c r="AG565" s="42">
        <v>0</v>
      </c>
      <c r="AI565" s="42">
        <v>0</v>
      </c>
      <c r="AK565" s="42">
        <f t="shared" si="94"/>
        <v>0</v>
      </c>
      <c r="AM565" s="42">
        <f t="shared" si="95"/>
        <v>77308704</v>
      </c>
    </row>
    <row r="566" spans="1:39" hidden="1">
      <c r="A566" s="9" t="s">
        <v>773</v>
      </c>
      <c r="B566" s="9"/>
      <c r="C566" s="9" t="s">
        <v>553</v>
      </c>
      <c r="D566" s="9"/>
      <c r="E566" s="23">
        <v>45625</v>
      </c>
      <c r="G566" s="42">
        <v>0</v>
      </c>
      <c r="I566" s="42">
        <v>0</v>
      </c>
      <c r="K566" s="42">
        <v>0</v>
      </c>
      <c r="M566" s="42">
        <v>0</v>
      </c>
      <c r="O566" s="42">
        <v>0</v>
      </c>
      <c r="Q566" s="42">
        <v>0</v>
      </c>
      <c r="S566" s="42">
        <v>0</v>
      </c>
      <c r="U566" s="42">
        <v>0</v>
      </c>
      <c r="W566" s="42">
        <v>0</v>
      </c>
      <c r="Y566" s="2">
        <f t="shared" si="96"/>
        <v>0</v>
      </c>
      <c r="AA566" s="42">
        <v>0</v>
      </c>
      <c r="AC566" s="42">
        <v>0</v>
      </c>
      <c r="AE566" s="42">
        <v>0</v>
      </c>
      <c r="AG566" s="42">
        <v>0</v>
      </c>
      <c r="AI566" s="42">
        <v>0</v>
      </c>
      <c r="AK566" s="42">
        <f t="shared" si="94"/>
        <v>0</v>
      </c>
      <c r="AM566" s="42">
        <f t="shared" si="95"/>
        <v>0</v>
      </c>
    </row>
    <row r="567" spans="1:39" hidden="1">
      <c r="A567" s="9" t="s">
        <v>690</v>
      </c>
      <c r="B567" s="9"/>
      <c r="C567" s="9" t="s">
        <v>337</v>
      </c>
      <c r="D567" s="9"/>
      <c r="E567" s="23">
        <v>47522</v>
      </c>
      <c r="G567" s="42">
        <v>0</v>
      </c>
      <c r="I567" s="42">
        <v>0</v>
      </c>
      <c r="K567" s="42">
        <v>0</v>
      </c>
      <c r="M567" s="42">
        <v>0</v>
      </c>
      <c r="O567" s="42">
        <v>0</v>
      </c>
      <c r="Q567" s="42">
        <v>0</v>
      </c>
      <c r="S567" s="42">
        <v>0</v>
      </c>
      <c r="U567" s="42">
        <v>0</v>
      </c>
      <c r="W567" s="42">
        <v>0</v>
      </c>
      <c r="Y567" s="2">
        <f t="shared" si="96"/>
        <v>0</v>
      </c>
      <c r="AA567" s="42">
        <v>0</v>
      </c>
      <c r="AC567" s="42">
        <v>0</v>
      </c>
      <c r="AE567" s="42">
        <v>0</v>
      </c>
      <c r="AG567" s="42">
        <v>0</v>
      </c>
      <c r="AI567" s="42">
        <v>0</v>
      </c>
      <c r="AK567" s="42">
        <f t="shared" si="94"/>
        <v>0</v>
      </c>
      <c r="AM567" s="42">
        <f t="shared" si="95"/>
        <v>0</v>
      </c>
    </row>
    <row r="568" spans="1:39" hidden="1">
      <c r="A568" s="9" t="s">
        <v>883</v>
      </c>
      <c r="B568" s="9"/>
      <c r="C568" s="9" t="s">
        <v>227</v>
      </c>
      <c r="D568" s="9"/>
      <c r="E568" s="23">
        <v>44941</v>
      </c>
      <c r="F568" s="7"/>
      <c r="G568" s="42">
        <v>0</v>
      </c>
      <c r="I568" s="42">
        <v>0</v>
      </c>
      <c r="K568" s="42">
        <v>0</v>
      </c>
      <c r="M568" s="42">
        <v>0</v>
      </c>
      <c r="O568" s="42">
        <v>0</v>
      </c>
      <c r="Q568" s="42">
        <v>0</v>
      </c>
      <c r="S568" s="42">
        <v>0</v>
      </c>
      <c r="U568" s="42">
        <v>0</v>
      </c>
      <c r="W568" s="42">
        <v>0</v>
      </c>
      <c r="Y568" s="2">
        <f t="shared" si="96"/>
        <v>0</v>
      </c>
      <c r="AA568" s="42">
        <v>0</v>
      </c>
      <c r="AC568" s="42">
        <v>0</v>
      </c>
      <c r="AE568" s="42">
        <v>0</v>
      </c>
      <c r="AG568" s="42">
        <v>0</v>
      </c>
      <c r="AI568" s="42">
        <v>0</v>
      </c>
      <c r="AK568" s="42">
        <f t="shared" si="94"/>
        <v>0</v>
      </c>
      <c r="AM568" s="42">
        <f t="shared" si="95"/>
        <v>0</v>
      </c>
    </row>
    <row r="569" spans="1:39" hidden="1">
      <c r="A569" s="9" t="s">
        <v>691</v>
      </c>
      <c r="B569" s="9"/>
      <c r="C569" s="9" t="s">
        <v>59</v>
      </c>
      <c r="D569" s="9"/>
      <c r="E569" s="23">
        <v>49643</v>
      </c>
      <c r="G569" s="42">
        <v>0</v>
      </c>
      <c r="I569" s="42">
        <v>0</v>
      </c>
      <c r="K569" s="42">
        <v>0</v>
      </c>
      <c r="M569" s="42">
        <v>0</v>
      </c>
      <c r="O569" s="42">
        <v>0</v>
      </c>
      <c r="Q569" s="42">
        <v>0</v>
      </c>
      <c r="S569" s="42">
        <v>0</v>
      </c>
      <c r="U569" s="42">
        <v>0</v>
      </c>
      <c r="W569" s="42">
        <v>0</v>
      </c>
      <c r="Y569" s="2">
        <f t="shared" si="96"/>
        <v>0</v>
      </c>
      <c r="AA569" s="42">
        <v>0</v>
      </c>
      <c r="AC569" s="42">
        <v>0</v>
      </c>
      <c r="AE569" s="42">
        <v>0</v>
      </c>
      <c r="AG569" s="42">
        <v>0</v>
      </c>
      <c r="AI569" s="42">
        <v>0</v>
      </c>
      <c r="AK569" s="42">
        <f t="shared" si="94"/>
        <v>0</v>
      </c>
      <c r="AM569" s="42">
        <f t="shared" si="95"/>
        <v>0</v>
      </c>
    </row>
    <row r="570" spans="1:39">
      <c r="A570" s="9" t="s">
        <v>434</v>
      </c>
      <c r="B570" s="9"/>
      <c r="C570" s="9" t="s">
        <v>50</v>
      </c>
      <c r="D570" s="9"/>
      <c r="E570" s="23">
        <v>48744</v>
      </c>
      <c r="G570" s="42">
        <v>3739450</v>
      </c>
      <c r="I570" s="42">
        <v>3064122</v>
      </c>
      <c r="K570" s="42">
        <v>8493690</v>
      </c>
      <c r="M570" s="42">
        <v>1929</v>
      </c>
      <c r="O570" s="42">
        <f>218498+99848+23922</f>
        <v>342268</v>
      </c>
      <c r="Q570" s="42">
        <v>74466</v>
      </c>
      <c r="S570" s="42">
        <v>0</v>
      </c>
      <c r="U570" s="42">
        <v>4100</v>
      </c>
      <c r="W570" s="42">
        <v>188448</v>
      </c>
      <c r="Y570" s="2">
        <f t="shared" si="96"/>
        <v>15908473</v>
      </c>
      <c r="AA570" s="42">
        <v>0</v>
      </c>
      <c r="AC570" s="42">
        <v>0</v>
      </c>
      <c r="AE570" s="42">
        <v>0</v>
      </c>
      <c r="AG570" s="42">
        <v>0</v>
      </c>
      <c r="AI570" s="42">
        <v>0</v>
      </c>
      <c r="AK570" s="42">
        <f t="shared" si="94"/>
        <v>0</v>
      </c>
      <c r="AM570" s="42">
        <f t="shared" si="95"/>
        <v>15908473</v>
      </c>
    </row>
    <row r="571" spans="1:39">
      <c r="A571" s="9" t="s">
        <v>336</v>
      </c>
      <c r="B571" s="9"/>
      <c r="C571" s="9" t="s">
        <v>33</v>
      </c>
      <c r="D571" s="9"/>
      <c r="E571" s="23">
        <v>47464</v>
      </c>
      <c r="G571" s="42">
        <v>5755939</v>
      </c>
      <c r="I571" s="42">
        <v>0</v>
      </c>
      <c r="K571" s="42">
        <v>3015518</v>
      </c>
      <c r="M571" s="42">
        <v>34017</v>
      </c>
      <c r="O571" s="42">
        <f>1063195</f>
        <v>1063195</v>
      </c>
      <c r="Q571" s="42">
        <v>0</v>
      </c>
      <c r="S571" s="42">
        <v>97970</v>
      </c>
      <c r="U571" s="42">
        <v>18788</v>
      </c>
      <c r="W571" s="42">
        <v>70245</v>
      </c>
      <c r="Y571" s="2">
        <f t="shared" si="96"/>
        <v>10055672</v>
      </c>
      <c r="AA571" s="42">
        <v>0</v>
      </c>
      <c r="AC571" s="42">
        <v>0</v>
      </c>
      <c r="AE571" s="42">
        <v>0</v>
      </c>
      <c r="AG571" s="42">
        <v>1000</v>
      </c>
      <c r="AI571" s="42">
        <v>0</v>
      </c>
      <c r="AK571" s="42">
        <f t="shared" si="94"/>
        <v>1000</v>
      </c>
      <c r="AM571" s="42">
        <f t="shared" si="95"/>
        <v>10056672</v>
      </c>
    </row>
    <row r="572" spans="1:39" hidden="1">
      <c r="A572" s="9" t="s">
        <v>824</v>
      </c>
      <c r="B572" s="9"/>
      <c r="C572" s="9" t="s">
        <v>67</v>
      </c>
      <c r="D572" s="9"/>
      <c r="E572" s="23">
        <v>44966</v>
      </c>
      <c r="G572" s="42">
        <v>0</v>
      </c>
      <c r="I572" s="42">
        <v>0</v>
      </c>
      <c r="K572" s="42">
        <v>0</v>
      </c>
      <c r="M572" s="42">
        <v>0</v>
      </c>
      <c r="O572" s="42">
        <v>0</v>
      </c>
      <c r="Q572" s="42">
        <v>0</v>
      </c>
      <c r="S572" s="42">
        <v>0</v>
      </c>
      <c r="U572" s="42">
        <v>0</v>
      </c>
      <c r="W572" s="42">
        <v>0</v>
      </c>
      <c r="Y572" s="2">
        <f t="shared" si="96"/>
        <v>0</v>
      </c>
      <c r="AA572" s="42">
        <v>0</v>
      </c>
      <c r="AC572" s="42">
        <v>0</v>
      </c>
      <c r="AE572" s="42">
        <v>0</v>
      </c>
      <c r="AG572" s="42">
        <v>0</v>
      </c>
      <c r="AI572" s="42">
        <v>0</v>
      </c>
      <c r="AK572" s="42">
        <f t="shared" si="94"/>
        <v>0</v>
      </c>
      <c r="AM572" s="42">
        <f t="shared" si="95"/>
        <v>0</v>
      </c>
    </row>
    <row r="573" spans="1:39">
      <c r="A573" s="9" t="s">
        <v>435</v>
      </c>
      <c r="B573" s="9"/>
      <c r="C573" s="9" t="s">
        <v>50</v>
      </c>
      <c r="D573" s="9"/>
      <c r="E573" s="23">
        <v>44958</v>
      </c>
      <c r="G573" s="42">
        <v>16460954</v>
      </c>
      <c r="I573" s="42">
        <v>0</v>
      </c>
      <c r="K573" s="42">
        <v>9160357</v>
      </c>
      <c r="M573" s="42">
        <v>44342</v>
      </c>
      <c r="O573" s="42">
        <f>291393+67251+154104+15220+425658</f>
        <v>953626</v>
      </c>
      <c r="Q573" s="42">
        <v>286546</v>
      </c>
      <c r="S573" s="42">
        <v>865818</v>
      </c>
      <c r="U573" s="42">
        <v>125000</v>
      </c>
      <c r="W573" s="42">
        <v>8230</v>
      </c>
      <c r="Y573" s="2">
        <f t="shared" si="96"/>
        <v>27904873</v>
      </c>
      <c r="AA573" s="42">
        <v>2000000</v>
      </c>
      <c r="AC573" s="42">
        <v>0</v>
      </c>
      <c r="AE573" s="42">
        <v>0</v>
      </c>
      <c r="AG573" s="42">
        <v>0</v>
      </c>
      <c r="AI573" s="42">
        <v>0</v>
      </c>
      <c r="AK573" s="42">
        <f t="shared" si="94"/>
        <v>2000000</v>
      </c>
      <c r="AM573" s="42">
        <f t="shared" si="95"/>
        <v>29904873</v>
      </c>
    </row>
    <row r="574" spans="1:39" hidden="1">
      <c r="A574" s="9" t="s">
        <v>692</v>
      </c>
      <c r="B574" s="9"/>
      <c r="C574" s="9" t="s">
        <v>33</v>
      </c>
      <c r="D574" s="9"/>
      <c r="E574" s="23">
        <v>47472</v>
      </c>
      <c r="G574" s="42">
        <v>0</v>
      </c>
      <c r="I574" s="42">
        <v>0</v>
      </c>
      <c r="K574" s="42">
        <v>0</v>
      </c>
      <c r="M574" s="42">
        <v>0</v>
      </c>
      <c r="O574" s="42">
        <v>0</v>
      </c>
      <c r="Q574" s="42">
        <v>0</v>
      </c>
      <c r="S574" s="42">
        <v>0</v>
      </c>
      <c r="U574" s="42">
        <v>0</v>
      </c>
      <c r="W574" s="42">
        <v>0</v>
      </c>
      <c r="Y574" s="2">
        <f t="shared" si="96"/>
        <v>0</v>
      </c>
      <c r="AA574" s="42">
        <v>0</v>
      </c>
      <c r="AC574" s="42">
        <v>0</v>
      </c>
      <c r="AE574" s="42">
        <v>0</v>
      </c>
      <c r="AG574" s="42">
        <v>0</v>
      </c>
      <c r="AI574" s="42">
        <v>0</v>
      </c>
      <c r="AK574" s="42">
        <f>SUM(AA574:AJ574)</f>
        <v>0</v>
      </c>
      <c r="AM574" s="42">
        <f t="shared" si="95"/>
        <v>0</v>
      </c>
    </row>
    <row r="575" spans="1:39">
      <c r="A575" s="9" t="s">
        <v>289</v>
      </c>
      <c r="B575" s="9"/>
      <c r="C575" s="9" t="s">
        <v>24</v>
      </c>
      <c r="D575" s="9"/>
      <c r="E575" s="23">
        <v>46821</v>
      </c>
      <c r="G575" s="42">
        <v>14522607</v>
      </c>
      <c r="I575" s="42">
        <v>0</v>
      </c>
      <c r="K575" s="42">
        <v>6614311</v>
      </c>
      <c r="M575" s="42">
        <v>0</v>
      </c>
      <c r="O575" s="42">
        <f>647852+466+123082</f>
        <v>771400</v>
      </c>
      <c r="Q575" s="42">
        <v>116359</v>
      </c>
      <c r="S575" s="42">
        <v>0</v>
      </c>
      <c r="U575" s="42">
        <v>0</v>
      </c>
      <c r="W575" s="42">
        <v>389393</v>
      </c>
      <c r="Y575" s="2">
        <f t="shared" si="96"/>
        <v>22414070</v>
      </c>
      <c r="AA575" s="42">
        <v>0</v>
      </c>
      <c r="AC575" s="42">
        <v>0</v>
      </c>
      <c r="AE575" s="42">
        <v>0</v>
      </c>
      <c r="AG575" s="42">
        <v>0</v>
      </c>
      <c r="AI575" s="42">
        <v>0</v>
      </c>
      <c r="AK575" s="42">
        <f>SUM(AA575:AJ575)</f>
        <v>0</v>
      </c>
      <c r="AM575" s="42">
        <f t="shared" si="95"/>
        <v>22414070</v>
      </c>
    </row>
    <row r="576" spans="1:39" hidden="1">
      <c r="A576" s="9" t="s">
        <v>693</v>
      </c>
      <c r="B576" s="9"/>
      <c r="C576" s="9" t="s">
        <v>21</v>
      </c>
      <c r="D576" s="9"/>
      <c r="E576" s="23">
        <v>45633</v>
      </c>
      <c r="G576" s="42">
        <v>0</v>
      </c>
      <c r="I576" s="42">
        <v>0</v>
      </c>
      <c r="K576" s="42">
        <v>0</v>
      </c>
      <c r="M576" s="42">
        <v>0</v>
      </c>
      <c r="O576" s="42">
        <v>0</v>
      </c>
      <c r="Q576" s="42">
        <v>0</v>
      </c>
      <c r="S576" s="42">
        <v>0</v>
      </c>
      <c r="U576" s="42">
        <v>0</v>
      </c>
      <c r="W576" s="42">
        <v>0</v>
      </c>
      <c r="Y576" s="2">
        <v>0</v>
      </c>
      <c r="AA576" s="42">
        <v>0</v>
      </c>
      <c r="AC576" s="42">
        <v>0</v>
      </c>
      <c r="AE576" s="42">
        <v>0</v>
      </c>
      <c r="AG576" s="42">
        <v>0</v>
      </c>
      <c r="AI576" s="42">
        <v>0</v>
      </c>
    </row>
    <row r="577" spans="1:39">
      <c r="A577" s="9" t="s">
        <v>538</v>
      </c>
      <c r="B577" s="9"/>
      <c r="C577" s="9" t="s">
        <v>68</v>
      </c>
      <c r="D577" s="9"/>
      <c r="E577" s="23">
        <v>50393</v>
      </c>
      <c r="G577" s="42">
        <v>3308671</v>
      </c>
      <c r="I577" s="42">
        <v>0</v>
      </c>
      <c r="K577" s="42">
        <v>17086370</v>
      </c>
      <c r="M577" s="42">
        <v>45020</v>
      </c>
      <c r="O577" s="42">
        <f>451875+411455</f>
        <v>863330</v>
      </c>
      <c r="Q577" s="42">
        <v>39859</v>
      </c>
      <c r="S577" s="42">
        <v>743375</v>
      </c>
      <c r="U577" s="42">
        <v>5051</v>
      </c>
      <c r="W577" s="42">
        <v>13822</v>
      </c>
      <c r="Y577" s="2">
        <f t="shared" si="96"/>
        <v>22105498</v>
      </c>
      <c r="AA577" s="42">
        <v>95</v>
      </c>
      <c r="AC577" s="42">
        <v>0</v>
      </c>
      <c r="AE577" s="42">
        <f>115990+535411</f>
        <v>651401</v>
      </c>
      <c r="AG577" s="42">
        <v>27333</v>
      </c>
      <c r="AI577" s="42">
        <v>0</v>
      </c>
      <c r="AK577" s="42">
        <f t="shared" ref="AK577:AK582" si="97">SUM(AA577:AJ577)</f>
        <v>678829</v>
      </c>
      <c r="AM577" s="42">
        <f t="shared" ref="AM577:AM611" si="98">+AK577+Y577</f>
        <v>22784327</v>
      </c>
    </row>
    <row r="578" spans="1:39">
      <c r="A578" s="9" t="s">
        <v>416</v>
      </c>
      <c r="B578" s="9"/>
      <c r="C578" s="9" t="s">
        <v>47</v>
      </c>
      <c r="D578" s="9"/>
      <c r="E578" s="23">
        <v>44974</v>
      </c>
      <c r="G578" s="42">
        <v>18665911</v>
      </c>
      <c r="I578" s="42">
        <v>0</v>
      </c>
      <c r="K578" s="42">
        <f>18013888+86764</f>
        <v>18100652</v>
      </c>
      <c r="M578" s="42">
        <v>13824</v>
      </c>
      <c r="O578" s="42">
        <f>756367+21308+215037+238483+56032</f>
        <v>1287227</v>
      </c>
      <c r="Q578" s="42">
        <v>308997</v>
      </c>
      <c r="S578" s="42">
        <v>0</v>
      </c>
      <c r="U578" s="42">
        <v>310</v>
      </c>
      <c r="W578" s="42">
        <f>12067+104702</f>
        <v>116769</v>
      </c>
      <c r="Y578" s="2">
        <f t="shared" si="96"/>
        <v>38493690</v>
      </c>
      <c r="AA578" s="42">
        <v>0</v>
      </c>
      <c r="AC578" s="42">
        <v>0</v>
      </c>
      <c r="AE578" s="42">
        <v>0</v>
      </c>
      <c r="AG578" s="42">
        <v>8520</v>
      </c>
      <c r="AI578" s="42">
        <v>0</v>
      </c>
      <c r="AK578" s="42">
        <f t="shared" si="97"/>
        <v>8520</v>
      </c>
      <c r="AM578" s="42">
        <f t="shared" si="98"/>
        <v>38502210</v>
      </c>
    </row>
    <row r="579" spans="1:39" hidden="1">
      <c r="A579" s="9" t="s">
        <v>862</v>
      </c>
      <c r="B579" s="9"/>
      <c r="C579" s="9" t="s">
        <v>25</v>
      </c>
      <c r="D579" s="9"/>
      <c r="E579" s="23">
        <v>46904</v>
      </c>
      <c r="G579" s="42">
        <v>0</v>
      </c>
      <c r="I579" s="42">
        <v>0</v>
      </c>
      <c r="K579" s="42">
        <v>0</v>
      </c>
      <c r="M579" s="42">
        <v>0</v>
      </c>
      <c r="O579" s="42">
        <v>0</v>
      </c>
      <c r="Q579" s="42">
        <v>0</v>
      </c>
      <c r="S579" s="42">
        <v>0</v>
      </c>
      <c r="U579" s="42">
        <v>0</v>
      </c>
      <c r="W579" s="42">
        <v>0</v>
      </c>
      <c r="Y579" s="2">
        <f t="shared" ref="Y579:Y581" si="99">SUM(G579:X579)</f>
        <v>0</v>
      </c>
      <c r="AA579" s="42">
        <v>0</v>
      </c>
      <c r="AC579" s="42">
        <v>0</v>
      </c>
      <c r="AE579" s="42">
        <v>0</v>
      </c>
      <c r="AG579" s="42">
        <v>0</v>
      </c>
      <c r="AI579" s="42">
        <v>0</v>
      </c>
      <c r="AK579" s="42">
        <f t="shared" si="97"/>
        <v>0</v>
      </c>
      <c r="AM579" s="42">
        <f t="shared" ref="AM579:AM581" si="100">+AK579+Y579</f>
        <v>0</v>
      </c>
    </row>
    <row r="580" spans="1:39" hidden="1">
      <c r="A580" s="9" t="s">
        <v>863</v>
      </c>
      <c r="B580" s="9"/>
      <c r="C580" s="9" t="s">
        <v>14</v>
      </c>
      <c r="D580" s="9"/>
      <c r="E580" s="23">
        <v>44982</v>
      </c>
      <c r="G580" s="42">
        <v>0</v>
      </c>
      <c r="I580" s="42">
        <v>0</v>
      </c>
      <c r="K580" s="42">
        <v>0</v>
      </c>
      <c r="M580" s="42">
        <v>0</v>
      </c>
      <c r="O580" s="42">
        <v>0</v>
      </c>
      <c r="Q580" s="42">
        <v>0</v>
      </c>
      <c r="S580" s="42">
        <v>0</v>
      </c>
      <c r="U580" s="42">
        <v>0</v>
      </c>
      <c r="W580" s="42">
        <v>0</v>
      </c>
      <c r="Y580" s="2">
        <f t="shared" si="99"/>
        <v>0</v>
      </c>
      <c r="AA580" s="42">
        <v>0</v>
      </c>
      <c r="AC580" s="42">
        <v>0</v>
      </c>
      <c r="AE580" s="42">
        <v>0</v>
      </c>
      <c r="AG580" s="42">
        <v>0</v>
      </c>
      <c r="AI580" s="42">
        <v>0</v>
      </c>
      <c r="AK580" s="42">
        <f t="shared" si="97"/>
        <v>0</v>
      </c>
      <c r="AM580" s="42">
        <f t="shared" si="100"/>
        <v>0</v>
      </c>
    </row>
    <row r="581" spans="1:39" hidden="1">
      <c r="A581" s="8" t="s">
        <v>864</v>
      </c>
      <c r="B581" s="8"/>
      <c r="C581" s="8" t="s">
        <v>63</v>
      </c>
      <c r="D581" s="9"/>
      <c r="E581" s="23"/>
      <c r="G581" s="42">
        <v>0</v>
      </c>
      <c r="I581" s="42">
        <v>0</v>
      </c>
      <c r="K581" s="42">
        <v>0</v>
      </c>
      <c r="M581" s="42">
        <v>0</v>
      </c>
      <c r="O581" s="42">
        <v>0</v>
      </c>
      <c r="Q581" s="42">
        <v>0</v>
      </c>
      <c r="S581" s="42">
        <v>0</v>
      </c>
      <c r="U581" s="42">
        <v>0</v>
      </c>
      <c r="W581" s="42">
        <v>0</v>
      </c>
      <c r="Y581" s="2">
        <f t="shared" si="99"/>
        <v>0</v>
      </c>
      <c r="AA581" s="42">
        <v>0</v>
      </c>
      <c r="AC581" s="42">
        <v>0</v>
      </c>
      <c r="AE581" s="42">
        <v>0</v>
      </c>
      <c r="AG581" s="42">
        <v>0</v>
      </c>
      <c r="AI581" s="42">
        <v>0</v>
      </c>
      <c r="AK581" s="42">
        <f t="shared" si="97"/>
        <v>0</v>
      </c>
      <c r="AM581" s="42">
        <f t="shared" si="100"/>
        <v>0</v>
      </c>
    </row>
    <row r="582" spans="1:39">
      <c r="A582" s="9" t="s">
        <v>527</v>
      </c>
      <c r="B582" s="9"/>
      <c r="C582" s="9" t="s">
        <v>64</v>
      </c>
      <c r="D582" s="9"/>
      <c r="E582" s="23">
        <v>44990</v>
      </c>
      <c r="G582" s="42">
        <v>11276233</v>
      </c>
      <c r="I582" s="42">
        <v>0</v>
      </c>
      <c r="K582" s="42">
        <f>45119645+205854</f>
        <v>45325499</v>
      </c>
      <c r="M582" s="42">
        <v>247506</v>
      </c>
      <c r="O582" s="42">
        <f>1210512+37536+16635</f>
        <v>1264683</v>
      </c>
      <c r="Q582" s="42">
        <v>0</v>
      </c>
      <c r="S582" s="42">
        <v>0</v>
      </c>
      <c r="U582" s="42">
        <v>0</v>
      </c>
      <c r="W582" s="42">
        <v>380577</v>
      </c>
      <c r="Y582" s="2">
        <f t="shared" si="96"/>
        <v>58494498</v>
      </c>
      <c r="AA582" s="42">
        <v>5741</v>
      </c>
      <c r="AC582" s="42">
        <v>0</v>
      </c>
      <c r="AE582" s="42">
        <v>0</v>
      </c>
      <c r="AG582" s="42">
        <v>27882</v>
      </c>
      <c r="AI582" s="42">
        <v>0</v>
      </c>
      <c r="AK582" s="42">
        <f t="shared" si="97"/>
        <v>33623</v>
      </c>
      <c r="AM582" s="42">
        <f t="shared" si="98"/>
        <v>58528121</v>
      </c>
    </row>
    <row r="583" spans="1:39">
      <c r="A583" s="9" t="s">
        <v>545</v>
      </c>
      <c r="B583" s="9"/>
      <c r="C583" s="9" t="s">
        <v>70</v>
      </c>
      <c r="D583" s="9"/>
      <c r="E583" s="23">
        <v>50500</v>
      </c>
      <c r="G583" s="42">
        <v>5728401</v>
      </c>
      <c r="I583" s="42">
        <v>0</v>
      </c>
      <c r="K583" s="42">
        <v>12267025</v>
      </c>
      <c r="M583" s="42">
        <v>78</v>
      </c>
      <c r="O583" s="42">
        <v>1223151</v>
      </c>
      <c r="Q583" s="42">
        <v>64342</v>
      </c>
      <c r="S583" s="42">
        <v>0</v>
      </c>
      <c r="U583" s="42">
        <v>17687</v>
      </c>
      <c r="W583" s="42">
        <v>173105</v>
      </c>
      <c r="Y583" s="2">
        <f t="shared" si="96"/>
        <v>19473789</v>
      </c>
      <c r="AA583" s="42">
        <v>0</v>
      </c>
      <c r="AC583" s="42">
        <v>0</v>
      </c>
      <c r="AE583" s="42">
        <v>0</v>
      </c>
      <c r="AG583" s="42">
        <v>198</v>
      </c>
      <c r="AI583" s="42">
        <v>0</v>
      </c>
      <c r="AK583" s="42">
        <f t="shared" ref="AK583:AK632" si="101">SUM(AA583:AJ583)</f>
        <v>198</v>
      </c>
      <c r="AM583" s="42">
        <f t="shared" si="98"/>
        <v>19473987</v>
      </c>
    </row>
    <row r="584" spans="1:39">
      <c r="A584" s="9" t="s">
        <v>278</v>
      </c>
      <c r="B584" s="9"/>
      <c r="C584" s="9" t="s">
        <v>20</v>
      </c>
      <c r="D584" s="9"/>
      <c r="E584" s="23">
        <v>45005</v>
      </c>
      <c r="G584" s="42">
        <v>19421731</v>
      </c>
      <c r="I584" s="42">
        <v>0</v>
      </c>
      <c r="K584" s="42">
        <v>13813812</v>
      </c>
      <c r="M584" s="42">
        <v>32289</v>
      </c>
      <c r="O584" s="42">
        <f>163553+11894+8857</f>
        <v>184304</v>
      </c>
      <c r="Q584" s="42">
        <v>170</v>
      </c>
      <c r="S584" s="42">
        <v>0</v>
      </c>
      <c r="U584" s="42">
        <v>6584</v>
      </c>
      <c r="W584" s="42">
        <v>102086</v>
      </c>
      <c r="Y584" s="2">
        <f>SUM(G584:X584)</f>
        <v>33560976</v>
      </c>
      <c r="AA584" s="42">
        <v>0</v>
      </c>
      <c r="AC584" s="42">
        <v>0</v>
      </c>
      <c r="AE584" s="42">
        <v>0</v>
      </c>
      <c r="AG584" s="42">
        <v>0</v>
      </c>
      <c r="AI584" s="42">
        <v>0</v>
      </c>
      <c r="AK584" s="42">
        <f>SUM(AA584:AJ584)</f>
        <v>0</v>
      </c>
      <c r="AM584" s="42">
        <f t="shared" si="98"/>
        <v>33560976</v>
      </c>
    </row>
    <row r="585" spans="1:39">
      <c r="A585" s="9" t="s">
        <v>296</v>
      </c>
      <c r="B585" s="9"/>
      <c r="C585" s="9" t="s">
        <v>26</v>
      </c>
      <c r="D585" s="9"/>
      <c r="E585" s="23">
        <v>45013</v>
      </c>
      <c r="G585" s="42">
        <v>3834703</v>
      </c>
      <c r="I585" s="42">
        <v>0</v>
      </c>
      <c r="K585" s="42">
        <v>12383673</v>
      </c>
      <c r="M585" s="42">
        <v>11619</v>
      </c>
      <c r="O585" s="42">
        <f>905229+335+325</f>
        <v>905889</v>
      </c>
      <c r="Q585" s="42">
        <v>33498</v>
      </c>
      <c r="S585" s="42">
        <v>14151</v>
      </c>
      <c r="U585" s="42">
        <v>4822</v>
      </c>
      <c r="W585" s="42">
        <v>342905</v>
      </c>
      <c r="Y585" s="2">
        <f t="shared" si="96"/>
        <v>17531260</v>
      </c>
      <c r="AA585" s="42">
        <v>42529</v>
      </c>
      <c r="AC585" s="42">
        <v>0</v>
      </c>
      <c r="AE585" s="42">
        <v>0</v>
      </c>
      <c r="AG585" s="42">
        <v>0</v>
      </c>
      <c r="AI585" s="42">
        <v>0</v>
      </c>
      <c r="AK585" s="42">
        <f t="shared" si="101"/>
        <v>42529</v>
      </c>
      <c r="AM585" s="42">
        <f t="shared" si="98"/>
        <v>17573789</v>
      </c>
    </row>
    <row r="586" spans="1:39">
      <c r="A586" s="9" t="s">
        <v>393</v>
      </c>
      <c r="B586" s="9"/>
      <c r="C586" s="9" t="s">
        <v>114</v>
      </c>
      <c r="D586" s="9"/>
      <c r="E586" s="23">
        <v>48231</v>
      </c>
      <c r="G586" s="42">
        <v>33759061</v>
      </c>
      <c r="I586" s="42">
        <v>0</v>
      </c>
      <c r="K586" s="42">
        <f>2910+31710495+148774</f>
        <v>31862179</v>
      </c>
      <c r="M586" s="42">
        <v>60012</v>
      </c>
      <c r="O586" s="42">
        <f>508820+149155+136550+60365+85398</f>
        <v>940288</v>
      </c>
      <c r="Q586" s="42">
        <v>942</v>
      </c>
      <c r="S586" s="42">
        <v>3745105</v>
      </c>
      <c r="U586" s="42">
        <v>36515</v>
      </c>
      <c r="W586" s="42">
        <v>526877</v>
      </c>
      <c r="Y586" s="2">
        <f t="shared" si="96"/>
        <v>70930979</v>
      </c>
      <c r="AA586" s="42">
        <v>0</v>
      </c>
      <c r="AC586" s="42">
        <v>0</v>
      </c>
      <c r="AE586" s="42">
        <v>0</v>
      </c>
      <c r="AG586" s="42">
        <v>2949</v>
      </c>
      <c r="AI586" s="42">
        <v>0</v>
      </c>
      <c r="AK586" s="42">
        <f t="shared" si="101"/>
        <v>2949</v>
      </c>
      <c r="AM586" s="42">
        <f t="shared" si="98"/>
        <v>70933928</v>
      </c>
    </row>
    <row r="587" spans="1:39">
      <c r="A587" s="9" t="s">
        <v>482</v>
      </c>
      <c r="B587" s="9"/>
      <c r="C587" s="9" t="s">
        <v>59</v>
      </c>
      <c r="D587" s="9"/>
      <c r="E587" s="23">
        <v>49650</v>
      </c>
      <c r="G587" s="42">
        <v>1400944</v>
      </c>
      <c r="I587" s="42">
        <v>0</v>
      </c>
      <c r="K587" s="42">
        <v>10600660</v>
      </c>
      <c r="M587" s="42">
        <v>19120</v>
      </c>
      <c r="O587" s="42">
        <f>1196303</f>
        <v>1196303</v>
      </c>
      <c r="Q587" s="42">
        <v>56458</v>
      </c>
      <c r="S587" s="42">
        <v>0</v>
      </c>
      <c r="U587" s="42">
        <v>0</v>
      </c>
      <c r="W587" s="42">
        <v>184147</v>
      </c>
      <c r="Y587" s="2">
        <f t="shared" si="96"/>
        <v>13457632</v>
      </c>
      <c r="AA587" s="42">
        <v>0</v>
      </c>
      <c r="AC587" s="42">
        <v>0</v>
      </c>
      <c r="AE587" s="42">
        <v>745000</v>
      </c>
      <c r="AG587" s="42">
        <v>0</v>
      </c>
      <c r="AI587" s="42">
        <v>0</v>
      </c>
      <c r="AK587" s="42">
        <f t="shared" si="101"/>
        <v>745000</v>
      </c>
      <c r="AM587" s="42">
        <f t="shared" si="98"/>
        <v>14202632</v>
      </c>
    </row>
    <row r="588" spans="1:39">
      <c r="A588" s="9" t="s">
        <v>462</v>
      </c>
      <c r="B588" s="9"/>
      <c r="C588" s="9" t="s">
        <v>56</v>
      </c>
      <c r="D588" s="9"/>
      <c r="E588" s="23">
        <v>49247</v>
      </c>
      <c r="G588" s="42">
        <v>2890466</v>
      </c>
      <c r="I588" s="42">
        <v>0</v>
      </c>
      <c r="K588" s="42">
        <f>6334016+10420</f>
        <v>6344436</v>
      </c>
      <c r="M588" s="42">
        <v>3952</v>
      </c>
      <c r="O588" s="42">
        <f>349241+34243+20900</f>
        <v>404384</v>
      </c>
      <c r="Q588" s="42">
        <v>176370</v>
      </c>
      <c r="S588" s="42">
        <v>0</v>
      </c>
      <c r="U588" s="42">
        <v>2093</v>
      </c>
      <c r="W588" s="42">
        <v>43839</v>
      </c>
      <c r="Y588" s="2">
        <f t="shared" si="96"/>
        <v>9865540</v>
      </c>
      <c r="AA588" s="42">
        <v>0</v>
      </c>
      <c r="AC588" s="42">
        <v>0</v>
      </c>
      <c r="AE588" s="42">
        <v>0</v>
      </c>
      <c r="AG588" s="42">
        <v>0</v>
      </c>
      <c r="AI588" s="42">
        <v>0</v>
      </c>
      <c r="AK588" s="42">
        <f t="shared" si="101"/>
        <v>0</v>
      </c>
      <c r="AM588" s="42">
        <f t="shared" si="98"/>
        <v>9865540</v>
      </c>
    </row>
    <row r="589" spans="1:39">
      <c r="A589" s="9" t="s">
        <v>774</v>
      </c>
      <c r="B589" s="9"/>
      <c r="C589" s="9" t="s">
        <v>28</v>
      </c>
      <c r="D589" s="9"/>
      <c r="E589" s="23">
        <v>45641</v>
      </c>
      <c r="G589" s="42">
        <v>4889540</v>
      </c>
      <c r="I589" s="42">
        <v>0</v>
      </c>
      <c r="K589" s="42">
        <v>9117276</v>
      </c>
      <c r="M589" s="42">
        <v>15638</v>
      </c>
      <c r="O589" s="42">
        <f>752800+16537+52451</f>
        <v>821788</v>
      </c>
      <c r="Q589" s="42">
        <v>0</v>
      </c>
      <c r="S589" s="42">
        <v>0</v>
      </c>
      <c r="U589" s="42">
        <v>0</v>
      </c>
      <c r="W589" s="42">
        <v>175311</v>
      </c>
      <c r="Y589" s="2">
        <f t="shared" si="96"/>
        <v>15019553</v>
      </c>
      <c r="AA589" s="42">
        <v>0</v>
      </c>
      <c r="AC589" s="42">
        <v>0</v>
      </c>
      <c r="AE589" s="42">
        <v>0</v>
      </c>
      <c r="AG589" s="42">
        <v>0</v>
      </c>
      <c r="AI589" s="42">
        <v>0</v>
      </c>
      <c r="AK589" s="42">
        <f t="shared" si="101"/>
        <v>0</v>
      </c>
      <c r="AM589" s="42">
        <f t="shared" si="98"/>
        <v>15019553</v>
      </c>
    </row>
    <row r="590" spans="1:39">
      <c r="A590" s="9" t="s">
        <v>454</v>
      </c>
      <c r="B590" s="9"/>
      <c r="C590" s="9" t="s">
        <v>55</v>
      </c>
      <c r="D590" s="9"/>
      <c r="E590" s="23">
        <v>49148</v>
      </c>
      <c r="G590" s="42">
        <v>3217851</v>
      </c>
      <c r="I590" s="42">
        <v>0</v>
      </c>
      <c r="K590" s="42">
        <v>11682805</v>
      </c>
      <c r="M590" s="42">
        <v>10411</v>
      </c>
      <c r="O590" s="42">
        <f>710369+3200</f>
        <v>713569</v>
      </c>
      <c r="Q590" s="42">
        <v>14823</v>
      </c>
      <c r="S590" s="42">
        <v>0</v>
      </c>
      <c r="U590" s="42">
        <v>31442</v>
      </c>
      <c r="W590" s="42">
        <v>45483</v>
      </c>
      <c r="Y590" s="2">
        <f t="shared" si="96"/>
        <v>15716384</v>
      </c>
      <c r="AA590" s="42">
        <v>0</v>
      </c>
      <c r="AC590" s="42">
        <v>0</v>
      </c>
      <c r="AE590" s="42">
        <v>0</v>
      </c>
      <c r="AG590" s="42">
        <v>0</v>
      </c>
      <c r="AI590" s="42">
        <v>0</v>
      </c>
      <c r="AK590" s="42">
        <f t="shared" si="101"/>
        <v>0</v>
      </c>
      <c r="AM590" s="42">
        <f t="shared" si="98"/>
        <v>15716384</v>
      </c>
    </row>
    <row r="591" spans="1:39" hidden="1">
      <c r="A591" s="9" t="s">
        <v>702</v>
      </c>
      <c r="B591" s="9"/>
      <c r="C591" s="9" t="s">
        <v>69</v>
      </c>
      <c r="D591" s="9"/>
      <c r="E591" s="23">
        <v>50468</v>
      </c>
      <c r="G591" s="42">
        <v>0</v>
      </c>
      <c r="I591" s="42">
        <v>0</v>
      </c>
      <c r="K591" s="42">
        <v>0</v>
      </c>
      <c r="M591" s="42">
        <v>0</v>
      </c>
      <c r="O591" s="42">
        <v>0</v>
      </c>
      <c r="Q591" s="42">
        <v>0</v>
      </c>
      <c r="S591" s="42">
        <v>0</v>
      </c>
      <c r="U591" s="42">
        <v>0</v>
      </c>
      <c r="W591" s="42">
        <v>0</v>
      </c>
      <c r="Y591" s="2">
        <f t="shared" si="96"/>
        <v>0</v>
      </c>
      <c r="AA591" s="42">
        <v>0</v>
      </c>
      <c r="AC591" s="42">
        <v>0</v>
      </c>
      <c r="AE591" s="42">
        <v>0</v>
      </c>
      <c r="AG591" s="42">
        <v>0</v>
      </c>
      <c r="AI591" s="42">
        <v>0</v>
      </c>
      <c r="AK591" s="42">
        <f t="shared" si="101"/>
        <v>0</v>
      </c>
      <c r="AM591" s="42">
        <f t="shared" si="98"/>
        <v>0</v>
      </c>
    </row>
    <row r="592" spans="1:39" hidden="1">
      <c r="A592" s="9" t="s">
        <v>797</v>
      </c>
      <c r="B592" s="9"/>
      <c r="C592" s="9" t="s">
        <v>447</v>
      </c>
      <c r="D592" s="9"/>
      <c r="E592" s="23">
        <v>49031</v>
      </c>
      <c r="G592" s="42">
        <v>0</v>
      </c>
      <c r="I592" s="42">
        <v>0</v>
      </c>
      <c r="K592" s="42">
        <v>0</v>
      </c>
      <c r="M592" s="42">
        <v>0</v>
      </c>
      <c r="O592" s="42">
        <v>0</v>
      </c>
      <c r="Q592" s="42">
        <v>0</v>
      </c>
      <c r="S592" s="42">
        <v>0</v>
      </c>
      <c r="U592" s="42">
        <v>0</v>
      </c>
      <c r="W592" s="42">
        <v>0</v>
      </c>
      <c r="Y592" s="2">
        <f t="shared" si="96"/>
        <v>0</v>
      </c>
      <c r="AA592" s="42">
        <v>0</v>
      </c>
      <c r="AC592" s="42">
        <v>0</v>
      </c>
      <c r="AE592" s="42">
        <v>0</v>
      </c>
      <c r="AG592" s="42">
        <v>0</v>
      </c>
      <c r="AI592" s="42">
        <v>0</v>
      </c>
      <c r="AK592" s="42">
        <f t="shared" si="101"/>
        <v>0</v>
      </c>
      <c r="AM592" s="42">
        <f t="shared" si="98"/>
        <v>0</v>
      </c>
    </row>
    <row r="593" spans="1:39" ht="11.25" hidden="1" customHeight="1">
      <c r="A593" s="9" t="s">
        <v>641</v>
      </c>
      <c r="B593" s="9"/>
      <c r="C593" s="9" t="s">
        <v>14</v>
      </c>
      <c r="D593" s="9"/>
      <c r="E593" s="23">
        <v>45971</v>
      </c>
      <c r="F593" s="7"/>
      <c r="G593" s="42">
        <v>0</v>
      </c>
      <c r="I593" s="42">
        <v>0</v>
      </c>
      <c r="K593" s="42">
        <v>0</v>
      </c>
      <c r="M593" s="42">
        <v>0</v>
      </c>
      <c r="O593" s="42">
        <v>0</v>
      </c>
      <c r="Q593" s="42">
        <v>0</v>
      </c>
      <c r="S593" s="42">
        <v>0</v>
      </c>
      <c r="U593" s="42">
        <v>0</v>
      </c>
      <c r="W593" s="42">
        <v>0</v>
      </c>
      <c r="Y593" s="2">
        <f t="shared" si="96"/>
        <v>0</v>
      </c>
      <c r="AA593" s="42">
        <v>0</v>
      </c>
      <c r="AC593" s="42">
        <v>0</v>
      </c>
      <c r="AE593" s="42">
        <v>0</v>
      </c>
      <c r="AG593" s="42">
        <v>0</v>
      </c>
      <c r="AI593" s="42">
        <v>0</v>
      </c>
      <c r="AK593" s="42">
        <f t="shared" si="101"/>
        <v>0</v>
      </c>
      <c r="AM593" s="42">
        <f t="shared" si="98"/>
        <v>0</v>
      </c>
    </row>
    <row r="594" spans="1:39">
      <c r="A594" s="9" t="s">
        <v>528</v>
      </c>
      <c r="B594" s="9"/>
      <c r="C594" s="9" t="s">
        <v>64</v>
      </c>
      <c r="D594" s="9"/>
      <c r="E594" s="23">
        <v>50252</v>
      </c>
      <c r="G594" s="42">
        <v>2325549</v>
      </c>
      <c r="I594" s="42">
        <v>0</v>
      </c>
      <c r="K594" s="42">
        <v>4079750</v>
      </c>
      <c r="M594" s="42">
        <v>4885</v>
      </c>
      <c r="O594" s="42">
        <f>1595627+25355</f>
        <v>1620982</v>
      </c>
      <c r="Q594" s="42">
        <v>10032</v>
      </c>
      <c r="S594" s="42">
        <v>0</v>
      </c>
      <c r="U594" s="42">
        <v>1600</v>
      </c>
      <c r="W594" s="42">
        <v>37881</v>
      </c>
      <c r="Y594" s="2">
        <f t="shared" si="96"/>
        <v>8080679</v>
      </c>
      <c r="AA594" s="42">
        <v>0</v>
      </c>
      <c r="AC594" s="42">
        <v>0</v>
      </c>
      <c r="AE594" s="42">
        <v>0</v>
      </c>
      <c r="AG594" s="42">
        <v>0</v>
      </c>
      <c r="AI594" s="42">
        <v>0</v>
      </c>
      <c r="AK594" s="42">
        <f t="shared" si="101"/>
        <v>0</v>
      </c>
      <c r="AM594" s="42">
        <f t="shared" si="98"/>
        <v>8080679</v>
      </c>
    </row>
    <row r="595" spans="1:39">
      <c r="A595" s="9" t="s">
        <v>775</v>
      </c>
      <c r="B595" s="9"/>
      <c r="C595" s="9" t="s">
        <v>44</v>
      </c>
      <c r="D595" s="9"/>
      <c r="E595" s="23">
        <v>45658</v>
      </c>
      <c r="G595" s="42">
        <v>4526611</v>
      </c>
      <c r="I595" s="42">
        <v>1774556</v>
      </c>
      <c r="K595" s="42">
        <v>5951862</v>
      </c>
      <c r="M595" s="42">
        <v>3491</v>
      </c>
      <c r="O595" s="42">
        <f>398407+25813</f>
        <v>424220</v>
      </c>
      <c r="Q595" s="42">
        <v>148896</v>
      </c>
      <c r="S595" s="42">
        <v>8340</v>
      </c>
      <c r="U595" s="42">
        <v>20396</v>
      </c>
      <c r="W595" s="42">
        <v>52432</v>
      </c>
      <c r="Y595" s="2">
        <f t="shared" si="96"/>
        <v>12910804</v>
      </c>
      <c r="AA595" s="42">
        <v>0</v>
      </c>
      <c r="AC595" s="42">
        <v>0</v>
      </c>
      <c r="AE595" s="42">
        <v>93021</v>
      </c>
      <c r="AG595" s="42">
        <v>0</v>
      </c>
      <c r="AI595" s="42">
        <v>0</v>
      </c>
      <c r="AK595" s="42">
        <f t="shared" si="101"/>
        <v>93021</v>
      </c>
      <c r="AM595" s="42">
        <f t="shared" si="98"/>
        <v>13003825</v>
      </c>
    </row>
    <row r="596" spans="1:39">
      <c r="A596" s="9" t="s">
        <v>359</v>
      </c>
      <c r="B596" s="9"/>
      <c r="C596" s="9" t="s">
        <v>38</v>
      </c>
      <c r="D596" s="9"/>
      <c r="E596" s="23">
        <v>45021</v>
      </c>
      <c r="G596" s="42">
        <v>1962788</v>
      </c>
      <c r="I596" s="42">
        <v>0</v>
      </c>
      <c r="K596" s="42">
        <v>10925417</v>
      </c>
      <c r="M596" s="42">
        <v>14008</v>
      </c>
      <c r="O596" s="42">
        <f>419097+3196+535</f>
        <v>422828</v>
      </c>
      <c r="Q596" s="42">
        <v>11344</v>
      </c>
      <c r="S596" s="42">
        <v>0</v>
      </c>
      <c r="U596" s="42">
        <v>10782</v>
      </c>
      <c r="W596" s="42">
        <v>53183</v>
      </c>
      <c r="Y596" s="2">
        <f t="shared" si="96"/>
        <v>13400350</v>
      </c>
      <c r="AA596" s="42">
        <v>0</v>
      </c>
      <c r="AC596" s="42">
        <v>0</v>
      </c>
      <c r="AE596" s="42">
        <v>0</v>
      </c>
      <c r="AG596" s="42">
        <f>17500+110342</f>
        <v>127842</v>
      </c>
      <c r="AI596" s="42">
        <v>0</v>
      </c>
      <c r="AK596" s="42">
        <f t="shared" si="101"/>
        <v>127842</v>
      </c>
      <c r="AM596" s="42">
        <f t="shared" si="98"/>
        <v>13528192</v>
      </c>
    </row>
    <row r="597" spans="1:39">
      <c r="A597" s="9" t="s">
        <v>250</v>
      </c>
      <c r="B597" s="9"/>
      <c r="C597" s="9" t="s">
        <v>111</v>
      </c>
      <c r="D597" s="9"/>
      <c r="E597" s="23">
        <v>45039</v>
      </c>
      <c r="F597" s="7"/>
      <c r="G597" s="42">
        <v>820224</v>
      </c>
      <c r="I597" s="42">
        <v>0</v>
      </c>
      <c r="K597" s="42">
        <v>5982711</v>
      </c>
      <c r="M597" s="42">
        <v>10628</v>
      </c>
      <c r="O597" s="42">
        <f>628715+788</f>
        <v>629503</v>
      </c>
      <c r="Q597" s="42">
        <v>7524</v>
      </c>
      <c r="S597" s="42">
        <v>0</v>
      </c>
      <c r="U597" s="42">
        <v>9986</v>
      </c>
      <c r="W597" s="42">
        <v>3173</v>
      </c>
      <c r="Y597" s="2">
        <f t="shared" si="96"/>
        <v>7463749</v>
      </c>
      <c r="AA597" s="42">
        <v>0</v>
      </c>
      <c r="AC597" s="42">
        <v>0</v>
      </c>
      <c r="AE597" s="42">
        <v>0</v>
      </c>
      <c r="AG597" s="42">
        <v>0</v>
      </c>
      <c r="AI597" s="42">
        <v>0</v>
      </c>
      <c r="AK597" s="42">
        <f t="shared" si="101"/>
        <v>0</v>
      </c>
      <c r="AM597" s="42">
        <f t="shared" si="98"/>
        <v>7463749</v>
      </c>
    </row>
    <row r="598" spans="1:39">
      <c r="A598" s="9" t="s">
        <v>405</v>
      </c>
      <c r="B598" s="9"/>
      <c r="C598" s="9" t="s">
        <v>45</v>
      </c>
      <c r="D598" s="9"/>
      <c r="E598" s="23">
        <v>48389</v>
      </c>
      <c r="G598" s="42">
        <v>4224325</v>
      </c>
      <c r="I598" s="42">
        <v>0</v>
      </c>
      <c r="K598" s="42">
        <f>2323+11736358+111882</f>
        <v>11850563</v>
      </c>
      <c r="M598" s="42">
        <v>3830</v>
      </c>
      <c r="O598" s="42">
        <f>1938015+26884+1712+852</f>
        <v>1967463</v>
      </c>
      <c r="Q598" s="42">
        <v>187587</v>
      </c>
      <c r="S598" s="42">
        <v>0</v>
      </c>
      <c r="U598" s="42">
        <v>58852</v>
      </c>
      <c r="W598" s="42">
        <v>338038</v>
      </c>
      <c r="Y598" s="2">
        <f t="shared" si="96"/>
        <v>18630658</v>
      </c>
      <c r="AA598" s="42">
        <v>0</v>
      </c>
      <c r="AC598" s="42">
        <v>0</v>
      </c>
      <c r="AE598" s="42">
        <v>0</v>
      </c>
      <c r="AG598" s="42">
        <v>0</v>
      </c>
      <c r="AI598" s="42">
        <v>0</v>
      </c>
      <c r="AK598" s="42">
        <f t="shared" si="101"/>
        <v>0</v>
      </c>
      <c r="AM598" s="42">
        <f t="shared" si="98"/>
        <v>18630658</v>
      </c>
    </row>
    <row r="599" spans="1:39">
      <c r="A599" s="9" t="s">
        <v>701</v>
      </c>
      <c r="B599" s="9"/>
      <c r="C599" s="9" t="s">
        <v>50</v>
      </c>
      <c r="D599" s="9"/>
      <c r="E599" s="23">
        <v>45054</v>
      </c>
      <c r="G599" s="42">
        <v>15301637</v>
      </c>
      <c r="I599" s="42">
        <v>0</v>
      </c>
      <c r="K599" s="42">
        <f>18238489+207918</f>
        <v>18446407</v>
      </c>
      <c r="M599" s="42">
        <v>88276</v>
      </c>
      <c r="O599" s="42">
        <f>345155+20582+3930+104674+79905+70000</f>
        <v>624246</v>
      </c>
      <c r="Q599" s="42">
        <v>57042</v>
      </c>
      <c r="S599" s="42">
        <v>26926</v>
      </c>
      <c r="U599" s="42">
        <v>57473</v>
      </c>
      <c r="W599" s="42">
        <v>191504</v>
      </c>
      <c r="Y599" s="2">
        <f t="shared" si="96"/>
        <v>34793511</v>
      </c>
      <c r="AA599" s="42">
        <v>0</v>
      </c>
      <c r="AC599" s="42">
        <v>0</v>
      </c>
      <c r="AE599" s="42">
        <v>0</v>
      </c>
      <c r="AG599" s="42">
        <v>0</v>
      </c>
      <c r="AI599" s="42">
        <v>0</v>
      </c>
      <c r="AK599" s="42">
        <f t="shared" si="101"/>
        <v>0</v>
      </c>
      <c r="AM599" s="42">
        <f t="shared" si="98"/>
        <v>34793511</v>
      </c>
    </row>
    <row r="600" spans="1:39">
      <c r="A600" s="9" t="s">
        <v>239</v>
      </c>
      <c r="B600" s="9"/>
      <c r="C600" s="9" t="s">
        <v>112</v>
      </c>
      <c r="D600" s="9"/>
      <c r="E600" s="23">
        <v>46359</v>
      </c>
      <c r="F600" s="7"/>
      <c r="G600" s="42">
        <v>35346996</v>
      </c>
      <c r="I600" s="42">
        <v>0</v>
      </c>
      <c r="K600" s="42">
        <v>27971267</v>
      </c>
      <c r="M600" s="42">
        <v>4916</v>
      </c>
      <c r="O600" s="42">
        <f>1316998+141440</f>
        <v>1458438</v>
      </c>
      <c r="Q600" s="42">
        <v>42807</v>
      </c>
      <c r="S600" s="42">
        <v>0</v>
      </c>
      <c r="U600" s="42">
        <v>0</v>
      </c>
      <c r="W600" s="42">
        <v>1141450</v>
      </c>
      <c r="Y600" s="2">
        <f t="shared" ref="Y600:Y632" si="102">SUM(G600:X600)</f>
        <v>65965874</v>
      </c>
      <c r="AA600" s="42">
        <v>0</v>
      </c>
      <c r="AC600" s="42">
        <v>0</v>
      </c>
      <c r="AE600" s="42">
        <v>0</v>
      </c>
      <c r="AG600" s="42">
        <v>0</v>
      </c>
      <c r="AI600" s="42">
        <v>0</v>
      </c>
      <c r="AK600" s="42">
        <f t="shared" si="101"/>
        <v>0</v>
      </c>
      <c r="AM600" s="42">
        <f t="shared" si="98"/>
        <v>65965874</v>
      </c>
    </row>
    <row r="601" spans="1:39">
      <c r="A601" s="9" t="s">
        <v>314</v>
      </c>
      <c r="B601" s="9"/>
      <c r="C601" s="9" t="s">
        <v>30</v>
      </c>
      <c r="D601" s="9"/>
      <c r="E601" s="23">
        <v>47225</v>
      </c>
      <c r="G601" s="42">
        <v>17158039</v>
      </c>
      <c r="I601" s="42">
        <v>0</v>
      </c>
      <c r="K601" s="42">
        <v>6256284</v>
      </c>
      <c r="M601" s="42">
        <v>63355</v>
      </c>
      <c r="O601" s="42">
        <f>2036527+8282+20062</f>
        <v>2064871</v>
      </c>
      <c r="Q601" s="42">
        <v>85064</v>
      </c>
      <c r="S601" s="42">
        <v>0</v>
      </c>
      <c r="U601" s="42">
        <v>107857</v>
      </c>
      <c r="W601" s="42">
        <v>27267</v>
      </c>
      <c r="Y601" s="2">
        <f t="shared" si="102"/>
        <v>25762737</v>
      </c>
      <c r="AA601" s="42">
        <v>0</v>
      </c>
      <c r="AC601" s="42">
        <v>0</v>
      </c>
      <c r="AE601" s="42">
        <v>0</v>
      </c>
      <c r="AG601" s="42">
        <v>9860</v>
      </c>
      <c r="AI601" s="42">
        <v>0</v>
      </c>
      <c r="AK601" s="42">
        <f t="shared" si="101"/>
        <v>9860</v>
      </c>
      <c r="AM601" s="42">
        <f t="shared" si="98"/>
        <v>25772597</v>
      </c>
    </row>
    <row r="602" spans="1:39">
      <c r="A602" s="9" t="s">
        <v>352</v>
      </c>
      <c r="B602" s="9"/>
      <c r="C602" s="9" t="s">
        <v>36</v>
      </c>
      <c r="D602" s="9"/>
      <c r="E602" s="23">
        <v>47696</v>
      </c>
      <c r="G602" s="42">
        <v>8403102</v>
      </c>
      <c r="I602" s="42">
        <v>0</v>
      </c>
      <c r="K602" s="42">
        <v>11469825</v>
      </c>
      <c r="M602" s="42">
        <v>26678</v>
      </c>
      <c r="O602" s="42">
        <f>636301+10089</f>
        <v>646390</v>
      </c>
      <c r="Q602" s="42">
        <v>141224</v>
      </c>
      <c r="S602" s="42">
        <v>0</v>
      </c>
      <c r="U602" s="42">
        <v>0</v>
      </c>
      <c r="W602" s="42">
        <v>145832</v>
      </c>
      <c r="Y602" s="2">
        <f t="shared" si="102"/>
        <v>20833051</v>
      </c>
      <c r="AA602" s="42">
        <v>0</v>
      </c>
      <c r="AC602" s="42">
        <v>0</v>
      </c>
      <c r="AE602" s="42">
        <v>0</v>
      </c>
      <c r="AG602" s="42">
        <v>0</v>
      </c>
      <c r="AI602" s="42">
        <v>0</v>
      </c>
      <c r="AK602" s="42">
        <f t="shared" si="101"/>
        <v>0</v>
      </c>
      <c r="AM602" s="42">
        <f t="shared" si="98"/>
        <v>20833051</v>
      </c>
    </row>
    <row r="603" spans="1:39" hidden="1">
      <c r="A603" s="8" t="s">
        <v>908</v>
      </c>
      <c r="B603" s="9"/>
      <c r="C603" s="9" t="s">
        <v>227</v>
      </c>
      <c r="D603" s="9"/>
      <c r="E603" s="23">
        <v>46219</v>
      </c>
      <c r="F603" s="7"/>
      <c r="G603" s="42">
        <v>0</v>
      </c>
      <c r="I603" s="42">
        <v>0</v>
      </c>
      <c r="K603" s="42">
        <v>0</v>
      </c>
      <c r="M603" s="42">
        <v>0</v>
      </c>
      <c r="O603" s="42">
        <v>0</v>
      </c>
      <c r="Q603" s="42">
        <v>0</v>
      </c>
      <c r="S603" s="42">
        <v>0</v>
      </c>
      <c r="U603" s="42">
        <v>0</v>
      </c>
      <c r="W603" s="42">
        <v>0</v>
      </c>
      <c r="Y603" s="2">
        <f t="shared" si="102"/>
        <v>0</v>
      </c>
      <c r="AA603" s="42">
        <v>0</v>
      </c>
      <c r="AC603" s="42">
        <v>0</v>
      </c>
      <c r="AE603" s="42">
        <v>0</v>
      </c>
      <c r="AG603" s="42">
        <v>0</v>
      </c>
      <c r="AI603" s="42">
        <v>0</v>
      </c>
      <c r="AK603" s="42">
        <f t="shared" si="101"/>
        <v>0</v>
      </c>
      <c r="AM603" s="42">
        <f t="shared" si="98"/>
        <v>0</v>
      </c>
    </row>
    <row r="604" spans="1:39">
      <c r="A604" s="9" t="s">
        <v>444</v>
      </c>
      <c r="B604" s="9"/>
      <c r="C604" s="9" t="s">
        <v>51</v>
      </c>
      <c r="D604" s="9"/>
      <c r="E604" s="23">
        <v>48884</v>
      </c>
      <c r="G604" s="42">
        <v>5205067</v>
      </c>
      <c r="I604" s="42">
        <v>0</v>
      </c>
      <c r="K604" s="42">
        <v>6801636</v>
      </c>
      <c r="M604" s="42">
        <v>12609</v>
      </c>
      <c r="O604" s="42">
        <f>1581312+1055</f>
        <v>1582367</v>
      </c>
      <c r="Q604" s="42">
        <v>42933</v>
      </c>
      <c r="S604" s="42">
        <v>0</v>
      </c>
      <c r="U604" s="42">
        <v>1605</v>
      </c>
      <c r="W604" s="42">
        <v>48309</v>
      </c>
      <c r="Y604" s="2">
        <f t="shared" si="102"/>
        <v>13694526</v>
      </c>
      <c r="AA604" s="42">
        <v>0</v>
      </c>
      <c r="AC604" s="42">
        <v>0</v>
      </c>
      <c r="AE604" s="42">
        <v>79500</v>
      </c>
      <c r="AG604" s="42">
        <v>6250</v>
      </c>
      <c r="AI604" s="42">
        <v>0</v>
      </c>
      <c r="AK604" s="42">
        <f t="shared" si="101"/>
        <v>85750</v>
      </c>
      <c r="AM604" s="42">
        <f t="shared" si="98"/>
        <v>13780276</v>
      </c>
    </row>
    <row r="605" spans="1:39">
      <c r="A605" s="9" t="s">
        <v>219</v>
      </c>
      <c r="B605" s="9"/>
      <c r="C605" s="9" t="s">
        <v>77</v>
      </c>
      <c r="D605" s="9"/>
      <c r="E605" s="23">
        <v>46060</v>
      </c>
      <c r="F605" s="7"/>
      <c r="G605" s="42">
        <v>4252233</v>
      </c>
      <c r="I605" s="42">
        <v>0</v>
      </c>
      <c r="K605" s="42">
        <v>19914185</v>
      </c>
      <c r="M605" s="42">
        <v>12024</v>
      </c>
      <c r="O605" s="42">
        <f>1596791+19780+22293</f>
        <v>1638864</v>
      </c>
      <c r="Q605" s="42">
        <v>56081</v>
      </c>
      <c r="S605" s="42">
        <v>102547</v>
      </c>
      <c r="U605" s="42">
        <v>61181</v>
      </c>
      <c r="W605" s="42">
        <v>112064</v>
      </c>
      <c r="Y605" s="2">
        <f t="shared" si="102"/>
        <v>26149179</v>
      </c>
      <c r="AA605" s="42">
        <v>0</v>
      </c>
      <c r="AC605" s="42">
        <v>0</v>
      </c>
      <c r="AE605" s="42">
        <v>0</v>
      </c>
      <c r="AG605" s="42">
        <v>0</v>
      </c>
      <c r="AI605" s="42">
        <v>0</v>
      </c>
      <c r="AK605" s="42">
        <f t="shared" si="101"/>
        <v>0</v>
      </c>
      <c r="AM605" s="42">
        <f t="shared" si="98"/>
        <v>26149179</v>
      </c>
    </row>
    <row r="606" spans="1:39">
      <c r="A606" s="9" t="s">
        <v>455</v>
      </c>
      <c r="B606" s="9"/>
      <c r="C606" s="9" t="s">
        <v>55</v>
      </c>
      <c r="D606" s="9"/>
      <c r="E606" s="23">
        <v>49155</v>
      </c>
      <c r="G606" s="42">
        <v>829642</v>
      </c>
      <c r="I606" s="42">
        <v>0</v>
      </c>
      <c r="K606" s="42">
        <v>6321406</v>
      </c>
      <c r="M606" s="42">
        <v>9066</v>
      </c>
      <c r="O606" s="42">
        <f>520+238866</f>
        <v>239386</v>
      </c>
      <c r="Q606" s="42">
        <v>7625</v>
      </c>
      <c r="S606" s="42">
        <v>0</v>
      </c>
      <c r="U606" s="42">
        <v>1600</v>
      </c>
      <c r="W606" s="42">
        <v>25796</v>
      </c>
      <c r="Y606" s="2">
        <f t="shared" si="102"/>
        <v>7434521</v>
      </c>
      <c r="AA606" s="42">
        <v>0</v>
      </c>
      <c r="AC606" s="42">
        <v>0</v>
      </c>
      <c r="AE606" s="42">
        <v>0</v>
      </c>
      <c r="AG606" s="42">
        <v>0</v>
      </c>
      <c r="AI606" s="42">
        <v>0</v>
      </c>
      <c r="AK606" s="42">
        <f t="shared" si="101"/>
        <v>0</v>
      </c>
      <c r="AM606" s="42">
        <f t="shared" si="98"/>
        <v>7434521</v>
      </c>
    </row>
    <row r="607" spans="1:39">
      <c r="A607" s="9" t="s">
        <v>357</v>
      </c>
      <c r="B607" s="9"/>
      <c r="C607" s="9" t="s">
        <v>37</v>
      </c>
      <c r="D607" s="9"/>
      <c r="E607" s="23">
        <v>47746</v>
      </c>
      <c r="G607" s="42">
        <v>2280396</v>
      </c>
      <c r="I607" s="42">
        <v>1812995</v>
      </c>
      <c r="K607" s="42">
        <f>49696+6325774</f>
        <v>6375470</v>
      </c>
      <c r="M607" s="42">
        <v>1556</v>
      </c>
      <c r="O607" s="42">
        <f>728890+21903+13652</f>
        <v>764445</v>
      </c>
      <c r="Q607" s="42">
        <v>52468</v>
      </c>
      <c r="S607" s="42">
        <v>0</v>
      </c>
      <c r="U607" s="42">
        <v>0</v>
      </c>
      <c r="W607" s="42">
        <v>57180</v>
      </c>
      <c r="Y607" s="2">
        <f t="shared" si="102"/>
        <v>11344510</v>
      </c>
      <c r="AA607" s="42">
        <v>0</v>
      </c>
      <c r="AC607" s="42">
        <v>0</v>
      </c>
      <c r="AE607" s="42">
        <v>75680</v>
      </c>
      <c r="AG607" s="42">
        <v>0</v>
      </c>
      <c r="AI607" s="42">
        <v>0</v>
      </c>
      <c r="AK607" s="42">
        <f t="shared" si="101"/>
        <v>75680</v>
      </c>
      <c r="AM607" s="42">
        <f t="shared" si="98"/>
        <v>11420190</v>
      </c>
    </row>
    <row r="608" spans="1:39">
      <c r="A608" s="9" t="s">
        <v>357</v>
      </c>
      <c r="B608" s="9"/>
      <c r="C608" s="9" t="s">
        <v>45</v>
      </c>
      <c r="D608" s="9"/>
      <c r="E608" s="23">
        <v>48397</v>
      </c>
      <c r="G608" s="42">
        <v>2459236</v>
      </c>
      <c r="I608" s="42">
        <v>0</v>
      </c>
      <c r="K608" s="42">
        <v>2714299</v>
      </c>
      <c r="M608" s="42">
        <v>5074</v>
      </c>
      <c r="O608" s="42">
        <f>887057+3164</f>
        <v>890221</v>
      </c>
      <c r="Q608" s="42">
        <v>30423</v>
      </c>
      <c r="S608" s="42">
        <v>0</v>
      </c>
      <c r="U608" s="42">
        <v>21452</v>
      </c>
      <c r="W608" s="42">
        <v>104574</v>
      </c>
      <c r="Y608" s="2">
        <f>SUM(G608:X608)</f>
        <v>6225279</v>
      </c>
      <c r="AA608" s="42">
        <v>0</v>
      </c>
      <c r="AC608" s="42">
        <v>0</v>
      </c>
      <c r="AE608" s="42">
        <v>0</v>
      </c>
      <c r="AG608" s="42">
        <v>0</v>
      </c>
      <c r="AI608" s="42">
        <v>0</v>
      </c>
      <c r="AK608" s="42">
        <f>SUM(AA608:AJ608)</f>
        <v>0</v>
      </c>
      <c r="AM608" s="42">
        <f t="shared" si="98"/>
        <v>6225279</v>
      </c>
    </row>
    <row r="609" spans="1:39">
      <c r="A609" s="9" t="s">
        <v>307</v>
      </c>
      <c r="B609" s="9"/>
      <c r="C609" s="9" t="s">
        <v>27</v>
      </c>
      <c r="D609" s="9"/>
      <c r="E609" s="23">
        <v>45047</v>
      </c>
      <c r="G609" s="42">
        <v>103883273</v>
      </c>
      <c r="I609" s="42">
        <v>0</v>
      </c>
      <c r="K609" s="42">
        <f>44022318+343142</f>
        <v>44365460</v>
      </c>
      <c r="M609" s="42">
        <v>26265</v>
      </c>
      <c r="O609" s="42">
        <f>1079589+528321+643590</f>
        <v>2251500</v>
      </c>
      <c r="Q609" s="42">
        <v>896492</v>
      </c>
      <c r="S609" s="42">
        <v>2878328</v>
      </c>
      <c r="U609" s="42">
        <v>120107</v>
      </c>
      <c r="W609" s="42">
        <v>128330</v>
      </c>
      <c r="Y609" s="2">
        <f t="shared" si="102"/>
        <v>154549755</v>
      </c>
      <c r="AA609" s="42">
        <v>0</v>
      </c>
      <c r="AC609" s="42">
        <v>0</v>
      </c>
      <c r="AE609" s="42">
        <v>0</v>
      </c>
      <c r="AG609" s="42">
        <v>65258</v>
      </c>
      <c r="AI609" s="42">
        <v>0</v>
      </c>
      <c r="AK609" s="42">
        <f t="shared" si="101"/>
        <v>65258</v>
      </c>
      <c r="AM609" s="42">
        <f t="shared" si="98"/>
        <v>154615013</v>
      </c>
    </row>
    <row r="610" spans="1:39">
      <c r="A610" s="9" t="s">
        <v>452</v>
      </c>
      <c r="B610" s="9"/>
      <c r="C610" s="9" t="s">
        <v>54</v>
      </c>
      <c r="D610" s="9"/>
      <c r="E610" s="23">
        <v>49106</v>
      </c>
      <c r="G610" s="42">
        <v>6139682</v>
      </c>
      <c r="I610" s="42">
        <v>0</v>
      </c>
      <c r="K610" s="42">
        <v>8141830</v>
      </c>
      <c r="M610" s="42">
        <v>47512</v>
      </c>
      <c r="O610" s="42">
        <f>440851</f>
        <v>440851</v>
      </c>
      <c r="Q610" s="42">
        <v>89000</v>
      </c>
      <c r="S610" s="42">
        <v>445</v>
      </c>
      <c r="U610" s="42">
        <v>10547</v>
      </c>
      <c r="W610" s="42">
        <v>203133</v>
      </c>
      <c r="Y610" s="2">
        <f t="shared" si="102"/>
        <v>15073000</v>
      </c>
      <c r="AA610" s="42">
        <v>0</v>
      </c>
      <c r="AC610" s="42">
        <v>0</v>
      </c>
      <c r="AE610" s="42">
        <v>0</v>
      </c>
      <c r="AG610" s="42">
        <v>133276</v>
      </c>
      <c r="AI610" s="42">
        <v>0</v>
      </c>
      <c r="AK610" s="42">
        <f t="shared" si="101"/>
        <v>133276</v>
      </c>
      <c r="AM610" s="42">
        <f t="shared" si="98"/>
        <v>15206276</v>
      </c>
    </row>
    <row r="611" spans="1:39">
      <c r="A611" s="9" t="s">
        <v>279</v>
      </c>
      <c r="B611" s="9"/>
      <c r="C611" s="9" t="s">
        <v>20</v>
      </c>
      <c r="D611" s="9"/>
      <c r="E611" s="23">
        <v>45062</v>
      </c>
      <c r="G611" s="42">
        <v>39142589</v>
      </c>
      <c r="I611" s="42">
        <v>0</v>
      </c>
      <c r="K611" s="42">
        <f>8400560+88035</f>
        <v>8488595</v>
      </c>
      <c r="M611" s="42">
        <v>45847</v>
      </c>
      <c r="O611" s="42">
        <f>698154+23789+245786+63506+18823</f>
        <v>1050058</v>
      </c>
      <c r="Q611" s="42">
        <v>117419</v>
      </c>
      <c r="S611" s="42">
        <v>0</v>
      </c>
      <c r="U611" s="42">
        <v>64062</v>
      </c>
      <c r="W611" s="42">
        <v>317987</v>
      </c>
      <c r="Y611" s="2">
        <f t="shared" si="102"/>
        <v>49226557</v>
      </c>
      <c r="AA611" s="42">
        <v>0</v>
      </c>
      <c r="AC611" s="42">
        <v>0</v>
      </c>
      <c r="AE611" s="42">
        <v>0</v>
      </c>
      <c r="AG611" s="42">
        <v>0</v>
      </c>
      <c r="AI611" s="42">
        <v>0</v>
      </c>
      <c r="AK611" s="42">
        <f t="shared" si="101"/>
        <v>0</v>
      </c>
      <c r="AM611" s="42">
        <f t="shared" si="98"/>
        <v>49226557</v>
      </c>
    </row>
    <row r="612" spans="1:39">
      <c r="A612" s="9" t="s">
        <v>483</v>
      </c>
      <c r="B612" s="9"/>
      <c r="C612" s="9" t="s">
        <v>59</v>
      </c>
      <c r="D612" s="9"/>
      <c r="E612" s="23">
        <v>49668</v>
      </c>
      <c r="G612" s="42">
        <v>2689400</v>
      </c>
      <c r="I612" s="42">
        <v>0</v>
      </c>
      <c r="K612" s="42">
        <v>6880641</v>
      </c>
      <c r="M612" s="42">
        <v>16376</v>
      </c>
      <c r="O612" s="42">
        <f>2084139+117+77854</f>
        <v>2162110</v>
      </c>
      <c r="Q612" s="42">
        <v>22988</v>
      </c>
      <c r="S612" s="42">
        <v>0</v>
      </c>
      <c r="U612" s="42">
        <v>10506</v>
      </c>
      <c r="W612" s="42">
        <v>76186</v>
      </c>
      <c r="Y612" s="2">
        <f t="shared" si="102"/>
        <v>11858207</v>
      </c>
      <c r="AA612" s="42">
        <v>0</v>
      </c>
      <c r="AC612" s="42">
        <v>0</v>
      </c>
      <c r="AE612" s="42">
        <v>0</v>
      </c>
      <c r="AG612" s="42">
        <v>0</v>
      </c>
      <c r="AI612" s="42">
        <v>0</v>
      </c>
      <c r="AK612" s="42">
        <f t="shared" si="101"/>
        <v>0</v>
      </c>
      <c r="AM612" s="42">
        <f t="shared" ref="AM612:AM632" si="103">+AK612+Y612</f>
        <v>11858207</v>
      </c>
    </row>
    <row r="613" spans="1:39">
      <c r="A613" s="9" t="s">
        <v>308</v>
      </c>
      <c r="B613" s="9"/>
      <c r="C613" s="9" t="s">
        <v>27</v>
      </c>
      <c r="D613" s="9"/>
      <c r="E613" s="23">
        <v>45070</v>
      </c>
      <c r="G613" s="42">
        <v>7700052</v>
      </c>
      <c r="I613" s="42">
        <v>0</v>
      </c>
      <c r="K613" s="42">
        <f>68215+19710045+183200</f>
        <v>19961460</v>
      </c>
      <c r="M613" s="42">
        <v>69786</v>
      </c>
      <c r="O613" s="42">
        <v>197159</v>
      </c>
      <c r="Q613" s="42">
        <v>22481</v>
      </c>
      <c r="S613" s="42">
        <v>1225600</v>
      </c>
      <c r="U613" s="42">
        <v>0</v>
      </c>
      <c r="W613" s="42">
        <v>223179</v>
      </c>
      <c r="Y613" s="2">
        <f t="shared" si="102"/>
        <v>29399717</v>
      </c>
      <c r="AA613" s="42">
        <v>0</v>
      </c>
      <c r="AC613" s="42">
        <v>0</v>
      </c>
      <c r="AE613" s="42">
        <v>0</v>
      </c>
      <c r="AG613" s="42">
        <v>0</v>
      </c>
      <c r="AI613" s="42">
        <v>0</v>
      </c>
      <c r="AK613" s="42">
        <f t="shared" si="101"/>
        <v>0</v>
      </c>
      <c r="AM613" s="42">
        <f t="shared" si="103"/>
        <v>29399717</v>
      </c>
    </row>
    <row r="614" spans="1:39" hidden="1">
      <c r="A614" s="9" t="s">
        <v>617</v>
      </c>
      <c r="B614" s="9"/>
      <c r="C614" s="9" t="s">
        <v>41</v>
      </c>
      <c r="D614" s="9"/>
      <c r="E614" s="23">
        <v>45088</v>
      </c>
      <c r="G614" s="42">
        <v>0</v>
      </c>
      <c r="I614" s="42">
        <v>0</v>
      </c>
      <c r="K614" s="42">
        <v>0</v>
      </c>
      <c r="M614" s="42">
        <v>0</v>
      </c>
      <c r="O614" s="42">
        <v>0</v>
      </c>
      <c r="Q614" s="42">
        <v>0</v>
      </c>
      <c r="S614" s="42">
        <v>0</v>
      </c>
      <c r="U614" s="42">
        <v>0</v>
      </c>
      <c r="W614" s="42">
        <v>0</v>
      </c>
      <c r="Y614" s="2">
        <f t="shared" si="102"/>
        <v>0</v>
      </c>
      <c r="AA614" s="42">
        <v>0</v>
      </c>
      <c r="AC614" s="42">
        <v>0</v>
      </c>
      <c r="AE614" s="42">
        <v>0</v>
      </c>
      <c r="AG614" s="42">
        <v>0</v>
      </c>
      <c r="AI614" s="42">
        <v>0</v>
      </c>
      <c r="AK614" s="42">
        <f t="shared" si="101"/>
        <v>0</v>
      </c>
      <c r="AM614" s="42">
        <f t="shared" si="103"/>
        <v>0</v>
      </c>
    </row>
    <row r="615" spans="1:39">
      <c r="A615" s="9" t="s">
        <v>358</v>
      </c>
      <c r="B615" s="9"/>
      <c r="C615" s="9" t="s">
        <v>37</v>
      </c>
      <c r="D615" s="9"/>
      <c r="E615" s="23">
        <v>45096</v>
      </c>
      <c r="G615" s="42">
        <v>4688819</v>
      </c>
      <c r="I615" s="42">
        <v>0</v>
      </c>
      <c r="K615" s="42">
        <f>472+10061895+76971</f>
        <v>10139338</v>
      </c>
      <c r="M615" s="42">
        <v>8439</v>
      </c>
      <c r="O615" s="42">
        <f>162962+10071+28055+8300+1840</f>
        <v>211228</v>
      </c>
      <c r="Q615" s="42">
        <v>32931</v>
      </c>
      <c r="S615" s="42">
        <v>0</v>
      </c>
      <c r="U615" s="42">
        <v>562</v>
      </c>
      <c r="W615" s="42">
        <v>151563</v>
      </c>
      <c r="Y615" s="2">
        <f t="shared" si="102"/>
        <v>15232880</v>
      </c>
      <c r="AA615" s="42">
        <v>0</v>
      </c>
      <c r="AC615" s="42">
        <v>0</v>
      </c>
      <c r="AE615" s="42">
        <v>144987</v>
      </c>
      <c r="AG615" s="42">
        <v>1000</v>
      </c>
      <c r="AI615" s="42">
        <v>0</v>
      </c>
      <c r="AK615" s="42">
        <f t="shared" si="101"/>
        <v>145987</v>
      </c>
      <c r="AM615" s="42">
        <f t="shared" si="103"/>
        <v>15378867</v>
      </c>
    </row>
    <row r="616" spans="1:39" hidden="1">
      <c r="A616" s="9" t="s">
        <v>881</v>
      </c>
      <c r="B616" s="9"/>
      <c r="C616" s="9" t="s">
        <v>112</v>
      </c>
      <c r="D616" s="9"/>
      <c r="E616" s="23">
        <v>46367</v>
      </c>
      <c r="F616" s="7"/>
      <c r="G616" s="42">
        <v>0</v>
      </c>
      <c r="I616" s="42">
        <v>0</v>
      </c>
      <c r="K616" s="42">
        <v>0</v>
      </c>
      <c r="M616" s="42">
        <v>0</v>
      </c>
      <c r="O616" s="42">
        <v>0</v>
      </c>
      <c r="Q616" s="42">
        <v>0</v>
      </c>
      <c r="S616" s="42">
        <v>0</v>
      </c>
      <c r="U616" s="42">
        <v>0</v>
      </c>
      <c r="W616" s="42">
        <v>0</v>
      </c>
      <c r="Y616" s="2">
        <f t="shared" si="102"/>
        <v>0</v>
      </c>
      <c r="AA616" s="42">
        <v>0</v>
      </c>
      <c r="AC616" s="42">
        <v>0</v>
      </c>
      <c r="AE616" s="42">
        <v>0</v>
      </c>
      <c r="AG616" s="42">
        <v>0</v>
      </c>
      <c r="AI616" s="42">
        <v>0</v>
      </c>
      <c r="AK616" s="42">
        <f t="shared" si="101"/>
        <v>0</v>
      </c>
      <c r="AM616" s="42">
        <f t="shared" si="103"/>
        <v>0</v>
      </c>
    </row>
    <row r="617" spans="1:39">
      <c r="A617" s="9" t="s">
        <v>363</v>
      </c>
      <c r="B617" s="9"/>
      <c r="C617" s="9" t="s">
        <v>41</v>
      </c>
      <c r="D617" s="9"/>
      <c r="E617" s="23">
        <v>45104</v>
      </c>
      <c r="G617" s="42">
        <v>57141171</v>
      </c>
      <c r="I617" s="42">
        <v>0</v>
      </c>
      <c r="K617" s="42">
        <v>23863296</v>
      </c>
      <c r="M617" s="42">
        <v>11458</v>
      </c>
      <c r="O617" s="42">
        <f>1045894+316643+936480</f>
        <v>2299017</v>
      </c>
      <c r="Q617" s="42">
        <v>114976</v>
      </c>
      <c r="S617" s="42">
        <v>0</v>
      </c>
      <c r="U617" s="42">
        <v>74653</v>
      </c>
      <c r="W617" s="42">
        <v>711601</v>
      </c>
      <c r="Y617" s="2">
        <f t="shared" si="102"/>
        <v>84216172</v>
      </c>
      <c r="AA617" s="42">
        <v>4057079</v>
      </c>
      <c r="AC617" s="42">
        <v>0</v>
      </c>
      <c r="AE617" s="42">
        <v>0</v>
      </c>
      <c r="AG617" s="42">
        <v>0</v>
      </c>
      <c r="AI617" s="42">
        <v>0</v>
      </c>
      <c r="AK617" s="42">
        <f t="shared" si="101"/>
        <v>4057079</v>
      </c>
      <c r="AM617" s="42">
        <f t="shared" si="103"/>
        <v>88273251</v>
      </c>
    </row>
    <row r="618" spans="1:39">
      <c r="A618" s="9" t="s">
        <v>243</v>
      </c>
      <c r="B618" s="9"/>
      <c r="C618" s="9" t="s">
        <v>18</v>
      </c>
      <c r="D618" s="9"/>
      <c r="E618" s="23">
        <v>45112</v>
      </c>
      <c r="F618" s="7"/>
      <c r="G618" s="42">
        <v>12622865</v>
      </c>
      <c r="I618" s="42">
        <v>0</v>
      </c>
      <c r="K618" s="42">
        <v>10040997</v>
      </c>
      <c r="M618" s="42">
        <v>7706</v>
      </c>
      <c r="O618" s="42">
        <f>693197+869</f>
        <v>694066</v>
      </c>
      <c r="Q618" s="42">
        <v>0</v>
      </c>
      <c r="S618" s="42">
        <v>5096</v>
      </c>
      <c r="U618" s="42">
        <v>0</v>
      </c>
      <c r="W618" s="42">
        <v>705483</v>
      </c>
      <c r="Y618" s="2">
        <f t="shared" si="102"/>
        <v>24076213</v>
      </c>
      <c r="AA618" s="42">
        <v>0</v>
      </c>
      <c r="AC618" s="42">
        <v>0</v>
      </c>
      <c r="AE618" s="42">
        <v>0</v>
      </c>
      <c r="AG618" s="42">
        <v>345</v>
      </c>
      <c r="AI618" s="42">
        <v>0</v>
      </c>
      <c r="AK618" s="42">
        <f t="shared" si="101"/>
        <v>345</v>
      </c>
      <c r="AM618" s="42">
        <f t="shared" si="103"/>
        <v>24076558</v>
      </c>
    </row>
    <row r="619" spans="1:39">
      <c r="A619" s="9" t="s">
        <v>776</v>
      </c>
      <c r="B619" s="9"/>
      <c r="C619" s="9" t="s">
        <v>56</v>
      </c>
      <c r="D619" s="9"/>
      <c r="E619" s="23">
        <v>45666</v>
      </c>
      <c r="G619" s="42">
        <v>1375597</v>
      </c>
      <c r="I619" s="42">
        <v>0</v>
      </c>
      <c r="K619" s="42">
        <f>5927123+18846</f>
        <v>5945969</v>
      </c>
      <c r="M619" s="42">
        <v>11340</v>
      </c>
      <c r="O619" s="42">
        <v>282525</v>
      </c>
      <c r="Q619" s="42">
        <v>26075</v>
      </c>
      <c r="S619" s="42">
        <v>154883</v>
      </c>
      <c r="U619" s="42">
        <v>12639</v>
      </c>
      <c r="W619" s="42">
        <v>26644</v>
      </c>
      <c r="Y619" s="2">
        <f t="shared" si="102"/>
        <v>7835672</v>
      </c>
      <c r="AA619" s="42">
        <v>0</v>
      </c>
      <c r="AC619" s="42">
        <v>0</v>
      </c>
      <c r="AE619" s="42">
        <v>0</v>
      </c>
      <c r="AG619" s="42">
        <v>0</v>
      </c>
      <c r="AI619" s="42">
        <v>0</v>
      </c>
      <c r="AK619" s="42">
        <f t="shared" si="101"/>
        <v>0</v>
      </c>
      <c r="AM619" s="42">
        <f t="shared" si="103"/>
        <v>7835672</v>
      </c>
    </row>
    <row r="620" spans="1:39">
      <c r="A620" s="9" t="s">
        <v>330</v>
      </c>
      <c r="B620" s="9"/>
      <c r="C620" s="9" t="s">
        <v>32</v>
      </c>
      <c r="D620" s="9"/>
      <c r="E620" s="23">
        <v>44081</v>
      </c>
      <c r="G620" s="42">
        <v>21595428</v>
      </c>
      <c r="I620" s="42">
        <v>0</v>
      </c>
      <c r="K620" s="42">
        <v>17609248</v>
      </c>
      <c r="M620" s="42">
        <v>38122</v>
      </c>
      <c r="O620" s="42">
        <f>1768835+243095</f>
        <v>2011930</v>
      </c>
      <c r="Q620" s="42">
        <v>33358</v>
      </c>
      <c r="S620" s="42">
        <v>348208</v>
      </c>
      <c r="U620" s="42">
        <v>0</v>
      </c>
      <c r="W620" s="42">
        <v>414316</v>
      </c>
      <c r="Y620" s="2">
        <f t="shared" si="102"/>
        <v>42050610</v>
      </c>
      <c r="AA620" s="42">
        <v>0</v>
      </c>
      <c r="AC620" s="42">
        <v>0</v>
      </c>
      <c r="AE620" s="42">
        <v>0</v>
      </c>
      <c r="AG620" s="42">
        <v>0</v>
      </c>
      <c r="AI620" s="42">
        <v>0</v>
      </c>
      <c r="AK620" s="42">
        <f t="shared" si="101"/>
        <v>0</v>
      </c>
      <c r="AM620" s="42">
        <f t="shared" si="103"/>
        <v>42050610</v>
      </c>
    </row>
    <row r="621" spans="1:39">
      <c r="A621" s="9" t="s">
        <v>546</v>
      </c>
      <c r="B621" s="9"/>
      <c r="C621" s="9" t="s">
        <v>70</v>
      </c>
      <c r="D621" s="9"/>
      <c r="E621" s="23">
        <v>50518</v>
      </c>
      <c r="G621" s="42">
        <v>4516147</v>
      </c>
      <c r="I621" s="42">
        <v>0</v>
      </c>
      <c r="K621" s="42">
        <v>1927537</v>
      </c>
      <c r="M621" s="42">
        <v>41219</v>
      </c>
      <c r="O621" s="42">
        <v>342087</v>
      </c>
      <c r="Q621" s="42">
        <v>8868</v>
      </c>
      <c r="S621" s="42">
        <v>0</v>
      </c>
      <c r="U621" s="42">
        <v>7010</v>
      </c>
      <c r="W621" s="42">
        <v>130149</v>
      </c>
      <c r="Y621" s="2">
        <f t="shared" si="102"/>
        <v>6973017</v>
      </c>
      <c r="AA621" s="42">
        <v>0</v>
      </c>
      <c r="AC621" s="42">
        <v>0</v>
      </c>
      <c r="AE621" s="42">
        <v>0</v>
      </c>
      <c r="AG621" s="42">
        <v>0</v>
      </c>
      <c r="AI621" s="42">
        <v>0</v>
      </c>
      <c r="AK621" s="42">
        <f t="shared" si="101"/>
        <v>0</v>
      </c>
      <c r="AM621" s="42">
        <f t="shared" si="103"/>
        <v>6973017</v>
      </c>
    </row>
    <row r="622" spans="1:39">
      <c r="A622" s="9" t="s">
        <v>475</v>
      </c>
      <c r="B622" s="9"/>
      <c r="C622" s="9" t="s">
        <v>79</v>
      </c>
      <c r="D622" s="9"/>
      <c r="E622" s="23">
        <v>49577</v>
      </c>
      <c r="G622" s="42">
        <v>4240721</v>
      </c>
      <c r="I622" s="42">
        <v>0</v>
      </c>
      <c r="K622" s="42">
        <v>4368520</v>
      </c>
      <c r="M622" s="42">
        <v>2322</v>
      </c>
      <c r="O622" s="42">
        <f>361199+76966+14640</f>
        <v>452805</v>
      </c>
      <c r="Q622" s="42">
        <v>24057</v>
      </c>
      <c r="S622" s="42">
        <v>0</v>
      </c>
      <c r="U622" s="42">
        <v>0</v>
      </c>
      <c r="W622" s="42">
        <v>0</v>
      </c>
      <c r="Y622" s="2">
        <f t="shared" si="102"/>
        <v>9088425</v>
      </c>
      <c r="AA622" s="42">
        <v>0</v>
      </c>
      <c r="AC622" s="42">
        <v>0</v>
      </c>
      <c r="AE622" s="42">
        <v>0</v>
      </c>
      <c r="AG622" s="42">
        <v>0</v>
      </c>
      <c r="AI622" s="42">
        <v>0</v>
      </c>
      <c r="AK622" s="42">
        <f t="shared" si="101"/>
        <v>0</v>
      </c>
      <c r="AM622" s="42">
        <f t="shared" si="103"/>
        <v>9088425</v>
      </c>
    </row>
    <row r="623" spans="1:39">
      <c r="A623" s="9" t="s">
        <v>513</v>
      </c>
      <c r="B623" s="9"/>
      <c r="C623" s="9" t="s">
        <v>63</v>
      </c>
      <c r="D623" s="9"/>
      <c r="E623" s="23">
        <v>49973</v>
      </c>
      <c r="G623" s="42">
        <v>14405213</v>
      </c>
      <c r="I623" s="42">
        <v>0</v>
      </c>
      <c r="K623" s="42">
        <v>4905891</v>
      </c>
      <c r="M623" s="42">
        <v>6575</v>
      </c>
      <c r="O623" s="42">
        <f>1316170+4852</f>
        <v>1321022</v>
      </c>
      <c r="Q623" s="42">
        <v>140876</v>
      </c>
      <c r="S623" s="42">
        <v>182941</v>
      </c>
      <c r="U623" s="42">
        <v>27335</v>
      </c>
      <c r="W623" s="42">
        <v>51757</v>
      </c>
      <c r="Y623" s="2">
        <f t="shared" si="102"/>
        <v>21041610</v>
      </c>
      <c r="AA623" s="42">
        <v>0</v>
      </c>
      <c r="AC623" s="42">
        <v>0</v>
      </c>
      <c r="AE623" s="42">
        <v>0</v>
      </c>
      <c r="AG623" s="42">
        <v>0</v>
      </c>
      <c r="AI623" s="42">
        <v>0</v>
      </c>
      <c r="AK623" s="42">
        <f t="shared" si="101"/>
        <v>0</v>
      </c>
      <c r="AM623" s="42">
        <f t="shared" si="103"/>
        <v>21041610</v>
      </c>
    </row>
    <row r="624" spans="1:39">
      <c r="A624" s="9" t="s">
        <v>618</v>
      </c>
      <c r="B624" s="9"/>
      <c r="C624" s="9" t="s">
        <v>71</v>
      </c>
      <c r="D624" s="9"/>
      <c r="E624" s="23">
        <v>45120</v>
      </c>
      <c r="G624" s="42">
        <v>23000420</v>
      </c>
      <c r="I624" s="42">
        <v>0</v>
      </c>
      <c r="K624" s="42">
        <v>15561865</v>
      </c>
      <c r="M624" s="42">
        <v>110035</v>
      </c>
      <c r="O624" s="42">
        <f>808492+71219</f>
        <v>879711</v>
      </c>
      <c r="Q624" s="42">
        <v>151338</v>
      </c>
      <c r="S624" s="42">
        <v>0</v>
      </c>
      <c r="U624" s="42">
        <v>0</v>
      </c>
      <c r="W624" s="42">
        <v>13235</v>
      </c>
      <c r="Y624" s="2">
        <f t="shared" si="102"/>
        <v>39716604</v>
      </c>
      <c r="AA624" s="42">
        <v>0</v>
      </c>
      <c r="AC624" s="42">
        <v>0</v>
      </c>
      <c r="AE624" s="42">
        <v>0</v>
      </c>
      <c r="AG624" s="42">
        <v>5518</v>
      </c>
      <c r="AI624" s="42">
        <v>0</v>
      </c>
      <c r="AK624" s="42">
        <f t="shared" si="101"/>
        <v>5518</v>
      </c>
      <c r="AM624" s="42">
        <f t="shared" si="103"/>
        <v>39722122</v>
      </c>
    </row>
    <row r="625" spans="1:39">
      <c r="A625" s="9" t="s">
        <v>309</v>
      </c>
      <c r="B625" s="9"/>
      <c r="C625" s="9" t="s">
        <v>27</v>
      </c>
      <c r="D625" s="9"/>
      <c r="E625" s="23">
        <v>45138</v>
      </c>
      <c r="G625" s="42">
        <v>84566195</v>
      </c>
      <c r="I625" s="42">
        <v>0</v>
      </c>
      <c r="K625" s="42">
        <v>34317217</v>
      </c>
      <c r="M625" s="42">
        <v>42556</v>
      </c>
      <c r="O625" s="42">
        <f>1614160+321885</f>
        <v>1936045</v>
      </c>
      <c r="Q625" s="42">
        <v>0</v>
      </c>
      <c r="S625" s="42">
        <v>0</v>
      </c>
      <c r="U625" s="42">
        <v>0</v>
      </c>
      <c r="W625" s="42">
        <v>887743</v>
      </c>
      <c r="Y625" s="2">
        <f t="shared" si="102"/>
        <v>121749756</v>
      </c>
      <c r="AA625" s="42">
        <v>1191275</v>
      </c>
      <c r="AC625" s="42">
        <v>0</v>
      </c>
      <c r="AE625" s="42">
        <v>0</v>
      </c>
      <c r="AG625" s="42">
        <v>0</v>
      </c>
      <c r="AI625" s="42">
        <v>0</v>
      </c>
      <c r="AK625" s="42">
        <f t="shared" si="101"/>
        <v>1191275</v>
      </c>
      <c r="AM625" s="42">
        <f t="shared" si="103"/>
        <v>122941031</v>
      </c>
    </row>
    <row r="626" spans="1:39">
      <c r="A626" s="9" t="s">
        <v>258</v>
      </c>
      <c r="B626" s="9"/>
      <c r="C626" s="9" t="s">
        <v>110</v>
      </c>
      <c r="D626" s="9"/>
      <c r="E626" s="23">
        <v>46524</v>
      </c>
      <c r="G626" s="42">
        <v>3213807</v>
      </c>
      <c r="I626" s="42">
        <v>0</v>
      </c>
      <c r="K626" s="42">
        <f>5481333+34394</f>
        <v>5515727</v>
      </c>
      <c r="M626" s="42">
        <v>10033</v>
      </c>
      <c r="O626" s="42">
        <f>1116305+46165+1600</f>
        <v>1164070</v>
      </c>
      <c r="Q626" s="42">
        <v>0</v>
      </c>
      <c r="S626" s="42">
        <v>0</v>
      </c>
      <c r="U626" s="42">
        <v>0</v>
      </c>
      <c r="W626" s="42">
        <v>39545</v>
      </c>
      <c r="Y626" s="2">
        <f t="shared" si="102"/>
        <v>9943182</v>
      </c>
      <c r="AA626" s="42">
        <v>0</v>
      </c>
      <c r="AC626" s="42">
        <v>0</v>
      </c>
      <c r="AE626" s="42">
        <v>0</v>
      </c>
      <c r="AG626" s="42">
        <v>0</v>
      </c>
      <c r="AI626" s="42">
        <v>0</v>
      </c>
      <c r="AK626" s="42">
        <f t="shared" si="101"/>
        <v>0</v>
      </c>
      <c r="AM626" s="42">
        <f t="shared" si="103"/>
        <v>9943182</v>
      </c>
    </row>
    <row r="627" spans="1:39">
      <c r="A627" s="9" t="s">
        <v>331</v>
      </c>
      <c r="B627" s="9"/>
      <c r="C627" s="9" t="s">
        <v>32</v>
      </c>
      <c r="D627" s="9"/>
      <c r="E627" s="23">
        <v>45146</v>
      </c>
      <c r="G627" s="42">
        <v>6968446</v>
      </c>
      <c r="I627" s="42">
        <v>0</v>
      </c>
      <c r="K627" s="42">
        <v>6463874</v>
      </c>
      <c r="M627" s="42">
        <v>27694</v>
      </c>
      <c r="O627" s="42">
        <f>527945+30224</f>
        <v>558169</v>
      </c>
      <c r="Q627" s="42">
        <v>18606</v>
      </c>
      <c r="S627" s="42">
        <v>8297282</v>
      </c>
      <c r="U627" s="42">
        <v>0</v>
      </c>
      <c r="W627" s="42">
        <v>334212</v>
      </c>
      <c r="Y627" s="2">
        <f t="shared" si="102"/>
        <v>22668283</v>
      </c>
      <c r="AA627" s="42">
        <v>0</v>
      </c>
      <c r="AC627" s="42">
        <v>0</v>
      </c>
      <c r="AE627" s="42">
        <v>120517</v>
      </c>
      <c r="AG627" s="42">
        <v>0</v>
      </c>
      <c r="AI627" s="42">
        <v>0</v>
      </c>
      <c r="AK627" s="42">
        <f t="shared" si="101"/>
        <v>120517</v>
      </c>
      <c r="AM627" s="42">
        <f t="shared" si="103"/>
        <v>22788800</v>
      </c>
    </row>
    <row r="628" spans="1:39">
      <c r="A628" s="8" t="s">
        <v>872</v>
      </c>
      <c r="B628" s="8"/>
      <c r="C628" s="8" t="s">
        <v>113</v>
      </c>
      <c r="D628" s="8"/>
      <c r="E628" s="23">
        <v>45153</v>
      </c>
      <c r="G628" s="42">
        <v>18422378</v>
      </c>
      <c r="I628" s="42">
        <v>3241175</v>
      </c>
      <c r="K628" s="42">
        <f>21402211+114512</f>
        <v>21516723</v>
      </c>
      <c r="M628" s="42">
        <v>17244</v>
      </c>
      <c r="O628" s="42">
        <f>759664+2050+164735+7432+56149</f>
        <v>990030</v>
      </c>
      <c r="Q628" s="42">
        <v>92820</v>
      </c>
      <c r="S628" s="42">
        <v>26409</v>
      </c>
      <c r="U628" s="42">
        <v>4869</v>
      </c>
      <c r="W628" s="42">
        <v>47418</v>
      </c>
      <c r="Y628" s="2">
        <f t="shared" si="102"/>
        <v>44359066</v>
      </c>
      <c r="AA628" s="42">
        <v>0</v>
      </c>
      <c r="AC628" s="42">
        <v>0</v>
      </c>
      <c r="AE628" s="42">
        <v>0</v>
      </c>
      <c r="AG628" s="42">
        <v>0</v>
      </c>
      <c r="AI628" s="42">
        <v>0</v>
      </c>
      <c r="AK628" s="42">
        <f t="shared" ref="AK628" si="104">SUM(AA628:AJ628)</f>
        <v>0</v>
      </c>
      <c r="AM628" s="42">
        <f t="shared" ref="AM628" si="105">+AK628+Y628</f>
        <v>44359066</v>
      </c>
    </row>
    <row r="629" spans="1:39">
      <c r="A629" s="9" t="s">
        <v>777</v>
      </c>
      <c r="B629" s="9"/>
      <c r="C629" s="9" t="s">
        <v>113</v>
      </c>
      <c r="D629" s="9"/>
      <c r="E629" s="23">
        <v>45674</v>
      </c>
      <c r="G629" s="42">
        <v>3769175</v>
      </c>
      <c r="I629" s="42">
        <v>1287299</v>
      </c>
      <c r="K629" s="42">
        <v>1656947</v>
      </c>
      <c r="M629" s="42">
        <v>1555</v>
      </c>
      <c r="O629" s="42">
        <f>890277+9350</f>
        <v>899627</v>
      </c>
      <c r="Q629" s="42">
        <v>15119</v>
      </c>
      <c r="S629" s="42">
        <v>0</v>
      </c>
      <c r="U629" s="42">
        <v>15568</v>
      </c>
      <c r="W629" s="42">
        <v>2297</v>
      </c>
      <c r="Y629" s="2">
        <f t="shared" si="102"/>
        <v>7647587</v>
      </c>
      <c r="AA629" s="42">
        <v>0</v>
      </c>
      <c r="AC629" s="42">
        <v>0</v>
      </c>
      <c r="AE629" s="42">
        <v>0</v>
      </c>
      <c r="AG629" s="42">
        <v>0</v>
      </c>
      <c r="AI629" s="42">
        <v>0</v>
      </c>
      <c r="AK629" s="42">
        <f t="shared" si="101"/>
        <v>0</v>
      </c>
      <c r="AM629" s="42">
        <f t="shared" si="103"/>
        <v>7647587</v>
      </c>
    </row>
    <row r="630" spans="1:39">
      <c r="A630" s="9" t="s">
        <v>406</v>
      </c>
      <c r="B630" s="9"/>
      <c r="C630" s="9" t="s">
        <v>45</v>
      </c>
      <c r="D630" s="9"/>
      <c r="E630" s="23">
        <v>45161</v>
      </c>
      <c r="G630" s="42">
        <v>20093890</v>
      </c>
      <c r="I630" s="42">
        <v>0</v>
      </c>
      <c r="K630" s="42">
        <v>82397299</v>
      </c>
      <c r="M630" s="42">
        <v>52483</v>
      </c>
      <c r="O630" s="42">
        <f>578774+116002+78888</f>
        <v>773664</v>
      </c>
      <c r="Q630" s="42">
        <v>49083</v>
      </c>
      <c r="S630" s="42">
        <v>1416740</v>
      </c>
      <c r="U630" s="42">
        <v>34221</v>
      </c>
      <c r="W630" s="42">
        <v>206870</v>
      </c>
      <c r="Y630" s="2">
        <f t="shared" si="102"/>
        <v>105024250</v>
      </c>
      <c r="AA630" s="42">
        <v>71081</v>
      </c>
      <c r="AC630" s="42">
        <v>0</v>
      </c>
      <c r="AE630" s="42">
        <v>0</v>
      </c>
      <c r="AG630" s="42">
        <v>0</v>
      </c>
      <c r="AI630" s="42">
        <v>0</v>
      </c>
      <c r="AK630" s="42">
        <f t="shared" si="101"/>
        <v>71081</v>
      </c>
      <c r="AM630" s="42">
        <f t="shared" si="103"/>
        <v>105095331</v>
      </c>
    </row>
    <row r="631" spans="1:39">
      <c r="A631" s="9" t="s">
        <v>474</v>
      </c>
      <c r="B631" s="9"/>
      <c r="C631" s="9" t="s">
        <v>58</v>
      </c>
      <c r="D631" s="9"/>
      <c r="E631" s="23">
        <v>49544</v>
      </c>
      <c r="G631" s="42">
        <v>3653378</v>
      </c>
      <c r="I631" s="42">
        <v>2177</v>
      </c>
      <c r="K631" s="42">
        <v>7138682</v>
      </c>
      <c r="M631" s="42">
        <v>15741</v>
      </c>
      <c r="O631" s="42">
        <f>540561+59901</f>
        <v>600462</v>
      </c>
      <c r="Q631" s="42">
        <v>61084</v>
      </c>
      <c r="S631" s="42">
        <v>0</v>
      </c>
      <c r="U631" s="42">
        <v>38205</v>
      </c>
      <c r="W631" s="42">
        <v>173823</v>
      </c>
      <c r="Y631" s="2">
        <f t="shared" si="102"/>
        <v>11683552</v>
      </c>
      <c r="AA631" s="42">
        <v>0</v>
      </c>
      <c r="AC631" s="42">
        <v>0</v>
      </c>
      <c r="AE631" s="42">
        <v>0</v>
      </c>
      <c r="AG631" s="42">
        <v>3800</v>
      </c>
      <c r="AI631" s="42">
        <v>0</v>
      </c>
      <c r="AK631" s="42">
        <f t="shared" si="101"/>
        <v>3800</v>
      </c>
      <c r="AM631" s="42">
        <f t="shared" si="103"/>
        <v>11687352</v>
      </c>
    </row>
    <row r="632" spans="1:39">
      <c r="A632" s="9" t="s">
        <v>445</v>
      </c>
      <c r="B632" s="9"/>
      <c r="C632" s="9" t="s">
        <v>51</v>
      </c>
      <c r="D632" s="9"/>
      <c r="E632" s="23">
        <v>45179</v>
      </c>
      <c r="G632" s="42">
        <v>7777218</v>
      </c>
      <c r="I632" s="42">
        <v>0</v>
      </c>
      <c r="K632" s="42">
        <v>23825167</v>
      </c>
      <c r="M632" s="42">
        <v>36048</v>
      </c>
      <c r="O632" s="42">
        <f>1090955+212481+95835</f>
        <v>1399271</v>
      </c>
      <c r="Q632" s="42">
        <v>12469</v>
      </c>
      <c r="S632" s="42">
        <v>24019</v>
      </c>
      <c r="U632" s="42">
        <v>2039</v>
      </c>
      <c r="W632" s="42">
        <v>207114</v>
      </c>
      <c r="Y632" s="2">
        <f t="shared" si="102"/>
        <v>33283345</v>
      </c>
      <c r="AA632" s="42">
        <v>0</v>
      </c>
      <c r="AC632" s="42">
        <v>0</v>
      </c>
      <c r="AE632" s="42">
        <v>0</v>
      </c>
      <c r="AG632" s="42">
        <v>0</v>
      </c>
      <c r="AI632" s="42">
        <v>0</v>
      </c>
      <c r="AK632" s="42">
        <f t="shared" si="101"/>
        <v>0</v>
      </c>
      <c r="AM632" s="42">
        <f t="shared" si="103"/>
        <v>33283345</v>
      </c>
    </row>
    <row r="633" spans="1:39">
      <c r="A633" s="9"/>
      <c r="B633" s="9"/>
      <c r="C633" s="9"/>
      <c r="D633" s="9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</sheetData>
  <mergeCells count="1">
    <mergeCell ref="AA8:AG8"/>
  </mergeCells>
  <phoneticPr fontId="3" type="noConversion"/>
  <pageMargins left="0.75" right="0.5" top="0.5" bottom="0.5" header="0.25" footer="0.25"/>
  <pageSetup scale="76" firstPageNumber="96" fitToWidth="2" fitToHeight="18" pageOrder="overThenDown" orientation="portrait" useFirstPageNumber="1" r:id="rId1"/>
  <headerFooter scaleWithDoc="0" alignWithMargins="0"/>
  <rowBreaks count="5" manualBreakCount="5">
    <brk id="100" max="38" man="1"/>
    <brk id="192" max="38" man="1"/>
    <brk id="282" max="38" man="1"/>
    <brk id="371" max="38" man="1"/>
    <brk id="472" max="38" man="1"/>
  </rowBreaks>
  <colBreaks count="1" manualBreakCount="1">
    <brk id="17" max="6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33"/>
  <sheetViews>
    <sheetView zoomScaleNormal="100" zoomScaleSheetLayoutView="100" workbookViewId="0">
      <pane xSplit="5" ySplit="11" topLeftCell="F12" activePane="bottomRight" state="frozen"/>
      <selection activeCell="K503" sqref="K503"/>
      <selection pane="topRight" activeCell="K503" sqref="K503"/>
      <selection pane="bottomLeft" activeCell="K503" sqref="K503"/>
      <selection pane="bottomRight" activeCell="F12" sqref="F12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0.140625" style="42" bestFit="1" customWidth="1"/>
    <col min="8" max="8" width="1.5703125" style="42" customWidth="1"/>
    <col min="9" max="9" width="10.140625" style="42" bestFit="1" customWidth="1"/>
    <col min="10" max="10" width="1.5703125" style="42" customWidth="1"/>
    <col min="11" max="11" width="9.28515625" style="42" bestFit="1" customWidth="1"/>
    <col min="12" max="12" width="1.5703125" style="42" customWidth="1"/>
    <col min="13" max="13" width="8.5703125" style="42" bestFit="1" customWidth="1"/>
    <col min="14" max="14" width="1.5703125" style="42" customWidth="1"/>
    <col min="15" max="15" width="9.28515625" style="42" bestFit="1" customWidth="1"/>
    <col min="16" max="16" width="1.5703125" style="42" customWidth="1"/>
    <col min="17" max="17" width="9.28515625" style="42" bestFit="1" customWidth="1"/>
    <col min="18" max="18" width="1.5703125" style="42" customWidth="1"/>
    <col min="19" max="19" width="9.7109375" style="42" bestFit="1" customWidth="1"/>
    <col min="20" max="20" width="1.5703125" style="42" customWidth="1"/>
    <col min="21" max="21" width="8.42578125" style="42" bestFit="1" customWidth="1"/>
    <col min="22" max="22" width="1.5703125" style="42" customWidth="1"/>
    <col min="23" max="23" width="11.42578125" style="42" bestFit="1" customWidth="1"/>
    <col min="24" max="24" width="1.5703125" style="42" customWidth="1"/>
    <col min="25" max="25" width="9.28515625" style="42" bestFit="1" customWidth="1"/>
    <col min="26" max="26" width="1.5703125" style="42" customWidth="1"/>
    <col min="27" max="27" width="9.7109375" style="42" customWidth="1"/>
    <col min="28" max="28" width="1.5703125" style="42" customWidth="1"/>
    <col min="29" max="29" width="10.85546875" style="42" bestFit="1" customWidth="1"/>
    <col min="30" max="30" width="1.5703125" style="42" customWidth="1"/>
    <col min="31" max="31" width="11.42578125" style="42" bestFit="1" customWidth="1"/>
    <col min="32" max="32" width="1.5703125" style="42" customWidth="1"/>
    <col min="33" max="33" width="9.28515625" style="42" bestFit="1" customWidth="1"/>
    <col min="34" max="34" width="1.5703125" style="42" customWidth="1"/>
    <col min="35" max="35" width="9.7109375" style="42" customWidth="1"/>
    <col min="36" max="36" width="1.5703125" style="42" customWidth="1"/>
    <col min="37" max="37" width="10" style="42" customWidth="1"/>
    <col min="38" max="38" width="33.7109375" style="42" customWidth="1"/>
    <col min="39" max="39" width="1.7109375" style="42" customWidth="1"/>
    <col min="40" max="40" width="11.7109375" style="42" customWidth="1"/>
    <col min="41" max="41" width="1.5703125" style="42" customWidth="1"/>
    <col min="42" max="42" width="11" style="42" bestFit="1" customWidth="1"/>
    <col min="43" max="43" width="1.5703125" style="42" customWidth="1"/>
    <col min="44" max="44" width="8.42578125" style="42" bestFit="1" customWidth="1"/>
    <col min="45" max="45" width="1.5703125" style="42" customWidth="1"/>
    <col min="46" max="46" width="10.140625" style="42" hidden="1" customWidth="1"/>
    <col min="47" max="47" width="1.7109375" style="42" hidden="1" customWidth="1"/>
    <col min="48" max="48" width="11" style="42" bestFit="1" customWidth="1"/>
    <col min="49" max="49" width="1.5703125" style="42" customWidth="1"/>
    <col min="50" max="50" width="9.28515625" style="42" customWidth="1"/>
    <col min="51" max="51" width="1.5703125" style="42" customWidth="1"/>
    <col min="52" max="52" width="10" style="42" bestFit="1" customWidth="1"/>
    <col min="53" max="53" width="1.7109375" style="42" customWidth="1"/>
    <col min="54" max="54" width="10.140625" style="42" bestFit="1" customWidth="1"/>
    <col min="55" max="55" width="1.7109375" style="42" customWidth="1"/>
    <col min="56" max="56" width="10.140625" style="42" bestFit="1" customWidth="1"/>
    <col min="57" max="57" width="1.7109375" style="42" customWidth="1"/>
    <col min="58" max="58" width="7.7109375" style="42" hidden="1" customWidth="1"/>
    <col min="59" max="59" width="1.7109375" style="42" hidden="1" customWidth="1"/>
    <col min="60" max="60" width="9" style="42" hidden="1" customWidth="1"/>
    <col min="61" max="61" width="1.7109375" style="42" hidden="1" customWidth="1"/>
    <col min="62" max="62" width="9.28515625" style="42" bestFit="1" customWidth="1"/>
    <col min="63" max="63" width="1.7109375" style="42" customWidth="1"/>
    <col min="64" max="64" width="10.140625" style="42" bestFit="1" customWidth="1"/>
    <col min="65" max="65" width="1.7109375" style="42" customWidth="1"/>
    <col min="66" max="66" width="9.85546875" style="42" bestFit="1" customWidth="1"/>
    <col min="67" max="67" width="1.7109375" style="42" customWidth="1"/>
    <col min="68" max="68" width="10.140625" style="42" bestFit="1" customWidth="1"/>
    <col min="69" max="69" width="1.7109375" style="42" customWidth="1"/>
    <col min="70" max="70" width="10" style="42" bestFit="1" customWidth="1"/>
    <col min="71" max="71" width="1.5703125" style="42" hidden="1" customWidth="1"/>
    <col min="72" max="72" width="10.85546875" style="42" hidden="1" customWidth="1"/>
    <col min="73" max="73" width="1.7109375" style="42" customWidth="1"/>
    <col min="74" max="74" width="10.140625" style="42" bestFit="1" customWidth="1"/>
    <col min="75" max="75" width="1.7109375" style="42" customWidth="1"/>
    <col min="76" max="76" width="11.7109375" style="5" customWidth="1"/>
    <col min="77" max="16384" width="9.140625" style="42"/>
  </cols>
  <sheetData>
    <row r="1" spans="1:76" s="11" customFormat="1">
      <c r="A1" s="27" t="s">
        <v>126</v>
      </c>
      <c r="B1" s="27"/>
      <c r="C1" s="27"/>
      <c r="D1" s="27"/>
      <c r="E1" s="27"/>
      <c r="F1" s="27"/>
      <c r="G1" s="27"/>
      <c r="H1" s="27"/>
      <c r="I1" s="28"/>
      <c r="J1" s="28"/>
      <c r="K1" s="28"/>
      <c r="L1" s="28"/>
      <c r="M1" s="28"/>
      <c r="N1" s="28"/>
      <c r="O1" s="28"/>
      <c r="P1" s="2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27" t="s">
        <v>126</v>
      </c>
      <c r="AM1" s="27"/>
      <c r="AN1" s="27"/>
      <c r="AO1" s="17"/>
      <c r="AP1" s="17"/>
      <c r="AQ1" s="17"/>
      <c r="AR1" s="17"/>
      <c r="AS1" s="20"/>
      <c r="AT1" s="20"/>
      <c r="AU1" s="20"/>
      <c r="AV1" s="20"/>
      <c r="BX1" s="18"/>
    </row>
    <row r="2" spans="1:76" s="11" customFormat="1">
      <c r="A2" s="25" t="s">
        <v>899</v>
      </c>
      <c r="B2" s="27"/>
      <c r="C2" s="27"/>
      <c r="D2" s="27"/>
      <c r="E2" s="27"/>
      <c r="F2" s="27"/>
      <c r="G2" s="27"/>
      <c r="H2" s="27"/>
      <c r="I2" s="28"/>
      <c r="J2" s="28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27" t="s">
        <v>899</v>
      </c>
      <c r="AM2" s="27"/>
      <c r="AN2" s="27"/>
      <c r="AO2" s="17"/>
      <c r="AP2" s="17"/>
      <c r="AQ2" s="17"/>
      <c r="AR2" s="17"/>
      <c r="AS2" s="20"/>
      <c r="AT2" s="20"/>
      <c r="AU2" s="20"/>
      <c r="AV2" s="20"/>
      <c r="BX2" s="18"/>
    </row>
    <row r="3" spans="1:76" s="11" customFormat="1">
      <c r="A3" s="27"/>
      <c r="B3" s="27"/>
      <c r="C3" s="27"/>
      <c r="D3" s="27"/>
      <c r="E3" s="27"/>
      <c r="F3" s="27"/>
      <c r="G3" s="27"/>
      <c r="H3" s="27"/>
      <c r="I3" s="28"/>
      <c r="J3" s="28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20" t="s">
        <v>593</v>
      </c>
      <c r="AM3" s="27"/>
      <c r="AN3" s="27"/>
      <c r="AO3" s="17"/>
      <c r="AP3" s="17"/>
      <c r="AQ3" s="17"/>
      <c r="AR3" s="17"/>
      <c r="AS3" s="20"/>
      <c r="AT3" s="20"/>
      <c r="AU3" s="20"/>
      <c r="AV3" s="20"/>
      <c r="BX3" s="18"/>
    </row>
    <row r="4" spans="1:76">
      <c r="A4" s="20" t="s">
        <v>167</v>
      </c>
      <c r="B4" s="20"/>
      <c r="C4" s="20"/>
      <c r="D4" s="20"/>
      <c r="E4" s="2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20" t="s">
        <v>167</v>
      </c>
      <c r="AM4" s="20"/>
      <c r="AN4" s="20"/>
      <c r="AO4" s="7"/>
      <c r="AP4" s="7"/>
      <c r="AQ4" s="7"/>
      <c r="AR4" s="7"/>
      <c r="AS4" s="7"/>
      <c r="AT4" s="7"/>
      <c r="AU4" s="7"/>
      <c r="AV4" s="7"/>
    </row>
    <row r="5" spans="1:76">
      <c r="A5" s="20"/>
      <c r="B5" s="20"/>
      <c r="C5" s="20"/>
      <c r="D5" s="20"/>
      <c r="E5" s="20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20"/>
      <c r="AM5" s="20"/>
      <c r="AN5" s="20"/>
      <c r="AO5" s="7"/>
      <c r="AP5" s="7"/>
      <c r="AQ5" s="7"/>
      <c r="AR5" s="7"/>
      <c r="AS5" s="7"/>
      <c r="AT5" s="7"/>
      <c r="AU5" s="7"/>
      <c r="AV5" s="7"/>
    </row>
    <row r="6" spans="1:76">
      <c r="A6" s="38" t="s">
        <v>721</v>
      </c>
      <c r="B6" s="20"/>
      <c r="C6" s="20"/>
      <c r="D6" s="20"/>
      <c r="E6" s="20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38" t="s">
        <v>721</v>
      </c>
      <c r="AM6" s="20"/>
      <c r="AN6" s="20"/>
      <c r="AO6" s="7"/>
      <c r="AP6" s="7"/>
      <c r="AQ6" s="7"/>
      <c r="AR6" s="7"/>
      <c r="AS6" s="7"/>
      <c r="AT6" s="7"/>
      <c r="AU6" s="7"/>
      <c r="AV6" s="7"/>
    </row>
    <row r="7" spans="1:76" s="11" customFormat="1">
      <c r="B7" s="7"/>
      <c r="C7" s="7"/>
      <c r="D7" s="7"/>
      <c r="E7" s="7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7" t="s">
        <v>833</v>
      </c>
      <c r="R7" s="49"/>
      <c r="S7" s="49"/>
      <c r="T7" s="49"/>
      <c r="U7" s="49"/>
      <c r="V7" s="49"/>
      <c r="W7" s="49"/>
      <c r="AM7" s="7"/>
      <c r="AN7" s="7"/>
      <c r="BL7" s="47" t="s">
        <v>3</v>
      </c>
    </row>
    <row r="8" spans="1:76">
      <c r="A8" s="38"/>
      <c r="B8" s="11"/>
      <c r="C8" s="11"/>
      <c r="D8" s="11"/>
      <c r="E8" s="11"/>
      <c r="G8" s="13" t="s">
        <v>141</v>
      </c>
      <c r="H8" s="13"/>
      <c r="I8" s="13"/>
      <c r="J8" s="13"/>
      <c r="K8" s="13"/>
      <c r="L8" s="13"/>
      <c r="M8" s="13"/>
      <c r="N8" s="13"/>
      <c r="O8" s="13"/>
      <c r="Q8" s="48" t="s">
        <v>6</v>
      </c>
      <c r="R8" s="17"/>
      <c r="S8" s="13" t="s">
        <v>834</v>
      </c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I8" s="13" t="s">
        <v>154</v>
      </c>
      <c r="AJ8" s="13"/>
      <c r="AK8" s="13"/>
      <c r="AL8" s="38"/>
      <c r="AM8" s="11"/>
      <c r="AN8" s="11"/>
      <c r="AV8" s="13" t="s">
        <v>177</v>
      </c>
      <c r="AW8" s="13"/>
      <c r="AX8" s="13"/>
      <c r="BD8" s="13" t="s">
        <v>178</v>
      </c>
      <c r="BE8" s="13"/>
      <c r="BF8" s="13"/>
      <c r="BG8" s="13"/>
      <c r="BH8" s="13"/>
      <c r="BI8" s="13"/>
      <c r="BJ8" s="13"/>
      <c r="BL8" s="47" t="s">
        <v>74</v>
      </c>
      <c r="BM8" s="47"/>
      <c r="BN8" s="47" t="s">
        <v>182</v>
      </c>
      <c r="BO8" s="47"/>
      <c r="BP8" s="47" t="s">
        <v>90</v>
      </c>
      <c r="BQ8" s="47"/>
      <c r="BR8" s="47" t="s">
        <v>836</v>
      </c>
      <c r="BS8" s="47"/>
      <c r="BT8" s="47"/>
      <c r="BU8" s="47"/>
      <c r="BV8" s="47" t="s">
        <v>90</v>
      </c>
      <c r="BW8" s="47"/>
    </row>
    <row r="9" spans="1:76">
      <c r="A9" s="38"/>
      <c r="AC9" s="47" t="s">
        <v>149</v>
      </c>
      <c r="AL9" s="38"/>
      <c r="AT9" s="47" t="s">
        <v>1</v>
      </c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 t="s">
        <v>580</v>
      </c>
      <c r="BI9" s="47"/>
      <c r="BJ9" s="47" t="s">
        <v>181</v>
      </c>
      <c r="BL9" s="47" t="s">
        <v>193</v>
      </c>
      <c r="BM9" s="47"/>
      <c r="BN9" s="47" t="s">
        <v>118</v>
      </c>
      <c r="BO9" s="47"/>
      <c r="BP9" s="47" t="s">
        <v>183</v>
      </c>
      <c r="BQ9" s="47"/>
      <c r="BR9" s="47" t="s">
        <v>835</v>
      </c>
      <c r="BS9" s="47"/>
      <c r="BT9" s="47"/>
      <c r="BU9" s="47"/>
      <c r="BV9" s="47" t="s">
        <v>183</v>
      </c>
      <c r="BW9" s="47"/>
      <c r="BX9" s="47" t="s">
        <v>131</v>
      </c>
    </row>
    <row r="10" spans="1:76">
      <c r="B10" s="50"/>
      <c r="C10" s="50"/>
      <c r="D10" s="50"/>
      <c r="E10" s="50"/>
      <c r="G10" s="50"/>
      <c r="H10" s="50"/>
      <c r="I10" s="50"/>
      <c r="J10" s="50"/>
      <c r="K10" s="50"/>
      <c r="L10" s="50"/>
      <c r="M10" s="50" t="s">
        <v>848</v>
      </c>
      <c r="N10" s="50"/>
      <c r="O10" s="50"/>
      <c r="P10" s="50"/>
      <c r="Q10" s="50"/>
      <c r="R10" s="50"/>
      <c r="S10" s="50" t="s">
        <v>143</v>
      </c>
      <c r="T10" s="50"/>
      <c r="U10" s="50" t="s">
        <v>145</v>
      </c>
      <c r="V10" s="50"/>
      <c r="W10" s="50"/>
      <c r="X10" s="50"/>
      <c r="Y10" s="50"/>
      <c r="Z10" s="50"/>
      <c r="AA10" s="50"/>
      <c r="AB10" s="50"/>
      <c r="AC10" s="50" t="s">
        <v>150</v>
      </c>
      <c r="AD10" s="50"/>
      <c r="AE10" s="50" t="s">
        <v>152</v>
      </c>
      <c r="AF10" s="50"/>
      <c r="AG10" s="50"/>
      <c r="AH10" s="50"/>
      <c r="AI10" s="47" t="s">
        <v>155</v>
      </c>
      <c r="AJ10" s="47"/>
      <c r="AK10" s="47"/>
      <c r="AM10" s="50"/>
      <c r="AN10" s="50"/>
      <c r="AO10" s="47"/>
      <c r="AP10" s="47" t="s">
        <v>157</v>
      </c>
      <c r="AQ10" s="47"/>
      <c r="AR10" s="47" t="s">
        <v>73</v>
      </c>
      <c r="AS10" s="47"/>
      <c r="AT10" s="47" t="s">
        <v>7</v>
      </c>
      <c r="AU10" s="47"/>
      <c r="AV10" s="47" t="s">
        <v>76</v>
      </c>
      <c r="AW10" s="47"/>
      <c r="AX10" s="47"/>
      <c r="AY10" s="47"/>
      <c r="AZ10" s="47" t="s">
        <v>125</v>
      </c>
      <c r="BA10" s="47"/>
      <c r="BB10" s="47" t="s">
        <v>3</v>
      </c>
      <c r="BC10" s="47"/>
      <c r="BD10" s="47" t="s">
        <v>160</v>
      </c>
      <c r="BE10" s="47"/>
      <c r="BF10" s="47" t="s">
        <v>179</v>
      </c>
      <c r="BG10" s="47"/>
      <c r="BH10" s="47" t="s">
        <v>579</v>
      </c>
      <c r="BI10" s="47"/>
      <c r="BJ10" s="47" t="s">
        <v>82</v>
      </c>
      <c r="BK10" s="47"/>
      <c r="BL10" s="47" t="s">
        <v>191</v>
      </c>
      <c r="BM10" s="47"/>
      <c r="BN10" s="47" t="s">
        <v>90</v>
      </c>
      <c r="BO10" s="47"/>
      <c r="BP10" s="50" t="s">
        <v>161</v>
      </c>
      <c r="BQ10" s="47"/>
      <c r="BR10" s="47" t="s">
        <v>573</v>
      </c>
      <c r="BS10" s="47"/>
      <c r="BT10" s="47" t="s">
        <v>588</v>
      </c>
      <c r="BU10" s="47"/>
      <c r="BV10" s="50" t="s">
        <v>184</v>
      </c>
      <c r="BW10" s="47"/>
      <c r="BX10" s="47" t="s">
        <v>132</v>
      </c>
    </row>
    <row r="11" spans="1:76">
      <c r="A11" s="48" t="s">
        <v>198</v>
      </c>
      <c r="B11" s="47"/>
      <c r="C11" s="48" t="s">
        <v>4</v>
      </c>
      <c r="D11" s="47"/>
      <c r="E11" s="48" t="s">
        <v>197</v>
      </c>
      <c r="G11" s="1" t="s">
        <v>842</v>
      </c>
      <c r="I11" s="1" t="s">
        <v>2</v>
      </c>
      <c r="K11" s="1" t="s">
        <v>140</v>
      </c>
      <c r="M11" s="1" t="s">
        <v>832</v>
      </c>
      <c r="O11" s="1" t="s">
        <v>82</v>
      </c>
      <c r="Q11" s="1" t="s">
        <v>843</v>
      </c>
      <c r="S11" s="1" t="s">
        <v>144</v>
      </c>
      <c r="U11" s="1" t="s">
        <v>146</v>
      </c>
      <c r="W11" s="1" t="s">
        <v>147</v>
      </c>
      <c r="Y11" s="1" t="s">
        <v>148</v>
      </c>
      <c r="Z11" s="50"/>
      <c r="AA11" s="48" t="s">
        <v>554</v>
      </c>
      <c r="AC11" s="1" t="s">
        <v>151</v>
      </c>
      <c r="AD11" s="50"/>
      <c r="AE11" s="48" t="s">
        <v>153</v>
      </c>
      <c r="AF11" s="50"/>
      <c r="AG11" s="48" t="s">
        <v>555</v>
      </c>
      <c r="AI11" s="48" t="s">
        <v>156</v>
      </c>
      <c r="AK11" s="48" t="s">
        <v>82</v>
      </c>
      <c r="AL11" s="48" t="s">
        <v>198</v>
      </c>
      <c r="AM11" s="47"/>
      <c r="AN11" s="48" t="s">
        <v>4</v>
      </c>
      <c r="AO11" s="50"/>
      <c r="AP11" s="48" t="s">
        <v>158</v>
      </c>
      <c r="AQ11" s="50"/>
      <c r="AR11" s="48" t="s">
        <v>75</v>
      </c>
      <c r="AS11" s="50"/>
      <c r="AT11" s="48" t="s">
        <v>576</v>
      </c>
      <c r="AU11" s="50"/>
      <c r="AV11" s="48" t="s">
        <v>844</v>
      </c>
      <c r="AW11" s="50"/>
      <c r="AX11" s="48" t="s">
        <v>159</v>
      </c>
      <c r="AY11" s="50"/>
      <c r="AZ11" s="48" t="s">
        <v>74</v>
      </c>
      <c r="BA11" s="50"/>
      <c r="BB11" s="48" t="s">
        <v>74</v>
      </c>
      <c r="BC11" s="50"/>
      <c r="BD11" s="48" t="s">
        <v>117</v>
      </c>
      <c r="BE11" s="50"/>
      <c r="BF11" s="48" t="s">
        <v>117</v>
      </c>
      <c r="BG11" s="50"/>
      <c r="BH11" s="50" t="s">
        <v>581</v>
      </c>
      <c r="BI11" s="50"/>
      <c r="BJ11" s="48" t="s">
        <v>180</v>
      </c>
      <c r="BK11" s="50"/>
      <c r="BL11" s="48" t="s">
        <v>180</v>
      </c>
      <c r="BM11" s="50"/>
      <c r="BN11" s="48" t="s">
        <v>183</v>
      </c>
      <c r="BO11" s="47"/>
      <c r="BP11" s="48" t="s">
        <v>162</v>
      </c>
      <c r="BQ11" s="47"/>
      <c r="BR11" s="48" t="s">
        <v>574</v>
      </c>
      <c r="BS11" s="47"/>
      <c r="BT11" s="48" t="s">
        <v>589</v>
      </c>
      <c r="BU11" s="47"/>
      <c r="BV11" s="48" t="s">
        <v>162</v>
      </c>
      <c r="BW11" s="47"/>
      <c r="BX11" s="48" t="s">
        <v>133</v>
      </c>
    </row>
    <row r="12" spans="1:76">
      <c r="A12" s="9"/>
      <c r="B12" s="9"/>
      <c r="C12" s="9"/>
      <c r="D12" s="9"/>
      <c r="E12" s="9"/>
      <c r="F12" s="7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9"/>
      <c r="AM12" s="9"/>
      <c r="AN12" s="9"/>
      <c r="AO12" s="10"/>
      <c r="AP12" s="10"/>
      <c r="AQ12" s="10"/>
      <c r="AR12" s="10"/>
      <c r="AS12" s="15"/>
      <c r="AT12" s="15"/>
      <c r="AU12" s="15"/>
      <c r="AV12" s="7"/>
    </row>
    <row r="13" spans="1:76" hidden="1">
      <c r="A13" s="9" t="s">
        <v>851</v>
      </c>
      <c r="B13" s="9"/>
      <c r="C13" s="9" t="s">
        <v>337</v>
      </c>
      <c r="D13" s="9"/>
      <c r="E13" s="23">
        <v>45187</v>
      </c>
      <c r="G13" s="42">
        <v>0</v>
      </c>
      <c r="I13" s="42">
        <v>0</v>
      </c>
      <c r="K13" s="42">
        <v>0</v>
      </c>
      <c r="M13" s="42">
        <v>0</v>
      </c>
      <c r="O13" s="42">
        <v>0</v>
      </c>
      <c r="Q13" s="42">
        <v>0</v>
      </c>
      <c r="S13" s="42">
        <v>0</v>
      </c>
      <c r="U13" s="42">
        <v>0</v>
      </c>
      <c r="W13" s="42">
        <v>0</v>
      </c>
      <c r="Y13" s="42">
        <v>0</v>
      </c>
      <c r="AA13" s="42">
        <v>0</v>
      </c>
      <c r="AC13" s="42">
        <v>0</v>
      </c>
      <c r="AE13" s="42">
        <v>0</v>
      </c>
      <c r="AG13" s="42">
        <v>0</v>
      </c>
      <c r="AI13" s="42">
        <v>0</v>
      </c>
      <c r="AK13" s="42">
        <v>0</v>
      </c>
      <c r="AL13" s="9" t="s">
        <v>851</v>
      </c>
      <c r="AM13" s="9"/>
      <c r="AN13" s="9" t="s">
        <v>337</v>
      </c>
      <c r="AP13" s="42">
        <v>0</v>
      </c>
      <c r="AR13" s="42">
        <v>0</v>
      </c>
      <c r="AV13" s="42">
        <v>0</v>
      </c>
      <c r="AX13" s="42">
        <v>0</v>
      </c>
      <c r="AZ13" s="42">
        <v>0</v>
      </c>
      <c r="BB13" s="42">
        <f t="shared" ref="BB13" si="0">SUM(G13:AZ13)</f>
        <v>0</v>
      </c>
      <c r="BD13" s="42">
        <v>0</v>
      </c>
      <c r="BF13" s="42">
        <v>0</v>
      </c>
      <c r="BH13" s="42">
        <v>0</v>
      </c>
      <c r="BJ13" s="42">
        <v>0</v>
      </c>
      <c r="BL13" s="42">
        <f t="shared" ref="BL13" si="1">+BB13+BD13+BF13+BJ13</f>
        <v>0</v>
      </c>
      <c r="BN13" s="42">
        <f>+'Gen Fd Rev'!AM13-'Gen Fd Exp'!BL13</f>
        <v>0</v>
      </c>
      <c r="BP13" s="42">
        <v>0</v>
      </c>
      <c r="BR13" s="42">
        <v>0</v>
      </c>
      <c r="BT13" s="42">
        <v>0</v>
      </c>
      <c r="BV13" s="42">
        <f>+BP13+BN13-BR13</f>
        <v>0</v>
      </c>
      <c r="BX13" s="5">
        <f>+BV13-'Gen Fd BS'!AI13+BT13</f>
        <v>0</v>
      </c>
    </row>
    <row r="14" spans="1:76" s="24" customFormat="1">
      <c r="A14" s="51" t="s">
        <v>782</v>
      </c>
      <c r="B14" s="51"/>
      <c r="C14" s="51" t="s">
        <v>199</v>
      </c>
      <c r="D14" s="51"/>
      <c r="E14" s="51">
        <v>61903</v>
      </c>
      <c r="F14" s="52"/>
      <c r="G14" s="24">
        <v>15076195</v>
      </c>
      <c r="I14" s="24">
        <v>3805657</v>
      </c>
      <c r="K14" s="24">
        <v>1688926</v>
      </c>
      <c r="M14" s="24">
        <v>398792</v>
      </c>
      <c r="O14" s="24">
        <v>558032</v>
      </c>
      <c r="Q14" s="24">
        <v>1419686</v>
      </c>
      <c r="S14" s="24">
        <v>1066974</v>
      </c>
      <c r="U14" s="24">
        <v>0</v>
      </c>
      <c r="W14" s="24">
        <f>83997+2038822</f>
        <v>2122819</v>
      </c>
      <c r="Y14" s="24">
        <v>929466</v>
      </c>
      <c r="AA14" s="24">
        <v>241755</v>
      </c>
      <c r="AC14" s="24">
        <v>2266410</v>
      </c>
      <c r="AE14" s="24">
        <v>2171724</v>
      </c>
      <c r="AG14" s="24">
        <v>264380</v>
      </c>
      <c r="AI14" s="24">
        <v>0</v>
      </c>
      <c r="AK14" s="24">
        <v>859</v>
      </c>
      <c r="AL14" s="51" t="s">
        <v>782</v>
      </c>
      <c r="AM14" s="51"/>
      <c r="AN14" s="51" t="s">
        <v>199</v>
      </c>
      <c r="AP14" s="24">
        <v>342817</v>
      </c>
      <c r="AR14" s="24">
        <v>0</v>
      </c>
      <c r="AV14" s="24">
        <v>0</v>
      </c>
      <c r="AX14" s="24">
        <v>0</v>
      </c>
      <c r="AZ14" s="24">
        <v>0</v>
      </c>
      <c r="BB14" s="24">
        <f>SUM(G14:AZ14)</f>
        <v>32354492</v>
      </c>
      <c r="BD14" s="24">
        <v>104771</v>
      </c>
      <c r="BF14" s="24">
        <v>0</v>
      </c>
      <c r="BH14" s="24">
        <v>0</v>
      </c>
      <c r="BJ14" s="24">
        <v>0</v>
      </c>
      <c r="BL14" s="24">
        <f t="shared" ref="BL14:BL47" si="2">+BB14+BD14+BF14+BJ14</f>
        <v>32459263</v>
      </c>
      <c r="BN14" s="24">
        <f>+'Gen Fd Rev'!AM14-'Gen Fd Exp'!BL14</f>
        <v>2557902</v>
      </c>
      <c r="BP14" s="24">
        <v>5474953</v>
      </c>
      <c r="BR14" s="24">
        <v>0</v>
      </c>
      <c r="BT14" s="24">
        <v>0</v>
      </c>
      <c r="BV14" s="24">
        <f t="shared" ref="BV14:BV48" si="3">+BP14+BN14-BR14</f>
        <v>8032855</v>
      </c>
      <c r="BX14" s="64">
        <f>+BV14-'Gen Fd BS'!AI14+BT14</f>
        <v>0</v>
      </c>
    </row>
    <row r="15" spans="1:76">
      <c r="A15" s="9" t="s">
        <v>582</v>
      </c>
      <c r="B15" s="9"/>
      <c r="C15" s="9" t="s">
        <v>58</v>
      </c>
      <c r="D15" s="9"/>
      <c r="E15" s="23">
        <v>49494</v>
      </c>
      <c r="G15" s="42">
        <v>4402121</v>
      </c>
      <c r="I15" s="42">
        <v>892114</v>
      </c>
      <c r="K15" s="42">
        <v>2749</v>
      </c>
      <c r="M15" s="42">
        <v>0</v>
      </c>
      <c r="O15" s="42">
        <v>988477</v>
      </c>
      <c r="Q15" s="42">
        <v>441051</v>
      </c>
      <c r="S15" s="42">
        <v>551774</v>
      </c>
      <c r="U15" s="42">
        <v>72701</v>
      </c>
      <c r="W15" s="42">
        <v>814880</v>
      </c>
      <c r="Y15" s="42">
        <v>303199</v>
      </c>
      <c r="AA15" s="42">
        <v>0</v>
      </c>
      <c r="AC15" s="42">
        <v>793877</v>
      </c>
      <c r="AE15" s="42">
        <v>785892</v>
      </c>
      <c r="AG15" s="42">
        <v>158566</v>
      </c>
      <c r="AI15" s="42">
        <v>0</v>
      </c>
      <c r="AK15" s="42">
        <v>6583</v>
      </c>
      <c r="AL15" s="9" t="s">
        <v>582</v>
      </c>
      <c r="AM15" s="9"/>
      <c r="AN15" s="9" t="s">
        <v>58</v>
      </c>
      <c r="AP15" s="42">
        <v>176847</v>
      </c>
      <c r="AR15" s="42">
        <v>63039</v>
      </c>
      <c r="AV15" s="42">
        <v>25650</v>
      </c>
      <c r="AX15" s="42">
        <v>3721</v>
      </c>
      <c r="AZ15" s="42">
        <v>0</v>
      </c>
      <c r="BB15" s="42">
        <f t="shared" ref="BB15:BB85" si="4">SUM(G15:AZ15)</f>
        <v>10483241</v>
      </c>
      <c r="BD15" s="42">
        <v>116178</v>
      </c>
      <c r="BF15" s="42">
        <v>0</v>
      </c>
      <c r="BH15" s="42">
        <v>0</v>
      </c>
      <c r="BJ15" s="42">
        <v>0</v>
      </c>
      <c r="BL15" s="42">
        <f t="shared" si="2"/>
        <v>10599419</v>
      </c>
      <c r="BN15" s="42">
        <f>+'Gen Fd Rev'!AM15-'Gen Fd Exp'!BL15</f>
        <v>-562691</v>
      </c>
      <c r="BP15" s="42">
        <v>4329793</v>
      </c>
      <c r="BR15" s="42">
        <v>0</v>
      </c>
      <c r="BT15" s="42">
        <v>0</v>
      </c>
      <c r="BV15" s="42">
        <f t="shared" si="3"/>
        <v>3767102</v>
      </c>
      <c r="BX15" s="5">
        <f>+BV15-'Gen Fd BS'!AI15+BT15</f>
        <v>0</v>
      </c>
    </row>
    <row r="16" spans="1:76">
      <c r="A16" s="9" t="s">
        <v>502</v>
      </c>
      <c r="B16" s="9"/>
      <c r="C16" s="9" t="s">
        <v>63</v>
      </c>
      <c r="D16" s="9"/>
      <c r="E16" s="23">
        <v>43489</v>
      </c>
      <c r="G16" s="42">
        <v>132460425</v>
      </c>
      <c r="I16" s="42">
        <v>41197091</v>
      </c>
      <c r="K16" s="42">
        <v>11534216</v>
      </c>
      <c r="M16" s="42">
        <v>708541</v>
      </c>
      <c r="O16" s="42">
        <v>1624833</v>
      </c>
      <c r="Q16" s="42">
        <v>17431291</v>
      </c>
      <c r="S16" s="42">
        <v>10040963</v>
      </c>
      <c r="U16" s="42">
        <v>222741</v>
      </c>
      <c r="W16" s="42">
        <v>18322125</v>
      </c>
      <c r="Y16" s="42">
        <v>4281914</v>
      </c>
      <c r="AA16" s="42">
        <v>3660295</v>
      </c>
      <c r="AC16" s="42">
        <v>29850912</v>
      </c>
      <c r="AE16" s="42">
        <v>11605211</v>
      </c>
      <c r="AG16" s="42">
        <v>8888654</v>
      </c>
      <c r="AI16" s="42">
        <v>0</v>
      </c>
      <c r="AK16" s="42">
        <v>14382</v>
      </c>
      <c r="AL16" s="9" t="s">
        <v>502</v>
      </c>
      <c r="AM16" s="9"/>
      <c r="AN16" s="9" t="s">
        <v>63</v>
      </c>
      <c r="AP16" s="42">
        <v>2553822</v>
      </c>
      <c r="AR16" s="42">
        <v>849104</v>
      </c>
      <c r="AV16" s="42">
        <v>0</v>
      </c>
      <c r="AX16" s="42">
        <v>0</v>
      </c>
      <c r="AZ16" s="42">
        <v>0</v>
      </c>
      <c r="BB16" s="42">
        <f t="shared" si="4"/>
        <v>295246520</v>
      </c>
      <c r="BD16" s="42">
        <v>56854</v>
      </c>
      <c r="BF16" s="42">
        <v>0</v>
      </c>
      <c r="BH16" s="42">
        <v>0</v>
      </c>
      <c r="BJ16" s="42">
        <v>0</v>
      </c>
      <c r="BL16" s="42">
        <f t="shared" si="2"/>
        <v>295303374</v>
      </c>
      <c r="BN16" s="42">
        <f>+'Gen Fd Rev'!AM16-'Gen Fd Exp'!BL16</f>
        <v>-12795892</v>
      </c>
      <c r="BP16" s="42">
        <v>10960546</v>
      </c>
      <c r="BR16" s="42">
        <v>0</v>
      </c>
      <c r="BT16" s="42">
        <v>0</v>
      </c>
      <c r="BV16" s="42">
        <f>+BP16+BN16-BR16</f>
        <v>-1835346</v>
      </c>
      <c r="BX16" s="5">
        <f>+BV16-'Gen Fd BS'!AI16+BT16</f>
        <v>0</v>
      </c>
    </row>
    <row r="17" spans="1:76" hidden="1">
      <c r="A17" s="9" t="s">
        <v>612</v>
      </c>
      <c r="B17" s="9"/>
      <c r="C17" s="9" t="s">
        <v>13</v>
      </c>
      <c r="D17" s="9"/>
      <c r="E17" s="23">
        <v>45906</v>
      </c>
      <c r="F17" s="7"/>
      <c r="G17" s="42">
        <v>0</v>
      </c>
      <c r="I17" s="42">
        <v>0</v>
      </c>
      <c r="K17" s="42">
        <v>0</v>
      </c>
      <c r="M17" s="42">
        <v>0</v>
      </c>
      <c r="O17" s="42">
        <v>0</v>
      </c>
      <c r="Q17" s="42">
        <v>0</v>
      </c>
      <c r="S17" s="42">
        <v>0</v>
      </c>
      <c r="U17" s="42">
        <v>0</v>
      </c>
      <c r="W17" s="42">
        <v>0</v>
      </c>
      <c r="Y17" s="42">
        <v>0</v>
      </c>
      <c r="AA17" s="42">
        <v>0</v>
      </c>
      <c r="AC17" s="42">
        <v>0</v>
      </c>
      <c r="AE17" s="42">
        <v>0</v>
      </c>
      <c r="AG17" s="42">
        <v>0</v>
      </c>
      <c r="AI17" s="42">
        <v>0</v>
      </c>
      <c r="AK17" s="42">
        <v>0</v>
      </c>
      <c r="AL17" s="9" t="s">
        <v>612</v>
      </c>
      <c r="AM17" s="9"/>
      <c r="AN17" s="9" t="s">
        <v>13</v>
      </c>
      <c r="AP17" s="42">
        <v>0</v>
      </c>
      <c r="AR17" s="42">
        <v>0</v>
      </c>
      <c r="AV17" s="42">
        <v>0</v>
      </c>
      <c r="AX17" s="42">
        <v>0</v>
      </c>
      <c r="AZ17" s="42">
        <v>0</v>
      </c>
      <c r="BB17" s="42">
        <f t="shared" si="4"/>
        <v>0</v>
      </c>
      <c r="BD17" s="42">
        <v>0</v>
      </c>
      <c r="BF17" s="42">
        <v>0</v>
      </c>
      <c r="BH17" s="42">
        <v>0</v>
      </c>
      <c r="BJ17" s="42">
        <v>0</v>
      </c>
      <c r="BL17" s="42">
        <f t="shared" si="2"/>
        <v>0</v>
      </c>
      <c r="BN17" s="42">
        <f>+'Gen Fd Rev'!AM17-'Gen Fd Exp'!BL17</f>
        <v>0</v>
      </c>
      <c r="BP17" s="42">
        <v>0</v>
      </c>
      <c r="BR17" s="42">
        <v>0</v>
      </c>
      <c r="BT17" s="42">
        <v>0</v>
      </c>
      <c r="BV17" s="42">
        <f t="shared" si="3"/>
        <v>0</v>
      </c>
      <c r="BX17" s="5">
        <f>+BV17-'Gen Fd BS'!AI17+BT17</f>
        <v>0</v>
      </c>
    </row>
    <row r="18" spans="1:76" hidden="1">
      <c r="A18" s="9" t="s">
        <v>852</v>
      </c>
      <c r="B18" s="9"/>
      <c r="C18" s="9" t="s">
        <v>10</v>
      </c>
      <c r="D18" s="9"/>
      <c r="E18" s="23">
        <v>45757</v>
      </c>
      <c r="F18" s="7"/>
      <c r="G18" s="42">
        <v>0</v>
      </c>
      <c r="I18" s="42">
        <v>0</v>
      </c>
      <c r="K18" s="42">
        <v>0</v>
      </c>
      <c r="M18" s="42">
        <v>0</v>
      </c>
      <c r="O18" s="42">
        <v>0</v>
      </c>
      <c r="Q18" s="42">
        <v>0</v>
      </c>
      <c r="S18" s="42">
        <v>0</v>
      </c>
      <c r="U18" s="42">
        <v>0</v>
      </c>
      <c r="W18" s="42">
        <v>0</v>
      </c>
      <c r="Y18" s="42">
        <v>0</v>
      </c>
      <c r="AA18" s="42">
        <v>0</v>
      </c>
      <c r="AC18" s="42">
        <v>0</v>
      </c>
      <c r="AE18" s="42">
        <v>0</v>
      </c>
      <c r="AG18" s="42">
        <v>0</v>
      </c>
      <c r="AI18" s="42">
        <v>0</v>
      </c>
      <c r="AK18" s="42">
        <v>0</v>
      </c>
      <c r="AL18" s="9" t="s">
        <v>852</v>
      </c>
      <c r="AM18" s="9"/>
      <c r="AN18" s="9" t="s">
        <v>10</v>
      </c>
      <c r="AP18" s="42">
        <v>0</v>
      </c>
      <c r="AR18" s="42">
        <v>0</v>
      </c>
      <c r="AV18" s="42">
        <v>0</v>
      </c>
      <c r="AX18" s="42">
        <v>0</v>
      </c>
      <c r="AZ18" s="42">
        <v>0</v>
      </c>
      <c r="BB18" s="42">
        <f>SUM(G18:AZ18)</f>
        <v>0</v>
      </c>
      <c r="BD18" s="42">
        <v>0</v>
      </c>
      <c r="BF18" s="42">
        <v>0</v>
      </c>
      <c r="BH18" s="42">
        <v>0</v>
      </c>
      <c r="BJ18" s="42">
        <v>0</v>
      </c>
      <c r="BL18" s="42">
        <f t="shared" ref="BL18" si="5">+BB18+BD18+BF18+BJ18</f>
        <v>0</v>
      </c>
      <c r="BN18" s="42">
        <f>+'Gen Fd Rev'!AM18-'Gen Fd Exp'!BL18</f>
        <v>0</v>
      </c>
      <c r="BP18" s="42">
        <v>0</v>
      </c>
      <c r="BR18" s="42">
        <v>0</v>
      </c>
      <c r="BT18" s="42">
        <v>0</v>
      </c>
      <c r="BV18" s="42">
        <f t="shared" ref="BV18" si="6">+BP18+BN18-BR18</f>
        <v>0</v>
      </c>
      <c r="BX18" s="5">
        <f>+BV18-'Gen Fd BS'!AI18+BT18</f>
        <v>0</v>
      </c>
    </row>
    <row r="19" spans="1:76">
      <c r="A19" s="9" t="s">
        <v>489</v>
      </c>
      <c r="B19" s="9"/>
      <c r="C19" s="9" t="s">
        <v>62</v>
      </c>
      <c r="D19" s="9"/>
      <c r="E19" s="23">
        <v>43497</v>
      </c>
      <c r="G19" s="42">
        <v>13737505</v>
      </c>
      <c r="I19" s="42">
        <v>3590236</v>
      </c>
      <c r="K19" s="42">
        <v>1189066</v>
      </c>
      <c r="M19" s="42">
        <v>400233</v>
      </c>
      <c r="O19" s="42">
        <f>151213+143550</f>
        <v>294763</v>
      </c>
      <c r="Q19" s="42">
        <v>1222536</v>
      </c>
      <c r="S19" s="42">
        <v>552985</v>
      </c>
      <c r="U19" s="42">
        <v>39858</v>
      </c>
      <c r="W19" s="42">
        <v>2029282</v>
      </c>
      <c r="Y19" s="42">
        <v>577941</v>
      </c>
      <c r="AA19" s="42">
        <v>305776</v>
      </c>
      <c r="AC19" s="42">
        <v>3059730</v>
      </c>
      <c r="AE19" s="42">
        <v>796427</v>
      </c>
      <c r="AG19" s="42">
        <v>39594</v>
      </c>
      <c r="AI19" s="42">
        <v>0</v>
      </c>
      <c r="AK19" s="42">
        <v>0</v>
      </c>
      <c r="AL19" s="9" t="s">
        <v>489</v>
      </c>
      <c r="AM19" s="9"/>
      <c r="AN19" s="9" t="s">
        <v>62</v>
      </c>
      <c r="AP19" s="42">
        <v>484837</v>
      </c>
      <c r="AR19" s="42">
        <v>161763</v>
      </c>
      <c r="AV19" s="42">
        <v>15000</v>
      </c>
      <c r="AX19" s="42">
        <v>137845</v>
      </c>
      <c r="AZ19" s="42">
        <v>0</v>
      </c>
      <c r="BB19" s="42">
        <f t="shared" si="4"/>
        <v>28635377</v>
      </c>
      <c r="BD19" s="42">
        <v>0</v>
      </c>
      <c r="BF19" s="42">
        <v>0</v>
      </c>
      <c r="BH19" s="42">
        <v>0</v>
      </c>
      <c r="BJ19" s="42">
        <v>0</v>
      </c>
      <c r="BL19" s="42">
        <f>+BB19+BD19+BF19+BJ19</f>
        <v>28635377</v>
      </c>
      <c r="BN19" s="42">
        <f>+'Gen Fd Rev'!AM19-'Gen Fd Exp'!BL19</f>
        <v>-1178608</v>
      </c>
      <c r="BP19" s="42">
        <v>2939655</v>
      </c>
      <c r="BR19" s="42">
        <v>0</v>
      </c>
      <c r="BT19" s="42">
        <v>0</v>
      </c>
      <c r="BV19" s="42">
        <f>+BP19+BN19-BR19-BT19</f>
        <v>1761047</v>
      </c>
      <c r="BX19" s="5">
        <f>+BV19-'Gen Fd BS'!AI19+BT19</f>
        <v>0</v>
      </c>
    </row>
    <row r="20" spans="1:76">
      <c r="A20" s="9" t="s">
        <v>290</v>
      </c>
      <c r="B20" s="9"/>
      <c r="C20" s="9" t="s">
        <v>25</v>
      </c>
      <c r="D20" s="9"/>
      <c r="E20" s="23">
        <v>46847</v>
      </c>
      <c r="G20" s="42">
        <v>5891129</v>
      </c>
      <c r="I20" s="42">
        <v>1793543</v>
      </c>
      <c r="K20" s="42">
        <v>287098</v>
      </c>
      <c r="M20" s="42">
        <v>0</v>
      </c>
      <c r="O20" s="42">
        <f>42333+109519</f>
        <v>151852</v>
      </c>
      <c r="Q20" s="42">
        <v>637615</v>
      </c>
      <c r="S20" s="42">
        <v>121900</v>
      </c>
      <c r="U20" s="42">
        <v>55957</v>
      </c>
      <c r="W20" s="42">
        <v>990197</v>
      </c>
      <c r="Y20" s="42">
        <v>323663</v>
      </c>
      <c r="AA20" s="42">
        <v>27378</v>
      </c>
      <c r="AC20" s="42">
        <v>1285824</v>
      </c>
      <c r="AE20" s="42">
        <v>1011596</v>
      </c>
      <c r="AG20" s="42">
        <v>142583</v>
      </c>
      <c r="AI20" s="42">
        <v>0</v>
      </c>
      <c r="AK20" s="42">
        <v>0</v>
      </c>
      <c r="AL20" s="9" t="s">
        <v>290</v>
      </c>
      <c r="AM20" s="9"/>
      <c r="AN20" s="9" t="s">
        <v>25</v>
      </c>
      <c r="AP20" s="42">
        <v>11519</v>
      </c>
      <c r="AR20" s="42">
        <v>655</v>
      </c>
      <c r="AV20" s="42">
        <v>113787</v>
      </c>
      <c r="AX20" s="42">
        <v>5171</v>
      </c>
      <c r="AZ20" s="42">
        <v>0</v>
      </c>
      <c r="BB20" s="42">
        <f t="shared" si="4"/>
        <v>12851467</v>
      </c>
      <c r="BD20" s="42">
        <v>0</v>
      </c>
      <c r="BF20" s="42">
        <v>0</v>
      </c>
      <c r="BH20" s="42">
        <v>0</v>
      </c>
      <c r="BJ20" s="42">
        <v>0</v>
      </c>
      <c r="BL20" s="42">
        <f t="shared" si="2"/>
        <v>12851467</v>
      </c>
      <c r="BN20" s="42">
        <f>+'Gen Fd Rev'!AM20-'Gen Fd Exp'!BL20</f>
        <v>2697653</v>
      </c>
      <c r="BP20" s="42">
        <v>2358802</v>
      </c>
      <c r="BR20" s="42">
        <v>0</v>
      </c>
      <c r="BT20" s="42">
        <v>0</v>
      </c>
      <c r="BV20" s="42">
        <f t="shared" si="3"/>
        <v>5056455</v>
      </c>
      <c r="BX20" s="5">
        <f>+BV20-'Gen Fd BS'!AI20+BT20</f>
        <v>0</v>
      </c>
    </row>
    <row r="21" spans="1:76">
      <c r="A21" s="9" t="s">
        <v>743</v>
      </c>
      <c r="B21" s="9"/>
      <c r="C21" s="9" t="s">
        <v>44</v>
      </c>
      <c r="D21" s="9"/>
      <c r="E21" s="23">
        <v>45195</v>
      </c>
      <c r="F21" s="7"/>
      <c r="G21" s="42">
        <v>18221699</v>
      </c>
      <c r="I21" s="42">
        <v>4292649</v>
      </c>
      <c r="K21" s="42">
        <v>381986</v>
      </c>
      <c r="M21" s="42">
        <v>0</v>
      </c>
      <c r="O21" s="42">
        <v>0</v>
      </c>
      <c r="Q21" s="42">
        <v>1651047</v>
      </c>
      <c r="S21" s="42">
        <v>1527544</v>
      </c>
      <c r="U21" s="42">
        <v>17393</v>
      </c>
      <c r="W21" s="42">
        <v>2944069</v>
      </c>
      <c r="Y21" s="42">
        <v>778424</v>
      </c>
      <c r="AA21" s="42">
        <v>0</v>
      </c>
      <c r="AC21" s="42">
        <v>3081264</v>
      </c>
      <c r="AE21" s="42">
        <v>1370954</v>
      </c>
      <c r="AG21" s="42">
        <v>36446</v>
      </c>
      <c r="AI21" s="42">
        <v>0</v>
      </c>
      <c r="AK21" s="42">
        <v>1103</v>
      </c>
      <c r="AL21" s="9" t="s">
        <v>743</v>
      </c>
      <c r="AM21" s="9"/>
      <c r="AN21" s="9" t="s">
        <v>44</v>
      </c>
      <c r="AP21" s="42">
        <v>512077</v>
      </c>
      <c r="AR21" s="42">
        <v>0</v>
      </c>
      <c r="AV21" s="42">
        <v>100000</v>
      </c>
      <c r="AX21" s="42">
        <v>23100</v>
      </c>
      <c r="AZ21" s="42">
        <v>0</v>
      </c>
      <c r="BB21" s="42">
        <f>SUM(G21:AZ21)</f>
        <v>34939755</v>
      </c>
      <c r="BD21" s="42">
        <v>800</v>
      </c>
      <c r="BF21" s="42">
        <v>0</v>
      </c>
      <c r="BH21" s="42">
        <v>0</v>
      </c>
      <c r="BJ21" s="42">
        <v>0</v>
      </c>
      <c r="BL21" s="42">
        <f t="shared" si="2"/>
        <v>34940555</v>
      </c>
      <c r="BN21" s="42">
        <f>+'Gen Fd Rev'!AM21-'Gen Fd Exp'!BL21</f>
        <v>436859</v>
      </c>
      <c r="BP21" s="42">
        <v>4291987</v>
      </c>
      <c r="BR21" s="42">
        <v>0</v>
      </c>
      <c r="BT21" s="42">
        <v>0</v>
      </c>
      <c r="BV21" s="42">
        <f t="shared" si="3"/>
        <v>4728846</v>
      </c>
      <c r="BX21" s="5">
        <f>+BV21-'Gen Fd BS'!AI21+BT21</f>
        <v>0</v>
      </c>
    </row>
    <row r="22" spans="1:76">
      <c r="A22" s="9" t="s">
        <v>798</v>
      </c>
      <c r="B22" s="9"/>
      <c r="C22" s="9" t="s">
        <v>61</v>
      </c>
      <c r="D22" s="9"/>
      <c r="E22" s="23">
        <v>49759</v>
      </c>
      <c r="G22" s="42">
        <v>4868698</v>
      </c>
      <c r="I22" s="42">
        <v>766448</v>
      </c>
      <c r="K22" s="42">
        <v>437441</v>
      </c>
      <c r="M22" s="42">
        <v>0</v>
      </c>
      <c r="O22" s="42">
        <v>18318</v>
      </c>
      <c r="Q22" s="42">
        <v>457728</v>
      </c>
      <c r="S22" s="42">
        <v>286618</v>
      </c>
      <c r="U22" s="42">
        <v>59844</v>
      </c>
      <c r="W22" s="42">
        <v>742047</v>
      </c>
      <c r="Y22" s="42">
        <v>318458</v>
      </c>
      <c r="AA22" s="42">
        <v>76250</v>
      </c>
      <c r="AC22" s="42">
        <v>944997</v>
      </c>
      <c r="AE22" s="42">
        <v>509939</v>
      </c>
      <c r="AG22" s="42">
        <v>50651</v>
      </c>
      <c r="AI22" s="42">
        <v>0</v>
      </c>
      <c r="AK22" s="42">
        <v>0</v>
      </c>
      <c r="AL22" s="9" t="s">
        <v>798</v>
      </c>
      <c r="AM22" s="9"/>
      <c r="AN22" s="9" t="s">
        <v>61</v>
      </c>
      <c r="AP22" s="42">
        <v>394557</v>
      </c>
      <c r="AR22" s="42">
        <v>274</v>
      </c>
      <c r="AV22" s="42">
        <v>0</v>
      </c>
      <c r="AX22" s="42">
        <v>0</v>
      </c>
      <c r="AZ22" s="42">
        <v>0</v>
      </c>
      <c r="BB22" s="42">
        <f t="shared" si="4"/>
        <v>9932268</v>
      </c>
      <c r="BD22" s="42">
        <v>0</v>
      </c>
      <c r="BF22" s="42">
        <v>0</v>
      </c>
      <c r="BH22" s="42">
        <v>0</v>
      </c>
      <c r="BJ22" s="42">
        <v>0</v>
      </c>
      <c r="BL22" s="42">
        <f t="shared" si="2"/>
        <v>9932268</v>
      </c>
      <c r="BN22" s="42">
        <f>+'Gen Fd Rev'!AM22-'Gen Fd Exp'!BL22</f>
        <v>658396</v>
      </c>
      <c r="BP22" s="42">
        <v>2956969</v>
      </c>
      <c r="BR22" s="42">
        <v>0</v>
      </c>
      <c r="BT22" s="42">
        <v>0</v>
      </c>
      <c r="BV22" s="42">
        <f t="shared" si="3"/>
        <v>3615365</v>
      </c>
      <c r="BX22" s="5">
        <f>+BV22-'Gen Fd BS'!AI22+BT22</f>
        <v>0</v>
      </c>
    </row>
    <row r="23" spans="1:76" hidden="1">
      <c r="A23" s="9" t="s">
        <v>686</v>
      </c>
      <c r="B23" s="9"/>
      <c r="C23" s="9" t="s">
        <v>598</v>
      </c>
      <c r="D23" s="9"/>
      <c r="E23" s="23">
        <v>46623</v>
      </c>
      <c r="G23" s="42">
        <v>0</v>
      </c>
      <c r="I23" s="42">
        <v>0</v>
      </c>
      <c r="K23" s="42">
        <v>0</v>
      </c>
      <c r="M23" s="42">
        <v>0</v>
      </c>
      <c r="O23" s="42">
        <v>0</v>
      </c>
      <c r="Q23" s="42">
        <v>0</v>
      </c>
      <c r="S23" s="42">
        <v>0</v>
      </c>
      <c r="U23" s="42">
        <v>0</v>
      </c>
      <c r="W23" s="42">
        <v>0</v>
      </c>
      <c r="Y23" s="42">
        <v>0</v>
      </c>
      <c r="AA23" s="42">
        <v>0</v>
      </c>
      <c r="AC23" s="42">
        <v>0</v>
      </c>
      <c r="AE23" s="42">
        <v>0</v>
      </c>
      <c r="AG23" s="42">
        <v>0</v>
      </c>
      <c r="AI23" s="42">
        <v>0</v>
      </c>
      <c r="AK23" s="42">
        <v>0</v>
      </c>
      <c r="AL23" s="9" t="s">
        <v>686</v>
      </c>
      <c r="AM23" s="9"/>
      <c r="AN23" s="9" t="s">
        <v>598</v>
      </c>
      <c r="AP23" s="42">
        <v>0</v>
      </c>
      <c r="AR23" s="42">
        <v>0</v>
      </c>
      <c r="AV23" s="42">
        <v>0</v>
      </c>
      <c r="AX23" s="42">
        <v>0</v>
      </c>
      <c r="AZ23" s="42">
        <v>0</v>
      </c>
      <c r="BB23" s="42">
        <f t="shared" si="4"/>
        <v>0</v>
      </c>
      <c r="BD23" s="42">
        <v>0</v>
      </c>
      <c r="BF23" s="42">
        <v>0</v>
      </c>
      <c r="BH23" s="42">
        <v>0</v>
      </c>
      <c r="BJ23" s="42">
        <v>0</v>
      </c>
      <c r="BL23" s="42">
        <f t="shared" si="2"/>
        <v>0</v>
      </c>
      <c r="BN23" s="42">
        <f>+'Gen Fd Rev'!AM23-'Gen Fd Exp'!BL23</f>
        <v>0</v>
      </c>
      <c r="BP23" s="42">
        <v>0</v>
      </c>
      <c r="BR23" s="42">
        <v>0</v>
      </c>
      <c r="BT23" s="42">
        <v>0</v>
      </c>
      <c r="BV23" s="42">
        <f t="shared" si="3"/>
        <v>0</v>
      </c>
      <c r="BX23" s="5">
        <f>+BV23-'Gen Fd BS'!AI23+BT23</f>
        <v>0</v>
      </c>
    </row>
    <row r="24" spans="1:76">
      <c r="A24" s="9" t="s">
        <v>387</v>
      </c>
      <c r="B24" s="9"/>
      <c r="C24" s="9" t="s">
        <v>114</v>
      </c>
      <c r="D24" s="9"/>
      <c r="E24" s="23">
        <v>48207</v>
      </c>
      <c r="G24" s="42">
        <v>17823091</v>
      </c>
      <c r="I24" s="42">
        <v>2576681</v>
      </c>
      <c r="K24" s="42">
        <v>0</v>
      </c>
      <c r="M24" s="42">
        <v>0</v>
      </c>
      <c r="O24" s="42">
        <v>739545</v>
      </c>
      <c r="Q24" s="42">
        <v>1774908</v>
      </c>
      <c r="S24" s="42">
        <v>901331</v>
      </c>
      <c r="U24" s="42">
        <v>358152</v>
      </c>
      <c r="W24" s="42">
        <v>3109022</v>
      </c>
      <c r="Y24" s="42">
        <v>780067</v>
      </c>
      <c r="AA24" s="42">
        <v>0</v>
      </c>
      <c r="AC24" s="42">
        <v>3316242</v>
      </c>
      <c r="AE24" s="42">
        <v>2588593</v>
      </c>
      <c r="AG24" s="42">
        <v>46007</v>
      </c>
      <c r="AI24" s="42">
        <v>0</v>
      </c>
      <c r="AK24" s="42">
        <v>178</v>
      </c>
      <c r="AL24" s="9" t="s">
        <v>387</v>
      </c>
      <c r="AM24" s="9"/>
      <c r="AN24" s="9" t="s">
        <v>114</v>
      </c>
      <c r="AP24" s="42">
        <v>518997</v>
      </c>
      <c r="AR24" s="42">
        <v>0</v>
      </c>
      <c r="AV24" s="42">
        <v>0</v>
      </c>
      <c r="AX24" s="42">
        <v>0</v>
      </c>
      <c r="AZ24" s="42">
        <v>0</v>
      </c>
      <c r="BB24" s="42">
        <f t="shared" si="4"/>
        <v>34532814</v>
      </c>
      <c r="BD24" s="42">
        <v>0</v>
      </c>
      <c r="BF24" s="42">
        <v>0</v>
      </c>
      <c r="BH24" s="42">
        <v>0</v>
      </c>
      <c r="BJ24" s="42">
        <v>0</v>
      </c>
      <c r="BL24" s="42">
        <f t="shared" si="2"/>
        <v>34532814</v>
      </c>
      <c r="BN24" s="42">
        <f>+'Gen Fd Rev'!AM24-'Gen Fd Exp'!BL24</f>
        <v>-1951933</v>
      </c>
      <c r="BP24" s="42">
        <v>4015956</v>
      </c>
      <c r="BR24" s="42">
        <v>3191</v>
      </c>
      <c r="BT24" s="42">
        <v>0</v>
      </c>
      <c r="BV24" s="42">
        <f t="shared" si="3"/>
        <v>2060832</v>
      </c>
      <c r="BX24" s="5">
        <f>+BV24-'Gen Fd BS'!AI24+BT24</f>
        <v>0</v>
      </c>
    </row>
    <row r="25" spans="1:76" hidden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42">
        <v>0</v>
      </c>
      <c r="M25" s="42">
        <v>0</v>
      </c>
      <c r="O25" s="42">
        <v>0</v>
      </c>
      <c r="Q25" s="42">
        <v>0</v>
      </c>
      <c r="S25" s="42">
        <v>0</v>
      </c>
      <c r="U25" s="42">
        <v>0</v>
      </c>
      <c r="W25" s="42">
        <v>0</v>
      </c>
      <c r="Y25" s="42">
        <v>0</v>
      </c>
      <c r="AA25" s="42">
        <v>0</v>
      </c>
      <c r="AC25" s="42">
        <v>0</v>
      </c>
      <c r="AE25" s="42">
        <v>0</v>
      </c>
      <c r="AG25" s="42">
        <v>0</v>
      </c>
      <c r="AI25" s="42">
        <v>0</v>
      </c>
      <c r="AK25" s="42">
        <v>0</v>
      </c>
      <c r="AL25" s="9" t="s">
        <v>853</v>
      </c>
      <c r="AM25" s="9"/>
      <c r="AN25" s="9" t="s">
        <v>447</v>
      </c>
      <c r="AP25" s="42">
        <v>0</v>
      </c>
      <c r="AR25" s="42">
        <v>0</v>
      </c>
      <c r="AV25" s="42">
        <v>0</v>
      </c>
      <c r="AX25" s="42">
        <v>0</v>
      </c>
      <c r="AZ25" s="42">
        <v>0</v>
      </c>
      <c r="BB25" s="42">
        <f t="shared" ref="BB25" si="7">SUM(G25:AZ25)</f>
        <v>0</v>
      </c>
      <c r="BD25" s="42">
        <v>0</v>
      </c>
      <c r="BF25" s="42">
        <v>0</v>
      </c>
      <c r="BH25" s="42">
        <v>0</v>
      </c>
      <c r="BJ25" s="42">
        <v>0</v>
      </c>
      <c r="BL25" s="42">
        <f t="shared" ref="BL25" si="8">+BB25+BD25+BF25+BJ25</f>
        <v>0</v>
      </c>
      <c r="BN25" s="42">
        <f>+'Gen Fd Rev'!AM25-'Gen Fd Exp'!BL25</f>
        <v>0</v>
      </c>
      <c r="BP25" s="42">
        <v>0</v>
      </c>
      <c r="BR25" s="42">
        <v>0</v>
      </c>
      <c r="BT25" s="42">
        <v>0</v>
      </c>
      <c r="BV25" s="42">
        <f t="shared" ref="BV25" si="9">+BP25+BN25-BR25</f>
        <v>0</v>
      </c>
      <c r="BX25" s="5">
        <f>+BV25-'Gen Fd BS'!AI25+BT25</f>
        <v>0</v>
      </c>
    </row>
    <row r="26" spans="1:76">
      <c r="A26" s="9" t="s">
        <v>332</v>
      </c>
      <c r="B26" s="9"/>
      <c r="C26" s="9" t="s">
        <v>33</v>
      </c>
      <c r="D26" s="9"/>
      <c r="E26" s="23">
        <v>47415</v>
      </c>
      <c r="G26" s="42">
        <v>2677653</v>
      </c>
      <c r="I26" s="42">
        <v>373571</v>
      </c>
      <c r="K26" s="42">
        <v>266952</v>
      </c>
      <c r="M26" s="42">
        <v>0</v>
      </c>
      <c r="O26" s="42">
        <v>0</v>
      </c>
      <c r="Q26" s="42">
        <v>121760</v>
      </c>
      <c r="S26" s="42">
        <v>201884</v>
      </c>
      <c r="U26" s="42">
        <v>24887</v>
      </c>
      <c r="W26" s="42">
        <v>542923</v>
      </c>
      <c r="Y26" s="42">
        <v>188775</v>
      </c>
      <c r="AA26" s="42">
        <v>0</v>
      </c>
      <c r="AC26" s="42">
        <v>634254</v>
      </c>
      <c r="AE26" s="42">
        <v>317756</v>
      </c>
      <c r="AG26" s="42">
        <v>4000</v>
      </c>
      <c r="AI26" s="42">
        <v>0</v>
      </c>
      <c r="AK26" s="42">
        <v>0</v>
      </c>
      <c r="AL26" s="9" t="s">
        <v>332</v>
      </c>
      <c r="AM26" s="9"/>
      <c r="AN26" s="9" t="s">
        <v>33</v>
      </c>
      <c r="AP26" s="42">
        <v>182141</v>
      </c>
      <c r="AR26" s="42">
        <v>7648</v>
      </c>
      <c r="AV26" s="42">
        <v>0</v>
      </c>
      <c r="AX26" s="42">
        <v>0</v>
      </c>
      <c r="AZ26" s="42">
        <v>0</v>
      </c>
      <c r="BB26" s="42">
        <f t="shared" si="4"/>
        <v>5544204</v>
      </c>
      <c r="BD26" s="42">
        <v>0</v>
      </c>
      <c r="BF26" s="42">
        <v>0</v>
      </c>
      <c r="BH26" s="42">
        <v>0</v>
      </c>
      <c r="BJ26" s="42">
        <v>0</v>
      </c>
      <c r="BL26" s="42">
        <f t="shared" si="2"/>
        <v>5544204</v>
      </c>
      <c r="BN26" s="42">
        <f>+'Gen Fd Rev'!AM26-'Gen Fd Exp'!BL26</f>
        <v>287969</v>
      </c>
      <c r="BP26" s="42">
        <v>3916155</v>
      </c>
      <c r="BR26" s="42">
        <v>0</v>
      </c>
      <c r="BT26" s="42">
        <v>0</v>
      </c>
      <c r="BV26" s="42">
        <f t="shared" si="3"/>
        <v>4204124</v>
      </c>
      <c r="BX26" s="5">
        <f>+BV26-'Gen Fd BS'!AI26+BT26</f>
        <v>0</v>
      </c>
    </row>
    <row r="27" spans="1:76" hidden="1">
      <c r="A27" s="9" t="s">
        <v>665</v>
      </c>
      <c r="B27" s="9"/>
      <c r="C27" s="9" t="s">
        <v>21</v>
      </c>
      <c r="D27" s="9"/>
      <c r="E27" s="23">
        <v>46631</v>
      </c>
      <c r="G27" s="42">
        <v>0</v>
      </c>
      <c r="I27" s="42">
        <v>0</v>
      </c>
      <c r="K27" s="42">
        <v>0</v>
      </c>
      <c r="M27" s="42">
        <v>0</v>
      </c>
      <c r="O27" s="42">
        <v>0</v>
      </c>
      <c r="Q27" s="42">
        <v>0</v>
      </c>
      <c r="S27" s="42">
        <v>0</v>
      </c>
      <c r="U27" s="42">
        <v>0</v>
      </c>
      <c r="W27" s="42">
        <v>0</v>
      </c>
      <c r="Y27" s="42">
        <v>0</v>
      </c>
      <c r="AA27" s="42">
        <v>0</v>
      </c>
      <c r="AC27" s="42">
        <v>0</v>
      </c>
      <c r="AE27" s="42">
        <v>0</v>
      </c>
      <c r="AG27" s="42">
        <v>0</v>
      </c>
      <c r="AI27" s="42">
        <v>0</v>
      </c>
      <c r="AK27" s="42">
        <v>0</v>
      </c>
      <c r="AL27" s="9" t="s">
        <v>665</v>
      </c>
      <c r="AM27" s="9"/>
      <c r="AN27" s="9" t="s">
        <v>21</v>
      </c>
      <c r="AP27" s="42">
        <v>0</v>
      </c>
      <c r="AR27" s="42">
        <v>0</v>
      </c>
      <c r="AV27" s="42">
        <v>0</v>
      </c>
      <c r="AX27" s="42">
        <v>0</v>
      </c>
      <c r="AZ27" s="42">
        <v>0</v>
      </c>
      <c r="BB27" s="42">
        <f t="shared" si="4"/>
        <v>0</v>
      </c>
      <c r="BD27" s="42">
        <v>0</v>
      </c>
      <c r="BF27" s="42">
        <v>0</v>
      </c>
      <c r="BH27" s="42">
        <v>0</v>
      </c>
      <c r="BJ27" s="42">
        <v>0</v>
      </c>
      <c r="BL27" s="42">
        <f t="shared" si="2"/>
        <v>0</v>
      </c>
      <c r="BN27" s="42">
        <f>+'Gen Fd Rev'!AM27-'Gen Fd Exp'!BL27</f>
        <v>0</v>
      </c>
      <c r="BP27" s="42">
        <v>0</v>
      </c>
      <c r="BR27" s="42">
        <v>0</v>
      </c>
      <c r="BT27" s="42">
        <v>0</v>
      </c>
      <c r="BV27" s="42">
        <f t="shared" si="3"/>
        <v>0</v>
      </c>
      <c r="BX27" s="5">
        <f>+BV27-'Gen Fd BS'!AI27+BT27</f>
        <v>0</v>
      </c>
    </row>
    <row r="28" spans="1:76">
      <c r="A28" s="9" t="s">
        <v>854</v>
      </c>
      <c r="B28" s="9"/>
      <c r="C28" s="9" t="s">
        <v>28</v>
      </c>
      <c r="D28" s="9"/>
      <c r="E28" s="23">
        <v>47043</v>
      </c>
      <c r="G28" s="42">
        <v>6773637</v>
      </c>
      <c r="I28" s="42">
        <v>1033822</v>
      </c>
      <c r="K28" s="42">
        <v>170760</v>
      </c>
      <c r="M28" s="42">
        <v>0</v>
      </c>
      <c r="O28" s="42">
        <v>5216</v>
      </c>
      <c r="Q28" s="42">
        <v>639870</v>
      </c>
      <c r="S28" s="42">
        <v>508510</v>
      </c>
      <c r="U28" s="42">
        <v>43092</v>
      </c>
      <c r="W28" s="42">
        <v>784093</v>
      </c>
      <c r="Y28" s="42">
        <v>335833</v>
      </c>
      <c r="AA28" s="42">
        <v>0</v>
      </c>
      <c r="AC28" s="42">
        <v>971925</v>
      </c>
      <c r="AE28" s="42">
        <v>487579</v>
      </c>
      <c r="AG28" s="42">
        <v>10407</v>
      </c>
      <c r="AI28" s="42">
        <v>0</v>
      </c>
      <c r="AK28" s="42">
        <v>0</v>
      </c>
      <c r="AL28" s="9" t="s">
        <v>854</v>
      </c>
      <c r="AM28" s="9"/>
      <c r="AN28" s="9" t="s">
        <v>28</v>
      </c>
      <c r="AP28" s="42">
        <v>415118</v>
      </c>
      <c r="AR28" s="42">
        <v>307</v>
      </c>
      <c r="AV28" s="42">
        <v>0</v>
      </c>
      <c r="AX28" s="42">
        <v>0</v>
      </c>
      <c r="AZ28" s="42">
        <v>0</v>
      </c>
      <c r="BB28" s="42">
        <f t="shared" si="4"/>
        <v>12180169</v>
      </c>
      <c r="BD28" s="42">
        <v>21752</v>
      </c>
      <c r="BF28" s="42">
        <v>0</v>
      </c>
      <c r="BH28" s="42">
        <v>0</v>
      </c>
      <c r="BJ28" s="42">
        <v>0</v>
      </c>
      <c r="BL28" s="42">
        <f t="shared" si="2"/>
        <v>12201921</v>
      </c>
      <c r="BN28" s="42">
        <f>+'Gen Fd Rev'!AM28-'Gen Fd Exp'!BL28</f>
        <v>-1007538</v>
      </c>
      <c r="BP28" s="42">
        <v>3843672</v>
      </c>
      <c r="BR28" s="42">
        <v>0</v>
      </c>
      <c r="BT28" s="42">
        <v>0</v>
      </c>
      <c r="BV28" s="42">
        <f t="shared" si="3"/>
        <v>2836134</v>
      </c>
      <c r="BX28" s="5">
        <f>+BV28-'Gen Fd BS'!AI28+BT28</f>
        <v>0</v>
      </c>
    </row>
    <row r="29" spans="1:76">
      <c r="A29" s="9" t="s">
        <v>333</v>
      </c>
      <c r="B29" s="9"/>
      <c r="C29" s="9" t="s">
        <v>33</v>
      </c>
      <c r="D29" s="9"/>
      <c r="E29" s="23">
        <v>47423</v>
      </c>
      <c r="G29" s="42">
        <v>2985646</v>
      </c>
      <c r="I29" s="42">
        <v>758249</v>
      </c>
      <c r="K29" s="42">
        <v>254633</v>
      </c>
      <c r="M29" s="42">
        <v>0</v>
      </c>
      <c r="O29" s="42">
        <v>0</v>
      </c>
      <c r="Q29" s="42">
        <v>185303</v>
      </c>
      <c r="S29" s="42">
        <v>287385</v>
      </c>
      <c r="U29" s="42">
        <v>37801</v>
      </c>
      <c r="W29" s="42">
        <v>536382</v>
      </c>
      <c r="Y29" s="42">
        <v>195586</v>
      </c>
      <c r="AA29" s="42">
        <v>0</v>
      </c>
      <c r="AC29" s="42">
        <v>494552</v>
      </c>
      <c r="AE29" s="42">
        <v>233424</v>
      </c>
      <c r="AG29" s="42">
        <v>1263</v>
      </c>
      <c r="AI29" s="42">
        <v>0</v>
      </c>
      <c r="AK29" s="42">
        <v>0</v>
      </c>
      <c r="AL29" s="9" t="s">
        <v>333</v>
      </c>
      <c r="AM29" s="9"/>
      <c r="AN29" s="9" t="s">
        <v>33</v>
      </c>
      <c r="AP29" s="42">
        <v>175468</v>
      </c>
      <c r="AR29" s="42">
        <v>0</v>
      </c>
      <c r="AV29" s="42">
        <v>35000</v>
      </c>
      <c r="AX29" s="42">
        <v>7191</v>
      </c>
      <c r="AZ29" s="42">
        <v>0</v>
      </c>
      <c r="BB29" s="42">
        <f t="shared" si="4"/>
        <v>6187883</v>
      </c>
      <c r="BD29" s="42">
        <v>0</v>
      </c>
      <c r="BF29" s="42">
        <v>0</v>
      </c>
      <c r="BH29" s="42">
        <v>0</v>
      </c>
      <c r="BJ29" s="42">
        <v>0</v>
      </c>
      <c r="BL29" s="42">
        <f t="shared" si="2"/>
        <v>6187883</v>
      </c>
      <c r="BN29" s="42">
        <f>+'Gen Fd Rev'!AM29-'Gen Fd Exp'!BL29</f>
        <v>-368052</v>
      </c>
      <c r="BP29" s="42">
        <v>1983664</v>
      </c>
      <c r="BR29" s="42">
        <v>0</v>
      </c>
      <c r="BT29" s="42">
        <v>0</v>
      </c>
      <c r="BV29" s="42">
        <f t="shared" si="3"/>
        <v>1615612</v>
      </c>
      <c r="BX29" s="5">
        <f>+BV29-'Gen Fd BS'!AI29+BT29</f>
        <v>0</v>
      </c>
    </row>
    <row r="30" spans="1:76">
      <c r="A30" s="9" t="s">
        <v>202</v>
      </c>
      <c r="B30" s="9"/>
      <c r="C30" s="9" t="s">
        <v>11</v>
      </c>
      <c r="D30" s="9"/>
      <c r="E30" s="23">
        <v>43505</v>
      </c>
      <c r="F30" s="7"/>
      <c r="G30" s="42">
        <v>14539525</v>
      </c>
      <c r="I30" s="42">
        <v>3461054</v>
      </c>
      <c r="K30" s="42">
        <v>604301</v>
      </c>
      <c r="M30" s="42">
        <v>0</v>
      </c>
      <c r="O30" s="42">
        <v>1264464</v>
      </c>
      <c r="Q30" s="42">
        <v>1558576</v>
      </c>
      <c r="S30" s="42">
        <v>747175</v>
      </c>
      <c r="U30" s="42">
        <v>129910</v>
      </c>
      <c r="W30" s="42">
        <v>2188124</v>
      </c>
      <c r="Y30" s="42">
        <v>789350</v>
      </c>
      <c r="AA30" s="42">
        <v>348935</v>
      </c>
      <c r="AC30" s="42">
        <v>2280022</v>
      </c>
      <c r="AE30" s="42">
        <v>1127079</v>
      </c>
      <c r="AG30" s="42">
        <v>318985</v>
      </c>
      <c r="AI30" s="42">
        <v>0</v>
      </c>
      <c r="AK30" s="42">
        <v>8</v>
      </c>
      <c r="AL30" s="9" t="s">
        <v>202</v>
      </c>
      <c r="AM30" s="9"/>
      <c r="AN30" s="9" t="s">
        <v>11</v>
      </c>
      <c r="AP30" s="42">
        <v>729985</v>
      </c>
      <c r="AR30" s="42">
        <v>1945</v>
      </c>
      <c r="AV30" s="42">
        <v>217736</v>
      </c>
      <c r="AX30" s="42">
        <v>107864</v>
      </c>
      <c r="AZ30" s="42">
        <v>0</v>
      </c>
      <c r="BB30" s="42">
        <f t="shared" si="4"/>
        <v>30415038</v>
      </c>
      <c r="BD30" s="42">
        <v>0</v>
      </c>
      <c r="BF30" s="42">
        <v>0</v>
      </c>
      <c r="BH30" s="42">
        <v>0</v>
      </c>
      <c r="BJ30" s="42">
        <v>0</v>
      </c>
      <c r="BL30" s="42">
        <f t="shared" si="2"/>
        <v>30415038</v>
      </c>
      <c r="BN30" s="42">
        <f>+'Gen Fd Rev'!AM30-'Gen Fd Exp'!BL30</f>
        <v>-1014622</v>
      </c>
      <c r="BP30" s="42">
        <v>5338323</v>
      </c>
      <c r="BR30" s="42">
        <v>0</v>
      </c>
      <c r="BT30" s="42">
        <v>0</v>
      </c>
      <c r="BV30" s="42">
        <f t="shared" si="3"/>
        <v>4323701</v>
      </c>
      <c r="BX30" s="5">
        <f>+BV30-'Gen Fd BS'!AI30+BT30</f>
        <v>0</v>
      </c>
    </row>
    <row r="31" spans="1:76">
      <c r="A31" s="9" t="s">
        <v>664</v>
      </c>
      <c r="B31" s="9"/>
      <c r="C31" s="9" t="s">
        <v>12</v>
      </c>
      <c r="D31" s="9"/>
      <c r="E31" s="23">
        <v>43513</v>
      </c>
      <c r="F31" s="7"/>
      <c r="G31" s="42">
        <v>15466479</v>
      </c>
      <c r="I31" s="42">
        <v>4278420</v>
      </c>
      <c r="K31" s="42">
        <v>194946</v>
      </c>
      <c r="M31" s="42">
        <v>0</v>
      </c>
      <c r="O31" s="42">
        <v>370880</v>
      </c>
      <c r="Q31" s="42">
        <v>1849980</v>
      </c>
      <c r="S31" s="42">
        <v>1466067</v>
      </c>
      <c r="U31" s="42">
        <v>223451</v>
      </c>
      <c r="W31" s="42">
        <v>2040147</v>
      </c>
      <c r="Y31" s="42">
        <v>727273</v>
      </c>
      <c r="AA31" s="42">
        <v>615633</v>
      </c>
      <c r="AC31" s="42">
        <v>3090033</v>
      </c>
      <c r="AE31" s="42">
        <v>1893802</v>
      </c>
      <c r="AG31" s="42">
        <v>120703</v>
      </c>
      <c r="AI31" s="42">
        <v>0</v>
      </c>
      <c r="AK31" s="42">
        <v>0</v>
      </c>
      <c r="AL31" s="9" t="s">
        <v>664</v>
      </c>
      <c r="AM31" s="9"/>
      <c r="AN31" s="9" t="s">
        <v>12</v>
      </c>
      <c r="AP31" s="42">
        <v>358451</v>
      </c>
      <c r="AR31" s="42">
        <v>1296</v>
      </c>
      <c r="AV31" s="42">
        <v>0</v>
      </c>
      <c r="AX31" s="42">
        <v>0</v>
      </c>
      <c r="AZ31" s="42">
        <v>0</v>
      </c>
      <c r="BB31" s="42">
        <f t="shared" si="4"/>
        <v>32697561</v>
      </c>
      <c r="BD31" s="42">
        <v>43642</v>
      </c>
      <c r="BF31" s="42">
        <v>0</v>
      </c>
      <c r="BH31" s="42">
        <v>0</v>
      </c>
      <c r="BJ31" s="42">
        <v>0</v>
      </c>
      <c r="BL31" s="42">
        <f t="shared" si="2"/>
        <v>32741203</v>
      </c>
      <c r="BN31" s="42">
        <f>+'Gen Fd Rev'!AM31-'Gen Fd Exp'!BL31</f>
        <v>-70560</v>
      </c>
      <c r="BP31" s="42">
        <v>798393</v>
      </c>
      <c r="BR31" s="42">
        <v>0</v>
      </c>
      <c r="BT31" s="42">
        <v>0</v>
      </c>
      <c r="BV31" s="42">
        <f t="shared" si="3"/>
        <v>727833</v>
      </c>
      <c r="BX31" s="5">
        <f>+BV31-'Gen Fd BS'!AI31+BT31</f>
        <v>0</v>
      </c>
    </row>
    <row r="32" spans="1:76">
      <c r="A32" s="9" t="s">
        <v>209</v>
      </c>
      <c r="B32" s="9"/>
      <c r="C32" s="9" t="s">
        <v>13</v>
      </c>
      <c r="D32" s="9"/>
      <c r="E32" s="23">
        <v>43521</v>
      </c>
      <c r="F32" s="7"/>
      <c r="G32" s="42">
        <v>15325873</v>
      </c>
      <c r="I32" s="42">
        <v>3226359</v>
      </c>
      <c r="K32" s="42">
        <v>349872</v>
      </c>
      <c r="M32" s="42">
        <v>0</v>
      </c>
      <c r="O32" s="42">
        <f>121426+13783</f>
        <v>135209</v>
      </c>
      <c r="Q32" s="42">
        <v>1370197</v>
      </c>
      <c r="S32" s="42">
        <v>1657458</v>
      </c>
      <c r="U32" s="42">
        <v>105761</v>
      </c>
      <c r="W32" s="42">
        <v>1695359</v>
      </c>
      <c r="Y32" s="42">
        <v>606365</v>
      </c>
      <c r="AA32" s="42">
        <v>527909</v>
      </c>
      <c r="AC32" s="42">
        <v>2769515</v>
      </c>
      <c r="AE32" s="42">
        <v>1590331</v>
      </c>
      <c r="AG32" s="42">
        <v>104974</v>
      </c>
      <c r="AI32" s="42">
        <v>0</v>
      </c>
      <c r="AK32" s="42">
        <v>4791</v>
      </c>
      <c r="AL32" s="9" t="s">
        <v>209</v>
      </c>
      <c r="AM32" s="9"/>
      <c r="AN32" s="9" t="s">
        <v>13</v>
      </c>
      <c r="AP32" s="42">
        <v>378451</v>
      </c>
      <c r="AR32" s="42">
        <v>7548</v>
      </c>
      <c r="AV32" s="42">
        <v>18166</v>
      </c>
      <c r="AX32" s="42">
        <v>0</v>
      </c>
      <c r="AZ32" s="42">
        <v>0</v>
      </c>
      <c r="BB32" s="42">
        <f t="shared" si="4"/>
        <v>29874138</v>
      </c>
      <c r="BD32" s="42">
        <v>3300</v>
      </c>
      <c r="BF32" s="42">
        <v>0</v>
      </c>
      <c r="BH32" s="42">
        <v>0</v>
      </c>
      <c r="BJ32" s="42">
        <v>0</v>
      </c>
      <c r="BL32" s="42">
        <f t="shared" si="2"/>
        <v>29877438</v>
      </c>
      <c r="BN32" s="42">
        <f>+'Gen Fd Rev'!AM32-'Gen Fd Exp'!BL32</f>
        <v>-476309</v>
      </c>
      <c r="BP32" s="42">
        <v>7570798</v>
      </c>
      <c r="BR32" s="42">
        <v>0</v>
      </c>
      <c r="BT32" s="42">
        <v>0</v>
      </c>
      <c r="BV32" s="42">
        <f t="shared" si="3"/>
        <v>7094489</v>
      </c>
      <c r="BX32" s="5">
        <f>+BV32-'Gen Fd BS'!AI32+BT32</f>
        <v>0</v>
      </c>
    </row>
    <row r="33" spans="1:76">
      <c r="A33" s="9" t="s">
        <v>456</v>
      </c>
      <c r="B33" s="9"/>
      <c r="C33" s="9" t="s">
        <v>56</v>
      </c>
      <c r="D33" s="9"/>
      <c r="E33" s="23">
        <v>49171</v>
      </c>
      <c r="G33" s="42">
        <v>13741915</v>
      </c>
      <c r="I33" s="42">
        <v>3194023</v>
      </c>
      <c r="K33" s="42">
        <v>208656</v>
      </c>
      <c r="M33" s="42">
        <v>0</v>
      </c>
      <c r="O33" s="42">
        <v>1231781</v>
      </c>
      <c r="Q33" s="42">
        <v>1718268</v>
      </c>
      <c r="S33" s="42">
        <v>1213519</v>
      </c>
      <c r="U33" s="42">
        <v>89155</v>
      </c>
      <c r="W33" s="42">
        <v>2169641</v>
      </c>
      <c r="Y33" s="42">
        <v>811113</v>
      </c>
      <c r="AA33" s="42">
        <v>205225</v>
      </c>
      <c r="AC33" s="42">
        <v>2567978</v>
      </c>
      <c r="AE33" s="42">
        <v>1630646</v>
      </c>
      <c r="AG33" s="42">
        <v>73573</v>
      </c>
      <c r="AI33" s="42">
        <v>0</v>
      </c>
      <c r="AK33" s="42">
        <v>0</v>
      </c>
      <c r="AL33" s="9" t="s">
        <v>456</v>
      </c>
      <c r="AM33" s="9"/>
      <c r="AN33" s="9" t="s">
        <v>56</v>
      </c>
      <c r="AP33" s="42">
        <v>671720</v>
      </c>
      <c r="AR33" s="42">
        <v>176772</v>
      </c>
      <c r="AV33" s="42">
        <v>119317</v>
      </c>
      <c r="AX33" s="42">
        <v>362492</v>
      </c>
      <c r="AZ33" s="42">
        <v>0</v>
      </c>
      <c r="BB33" s="42">
        <f t="shared" si="4"/>
        <v>30185794</v>
      </c>
      <c r="BD33" s="42">
        <v>0</v>
      </c>
      <c r="BF33" s="42">
        <v>0</v>
      </c>
      <c r="BH33" s="42">
        <v>0</v>
      </c>
      <c r="BJ33" s="42">
        <v>0</v>
      </c>
      <c r="BL33" s="42">
        <f t="shared" si="2"/>
        <v>30185794</v>
      </c>
      <c r="BN33" s="42">
        <f>+'Gen Fd Rev'!AM33-'Gen Fd Exp'!BL33</f>
        <v>34718</v>
      </c>
      <c r="BP33" s="42">
        <v>2311696</v>
      </c>
      <c r="BR33" s="42">
        <v>0</v>
      </c>
      <c r="BT33" s="42">
        <v>0</v>
      </c>
      <c r="BV33" s="42">
        <f t="shared" si="3"/>
        <v>2346414</v>
      </c>
      <c r="BX33" s="5">
        <f>+BV33-'Gen Fd BS'!AI33+BT33</f>
        <v>0</v>
      </c>
    </row>
    <row r="34" spans="1:76">
      <c r="A34" s="9" t="s">
        <v>398</v>
      </c>
      <c r="B34" s="9"/>
      <c r="C34" s="9" t="s">
        <v>45</v>
      </c>
      <c r="D34" s="9"/>
      <c r="E34" s="23">
        <v>48298</v>
      </c>
      <c r="G34" s="42">
        <v>18551532</v>
      </c>
      <c r="I34" s="42">
        <v>4299182</v>
      </c>
      <c r="K34" s="42">
        <v>504341</v>
      </c>
      <c r="M34" s="42">
        <v>0</v>
      </c>
      <c r="O34" s="42">
        <v>2064679</v>
      </c>
      <c r="Q34" s="42">
        <v>2863826</v>
      </c>
      <c r="S34" s="42">
        <v>1143686</v>
      </c>
      <c r="U34" s="42">
        <v>76897</v>
      </c>
      <c r="W34" s="42">
        <v>3545127</v>
      </c>
      <c r="Y34" s="42">
        <v>916502</v>
      </c>
      <c r="AA34" s="42">
        <v>2766</v>
      </c>
      <c r="AC34" s="42">
        <v>3530125</v>
      </c>
      <c r="AE34" s="42">
        <v>1848102</v>
      </c>
      <c r="AG34" s="42">
        <v>34522</v>
      </c>
      <c r="AI34" s="42">
        <v>0</v>
      </c>
      <c r="AK34" s="42">
        <v>4059</v>
      </c>
      <c r="AL34" s="9" t="s">
        <v>398</v>
      </c>
      <c r="AM34" s="9"/>
      <c r="AN34" s="9" t="s">
        <v>45</v>
      </c>
      <c r="AP34" s="42">
        <v>543429</v>
      </c>
      <c r="AR34" s="42">
        <v>11230</v>
      </c>
      <c r="AV34" s="42">
        <v>0</v>
      </c>
      <c r="AX34" s="42">
        <v>0</v>
      </c>
      <c r="AZ34" s="42">
        <v>0</v>
      </c>
      <c r="BB34" s="42">
        <f t="shared" si="4"/>
        <v>39940005</v>
      </c>
      <c r="BD34" s="42">
        <v>769680</v>
      </c>
      <c r="BF34" s="42">
        <v>0</v>
      </c>
      <c r="BH34" s="42">
        <v>0</v>
      </c>
      <c r="BJ34" s="42">
        <v>0</v>
      </c>
      <c r="BL34" s="42">
        <f t="shared" si="2"/>
        <v>40709685</v>
      </c>
      <c r="BN34" s="42">
        <f>+'Gen Fd Rev'!AM34-'Gen Fd Exp'!BL34</f>
        <v>-404470</v>
      </c>
      <c r="BP34" s="42">
        <v>1902507</v>
      </c>
      <c r="BR34" s="42">
        <v>0</v>
      </c>
      <c r="BT34" s="42">
        <v>0</v>
      </c>
      <c r="BV34" s="42">
        <f t="shared" si="3"/>
        <v>1498037</v>
      </c>
      <c r="BX34" s="5">
        <f>+BV34-'Gen Fd BS'!AI34+BT34</f>
        <v>0</v>
      </c>
    </row>
    <row r="35" spans="1:76">
      <c r="A35" s="9" t="s">
        <v>378</v>
      </c>
      <c r="B35" s="9"/>
      <c r="C35" s="9" t="s">
        <v>44</v>
      </c>
      <c r="D35" s="9"/>
      <c r="E35" s="23">
        <v>48124</v>
      </c>
      <c r="G35" s="42">
        <v>18834748</v>
      </c>
      <c r="I35" s="42">
        <v>2710194</v>
      </c>
      <c r="K35" s="42">
        <v>102276</v>
      </c>
      <c r="M35" s="42">
        <v>12586</v>
      </c>
      <c r="O35" s="42">
        <v>1357579</v>
      </c>
      <c r="Q35" s="42">
        <v>3720150</v>
      </c>
      <c r="S35" s="42">
        <v>840400</v>
      </c>
      <c r="U35" s="42">
        <v>16134</v>
      </c>
      <c r="W35" s="42">
        <v>2982517</v>
      </c>
      <c r="Y35" s="42">
        <v>974519</v>
      </c>
      <c r="AA35" s="42">
        <v>145900</v>
      </c>
      <c r="AC35" s="42">
        <v>4210894</v>
      </c>
      <c r="AE35" s="42">
        <v>1678434</v>
      </c>
      <c r="AG35" s="42">
        <v>308372</v>
      </c>
      <c r="AI35" s="42">
        <v>0</v>
      </c>
      <c r="AK35" s="42">
        <v>4066</v>
      </c>
      <c r="AL35" s="9" t="s">
        <v>378</v>
      </c>
      <c r="AM35" s="9"/>
      <c r="AN35" s="9" t="s">
        <v>44</v>
      </c>
      <c r="AP35" s="42">
        <v>931924</v>
      </c>
      <c r="AR35" s="42">
        <v>0</v>
      </c>
      <c r="AV35" s="42">
        <v>93449</v>
      </c>
      <c r="AX35" s="42">
        <v>15918</v>
      </c>
      <c r="AZ35" s="42">
        <v>0</v>
      </c>
      <c r="BB35" s="42">
        <f t="shared" si="4"/>
        <v>38940060</v>
      </c>
      <c r="BD35" s="42">
        <v>0</v>
      </c>
      <c r="BF35" s="42">
        <v>0</v>
      </c>
      <c r="BH35" s="42">
        <v>0</v>
      </c>
      <c r="BJ35" s="42">
        <v>0</v>
      </c>
      <c r="BL35" s="42">
        <f t="shared" si="2"/>
        <v>38940060</v>
      </c>
      <c r="BN35" s="42">
        <f>+'Gen Fd Rev'!AM35-'Gen Fd Exp'!BL35</f>
        <v>-4478258</v>
      </c>
      <c r="BP35" s="42">
        <v>9257767</v>
      </c>
      <c r="BR35" s="42">
        <v>0</v>
      </c>
      <c r="BT35" s="42">
        <v>0</v>
      </c>
      <c r="BV35" s="42">
        <f t="shared" si="3"/>
        <v>4779509</v>
      </c>
      <c r="BX35" s="5">
        <f>+BV35-'Gen Fd BS'!AI35+BT35</f>
        <v>0</v>
      </c>
    </row>
    <row r="36" spans="1:76">
      <c r="A36" s="9" t="s">
        <v>379</v>
      </c>
      <c r="B36" s="9"/>
      <c r="C36" s="9" t="s">
        <v>44</v>
      </c>
      <c r="D36" s="9"/>
      <c r="E36" s="23">
        <v>48116</v>
      </c>
      <c r="G36" s="42">
        <v>14840499</v>
      </c>
      <c r="I36" s="42">
        <v>5413625</v>
      </c>
      <c r="K36" s="42">
        <v>172805</v>
      </c>
      <c r="M36" s="42">
        <v>0</v>
      </c>
      <c r="O36" s="42">
        <v>752579</v>
      </c>
      <c r="Q36" s="42">
        <v>1041230</v>
      </c>
      <c r="S36" s="42">
        <v>578123</v>
      </c>
      <c r="U36" s="42">
        <v>143000</v>
      </c>
      <c r="W36" s="42">
        <v>2535337</v>
      </c>
      <c r="Y36" s="42">
        <v>824424</v>
      </c>
      <c r="AA36" s="42">
        <v>-34710</v>
      </c>
      <c r="AC36" s="42">
        <v>2288088</v>
      </c>
      <c r="AE36" s="42">
        <v>1773265</v>
      </c>
      <c r="AG36" s="42">
        <v>100323</v>
      </c>
      <c r="AI36" s="42">
        <v>0</v>
      </c>
      <c r="AK36" s="42">
        <f>300+8832</f>
        <v>9132</v>
      </c>
      <c r="AL36" s="9" t="s">
        <v>379</v>
      </c>
      <c r="AM36" s="9"/>
      <c r="AN36" s="9" t="s">
        <v>44</v>
      </c>
      <c r="AP36" s="42">
        <v>735509</v>
      </c>
      <c r="AR36" s="42">
        <v>0</v>
      </c>
      <c r="AV36" s="42">
        <v>107392</v>
      </c>
      <c r="AX36" s="42">
        <v>6079</v>
      </c>
      <c r="AZ36" s="42">
        <v>0</v>
      </c>
      <c r="BB36" s="42">
        <f t="shared" si="4"/>
        <v>31286700</v>
      </c>
      <c r="BD36" s="42">
        <v>0</v>
      </c>
      <c r="BF36" s="42">
        <v>0</v>
      </c>
      <c r="BH36" s="42">
        <v>0</v>
      </c>
      <c r="BJ36" s="42">
        <v>0</v>
      </c>
      <c r="BL36" s="42">
        <f t="shared" si="2"/>
        <v>31286700</v>
      </c>
      <c r="BN36" s="42">
        <f>+'Gen Fd Rev'!AM36-'Gen Fd Exp'!BL36</f>
        <v>525309</v>
      </c>
      <c r="BP36" s="42">
        <v>11535890</v>
      </c>
      <c r="BR36" s="42">
        <v>0</v>
      </c>
      <c r="BT36" s="42">
        <v>0</v>
      </c>
      <c r="BV36" s="42">
        <f t="shared" si="3"/>
        <v>12061199</v>
      </c>
      <c r="BX36" s="5">
        <f>+BV36-'Gen Fd BS'!AI36+BT36</f>
        <v>0</v>
      </c>
    </row>
    <row r="37" spans="1:76">
      <c r="A37" s="9" t="s">
        <v>281</v>
      </c>
      <c r="B37" s="9"/>
      <c r="C37" s="9" t="s">
        <v>22</v>
      </c>
      <c r="D37" s="9"/>
      <c r="E37" s="23">
        <v>46706</v>
      </c>
      <c r="G37" s="42">
        <v>3858214</v>
      </c>
      <c r="I37" s="42">
        <v>373533</v>
      </c>
      <c r="K37" s="42">
        <v>61926</v>
      </c>
      <c r="M37" s="42">
        <v>0</v>
      </c>
      <c r="O37" s="42">
        <v>367901</v>
      </c>
      <c r="Q37" s="42">
        <v>374924</v>
      </c>
      <c r="S37" s="42">
        <v>272381</v>
      </c>
      <c r="U37" s="42">
        <v>23406</v>
      </c>
      <c r="W37" s="42">
        <v>566242</v>
      </c>
      <c r="Y37" s="42">
        <v>310425</v>
      </c>
      <c r="AA37" s="42">
        <v>0</v>
      </c>
      <c r="AC37" s="42">
        <v>562413</v>
      </c>
      <c r="AE37" s="42">
        <v>352567</v>
      </c>
      <c r="AG37" s="42">
        <v>34274</v>
      </c>
      <c r="AI37" s="42">
        <v>0</v>
      </c>
      <c r="AK37" s="42">
        <v>10973</v>
      </c>
      <c r="AL37" s="9" t="s">
        <v>281</v>
      </c>
      <c r="AM37" s="9"/>
      <c r="AN37" s="9" t="s">
        <v>22</v>
      </c>
      <c r="AP37" s="42">
        <v>330600</v>
      </c>
      <c r="AR37" s="42">
        <v>95304</v>
      </c>
      <c r="AV37" s="42">
        <v>134808</v>
      </c>
      <c r="AX37" s="42">
        <v>6218</v>
      </c>
      <c r="AZ37" s="42">
        <v>0</v>
      </c>
      <c r="BB37" s="42">
        <f t="shared" si="4"/>
        <v>7736109</v>
      </c>
      <c r="BD37" s="42">
        <v>6500</v>
      </c>
      <c r="BF37" s="42">
        <v>0</v>
      </c>
      <c r="BH37" s="42">
        <v>0</v>
      </c>
      <c r="BJ37" s="42">
        <v>0</v>
      </c>
      <c r="BL37" s="42">
        <f t="shared" si="2"/>
        <v>7742609</v>
      </c>
      <c r="BN37" s="42">
        <f>+'Gen Fd Rev'!AM37-'Gen Fd Exp'!BL37</f>
        <v>-229684</v>
      </c>
      <c r="BP37" s="42">
        <v>3923807</v>
      </c>
      <c r="BR37" s="42">
        <v>24017</v>
      </c>
      <c r="BT37" s="42">
        <v>0</v>
      </c>
      <c r="BV37" s="42">
        <f t="shared" si="3"/>
        <v>3670106</v>
      </c>
      <c r="BX37" s="5">
        <f>+BV37-'Gen Fd BS'!AI37+BT37</f>
        <v>0</v>
      </c>
    </row>
    <row r="38" spans="1:76">
      <c r="A38" s="9" t="s">
        <v>503</v>
      </c>
      <c r="B38" s="9"/>
      <c r="C38" s="9" t="s">
        <v>63</v>
      </c>
      <c r="D38" s="9"/>
      <c r="E38" s="23">
        <v>43539</v>
      </c>
      <c r="G38" s="42">
        <v>14284500</v>
      </c>
      <c r="I38" s="42">
        <v>4445831</v>
      </c>
      <c r="K38" s="42">
        <v>1183794</v>
      </c>
      <c r="M38" s="42">
        <v>0</v>
      </c>
      <c r="O38" s="42">
        <v>4681615</v>
      </c>
      <c r="Q38" s="42">
        <v>2124257</v>
      </c>
      <c r="S38" s="42">
        <v>652421</v>
      </c>
      <c r="U38" s="42">
        <v>28193</v>
      </c>
      <c r="W38" s="42">
        <v>2759222</v>
      </c>
      <c r="Y38" s="42">
        <v>447663</v>
      </c>
      <c r="AA38" s="42">
        <v>257241</v>
      </c>
      <c r="AC38" s="42">
        <v>3355775</v>
      </c>
      <c r="AE38" s="42">
        <v>1074733</v>
      </c>
      <c r="AG38" s="42">
        <v>84445</v>
      </c>
      <c r="AI38" s="42">
        <v>0</v>
      </c>
      <c r="AK38" s="42">
        <v>106701</v>
      </c>
      <c r="AL38" s="9" t="s">
        <v>503</v>
      </c>
      <c r="AM38" s="9"/>
      <c r="AN38" s="9" t="s">
        <v>63</v>
      </c>
      <c r="AP38" s="42">
        <v>952685</v>
      </c>
      <c r="AR38" s="42">
        <v>7887</v>
      </c>
      <c r="AV38" s="42">
        <v>0</v>
      </c>
      <c r="AX38" s="42">
        <v>0</v>
      </c>
      <c r="AZ38" s="42">
        <v>0</v>
      </c>
      <c r="BB38" s="42">
        <f t="shared" si="4"/>
        <v>36446963</v>
      </c>
      <c r="BD38" s="42">
        <v>46472</v>
      </c>
      <c r="BF38" s="42">
        <v>0</v>
      </c>
      <c r="BH38" s="42">
        <v>0</v>
      </c>
      <c r="BJ38" s="42">
        <v>0</v>
      </c>
      <c r="BL38" s="42">
        <f t="shared" si="2"/>
        <v>36493435</v>
      </c>
      <c r="BN38" s="42">
        <f>+'Gen Fd Rev'!AM38-'Gen Fd Exp'!BL38</f>
        <v>-373529</v>
      </c>
      <c r="BP38" s="42">
        <v>3183953</v>
      </c>
      <c r="BR38" s="42">
        <v>0</v>
      </c>
      <c r="BT38" s="42">
        <v>0</v>
      </c>
      <c r="BV38" s="42">
        <f t="shared" si="3"/>
        <v>2810424</v>
      </c>
      <c r="BX38" s="5">
        <f>+BV38-'Gen Fd BS'!AI38+BT38</f>
        <v>0</v>
      </c>
    </row>
    <row r="39" spans="1:76">
      <c r="A39" s="9" t="s">
        <v>744</v>
      </c>
      <c r="B39" s="9"/>
      <c r="C39" s="9" t="s">
        <v>15</v>
      </c>
      <c r="D39" s="9"/>
      <c r="E39" s="23">
        <v>45203</v>
      </c>
      <c r="G39" s="42">
        <v>3294595</v>
      </c>
      <c r="I39" s="42">
        <v>777555</v>
      </c>
      <c r="K39" s="42">
        <v>147475</v>
      </c>
      <c r="M39" s="42">
        <v>0</v>
      </c>
      <c r="O39" s="42">
        <v>47191</v>
      </c>
      <c r="Q39" s="42">
        <v>782868</v>
      </c>
      <c r="S39" s="42">
        <v>323439</v>
      </c>
      <c r="U39" s="42">
        <v>95679</v>
      </c>
      <c r="W39" s="42">
        <v>436939</v>
      </c>
      <c r="Y39" s="42">
        <v>426248</v>
      </c>
      <c r="AA39" s="42">
        <v>22776</v>
      </c>
      <c r="AC39" s="42">
        <v>1107143</v>
      </c>
      <c r="AE39" s="42">
        <v>494507</v>
      </c>
      <c r="AG39" s="42">
        <v>21556</v>
      </c>
      <c r="AI39" s="42">
        <v>0</v>
      </c>
      <c r="AK39" s="42">
        <v>0</v>
      </c>
      <c r="AL39" s="9" t="s">
        <v>744</v>
      </c>
      <c r="AM39" s="9"/>
      <c r="AN39" s="9" t="s">
        <v>15</v>
      </c>
      <c r="AP39" s="42">
        <v>125006</v>
      </c>
      <c r="AR39" s="42">
        <v>682288</v>
      </c>
      <c r="AV39" s="42">
        <v>70662</v>
      </c>
      <c r="AX39" s="42">
        <v>19552</v>
      </c>
      <c r="AZ39" s="42">
        <v>0</v>
      </c>
      <c r="BB39" s="42">
        <f t="shared" si="4"/>
        <v>8875479</v>
      </c>
      <c r="BD39" s="42">
        <v>1920594</v>
      </c>
      <c r="BF39" s="42">
        <v>0</v>
      </c>
      <c r="BH39" s="42">
        <v>0</v>
      </c>
      <c r="BJ39" s="42">
        <v>0</v>
      </c>
      <c r="BL39" s="42">
        <f t="shared" si="2"/>
        <v>10796073</v>
      </c>
      <c r="BN39" s="42">
        <f>+'Gen Fd Rev'!AM39-'Gen Fd Exp'!BL39</f>
        <v>528504</v>
      </c>
      <c r="BP39" s="42">
        <v>3027899</v>
      </c>
      <c r="BR39" s="42">
        <v>0</v>
      </c>
      <c r="BT39" s="42">
        <v>0</v>
      </c>
      <c r="BV39" s="42">
        <f t="shared" si="3"/>
        <v>3556403</v>
      </c>
      <c r="BX39" s="5">
        <f>+BV39-'Gen Fd BS'!AI39+BT39</f>
        <v>0</v>
      </c>
    </row>
    <row r="40" spans="1:76">
      <c r="A40" s="9" t="s">
        <v>235</v>
      </c>
      <c r="B40" s="9"/>
      <c r="C40" s="9" t="s">
        <v>112</v>
      </c>
      <c r="D40" s="9"/>
      <c r="E40" s="23">
        <v>46300</v>
      </c>
      <c r="F40" s="7"/>
      <c r="G40" s="42">
        <v>7581426</v>
      </c>
      <c r="I40" s="42">
        <v>4695011</v>
      </c>
      <c r="K40" s="42">
        <v>0</v>
      </c>
      <c r="M40" s="42">
        <v>0</v>
      </c>
      <c r="O40" s="42">
        <v>16250</v>
      </c>
      <c r="Q40" s="42">
        <v>415049</v>
      </c>
      <c r="S40" s="42">
        <v>267817</v>
      </c>
      <c r="U40" s="42">
        <v>233854</v>
      </c>
      <c r="W40" s="42">
        <v>1263999</v>
      </c>
      <c r="Y40" s="42">
        <v>528245</v>
      </c>
      <c r="AA40" s="42">
        <v>0</v>
      </c>
      <c r="AC40" s="42">
        <v>1244962</v>
      </c>
      <c r="AE40" s="42">
        <v>1387286</v>
      </c>
      <c r="AG40" s="42">
        <v>26775</v>
      </c>
      <c r="AI40" s="42">
        <v>0</v>
      </c>
      <c r="AK40" s="42">
        <v>0</v>
      </c>
      <c r="AL40" s="9" t="s">
        <v>235</v>
      </c>
      <c r="AM40" s="9"/>
      <c r="AN40" s="9" t="s">
        <v>112</v>
      </c>
      <c r="AP40" s="42">
        <v>225881</v>
      </c>
      <c r="AR40" s="42">
        <v>300820</v>
      </c>
      <c r="AV40" s="42">
        <v>488820</v>
      </c>
      <c r="AX40" s="42">
        <v>36131</v>
      </c>
      <c r="AZ40" s="42">
        <v>0</v>
      </c>
      <c r="BB40" s="42">
        <f t="shared" si="4"/>
        <v>18712326</v>
      </c>
      <c r="BD40" s="42">
        <v>65910</v>
      </c>
      <c r="BF40" s="42">
        <v>0</v>
      </c>
      <c r="BH40" s="42">
        <v>0</v>
      </c>
      <c r="BJ40" s="42">
        <v>0</v>
      </c>
      <c r="BL40" s="42">
        <f t="shared" si="2"/>
        <v>18778236</v>
      </c>
      <c r="BN40" s="42">
        <f>+'Gen Fd Rev'!AM40-'Gen Fd Exp'!BL40</f>
        <v>-749055</v>
      </c>
      <c r="BP40" s="42">
        <v>-138162</v>
      </c>
      <c r="BR40" s="42">
        <v>0</v>
      </c>
      <c r="BT40" s="42">
        <v>0</v>
      </c>
      <c r="BV40" s="42">
        <f t="shared" si="3"/>
        <v>-887217</v>
      </c>
      <c r="BX40" s="5">
        <f>+BV40-'Gen Fd BS'!AI40+BT40</f>
        <v>0</v>
      </c>
    </row>
    <row r="41" spans="1:76" hidden="1">
      <c r="A41" s="9" t="s">
        <v>666</v>
      </c>
      <c r="B41" s="9"/>
      <c r="C41" s="9" t="s">
        <v>10</v>
      </c>
      <c r="D41" s="9"/>
      <c r="E41" s="23">
        <v>45765</v>
      </c>
      <c r="F41" s="7"/>
      <c r="G41" s="42">
        <v>0</v>
      </c>
      <c r="I41" s="42">
        <v>0</v>
      </c>
      <c r="K41" s="42">
        <v>0</v>
      </c>
      <c r="M41" s="42">
        <v>0</v>
      </c>
      <c r="O41" s="42">
        <v>0</v>
      </c>
      <c r="Q41" s="42">
        <v>0</v>
      </c>
      <c r="S41" s="42">
        <v>0</v>
      </c>
      <c r="U41" s="42">
        <v>0</v>
      </c>
      <c r="W41" s="42">
        <v>0</v>
      </c>
      <c r="Y41" s="42">
        <v>0</v>
      </c>
      <c r="AA41" s="42">
        <v>0</v>
      </c>
      <c r="AC41" s="42">
        <v>0</v>
      </c>
      <c r="AE41" s="42">
        <v>0</v>
      </c>
      <c r="AG41" s="42">
        <v>0</v>
      </c>
      <c r="AI41" s="42">
        <v>0</v>
      </c>
      <c r="AK41" s="42">
        <v>0</v>
      </c>
      <c r="AL41" s="9" t="s">
        <v>666</v>
      </c>
      <c r="AM41" s="9"/>
      <c r="AN41" s="9" t="s">
        <v>10</v>
      </c>
      <c r="AP41" s="42">
        <v>0</v>
      </c>
      <c r="AR41" s="42">
        <v>0</v>
      </c>
      <c r="AV41" s="42">
        <v>0</v>
      </c>
      <c r="AX41" s="42">
        <v>0</v>
      </c>
      <c r="AZ41" s="42">
        <v>0</v>
      </c>
      <c r="BB41" s="42">
        <f t="shared" si="4"/>
        <v>0</v>
      </c>
      <c r="BD41" s="42">
        <v>0</v>
      </c>
      <c r="BF41" s="42">
        <v>0</v>
      </c>
      <c r="BH41" s="42">
        <v>0</v>
      </c>
      <c r="BJ41" s="42">
        <v>0</v>
      </c>
      <c r="BL41" s="42">
        <f t="shared" si="2"/>
        <v>0</v>
      </c>
      <c r="BN41" s="42">
        <f>+'Gen Fd Rev'!AM41-'Gen Fd Exp'!BL41</f>
        <v>0</v>
      </c>
      <c r="BP41" s="42">
        <v>0</v>
      </c>
      <c r="BR41" s="42">
        <v>0</v>
      </c>
      <c r="BT41" s="42">
        <v>0</v>
      </c>
      <c r="BV41" s="42">
        <f t="shared" si="3"/>
        <v>0</v>
      </c>
      <c r="BX41" s="5">
        <f>+BV41-'Gen Fd BS'!AI41+BT41</f>
        <v>0</v>
      </c>
    </row>
    <row r="42" spans="1:76">
      <c r="A42" s="9" t="s">
        <v>629</v>
      </c>
      <c r="B42" s="9"/>
      <c r="C42" s="9" t="s">
        <v>20</v>
      </c>
      <c r="D42" s="9"/>
      <c r="E42" s="23">
        <v>43547</v>
      </c>
      <c r="G42" s="42">
        <v>13261624</v>
      </c>
      <c r="I42" s="42">
        <v>2161129</v>
      </c>
      <c r="K42" s="42">
        <v>371066</v>
      </c>
      <c r="M42" s="42">
        <v>0</v>
      </c>
      <c r="O42" s="42">
        <v>1301574</v>
      </c>
      <c r="Q42" s="42">
        <v>2585811</v>
      </c>
      <c r="S42" s="42">
        <v>753164</v>
      </c>
      <c r="U42" s="42">
        <v>72708</v>
      </c>
      <c r="W42" s="42">
        <v>2192376</v>
      </c>
      <c r="Y42" s="42">
        <v>771006</v>
      </c>
      <c r="AA42" s="42">
        <v>419264</v>
      </c>
      <c r="AC42" s="42">
        <v>2742435</v>
      </c>
      <c r="AE42" s="42">
        <v>828589</v>
      </c>
      <c r="AG42" s="42">
        <v>455565</v>
      </c>
      <c r="AI42" s="42">
        <v>0</v>
      </c>
      <c r="AK42" s="42">
        <f>27409+824759</f>
        <v>852168</v>
      </c>
      <c r="AL42" s="9" t="s">
        <v>629</v>
      </c>
      <c r="AM42" s="9"/>
      <c r="AN42" s="9" t="s">
        <v>20</v>
      </c>
      <c r="AP42" s="42">
        <f>271742+638518</f>
        <v>910260</v>
      </c>
      <c r="AR42" s="42">
        <v>968528</v>
      </c>
      <c r="AV42" s="42">
        <v>110000</v>
      </c>
      <c r="AX42" s="42">
        <v>81631</v>
      </c>
      <c r="AZ42" s="42">
        <v>0</v>
      </c>
      <c r="BB42" s="42">
        <f t="shared" si="4"/>
        <v>30838898</v>
      </c>
      <c r="BD42" s="42">
        <v>58868</v>
      </c>
      <c r="BF42" s="42">
        <v>0</v>
      </c>
      <c r="BH42" s="42">
        <v>0</v>
      </c>
      <c r="BJ42" s="42">
        <v>0</v>
      </c>
      <c r="BL42" s="42">
        <f t="shared" si="2"/>
        <v>30897766</v>
      </c>
      <c r="BN42" s="42">
        <f>+'Gen Fd Rev'!AM42-'Gen Fd Exp'!BL42</f>
        <v>839689</v>
      </c>
      <c r="BP42" s="42">
        <v>8597825</v>
      </c>
      <c r="BR42" s="42">
        <v>0</v>
      </c>
      <c r="BT42" s="42">
        <v>0</v>
      </c>
      <c r="BV42" s="42">
        <f t="shared" si="3"/>
        <v>9437514</v>
      </c>
      <c r="BX42" s="5">
        <f>+BV42-'Gen Fd BS'!AI42+BT42</f>
        <v>0</v>
      </c>
    </row>
    <row r="43" spans="1:76">
      <c r="A43" s="9" t="s">
        <v>259</v>
      </c>
      <c r="B43" s="9"/>
      <c r="C43" s="9" t="s">
        <v>20</v>
      </c>
      <c r="D43" s="9"/>
      <c r="E43" s="23">
        <v>43554</v>
      </c>
      <c r="G43" s="42">
        <v>11412862</v>
      </c>
      <c r="I43" s="42">
        <v>4984498</v>
      </c>
      <c r="K43" s="42">
        <v>403065</v>
      </c>
      <c r="M43" s="42">
        <v>0</v>
      </c>
      <c r="O43" s="42">
        <v>267839</v>
      </c>
      <c r="Q43" s="42">
        <v>1768942</v>
      </c>
      <c r="S43" s="42">
        <v>1212217</v>
      </c>
      <c r="U43" s="42">
        <v>585644</v>
      </c>
      <c r="W43" s="42">
        <v>2379435</v>
      </c>
      <c r="Y43" s="42">
        <v>873144</v>
      </c>
      <c r="AA43" s="42">
        <v>415861</v>
      </c>
      <c r="AC43" s="42">
        <v>2963793</v>
      </c>
      <c r="AE43" s="42">
        <v>2019465</v>
      </c>
      <c r="AG43" s="42">
        <v>916199</v>
      </c>
      <c r="AI43" s="42">
        <v>0</v>
      </c>
      <c r="AK43" s="42">
        <v>9216</v>
      </c>
      <c r="AL43" s="9" t="s">
        <v>259</v>
      </c>
      <c r="AM43" s="9"/>
      <c r="AN43" s="9" t="s">
        <v>20</v>
      </c>
      <c r="AP43" s="42">
        <v>922106</v>
      </c>
      <c r="AR43" s="42">
        <v>141355</v>
      </c>
      <c r="AV43" s="42">
        <v>0</v>
      </c>
      <c r="AX43" s="42">
        <v>0</v>
      </c>
      <c r="AZ43" s="42">
        <v>0</v>
      </c>
      <c r="BB43" s="42">
        <f t="shared" si="4"/>
        <v>31275641</v>
      </c>
      <c r="BD43" s="42">
        <v>331600</v>
      </c>
      <c r="BF43" s="42">
        <v>0</v>
      </c>
      <c r="BH43" s="42">
        <v>0</v>
      </c>
      <c r="BJ43" s="42">
        <v>0</v>
      </c>
      <c r="BL43" s="42">
        <f t="shared" si="2"/>
        <v>31607241</v>
      </c>
      <c r="BN43" s="42">
        <f>+'Gen Fd Rev'!AM43-'Gen Fd Exp'!BL43</f>
        <v>3741144</v>
      </c>
      <c r="BP43" s="42">
        <v>18951505</v>
      </c>
      <c r="BR43" s="42">
        <v>0</v>
      </c>
      <c r="BT43" s="42">
        <v>0</v>
      </c>
      <c r="BV43" s="42">
        <f t="shared" si="3"/>
        <v>22692649</v>
      </c>
      <c r="BX43" s="5">
        <f>+BV43-'Gen Fd BS'!AI43+BT43</f>
        <v>0</v>
      </c>
    </row>
    <row r="44" spans="1:76">
      <c r="A44" s="9" t="s">
        <v>244</v>
      </c>
      <c r="B44" s="9"/>
      <c r="C44" s="9" t="s">
        <v>111</v>
      </c>
      <c r="D44" s="9"/>
      <c r="E44" s="23">
        <v>46425</v>
      </c>
      <c r="F44" s="7"/>
      <c r="G44" s="42">
        <v>10284510</v>
      </c>
      <c r="I44" s="42">
        <v>1363467</v>
      </c>
      <c r="K44" s="42">
        <v>8126</v>
      </c>
      <c r="M44" s="42">
        <v>0</v>
      </c>
      <c r="O44" s="42">
        <v>11490</v>
      </c>
      <c r="Q44" s="42">
        <v>461246</v>
      </c>
      <c r="S44" s="42">
        <v>599610</v>
      </c>
      <c r="U44" s="42">
        <v>27595</v>
      </c>
      <c r="W44" s="42">
        <v>1399664</v>
      </c>
      <c r="Y44" s="42">
        <v>436464</v>
      </c>
      <c r="AA44" s="42">
        <v>0</v>
      </c>
      <c r="AC44" s="42">
        <v>1238296</v>
      </c>
      <c r="AE44" s="42">
        <v>70561</v>
      </c>
      <c r="AG44" s="42">
        <v>1414146</v>
      </c>
      <c r="AI44" s="42">
        <v>0</v>
      </c>
      <c r="AK44" s="42">
        <v>0</v>
      </c>
      <c r="AL44" s="9" t="s">
        <v>244</v>
      </c>
      <c r="AM44" s="9"/>
      <c r="AN44" s="9" t="s">
        <v>111</v>
      </c>
      <c r="AP44" s="42">
        <v>383120</v>
      </c>
      <c r="AR44" s="42">
        <v>0</v>
      </c>
      <c r="AV44" s="42">
        <v>74059</v>
      </c>
      <c r="AX44" s="42">
        <v>10552</v>
      </c>
      <c r="AZ44" s="42">
        <v>0</v>
      </c>
      <c r="BB44" s="42">
        <f t="shared" si="4"/>
        <v>17782906</v>
      </c>
      <c r="BD44" s="42">
        <v>6000</v>
      </c>
      <c r="BF44" s="42">
        <v>0</v>
      </c>
      <c r="BH44" s="42">
        <v>0</v>
      </c>
      <c r="BJ44" s="42">
        <v>0</v>
      </c>
      <c r="BL44" s="42">
        <f t="shared" si="2"/>
        <v>17788906</v>
      </c>
      <c r="BN44" s="42">
        <f>+'Gen Fd Rev'!AM44-'Gen Fd Exp'!BL44</f>
        <v>-195298</v>
      </c>
      <c r="BP44" s="42">
        <v>-554208</v>
      </c>
      <c r="BR44" s="42">
        <v>0</v>
      </c>
      <c r="BT44" s="42">
        <v>0</v>
      </c>
      <c r="BV44" s="42">
        <f t="shared" si="3"/>
        <v>-749506</v>
      </c>
      <c r="BX44" s="5">
        <f>+BV44-'Gen Fd BS'!AI44+BT44</f>
        <v>0</v>
      </c>
    </row>
    <row r="45" spans="1:76">
      <c r="A45" s="9" t="s">
        <v>315</v>
      </c>
      <c r="B45" s="9"/>
      <c r="C45" s="9" t="s">
        <v>113</v>
      </c>
      <c r="D45" s="9"/>
      <c r="E45" s="23">
        <v>47241</v>
      </c>
      <c r="G45" s="42">
        <v>29511840</v>
      </c>
      <c r="I45" s="42">
        <v>9636947</v>
      </c>
      <c r="K45" s="42">
        <v>281390</v>
      </c>
      <c r="M45" s="42">
        <v>0</v>
      </c>
      <c r="O45" s="42">
        <f>193743+1845270</f>
        <v>2039013</v>
      </c>
      <c r="Q45" s="42">
        <v>4271246</v>
      </c>
      <c r="S45" s="42">
        <v>4254150</v>
      </c>
      <c r="U45" s="42">
        <v>69763</v>
      </c>
      <c r="W45" s="42">
        <v>4286207</v>
      </c>
      <c r="Y45" s="42">
        <v>1214015</v>
      </c>
      <c r="AA45" s="42">
        <v>386329</v>
      </c>
      <c r="AC45" s="42">
        <v>5387392</v>
      </c>
      <c r="AE45" s="42">
        <v>4452673</v>
      </c>
      <c r="AG45" s="42">
        <v>1284030</v>
      </c>
      <c r="AI45" s="42">
        <v>0</v>
      </c>
      <c r="AK45" s="42">
        <v>6900</v>
      </c>
      <c r="AL45" s="9" t="s">
        <v>315</v>
      </c>
      <c r="AM45" s="9"/>
      <c r="AN45" s="9" t="s">
        <v>113</v>
      </c>
      <c r="AP45" s="42">
        <f>291736+695040+30845</f>
        <v>1017621</v>
      </c>
      <c r="AR45" s="42">
        <f>1425+8179+63465</f>
        <v>73069</v>
      </c>
      <c r="AV45" s="42">
        <v>115000</v>
      </c>
      <c r="AX45" s="42">
        <v>130975</v>
      </c>
      <c r="AZ45" s="42">
        <v>0</v>
      </c>
      <c r="BB45" s="42">
        <f t="shared" si="4"/>
        <v>68418560</v>
      </c>
      <c r="BD45" s="42">
        <v>0</v>
      </c>
      <c r="BF45" s="42">
        <v>0</v>
      </c>
      <c r="BH45" s="42">
        <v>0</v>
      </c>
      <c r="BJ45" s="42">
        <v>0</v>
      </c>
      <c r="BL45" s="42">
        <f t="shared" si="2"/>
        <v>68418560</v>
      </c>
      <c r="BN45" s="42">
        <f>+'Gen Fd Rev'!AM45-'Gen Fd Exp'!BL45</f>
        <v>-1169567</v>
      </c>
      <c r="BP45" s="42">
        <v>16230855</v>
      </c>
      <c r="BR45" s="42">
        <v>0</v>
      </c>
      <c r="BT45" s="42">
        <v>0</v>
      </c>
      <c r="BV45" s="42">
        <f t="shared" si="3"/>
        <v>15061288</v>
      </c>
      <c r="BX45" s="5">
        <f>+BV45-'Gen Fd BS'!AI45+BT45</f>
        <v>0</v>
      </c>
    </row>
    <row r="46" spans="1:76">
      <c r="A46" s="9" t="s">
        <v>260</v>
      </c>
      <c r="B46" s="9"/>
      <c r="C46" s="9" t="s">
        <v>20</v>
      </c>
      <c r="D46" s="9"/>
      <c r="E46" s="23">
        <v>43562</v>
      </c>
      <c r="G46" s="42">
        <v>18757630</v>
      </c>
      <c r="I46" s="42">
        <v>4698401</v>
      </c>
      <c r="K46" s="42">
        <v>743249</v>
      </c>
      <c r="M46" s="42">
        <v>0</v>
      </c>
      <c r="O46" s="42">
        <v>8706</v>
      </c>
      <c r="Q46" s="42">
        <v>2391456</v>
      </c>
      <c r="S46" s="42">
        <v>2072800</v>
      </c>
      <c r="U46" s="42">
        <v>112719</v>
      </c>
      <c r="W46" s="42">
        <v>3949900</v>
      </c>
      <c r="Y46" s="42">
        <v>1336501</v>
      </c>
      <c r="AA46" s="42">
        <v>771007</v>
      </c>
      <c r="AC46" s="42">
        <v>5880883</v>
      </c>
      <c r="AE46" s="42">
        <v>3726869</v>
      </c>
      <c r="AG46" s="42">
        <v>187820</v>
      </c>
      <c r="AI46" s="42">
        <v>0</v>
      </c>
      <c r="AK46" s="42">
        <v>1430</v>
      </c>
      <c r="AL46" s="9" t="s">
        <v>260</v>
      </c>
      <c r="AM46" s="9"/>
      <c r="AN46" s="9" t="s">
        <v>20</v>
      </c>
      <c r="AP46" s="42">
        <v>525818</v>
      </c>
      <c r="AR46" s="42">
        <v>4511</v>
      </c>
      <c r="AV46" s="42">
        <v>294425</v>
      </c>
      <c r="AX46" s="42">
        <v>98098</v>
      </c>
      <c r="AZ46" s="42">
        <v>0</v>
      </c>
      <c r="BB46" s="42">
        <f t="shared" si="4"/>
        <v>45562223</v>
      </c>
      <c r="BD46" s="42">
        <v>330450</v>
      </c>
      <c r="BF46" s="42">
        <v>0</v>
      </c>
      <c r="BH46" s="42">
        <v>0</v>
      </c>
      <c r="BJ46" s="42">
        <v>0</v>
      </c>
      <c r="BL46" s="42">
        <f t="shared" si="2"/>
        <v>45892673</v>
      </c>
      <c r="BN46" s="42">
        <f>+'Gen Fd Rev'!AM46-'Gen Fd Exp'!BL46</f>
        <v>-1973631</v>
      </c>
      <c r="BP46" s="42">
        <v>19130101</v>
      </c>
      <c r="BR46" s="42">
        <v>0</v>
      </c>
      <c r="BT46" s="42">
        <v>0</v>
      </c>
      <c r="BV46" s="42">
        <f t="shared" si="3"/>
        <v>17156470</v>
      </c>
      <c r="BX46" s="5">
        <f>+BV46-'Gen Fd BS'!AI46+BT46</f>
        <v>0</v>
      </c>
    </row>
    <row r="47" spans="1:76">
      <c r="A47" s="9" t="s">
        <v>214</v>
      </c>
      <c r="B47" s="9"/>
      <c r="C47" s="9" t="s">
        <v>15</v>
      </c>
      <c r="D47" s="9"/>
      <c r="E47" s="23">
        <v>43570</v>
      </c>
      <c r="G47" s="42">
        <v>4967029</v>
      </c>
      <c r="I47" s="42">
        <v>898591</v>
      </c>
      <c r="K47" s="42">
        <v>96605</v>
      </c>
      <c r="M47" s="42">
        <v>0</v>
      </c>
      <c r="O47" s="42">
        <v>107789</v>
      </c>
      <c r="Q47" s="42">
        <v>510117</v>
      </c>
      <c r="S47" s="42">
        <v>322854</v>
      </c>
      <c r="U47" s="42">
        <v>17403</v>
      </c>
      <c r="W47" s="42">
        <v>842545</v>
      </c>
      <c r="Y47" s="42">
        <v>429700</v>
      </c>
      <c r="AA47" s="42">
        <v>0</v>
      </c>
      <c r="AC47" s="42">
        <v>1234305</v>
      </c>
      <c r="AE47" s="42">
        <v>1054435</v>
      </c>
      <c r="AG47" s="42">
        <v>8399</v>
      </c>
      <c r="AI47" s="42">
        <v>0</v>
      </c>
      <c r="AK47" s="42">
        <v>0</v>
      </c>
      <c r="AL47" s="9" t="s">
        <v>214</v>
      </c>
      <c r="AM47" s="9"/>
      <c r="AN47" s="9" t="s">
        <v>15</v>
      </c>
      <c r="AP47" s="42">
        <v>165200</v>
      </c>
      <c r="AR47" s="42">
        <v>5562</v>
      </c>
      <c r="AV47" s="42">
        <v>0</v>
      </c>
      <c r="AX47" s="42">
        <v>0</v>
      </c>
      <c r="AZ47" s="42">
        <v>0</v>
      </c>
      <c r="BB47" s="42">
        <f t="shared" si="4"/>
        <v>10660534</v>
      </c>
      <c r="BD47" s="42">
        <v>0</v>
      </c>
      <c r="BF47" s="42">
        <v>0</v>
      </c>
      <c r="BH47" s="42">
        <v>0</v>
      </c>
      <c r="BJ47" s="42">
        <v>0</v>
      </c>
      <c r="BL47" s="42">
        <f t="shared" si="2"/>
        <v>10660534</v>
      </c>
      <c r="BN47" s="42">
        <f>+'Gen Fd Rev'!AM47-'Gen Fd Exp'!BL47</f>
        <v>2010423</v>
      </c>
      <c r="BP47" s="42">
        <v>-3366215</v>
      </c>
      <c r="BR47" s="42">
        <v>0</v>
      </c>
      <c r="BT47" s="42">
        <v>0</v>
      </c>
      <c r="BV47" s="42">
        <f t="shared" si="3"/>
        <v>-1355792</v>
      </c>
      <c r="BX47" s="5">
        <f>+BV47-'Gen Fd BS'!AI47+BT47</f>
        <v>0</v>
      </c>
    </row>
    <row r="48" spans="1:76">
      <c r="A48" s="9" t="s">
        <v>729</v>
      </c>
      <c r="B48" s="9"/>
      <c r="C48" s="9" t="s">
        <v>113</v>
      </c>
      <c r="D48" s="9"/>
      <c r="E48" s="23">
        <v>47274</v>
      </c>
      <c r="G48" s="42">
        <v>10946869</v>
      </c>
      <c r="I48" s="42">
        <v>2414585</v>
      </c>
      <c r="K48" s="42">
        <v>6963</v>
      </c>
      <c r="M48" s="42">
        <v>0</v>
      </c>
      <c r="O48" s="42">
        <v>0</v>
      </c>
      <c r="Q48" s="42">
        <v>1346194</v>
      </c>
      <c r="S48" s="42">
        <v>715647</v>
      </c>
      <c r="U48" s="42">
        <v>39716</v>
      </c>
      <c r="W48" s="42">
        <v>1890593</v>
      </c>
      <c r="Y48" s="42">
        <v>586698</v>
      </c>
      <c r="AA48" s="42">
        <v>86165</v>
      </c>
      <c r="AC48" s="42">
        <v>2668516</v>
      </c>
      <c r="AE48" s="42">
        <v>1431145</v>
      </c>
      <c r="AG48" s="42">
        <v>62708</v>
      </c>
      <c r="AI48" s="42">
        <v>0</v>
      </c>
      <c r="AK48" s="42">
        <v>3364</v>
      </c>
      <c r="AL48" s="9" t="s">
        <v>729</v>
      </c>
      <c r="AM48" s="9"/>
      <c r="AN48" s="9" t="s">
        <v>113</v>
      </c>
      <c r="AP48" s="42">
        <v>671703</v>
      </c>
      <c r="AR48" s="42">
        <v>0</v>
      </c>
      <c r="AV48" s="42">
        <v>0</v>
      </c>
      <c r="AX48" s="42">
        <v>0</v>
      </c>
      <c r="AZ48" s="42">
        <v>0</v>
      </c>
      <c r="BB48" s="42">
        <f t="shared" si="4"/>
        <v>22870866</v>
      </c>
      <c r="BD48" s="42">
        <v>0</v>
      </c>
      <c r="BF48" s="42">
        <v>0</v>
      </c>
      <c r="BH48" s="42">
        <v>0</v>
      </c>
      <c r="BJ48" s="42">
        <v>0</v>
      </c>
      <c r="BL48" s="42">
        <f t="shared" ref="BL48:BL49" si="10">+BB48+BD48+BF48+BJ48</f>
        <v>22870866</v>
      </c>
      <c r="BN48" s="42">
        <f>+'Gen Fd Rev'!AM48-'Gen Fd Exp'!BL48</f>
        <v>1025107</v>
      </c>
      <c r="BP48" s="42">
        <v>1216096</v>
      </c>
      <c r="BR48" s="42">
        <v>0</v>
      </c>
      <c r="BT48" s="42">
        <v>0</v>
      </c>
      <c r="BV48" s="42">
        <f t="shared" si="3"/>
        <v>2241203</v>
      </c>
      <c r="BX48" s="5">
        <f>+BV48-'Gen Fd BS'!AI48+BT48</f>
        <v>0</v>
      </c>
    </row>
    <row r="49" spans="1:76" hidden="1">
      <c r="A49" s="9" t="s">
        <v>873</v>
      </c>
      <c r="B49" s="9"/>
      <c r="C49" s="9" t="s">
        <v>43</v>
      </c>
      <c r="D49" s="9"/>
      <c r="E49" s="23">
        <v>43588</v>
      </c>
      <c r="F49" s="7"/>
      <c r="G49" s="42">
        <v>0</v>
      </c>
      <c r="I49" s="42">
        <v>0</v>
      </c>
      <c r="K49" s="42">
        <v>0</v>
      </c>
      <c r="M49" s="42">
        <v>0</v>
      </c>
      <c r="O49" s="42">
        <v>0</v>
      </c>
      <c r="Q49" s="42">
        <v>0</v>
      </c>
      <c r="S49" s="42">
        <v>0</v>
      </c>
      <c r="U49" s="42">
        <v>0</v>
      </c>
      <c r="W49" s="42">
        <v>0</v>
      </c>
      <c r="Y49" s="42">
        <v>0</v>
      </c>
      <c r="AA49" s="42">
        <v>0</v>
      </c>
      <c r="AC49" s="42">
        <v>0</v>
      </c>
      <c r="AE49" s="42">
        <v>0</v>
      </c>
      <c r="AG49" s="42">
        <v>0</v>
      </c>
      <c r="AI49" s="42">
        <v>0</v>
      </c>
      <c r="AK49" s="42">
        <v>0</v>
      </c>
      <c r="AL49" s="9" t="s">
        <v>873</v>
      </c>
      <c r="AM49" s="9"/>
      <c r="AN49" s="9" t="s">
        <v>43</v>
      </c>
      <c r="AP49" s="42">
        <v>0</v>
      </c>
      <c r="AR49" s="42">
        <v>0</v>
      </c>
      <c r="AV49" s="42">
        <v>0</v>
      </c>
      <c r="AX49" s="42">
        <v>0</v>
      </c>
      <c r="AZ49" s="42">
        <v>0</v>
      </c>
      <c r="BB49" s="42">
        <f t="shared" ref="BB49" si="11">SUM(G49:AZ49)</f>
        <v>0</v>
      </c>
      <c r="BD49" s="42">
        <v>0</v>
      </c>
      <c r="BF49" s="42">
        <v>0</v>
      </c>
      <c r="BH49" s="42">
        <v>0</v>
      </c>
      <c r="BJ49" s="42">
        <v>0</v>
      </c>
      <c r="BL49" s="42">
        <f t="shared" si="10"/>
        <v>0</v>
      </c>
      <c r="BN49" s="42">
        <f>+'Gen Fd Rev'!AM49-'Gen Fd Exp'!BL49</f>
        <v>0</v>
      </c>
      <c r="BP49" s="42">
        <v>0</v>
      </c>
      <c r="BR49" s="42">
        <v>0</v>
      </c>
      <c r="BT49" s="42">
        <v>0</v>
      </c>
      <c r="BV49" s="42">
        <f t="shared" ref="BV49" si="12">+BP49+BN49-BR49</f>
        <v>0</v>
      </c>
      <c r="BX49" s="5">
        <f>+BV49-'Gen Fd BS'!AI49+BT49</f>
        <v>0</v>
      </c>
    </row>
    <row r="50" spans="1:76">
      <c r="A50" s="9" t="s">
        <v>353</v>
      </c>
      <c r="B50" s="9"/>
      <c r="C50" s="9" t="s">
        <v>37</v>
      </c>
      <c r="D50" s="9"/>
      <c r="E50" s="23">
        <v>43596</v>
      </c>
      <c r="G50" s="42">
        <v>6941017</v>
      </c>
      <c r="I50" s="42">
        <v>2336462</v>
      </c>
      <c r="K50" s="42">
        <v>446300</v>
      </c>
      <c r="M50" s="42">
        <v>9960</v>
      </c>
      <c r="O50" s="42">
        <v>1132447</v>
      </c>
      <c r="Q50" s="42">
        <v>1060879</v>
      </c>
      <c r="S50" s="42">
        <v>924773</v>
      </c>
      <c r="U50" s="42">
        <v>19794</v>
      </c>
      <c r="W50" s="42">
        <v>1493191</v>
      </c>
      <c r="Y50" s="42">
        <v>550152</v>
      </c>
      <c r="AA50" s="42">
        <v>6689</v>
      </c>
      <c r="AC50" s="42">
        <v>1706375</v>
      </c>
      <c r="AE50" s="42">
        <v>910100</v>
      </c>
      <c r="AG50" s="42">
        <v>66028</v>
      </c>
      <c r="AI50" s="42">
        <v>0</v>
      </c>
      <c r="AK50" s="42">
        <v>26461</v>
      </c>
      <c r="AL50" s="9" t="s">
        <v>353</v>
      </c>
      <c r="AM50" s="9"/>
      <c r="AN50" s="9" t="s">
        <v>37</v>
      </c>
      <c r="AP50" s="42">
        <v>515091</v>
      </c>
      <c r="AR50" s="42">
        <v>260231</v>
      </c>
      <c r="AV50" s="42">
        <v>72555</v>
      </c>
      <c r="AX50" s="42">
        <v>14910</v>
      </c>
      <c r="AZ50" s="42">
        <v>0</v>
      </c>
      <c r="BB50" s="42">
        <f t="shared" si="4"/>
        <v>18493415</v>
      </c>
      <c r="BD50" s="42">
        <v>76256</v>
      </c>
      <c r="BF50" s="42">
        <v>0</v>
      </c>
      <c r="BH50" s="42">
        <v>0</v>
      </c>
      <c r="BJ50" s="42">
        <v>0</v>
      </c>
      <c r="BL50" s="42">
        <f t="shared" ref="BL50:BL82" si="13">+BB50+BD50+BF50+BJ50</f>
        <v>18569671</v>
      </c>
      <c r="BN50" s="42">
        <f>+'Gen Fd Rev'!AM50-'Gen Fd Exp'!BL50</f>
        <v>760818</v>
      </c>
      <c r="BP50" s="42">
        <v>4493893</v>
      </c>
      <c r="BR50" s="42">
        <v>2438</v>
      </c>
      <c r="BT50" s="42">
        <v>0</v>
      </c>
      <c r="BV50" s="42">
        <f t="shared" ref="BV50:BV82" si="14">+BP50+BN50-BR50</f>
        <v>5252273</v>
      </c>
      <c r="BX50" s="5">
        <f>+BV50-'Gen Fd BS'!AI50+BT50</f>
        <v>0</v>
      </c>
    </row>
    <row r="51" spans="1:76">
      <c r="A51" s="9" t="s">
        <v>543</v>
      </c>
      <c r="B51" s="9"/>
      <c r="C51" s="9" t="s">
        <v>70</v>
      </c>
      <c r="D51" s="9"/>
      <c r="E51" s="23">
        <v>43604</v>
      </c>
      <c r="G51" s="42">
        <v>3356198</v>
      </c>
      <c r="I51" s="42">
        <v>1486358</v>
      </c>
      <c r="K51" s="42">
        <v>0</v>
      </c>
      <c r="M51" s="42">
        <v>0</v>
      </c>
      <c r="O51" s="42">
        <v>866456</v>
      </c>
      <c r="Q51" s="42">
        <v>510114</v>
      </c>
      <c r="S51" s="42">
        <v>283968</v>
      </c>
      <c r="U51" s="42">
        <v>55052</v>
      </c>
      <c r="W51" s="42">
        <v>850237</v>
      </c>
      <c r="Y51" s="42">
        <v>390204</v>
      </c>
      <c r="AA51" s="42">
        <v>0</v>
      </c>
      <c r="AC51" s="42">
        <v>977360</v>
      </c>
      <c r="AE51" s="42">
        <v>371201</v>
      </c>
      <c r="AG51" s="42">
        <v>1864</v>
      </c>
      <c r="AI51" s="42">
        <v>0</v>
      </c>
      <c r="AK51" s="42">
        <v>372</v>
      </c>
      <c r="AL51" s="9" t="s">
        <v>543</v>
      </c>
      <c r="AM51" s="9"/>
      <c r="AN51" s="9" t="s">
        <v>70</v>
      </c>
      <c r="AP51" s="42">
        <v>197333</v>
      </c>
      <c r="AR51" s="42">
        <v>117894</v>
      </c>
      <c r="AV51" s="42">
        <v>0</v>
      </c>
      <c r="AX51" s="42">
        <v>0</v>
      </c>
      <c r="AZ51" s="42">
        <v>0</v>
      </c>
      <c r="BB51" s="42">
        <f t="shared" si="4"/>
        <v>9464611</v>
      </c>
      <c r="BD51" s="42">
        <v>0</v>
      </c>
      <c r="BF51" s="42">
        <v>0</v>
      </c>
      <c r="BH51" s="42">
        <v>0</v>
      </c>
      <c r="BJ51" s="42">
        <v>0</v>
      </c>
      <c r="BL51" s="42">
        <f t="shared" si="13"/>
        <v>9464611</v>
      </c>
      <c r="BN51" s="42">
        <f>+'Gen Fd Rev'!AM51-'Gen Fd Exp'!BL51</f>
        <v>-108962</v>
      </c>
      <c r="BP51" s="42">
        <v>888191</v>
      </c>
      <c r="BR51" s="42">
        <v>0</v>
      </c>
      <c r="BT51" s="42">
        <v>0</v>
      </c>
      <c r="BV51" s="42">
        <f t="shared" si="14"/>
        <v>779229</v>
      </c>
      <c r="BX51" s="5">
        <f>+BV51-'Gen Fd BS'!AI51+BT51</f>
        <v>0</v>
      </c>
    </row>
    <row r="52" spans="1:76" hidden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42">
        <v>0</v>
      </c>
      <c r="M52" s="42">
        <v>0</v>
      </c>
      <c r="O52" s="42">
        <v>0</v>
      </c>
      <c r="Q52" s="42">
        <v>0</v>
      </c>
      <c r="S52" s="42">
        <v>0</v>
      </c>
      <c r="U52" s="42">
        <v>0</v>
      </c>
      <c r="W52" s="42">
        <v>0</v>
      </c>
      <c r="Y52" s="42">
        <v>0</v>
      </c>
      <c r="AA52" s="42">
        <v>0</v>
      </c>
      <c r="AC52" s="42">
        <v>0</v>
      </c>
      <c r="AE52" s="42">
        <v>0</v>
      </c>
      <c r="AG52" s="42">
        <v>0</v>
      </c>
      <c r="AI52" s="42">
        <v>0</v>
      </c>
      <c r="AK52" s="42">
        <v>0</v>
      </c>
      <c r="AL52" s="9" t="s">
        <v>874</v>
      </c>
      <c r="AM52" s="9"/>
      <c r="AN52" s="9" t="s">
        <v>43</v>
      </c>
      <c r="AP52" s="42">
        <v>0</v>
      </c>
      <c r="AR52" s="42">
        <v>0</v>
      </c>
      <c r="AV52" s="42">
        <v>0</v>
      </c>
      <c r="AX52" s="42">
        <v>0</v>
      </c>
      <c r="AZ52" s="42">
        <v>0</v>
      </c>
      <c r="BB52" s="42">
        <f t="shared" ref="BB52" si="15">SUM(G52:AZ52)</f>
        <v>0</v>
      </c>
      <c r="BD52" s="42">
        <v>0</v>
      </c>
      <c r="BF52" s="42">
        <v>0</v>
      </c>
      <c r="BH52" s="42">
        <v>0</v>
      </c>
      <c r="BJ52" s="42">
        <v>0</v>
      </c>
      <c r="BL52" s="42">
        <f t="shared" ref="BL52" si="16">+BB52+BD52+BF52+BJ52</f>
        <v>0</v>
      </c>
      <c r="BN52" s="42">
        <f>+'Gen Fd Rev'!AM52-'Gen Fd Exp'!BL52</f>
        <v>0</v>
      </c>
      <c r="BP52" s="42">
        <v>0</v>
      </c>
      <c r="BR52" s="42">
        <v>0</v>
      </c>
      <c r="BT52" s="42">
        <v>0</v>
      </c>
      <c r="BV52" s="42">
        <f t="shared" ref="BV52" si="17">+BP52+BN52-BR52</f>
        <v>0</v>
      </c>
      <c r="BX52" s="5">
        <f>+BV52-'Gen Fd BS'!AI52+BT52</f>
        <v>0</v>
      </c>
    </row>
    <row r="53" spans="1:76" hidden="1">
      <c r="A53" s="9" t="s">
        <v>857</v>
      </c>
      <c r="B53" s="9"/>
      <c r="C53" s="9" t="s">
        <v>53</v>
      </c>
      <c r="D53" s="9"/>
      <c r="E53" s="23">
        <v>48926</v>
      </c>
      <c r="G53" s="42">
        <v>0</v>
      </c>
      <c r="I53" s="42">
        <v>0</v>
      </c>
      <c r="K53" s="42">
        <v>0</v>
      </c>
      <c r="M53" s="42">
        <v>0</v>
      </c>
      <c r="O53" s="42">
        <v>0</v>
      </c>
      <c r="Q53" s="42">
        <v>0</v>
      </c>
      <c r="S53" s="42">
        <v>0</v>
      </c>
      <c r="U53" s="42">
        <v>0</v>
      </c>
      <c r="W53" s="42">
        <v>0</v>
      </c>
      <c r="Y53" s="42">
        <v>0</v>
      </c>
      <c r="AA53" s="42">
        <v>0</v>
      </c>
      <c r="AC53" s="42">
        <v>0</v>
      </c>
      <c r="AE53" s="42">
        <v>0</v>
      </c>
      <c r="AG53" s="42">
        <v>0</v>
      </c>
      <c r="AI53" s="42">
        <v>0</v>
      </c>
      <c r="AK53" s="42">
        <v>0</v>
      </c>
      <c r="AL53" s="9" t="s">
        <v>857</v>
      </c>
      <c r="AM53" s="9"/>
      <c r="AN53" s="9" t="s">
        <v>53</v>
      </c>
      <c r="AP53" s="42">
        <v>0</v>
      </c>
      <c r="AR53" s="42">
        <v>0</v>
      </c>
      <c r="AV53" s="42">
        <v>0</v>
      </c>
      <c r="AX53" s="42">
        <v>0</v>
      </c>
      <c r="AZ53" s="42">
        <v>0</v>
      </c>
      <c r="BB53" s="42">
        <f t="shared" si="4"/>
        <v>0</v>
      </c>
      <c r="BD53" s="42">
        <v>0</v>
      </c>
      <c r="BF53" s="42">
        <v>0</v>
      </c>
      <c r="BH53" s="42">
        <v>0</v>
      </c>
      <c r="BJ53" s="42">
        <v>0</v>
      </c>
      <c r="BL53" s="42">
        <f t="shared" si="13"/>
        <v>0</v>
      </c>
      <c r="BN53" s="42">
        <f>+'Gen Fd Rev'!AM53-'Gen Fd Exp'!BL53</f>
        <v>0</v>
      </c>
      <c r="BP53" s="42">
        <v>0</v>
      </c>
      <c r="BR53" s="42">
        <v>0</v>
      </c>
      <c r="BT53" s="42">
        <v>0</v>
      </c>
      <c r="BV53" s="42">
        <f t="shared" si="14"/>
        <v>0</v>
      </c>
      <c r="BX53" s="5">
        <f>+BV53-'Gen Fd BS'!AI53+BT53</f>
        <v>0</v>
      </c>
    </row>
    <row r="54" spans="1:76">
      <c r="A54" s="9" t="s">
        <v>261</v>
      </c>
      <c r="B54" s="9"/>
      <c r="C54" s="9" t="s">
        <v>20</v>
      </c>
      <c r="D54" s="9"/>
      <c r="E54" s="23">
        <v>43612</v>
      </c>
      <c r="G54" s="42">
        <v>37169880</v>
      </c>
      <c r="I54" s="42">
        <v>12166143</v>
      </c>
      <c r="K54" s="42">
        <v>584269</v>
      </c>
      <c r="M54" s="42">
        <v>0</v>
      </c>
      <c r="O54" s="42">
        <v>0</v>
      </c>
      <c r="Q54" s="42">
        <v>4608293</v>
      </c>
      <c r="S54" s="42">
        <v>6270567</v>
      </c>
      <c r="U54" s="42">
        <v>29421</v>
      </c>
      <c r="W54" s="42">
        <v>4584648</v>
      </c>
      <c r="Y54" s="42">
        <v>1888299</v>
      </c>
      <c r="AA54" s="42">
        <v>911931</v>
      </c>
      <c r="AC54" s="42">
        <v>7169567</v>
      </c>
      <c r="AE54" s="42">
        <v>4586111</v>
      </c>
      <c r="AG54" s="42">
        <v>2517190</v>
      </c>
      <c r="AI54" s="42">
        <v>0</v>
      </c>
      <c r="AK54" s="42">
        <v>8748</v>
      </c>
      <c r="AL54" s="9" t="s">
        <v>261</v>
      </c>
      <c r="AM54" s="9"/>
      <c r="AN54" s="9" t="s">
        <v>20</v>
      </c>
      <c r="AP54" s="42">
        <v>1476887</v>
      </c>
      <c r="AR54" s="42">
        <v>0</v>
      </c>
      <c r="AV54" s="42">
        <v>500000</v>
      </c>
      <c r="AX54" s="42">
        <v>1482495</v>
      </c>
      <c r="AZ54" s="42">
        <v>0</v>
      </c>
      <c r="BB54" s="42">
        <f t="shared" si="4"/>
        <v>85954449</v>
      </c>
      <c r="BD54" s="42">
        <v>571137</v>
      </c>
      <c r="BF54" s="42">
        <v>0</v>
      </c>
      <c r="BH54" s="42">
        <v>0</v>
      </c>
      <c r="BJ54" s="42">
        <v>0</v>
      </c>
      <c r="BL54" s="42">
        <f t="shared" si="13"/>
        <v>86525586</v>
      </c>
      <c r="BN54" s="42">
        <f>+'Gen Fd Rev'!AM54-'Gen Fd Exp'!BL54</f>
        <v>-7338770</v>
      </c>
      <c r="BP54" s="42">
        <v>8940723</v>
      </c>
      <c r="BR54" s="42">
        <v>0</v>
      </c>
      <c r="BT54" s="42">
        <v>0</v>
      </c>
      <c r="BV54" s="42">
        <f t="shared" si="14"/>
        <v>1601953</v>
      </c>
      <c r="BX54" s="5">
        <f>+BV54-'Gen Fd BS'!AI54+BT54</f>
        <v>0</v>
      </c>
    </row>
    <row r="55" spans="1:76">
      <c r="A55" s="9" t="s">
        <v>634</v>
      </c>
      <c r="B55" s="9"/>
      <c r="C55" s="9" t="s">
        <v>30</v>
      </c>
      <c r="D55" s="9"/>
      <c r="E55" s="23">
        <v>47167</v>
      </c>
      <c r="G55" s="42">
        <v>4765180</v>
      </c>
      <c r="I55" s="42">
        <v>1349330</v>
      </c>
      <c r="K55" s="42">
        <v>79538</v>
      </c>
      <c r="M55" s="42">
        <v>0</v>
      </c>
      <c r="O55" s="42">
        <v>138647</v>
      </c>
      <c r="Q55" s="42">
        <v>427886</v>
      </c>
      <c r="S55" s="42">
        <v>287340</v>
      </c>
      <c r="U55" s="42">
        <v>82509</v>
      </c>
      <c r="W55" s="42">
        <v>1168142</v>
      </c>
      <c r="Y55" s="42">
        <v>387450</v>
      </c>
      <c r="AA55" s="42">
        <v>1359</v>
      </c>
      <c r="AC55" s="42">
        <v>729658</v>
      </c>
      <c r="AE55" s="42">
        <v>832991</v>
      </c>
      <c r="AG55" s="42">
        <v>0</v>
      </c>
      <c r="AI55" s="42">
        <v>0</v>
      </c>
      <c r="AK55" s="42">
        <v>0</v>
      </c>
      <c r="AL55" s="9" t="s">
        <v>634</v>
      </c>
      <c r="AM55" s="9"/>
      <c r="AN55" s="9" t="s">
        <v>30</v>
      </c>
      <c r="AP55" s="42">
        <v>306425</v>
      </c>
      <c r="AR55" s="42">
        <v>115458</v>
      </c>
      <c r="AV55" s="42">
        <v>31166</v>
      </c>
      <c r="AX55" s="42">
        <v>0</v>
      </c>
      <c r="AZ55" s="42">
        <v>0</v>
      </c>
      <c r="BB55" s="42">
        <f t="shared" si="4"/>
        <v>10703079</v>
      </c>
      <c r="BD55" s="42">
        <v>350000</v>
      </c>
      <c r="BF55" s="42">
        <v>0</v>
      </c>
      <c r="BH55" s="42">
        <v>0</v>
      </c>
      <c r="BJ55" s="42">
        <v>0</v>
      </c>
      <c r="BL55" s="42">
        <f t="shared" si="13"/>
        <v>11053079</v>
      </c>
      <c r="BN55" s="42">
        <f>+'Gen Fd Rev'!AM55-'Gen Fd Exp'!BL55</f>
        <v>-357950</v>
      </c>
      <c r="BP55" s="42">
        <v>1968438</v>
      </c>
      <c r="BR55" s="42">
        <v>0</v>
      </c>
      <c r="BT55" s="42">
        <v>0</v>
      </c>
      <c r="BV55" s="42">
        <f t="shared" si="14"/>
        <v>1610488</v>
      </c>
      <c r="BX55" s="5">
        <f>+BV55-'Gen Fd BS'!AI55+BT55</f>
        <v>0</v>
      </c>
    </row>
    <row r="56" spans="1:76" hidden="1">
      <c r="A56" s="9" t="s">
        <v>283</v>
      </c>
      <c r="B56" s="9"/>
      <c r="C56" s="9" t="s">
        <v>24</v>
      </c>
      <c r="D56" s="9"/>
      <c r="E56" s="23">
        <v>46789</v>
      </c>
      <c r="G56" s="42">
        <v>0</v>
      </c>
      <c r="I56" s="42">
        <v>0</v>
      </c>
      <c r="K56" s="42">
        <v>0</v>
      </c>
      <c r="M56" s="42">
        <v>0</v>
      </c>
      <c r="O56" s="42">
        <v>0</v>
      </c>
      <c r="Q56" s="42">
        <v>0</v>
      </c>
      <c r="S56" s="42">
        <v>0</v>
      </c>
      <c r="U56" s="42">
        <v>0</v>
      </c>
      <c r="W56" s="42">
        <v>0</v>
      </c>
      <c r="Y56" s="42">
        <v>0</v>
      </c>
      <c r="AA56" s="42">
        <v>0</v>
      </c>
      <c r="AC56" s="42">
        <v>0</v>
      </c>
      <c r="AE56" s="42">
        <v>0</v>
      </c>
      <c r="AG56" s="42">
        <v>0</v>
      </c>
      <c r="AI56" s="42">
        <v>0</v>
      </c>
      <c r="AK56" s="42">
        <v>0</v>
      </c>
      <c r="AL56" s="9" t="s">
        <v>283</v>
      </c>
      <c r="AM56" s="9"/>
      <c r="AN56" s="9" t="s">
        <v>24</v>
      </c>
      <c r="AP56" s="42">
        <v>0</v>
      </c>
      <c r="AR56" s="42">
        <v>0</v>
      </c>
      <c r="AV56" s="42">
        <v>0</v>
      </c>
      <c r="AX56" s="42">
        <v>0</v>
      </c>
      <c r="AZ56" s="42">
        <v>0</v>
      </c>
      <c r="BB56" s="42">
        <f t="shared" si="4"/>
        <v>0</v>
      </c>
      <c r="BD56" s="42">
        <v>0</v>
      </c>
      <c r="BF56" s="42">
        <v>0</v>
      </c>
      <c r="BH56" s="42">
        <v>0</v>
      </c>
      <c r="BJ56" s="42">
        <v>0</v>
      </c>
      <c r="BL56" s="42">
        <f t="shared" si="13"/>
        <v>0</v>
      </c>
      <c r="BN56" s="42">
        <f>+'Gen Fd Rev'!AM56-'Gen Fd Exp'!BL56</f>
        <v>0</v>
      </c>
      <c r="BP56" s="42">
        <v>0</v>
      </c>
      <c r="BR56" s="42">
        <v>0</v>
      </c>
      <c r="BT56" s="42">
        <v>0</v>
      </c>
      <c r="BV56" s="42">
        <f t="shared" si="14"/>
        <v>0</v>
      </c>
      <c r="BX56" s="5">
        <f>+BV56-'Gen Fd BS'!AI56+BT56</f>
        <v>0</v>
      </c>
    </row>
    <row r="57" spans="1:76" hidden="1">
      <c r="A57" s="9" t="s">
        <v>786</v>
      </c>
      <c r="B57" s="9"/>
      <c r="C57" s="9" t="s">
        <v>25</v>
      </c>
      <c r="D57" s="9"/>
      <c r="E57" s="23">
        <v>46854</v>
      </c>
      <c r="G57" s="42">
        <v>0</v>
      </c>
      <c r="I57" s="42">
        <v>0</v>
      </c>
      <c r="K57" s="42">
        <v>0</v>
      </c>
      <c r="M57" s="42">
        <v>0</v>
      </c>
      <c r="O57" s="42">
        <v>0</v>
      </c>
      <c r="Q57" s="42">
        <v>0</v>
      </c>
      <c r="S57" s="42">
        <v>0</v>
      </c>
      <c r="U57" s="42">
        <v>0</v>
      </c>
      <c r="W57" s="42">
        <v>0</v>
      </c>
      <c r="Y57" s="42">
        <v>0</v>
      </c>
      <c r="AA57" s="42">
        <v>0</v>
      </c>
      <c r="AC57" s="42">
        <v>0</v>
      </c>
      <c r="AE57" s="42">
        <v>0</v>
      </c>
      <c r="AG57" s="42">
        <v>0</v>
      </c>
      <c r="AI57" s="42">
        <v>0</v>
      </c>
      <c r="AK57" s="42">
        <v>0</v>
      </c>
      <c r="AL57" s="9" t="s">
        <v>786</v>
      </c>
      <c r="AM57" s="9"/>
      <c r="AN57" s="9" t="s">
        <v>25</v>
      </c>
      <c r="AP57" s="42">
        <v>0</v>
      </c>
      <c r="AR57" s="42">
        <v>0</v>
      </c>
      <c r="AV57" s="42">
        <v>0</v>
      </c>
      <c r="AX57" s="42">
        <v>0</v>
      </c>
      <c r="AZ57" s="42">
        <v>0</v>
      </c>
      <c r="BB57" s="42">
        <f t="shared" si="4"/>
        <v>0</v>
      </c>
      <c r="BD57" s="42">
        <v>0</v>
      </c>
      <c r="BF57" s="42">
        <v>0</v>
      </c>
      <c r="BH57" s="42">
        <v>0</v>
      </c>
      <c r="BJ57" s="42">
        <v>0</v>
      </c>
      <c r="BL57" s="42">
        <f t="shared" si="13"/>
        <v>0</v>
      </c>
      <c r="BN57" s="42">
        <f>+'Gen Fd Rev'!AM57-'Gen Fd Exp'!BL57</f>
        <v>0</v>
      </c>
      <c r="BP57" s="42">
        <v>0</v>
      </c>
      <c r="BR57" s="42">
        <v>0</v>
      </c>
      <c r="BT57" s="42">
        <v>0</v>
      </c>
      <c r="BV57" s="42">
        <f t="shared" si="14"/>
        <v>0</v>
      </c>
      <c r="BX57" s="5">
        <f>+BV57-'Gen Fd BS'!AI57+BT57</f>
        <v>0</v>
      </c>
    </row>
    <row r="58" spans="1:76">
      <c r="A58" s="9" t="s">
        <v>420</v>
      </c>
      <c r="B58" s="9"/>
      <c r="C58" s="9" t="s">
        <v>48</v>
      </c>
      <c r="D58" s="9"/>
      <c r="E58" s="23">
        <v>48611</v>
      </c>
      <c r="G58" s="42">
        <v>3269700</v>
      </c>
      <c r="I58" s="42">
        <v>1138353</v>
      </c>
      <c r="K58" s="42">
        <v>0</v>
      </c>
      <c r="M58" s="42">
        <v>0</v>
      </c>
      <c r="O58" s="42">
        <v>521622</v>
      </c>
      <c r="Q58" s="42">
        <v>155013</v>
      </c>
      <c r="S58" s="42">
        <v>141709</v>
      </c>
      <c r="U58" s="42">
        <v>29464</v>
      </c>
      <c r="W58" s="42">
        <v>544922</v>
      </c>
      <c r="Y58" s="42">
        <v>326742</v>
      </c>
      <c r="AA58" s="42">
        <v>22792</v>
      </c>
      <c r="AC58" s="42">
        <v>517340</v>
      </c>
      <c r="AE58" s="42">
        <v>704816</v>
      </c>
      <c r="AG58" s="42">
        <v>91914</v>
      </c>
      <c r="AI58" s="42">
        <v>0</v>
      </c>
      <c r="AK58" s="42">
        <v>0</v>
      </c>
      <c r="AL58" s="9" t="s">
        <v>420</v>
      </c>
      <c r="AM58" s="9"/>
      <c r="AN58" s="9" t="s">
        <v>48</v>
      </c>
      <c r="AP58" s="42">
        <v>121933</v>
      </c>
      <c r="AR58" s="42">
        <v>8023</v>
      </c>
      <c r="AV58" s="42">
        <v>116915</v>
      </c>
      <c r="AX58" s="42">
        <v>24890</v>
      </c>
      <c r="AZ58" s="42">
        <v>0</v>
      </c>
      <c r="BB58" s="42">
        <f t="shared" ref="BB58" si="18">SUM(G58:AZ58)</f>
        <v>7736148</v>
      </c>
      <c r="BD58" s="42">
        <v>0</v>
      </c>
      <c r="BF58" s="42">
        <v>0</v>
      </c>
      <c r="BH58" s="42">
        <v>0</v>
      </c>
      <c r="BJ58" s="42">
        <v>0</v>
      </c>
      <c r="BL58" s="42">
        <f t="shared" ref="BL58" si="19">+BB58+BD58+BF58+BJ58</f>
        <v>7736148</v>
      </c>
      <c r="BN58" s="42">
        <f>+'Gen Fd Rev'!AM58-'Gen Fd Exp'!BL58</f>
        <v>761901</v>
      </c>
      <c r="BP58" s="42">
        <v>804439</v>
      </c>
      <c r="BR58" s="42">
        <v>0</v>
      </c>
      <c r="BT58" s="42">
        <v>0</v>
      </c>
      <c r="BV58" s="42">
        <f t="shared" ref="BV58" si="20">+BP58+BN58-BR58</f>
        <v>1566340</v>
      </c>
      <c r="BX58" s="5">
        <f>+BV58-'Gen Fd BS'!AI58+BT58</f>
        <v>0</v>
      </c>
    </row>
    <row r="59" spans="1:76">
      <c r="A59" s="9" t="s">
        <v>236</v>
      </c>
      <c r="B59" s="9"/>
      <c r="C59" s="9" t="s">
        <v>112</v>
      </c>
      <c r="D59" s="9"/>
      <c r="E59" s="23">
        <v>46318</v>
      </c>
      <c r="F59" s="7"/>
      <c r="G59" s="42">
        <v>7542560</v>
      </c>
      <c r="I59" s="42">
        <v>1648752</v>
      </c>
      <c r="K59" s="42">
        <v>100099</v>
      </c>
      <c r="M59" s="42">
        <v>0</v>
      </c>
      <c r="O59" s="42">
        <v>6564</v>
      </c>
      <c r="Q59" s="42">
        <v>763000</v>
      </c>
      <c r="S59" s="42">
        <v>345573</v>
      </c>
      <c r="U59" s="42">
        <v>31074</v>
      </c>
      <c r="W59" s="42">
        <v>1026625</v>
      </c>
      <c r="Y59" s="42">
        <v>358216</v>
      </c>
      <c r="AA59" s="42">
        <v>0</v>
      </c>
      <c r="AC59" s="42">
        <v>1144396</v>
      </c>
      <c r="AE59" s="42">
        <v>752368</v>
      </c>
      <c r="AG59" s="42">
        <v>130167</v>
      </c>
      <c r="AI59" s="42">
        <v>0</v>
      </c>
      <c r="AK59" s="42">
        <v>0</v>
      </c>
      <c r="AL59" s="9" t="s">
        <v>236</v>
      </c>
      <c r="AM59" s="9"/>
      <c r="AN59" s="9" t="s">
        <v>112</v>
      </c>
      <c r="AP59" s="42">
        <v>4704</v>
      </c>
      <c r="AR59" s="42">
        <v>285706</v>
      </c>
      <c r="AV59" s="42">
        <v>120856</v>
      </c>
      <c r="AX59" s="42">
        <v>131503</v>
      </c>
      <c r="AZ59" s="42">
        <v>0</v>
      </c>
      <c r="BB59" s="42">
        <f t="shared" si="4"/>
        <v>14392163</v>
      </c>
      <c r="BD59" s="42">
        <v>421364</v>
      </c>
      <c r="BF59" s="42">
        <v>0</v>
      </c>
      <c r="BH59" s="42">
        <v>0</v>
      </c>
      <c r="BJ59" s="42">
        <v>0</v>
      </c>
      <c r="BL59" s="42">
        <f t="shared" si="13"/>
        <v>14813527</v>
      </c>
      <c r="BN59" s="42">
        <f>+'Gen Fd Rev'!AM59-'Gen Fd Exp'!BL59</f>
        <v>-813767</v>
      </c>
      <c r="BP59" s="42">
        <v>1826616</v>
      </c>
      <c r="BR59" s="42">
        <v>0</v>
      </c>
      <c r="BT59" s="42">
        <v>0</v>
      </c>
      <c r="BV59" s="42">
        <f t="shared" si="14"/>
        <v>1012849</v>
      </c>
      <c r="BX59" s="5">
        <f>+BV59-'Gen Fd BS'!AI59+BT59</f>
        <v>0</v>
      </c>
    </row>
    <row r="60" spans="1:76" hidden="1">
      <c r="A60" s="9" t="s">
        <v>667</v>
      </c>
      <c r="B60" s="9"/>
      <c r="C60" s="9" t="s">
        <v>60</v>
      </c>
      <c r="D60" s="9"/>
      <c r="E60" s="23">
        <v>49692</v>
      </c>
      <c r="G60" s="42">
        <v>0</v>
      </c>
      <c r="I60" s="42">
        <v>0</v>
      </c>
      <c r="K60" s="42">
        <v>0</v>
      </c>
      <c r="M60" s="42">
        <v>0</v>
      </c>
      <c r="O60" s="42">
        <v>0</v>
      </c>
      <c r="Q60" s="42">
        <v>0</v>
      </c>
      <c r="S60" s="42">
        <v>0</v>
      </c>
      <c r="U60" s="42">
        <v>0</v>
      </c>
      <c r="W60" s="42">
        <v>0</v>
      </c>
      <c r="Y60" s="42">
        <v>0</v>
      </c>
      <c r="AA60" s="42">
        <v>0</v>
      </c>
      <c r="AC60" s="42">
        <v>0</v>
      </c>
      <c r="AE60" s="42">
        <v>0</v>
      </c>
      <c r="AG60" s="42">
        <v>0</v>
      </c>
      <c r="AI60" s="42">
        <v>0</v>
      </c>
      <c r="AK60" s="42">
        <v>0</v>
      </c>
      <c r="AL60" s="9" t="s">
        <v>667</v>
      </c>
      <c r="AM60" s="9"/>
      <c r="AN60" s="9" t="s">
        <v>60</v>
      </c>
      <c r="AP60" s="42">
        <v>0</v>
      </c>
      <c r="AR60" s="42">
        <v>0</v>
      </c>
      <c r="AV60" s="42">
        <v>0</v>
      </c>
      <c r="AX60" s="42">
        <v>0</v>
      </c>
      <c r="AZ60" s="42">
        <v>0</v>
      </c>
      <c r="BB60" s="42">
        <f t="shared" si="4"/>
        <v>0</v>
      </c>
      <c r="BD60" s="42">
        <v>0</v>
      </c>
      <c r="BF60" s="42">
        <v>0</v>
      </c>
      <c r="BH60" s="42">
        <v>0</v>
      </c>
      <c r="BJ60" s="42">
        <v>0</v>
      </c>
      <c r="BL60" s="42">
        <f t="shared" si="13"/>
        <v>0</v>
      </c>
      <c r="BN60" s="42">
        <f>+'Gen Fd Rev'!AM60-'Gen Fd Exp'!BL60</f>
        <v>0</v>
      </c>
      <c r="BP60" s="42">
        <v>0</v>
      </c>
      <c r="BR60" s="42">
        <v>0</v>
      </c>
      <c r="BT60" s="42">
        <v>0</v>
      </c>
      <c r="BV60" s="42">
        <f t="shared" si="14"/>
        <v>0</v>
      </c>
      <c r="BX60" s="5">
        <f>+BV60-'Gen Fd BS'!AI60+BT60</f>
        <v>0</v>
      </c>
    </row>
    <row r="61" spans="1:76">
      <c r="A61" s="9" t="s">
        <v>297</v>
      </c>
      <c r="B61" s="9"/>
      <c r="C61" s="9" t="s">
        <v>27</v>
      </c>
      <c r="D61" s="9"/>
      <c r="E61" s="23">
        <v>43620</v>
      </c>
      <c r="G61" s="42">
        <v>15004267</v>
      </c>
      <c r="I61" s="42">
        <v>3692646</v>
      </c>
      <c r="K61" s="42">
        <v>319961</v>
      </c>
      <c r="M61" s="42">
        <v>0</v>
      </c>
      <c r="O61" s="42">
        <v>0</v>
      </c>
      <c r="Q61" s="42">
        <v>1309958</v>
      </c>
      <c r="S61" s="42">
        <v>1913075</v>
      </c>
      <c r="U61" s="42">
        <v>0</v>
      </c>
      <c r="W61" s="42">
        <f>1888785+57172</f>
        <v>1945957</v>
      </c>
      <c r="Y61" s="42">
        <v>0</v>
      </c>
      <c r="AA61" s="42">
        <v>1215525</v>
      </c>
      <c r="AC61" s="42">
        <v>3440965</v>
      </c>
      <c r="AE61" s="42">
        <v>559299</v>
      </c>
      <c r="AG61" s="42">
        <v>135264</v>
      </c>
      <c r="AI61" s="42">
        <v>0</v>
      </c>
      <c r="AK61" s="42">
        <v>0</v>
      </c>
      <c r="AL61" s="9" t="s">
        <v>297</v>
      </c>
      <c r="AM61" s="9"/>
      <c r="AN61" s="9" t="s">
        <v>27</v>
      </c>
      <c r="AP61" s="42">
        <v>831224</v>
      </c>
      <c r="AR61" s="42">
        <v>538114</v>
      </c>
      <c r="AV61" s="42">
        <v>0</v>
      </c>
      <c r="AX61" s="42">
        <v>0</v>
      </c>
      <c r="AZ61" s="42">
        <v>0</v>
      </c>
      <c r="BB61" s="42">
        <f t="shared" si="4"/>
        <v>30906255</v>
      </c>
      <c r="BD61" s="42">
        <v>240017</v>
      </c>
      <c r="BF61" s="42">
        <v>0</v>
      </c>
      <c r="BH61" s="42">
        <v>0</v>
      </c>
      <c r="BJ61" s="42">
        <v>0</v>
      </c>
      <c r="BL61" s="42">
        <f t="shared" si="13"/>
        <v>31146272</v>
      </c>
      <c r="BN61" s="42">
        <f>+'Gen Fd Rev'!AM61-'Gen Fd Exp'!BL61</f>
        <v>2670448</v>
      </c>
      <c r="BP61" s="42">
        <v>23872091</v>
      </c>
      <c r="BR61" s="42">
        <v>0</v>
      </c>
      <c r="BT61" s="42">
        <v>0</v>
      </c>
      <c r="BV61" s="42">
        <f t="shared" si="14"/>
        <v>26542539</v>
      </c>
      <c r="BX61" s="5">
        <f>+BV61-'Gen Fd BS'!AI61+BT61</f>
        <v>0</v>
      </c>
    </row>
    <row r="62" spans="1:76">
      <c r="A62" s="9" t="s">
        <v>630</v>
      </c>
      <c r="B62" s="9"/>
      <c r="C62" s="9" t="s">
        <v>23</v>
      </c>
      <c r="D62" s="9"/>
      <c r="E62" s="23">
        <v>46748</v>
      </c>
      <c r="G62" s="42">
        <v>15084963</v>
      </c>
      <c r="I62" s="42">
        <v>575440</v>
      </c>
      <c r="K62" s="42">
        <v>176984</v>
      </c>
      <c r="M62" s="42">
        <v>0</v>
      </c>
      <c r="O62" s="42">
        <v>0</v>
      </c>
      <c r="Q62" s="42">
        <v>1482285</v>
      </c>
      <c r="S62" s="42">
        <v>1760048</v>
      </c>
      <c r="U62" s="42">
        <v>192064</v>
      </c>
      <c r="W62" s="42">
        <v>2621822</v>
      </c>
      <c r="Y62" s="42">
        <v>943792</v>
      </c>
      <c r="AA62" s="42">
        <v>55845</v>
      </c>
      <c r="AC62" s="42">
        <v>2604901</v>
      </c>
      <c r="AE62" s="42">
        <v>2174356</v>
      </c>
      <c r="AG62" s="42">
        <v>6243</v>
      </c>
      <c r="AI62" s="42">
        <v>0</v>
      </c>
      <c r="AK62" s="42">
        <v>1684</v>
      </c>
      <c r="AL62" s="9" t="s">
        <v>630</v>
      </c>
      <c r="AM62" s="9"/>
      <c r="AN62" s="9" t="s">
        <v>23</v>
      </c>
      <c r="AP62" s="42">
        <v>415083</v>
      </c>
      <c r="AR62" s="42">
        <v>45</v>
      </c>
      <c r="AV62" s="42">
        <v>0</v>
      </c>
      <c r="AX62" s="42">
        <v>0</v>
      </c>
      <c r="AZ62" s="42">
        <v>0</v>
      </c>
      <c r="BB62" s="42">
        <f t="shared" si="4"/>
        <v>28095555</v>
      </c>
      <c r="BD62" s="42">
        <v>0</v>
      </c>
      <c r="BF62" s="42">
        <v>0</v>
      </c>
      <c r="BH62" s="42">
        <v>0</v>
      </c>
      <c r="BJ62" s="42">
        <v>0</v>
      </c>
      <c r="BL62" s="42">
        <f t="shared" si="13"/>
        <v>28095555</v>
      </c>
      <c r="BN62" s="42">
        <f>+'Gen Fd Rev'!AM62-'Gen Fd Exp'!BL62</f>
        <v>2008737</v>
      </c>
      <c r="BP62" s="42">
        <v>7899612</v>
      </c>
      <c r="BR62" s="42">
        <v>0</v>
      </c>
      <c r="BT62" s="42">
        <v>0</v>
      </c>
      <c r="BV62" s="42">
        <f t="shared" si="14"/>
        <v>9908349</v>
      </c>
      <c r="BX62" s="5">
        <f>+BV62-'Gen Fd BS'!AI62+BT62</f>
        <v>0</v>
      </c>
    </row>
    <row r="63" spans="1:76">
      <c r="A63" s="9" t="s">
        <v>411</v>
      </c>
      <c r="B63" s="9"/>
      <c r="C63" s="9" t="s">
        <v>47</v>
      </c>
      <c r="D63" s="9"/>
      <c r="E63" s="23">
        <v>48462</v>
      </c>
      <c r="G63" s="42">
        <v>6303111</v>
      </c>
      <c r="I63" s="42">
        <v>1064533</v>
      </c>
      <c r="K63" s="42">
        <v>157349</v>
      </c>
      <c r="M63" s="42">
        <v>0</v>
      </c>
      <c r="O63" s="42">
        <v>2</v>
      </c>
      <c r="Q63" s="42">
        <v>508435</v>
      </c>
      <c r="S63" s="42">
        <v>315956</v>
      </c>
      <c r="U63" s="42">
        <v>29695</v>
      </c>
      <c r="W63" s="42">
        <v>704513</v>
      </c>
      <c r="Y63" s="42">
        <v>327677</v>
      </c>
      <c r="AA63" s="42">
        <v>30495</v>
      </c>
      <c r="AC63" s="42">
        <v>779088</v>
      </c>
      <c r="AE63" s="42">
        <v>819248</v>
      </c>
      <c r="AG63" s="42">
        <v>152298</v>
      </c>
      <c r="AI63" s="42">
        <v>0</v>
      </c>
      <c r="AK63" s="42">
        <v>0</v>
      </c>
      <c r="AL63" s="9" t="s">
        <v>411</v>
      </c>
      <c r="AM63" s="9"/>
      <c r="AN63" s="9" t="s">
        <v>47</v>
      </c>
      <c r="AP63" s="42">
        <v>155448</v>
      </c>
      <c r="AR63" s="42">
        <v>0</v>
      </c>
      <c r="AV63" s="42">
        <v>11170</v>
      </c>
      <c r="AX63" s="42">
        <v>337</v>
      </c>
      <c r="AZ63" s="42">
        <v>0</v>
      </c>
      <c r="BB63" s="42">
        <f t="shared" si="4"/>
        <v>11359355</v>
      </c>
      <c r="BD63" s="42">
        <v>117181</v>
      </c>
      <c r="BF63" s="42">
        <v>0</v>
      </c>
      <c r="BH63" s="42">
        <v>0</v>
      </c>
      <c r="BJ63" s="42">
        <v>0</v>
      </c>
      <c r="BL63" s="42">
        <f t="shared" si="13"/>
        <v>11476536</v>
      </c>
      <c r="BN63" s="42">
        <f>+'Gen Fd Rev'!AM63-'Gen Fd Exp'!BL63</f>
        <v>348392</v>
      </c>
      <c r="BP63" s="42">
        <v>-731818</v>
      </c>
      <c r="BR63" s="42">
        <v>0</v>
      </c>
      <c r="BT63" s="42">
        <v>0</v>
      </c>
      <c r="BV63" s="42">
        <f t="shared" si="14"/>
        <v>-383426</v>
      </c>
      <c r="BX63" s="5">
        <f>+BV63-'Gen Fd BS'!AI63+BT63</f>
        <v>0</v>
      </c>
    </row>
    <row r="64" spans="1:76">
      <c r="A64" s="9" t="s">
        <v>240</v>
      </c>
      <c r="B64" s="9"/>
      <c r="C64" s="9" t="s">
        <v>18</v>
      </c>
      <c r="D64" s="9"/>
      <c r="E64" s="23">
        <v>46383</v>
      </c>
      <c r="F64" s="7"/>
      <c r="G64" s="42">
        <v>5373859</v>
      </c>
      <c r="I64" s="42">
        <v>977571</v>
      </c>
      <c r="K64" s="42">
        <v>332672</v>
      </c>
      <c r="M64" s="42">
        <v>0</v>
      </c>
      <c r="O64" s="42">
        <v>786786</v>
      </c>
      <c r="Q64" s="42">
        <v>318873</v>
      </c>
      <c r="S64" s="42">
        <v>1044201</v>
      </c>
      <c r="U64" s="42">
        <v>0</v>
      </c>
      <c r="W64" s="42">
        <f>24185+1430734</f>
        <v>1454919</v>
      </c>
      <c r="Y64" s="42">
        <v>402618</v>
      </c>
      <c r="AA64" s="42">
        <v>7699</v>
      </c>
      <c r="AC64" s="42">
        <v>1180578</v>
      </c>
      <c r="AE64" s="42">
        <v>907433</v>
      </c>
      <c r="AG64" s="42">
        <v>12371</v>
      </c>
      <c r="AI64" s="42">
        <v>0</v>
      </c>
      <c r="AK64" s="42">
        <v>295312</v>
      </c>
      <c r="AL64" s="9" t="s">
        <v>240</v>
      </c>
      <c r="AM64" s="9"/>
      <c r="AN64" s="9" t="s">
        <v>18</v>
      </c>
      <c r="AP64" s="42">
        <v>0</v>
      </c>
      <c r="AR64" s="42">
        <v>0</v>
      </c>
      <c r="AV64" s="42">
        <v>0</v>
      </c>
      <c r="AX64" s="42">
        <v>27934</v>
      </c>
      <c r="AZ64" s="42">
        <v>0</v>
      </c>
      <c r="BB64" s="42">
        <f t="shared" si="4"/>
        <v>13122826</v>
      </c>
      <c r="BD64" s="42">
        <v>0</v>
      </c>
      <c r="BF64" s="42">
        <v>0</v>
      </c>
      <c r="BH64" s="42">
        <v>0</v>
      </c>
      <c r="BJ64" s="42">
        <v>0</v>
      </c>
      <c r="BL64" s="42">
        <f t="shared" si="13"/>
        <v>13122826</v>
      </c>
      <c r="BN64" s="42">
        <f>+'Gen Fd Rev'!AM64-'Gen Fd Exp'!BL64</f>
        <v>889502</v>
      </c>
      <c r="BP64" s="42">
        <v>2620488</v>
      </c>
      <c r="BR64" s="42">
        <v>0</v>
      </c>
      <c r="BT64" s="42">
        <v>0</v>
      </c>
      <c r="BV64" s="42">
        <f t="shared" si="14"/>
        <v>3509990</v>
      </c>
      <c r="BX64" s="5">
        <f>+BV64-'Gen Fd BS'!AI64+BT64</f>
        <v>0</v>
      </c>
    </row>
    <row r="65" spans="1:76">
      <c r="A65" s="9" t="s">
        <v>291</v>
      </c>
      <c r="B65" s="9"/>
      <c r="C65" s="9" t="s">
        <v>25</v>
      </c>
      <c r="D65" s="9"/>
      <c r="E65" s="23">
        <v>46862</v>
      </c>
      <c r="G65" s="42">
        <v>5971994</v>
      </c>
      <c r="I65" s="42">
        <v>1321068</v>
      </c>
      <c r="K65" s="42">
        <v>217310</v>
      </c>
      <c r="M65" s="42">
        <v>0</v>
      </c>
      <c r="O65" s="42">
        <f>126601+595617</f>
        <v>722218</v>
      </c>
      <c r="Q65" s="42">
        <v>667686</v>
      </c>
      <c r="S65" s="42">
        <v>855428</v>
      </c>
      <c r="U65" s="42">
        <v>140975</v>
      </c>
      <c r="W65" s="42">
        <v>1795193</v>
      </c>
      <c r="Y65" s="42">
        <v>290017</v>
      </c>
      <c r="AA65" s="42">
        <v>0</v>
      </c>
      <c r="AC65" s="42">
        <v>1536284</v>
      </c>
      <c r="AE65" s="42">
        <v>1317392</v>
      </c>
      <c r="AG65" s="42">
        <v>74576</v>
      </c>
      <c r="AI65" s="42">
        <v>0</v>
      </c>
      <c r="AK65" s="42">
        <v>0</v>
      </c>
      <c r="AL65" s="9" t="s">
        <v>291</v>
      </c>
      <c r="AM65" s="9"/>
      <c r="AN65" s="9" t="s">
        <v>25</v>
      </c>
      <c r="AP65" s="42">
        <v>522369</v>
      </c>
      <c r="AR65" s="42">
        <v>0</v>
      </c>
      <c r="AV65" s="42">
        <v>0</v>
      </c>
      <c r="AX65" s="42">
        <v>0</v>
      </c>
      <c r="AZ65" s="42">
        <v>0</v>
      </c>
      <c r="BB65" s="42">
        <f t="shared" si="4"/>
        <v>15432510</v>
      </c>
      <c r="BD65" s="42">
        <v>18004</v>
      </c>
      <c r="BF65" s="42">
        <v>0</v>
      </c>
      <c r="BH65" s="42">
        <v>0</v>
      </c>
      <c r="BJ65" s="42">
        <v>0</v>
      </c>
      <c r="BL65" s="42">
        <f t="shared" si="13"/>
        <v>15450514</v>
      </c>
      <c r="BN65" s="42">
        <f>+'Gen Fd Rev'!AM65-'Gen Fd Exp'!BL65</f>
        <v>411489</v>
      </c>
      <c r="BP65" s="42">
        <v>980026</v>
      </c>
      <c r="BR65" s="42">
        <v>0</v>
      </c>
      <c r="BT65" s="42">
        <v>0</v>
      </c>
      <c r="BV65" s="42">
        <f t="shared" si="14"/>
        <v>1391515</v>
      </c>
      <c r="BX65" s="5">
        <f>+BV65-'Gen Fd BS'!AI65+BT65</f>
        <v>0</v>
      </c>
    </row>
    <row r="66" spans="1:76">
      <c r="A66" s="9" t="s">
        <v>514</v>
      </c>
      <c r="B66" s="9"/>
      <c r="C66" s="9" t="s">
        <v>64</v>
      </c>
      <c r="D66" s="9"/>
      <c r="E66" s="23">
        <v>50096</v>
      </c>
      <c r="G66" s="42">
        <v>1256298</v>
      </c>
      <c r="I66" s="42">
        <v>171791</v>
      </c>
      <c r="K66" s="42">
        <v>36542</v>
      </c>
      <c r="M66" s="42">
        <v>0</v>
      </c>
      <c r="O66" s="42">
        <v>0</v>
      </c>
      <c r="Q66" s="42">
        <v>130347</v>
      </c>
      <c r="S66" s="42">
        <v>32098</v>
      </c>
      <c r="U66" s="42">
        <v>18146</v>
      </c>
      <c r="W66" s="42">
        <v>376070</v>
      </c>
      <c r="Y66" s="42">
        <v>220907</v>
      </c>
      <c r="AA66" s="42">
        <v>0</v>
      </c>
      <c r="AC66" s="42">
        <v>361416</v>
      </c>
      <c r="AE66" s="42">
        <v>192724</v>
      </c>
      <c r="AG66" s="42">
        <v>2086</v>
      </c>
      <c r="AI66" s="42">
        <v>0</v>
      </c>
      <c r="AK66" s="42">
        <v>0</v>
      </c>
      <c r="AL66" s="9" t="s">
        <v>514</v>
      </c>
      <c r="AM66" s="9"/>
      <c r="AN66" s="9" t="s">
        <v>64</v>
      </c>
      <c r="AP66" s="42">
        <v>55779</v>
      </c>
      <c r="AR66" s="42">
        <v>0</v>
      </c>
      <c r="AV66" s="42">
        <v>7861</v>
      </c>
      <c r="AX66" s="42">
        <v>3059</v>
      </c>
      <c r="AZ66" s="42">
        <v>0</v>
      </c>
      <c r="BB66" s="42">
        <f t="shared" si="4"/>
        <v>2865124</v>
      </c>
      <c r="BD66" s="42">
        <v>0</v>
      </c>
      <c r="BF66" s="42">
        <v>0</v>
      </c>
      <c r="BH66" s="42">
        <v>0</v>
      </c>
      <c r="BJ66" s="42">
        <v>0</v>
      </c>
      <c r="BL66" s="42">
        <f t="shared" si="13"/>
        <v>2865124</v>
      </c>
      <c r="BN66" s="42">
        <f>+'Gen Fd Rev'!AM66-'Gen Fd Exp'!BL66</f>
        <v>164992</v>
      </c>
      <c r="BP66" s="42">
        <v>178091</v>
      </c>
      <c r="BR66" s="42">
        <v>0</v>
      </c>
      <c r="BT66" s="42">
        <v>0</v>
      </c>
      <c r="BV66" s="42">
        <f t="shared" si="14"/>
        <v>343083</v>
      </c>
      <c r="BX66" s="5">
        <f>+BV66-'Gen Fd BS'!AI66+BT66</f>
        <v>0</v>
      </c>
    </row>
    <row r="67" spans="1:76">
      <c r="A67" s="9" t="s">
        <v>476</v>
      </c>
      <c r="B67" s="9"/>
      <c r="C67" s="9" t="s">
        <v>59</v>
      </c>
      <c r="D67" s="9"/>
      <c r="E67" s="23">
        <v>49593</v>
      </c>
      <c r="G67" s="42">
        <v>4275846</v>
      </c>
      <c r="I67" s="42">
        <v>662475</v>
      </c>
      <c r="K67" s="42">
        <v>16868</v>
      </c>
      <c r="M67" s="42">
        <v>0</v>
      </c>
      <c r="O67" s="42">
        <v>139213</v>
      </c>
      <c r="Q67" s="42">
        <v>267436</v>
      </c>
      <c r="S67" s="42">
        <v>421126</v>
      </c>
      <c r="U67" s="42">
        <v>31252</v>
      </c>
      <c r="W67" s="42">
        <v>794462</v>
      </c>
      <c r="Y67" s="42">
        <v>181212</v>
      </c>
      <c r="AA67" s="42">
        <v>21605</v>
      </c>
      <c r="AC67" s="42">
        <v>885800</v>
      </c>
      <c r="AE67" s="42">
        <v>738217</v>
      </c>
      <c r="AG67" s="42">
        <v>9774</v>
      </c>
      <c r="AI67" s="42">
        <v>0</v>
      </c>
      <c r="AK67" s="42">
        <v>2069</v>
      </c>
      <c r="AL67" s="9" t="s">
        <v>476</v>
      </c>
      <c r="AM67" s="9"/>
      <c r="AN67" s="9" t="s">
        <v>59</v>
      </c>
      <c r="AP67" s="42">
        <v>136515</v>
      </c>
      <c r="AR67" s="42">
        <v>3813</v>
      </c>
      <c r="AV67" s="42">
        <v>50000</v>
      </c>
      <c r="AX67" s="42">
        <v>20570</v>
      </c>
      <c r="AZ67" s="42">
        <v>0</v>
      </c>
      <c r="BB67" s="42">
        <f t="shared" ref="BB67" si="21">SUM(G67:AZ67)</f>
        <v>8658253</v>
      </c>
      <c r="BD67" s="42">
        <v>35126</v>
      </c>
      <c r="BF67" s="42">
        <v>0</v>
      </c>
      <c r="BH67" s="42">
        <v>0</v>
      </c>
      <c r="BJ67" s="42">
        <v>0</v>
      </c>
      <c r="BL67" s="42">
        <f t="shared" ref="BL67" si="22">+BB67+BD67+BF67+BJ67</f>
        <v>8693379</v>
      </c>
      <c r="BN67" s="42">
        <f>+'Gen Fd Rev'!AM67-'Gen Fd Exp'!BL67</f>
        <v>-24955</v>
      </c>
      <c r="BP67" s="42">
        <v>1063626</v>
      </c>
      <c r="BR67" s="42">
        <v>0</v>
      </c>
      <c r="BT67" s="42">
        <v>0</v>
      </c>
      <c r="BV67" s="42">
        <f t="shared" ref="BV67" si="23">+BP67+BN67-BR67</f>
        <v>1038671</v>
      </c>
      <c r="BX67" s="5">
        <f>+BV67-'Gen Fd BS'!AI67+BT67</f>
        <v>0</v>
      </c>
    </row>
    <row r="68" spans="1:76" hidden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42">
        <v>0</v>
      </c>
      <c r="M68" s="42">
        <v>0</v>
      </c>
      <c r="O68" s="42">
        <v>0</v>
      </c>
      <c r="Q68" s="42">
        <v>0</v>
      </c>
      <c r="S68" s="42">
        <v>0</v>
      </c>
      <c r="U68" s="42">
        <v>0</v>
      </c>
      <c r="W68" s="42">
        <v>0</v>
      </c>
      <c r="Y68" s="42">
        <v>0</v>
      </c>
      <c r="AA68" s="42">
        <v>0</v>
      </c>
      <c r="AC68" s="42">
        <v>0</v>
      </c>
      <c r="AE68" s="42">
        <v>0</v>
      </c>
      <c r="AG68" s="42">
        <v>0</v>
      </c>
      <c r="AI68" s="42">
        <v>0</v>
      </c>
      <c r="AK68" s="42">
        <v>0</v>
      </c>
      <c r="AL68" s="9" t="s">
        <v>875</v>
      </c>
      <c r="AM68" s="9"/>
      <c r="AN68" s="9" t="s">
        <v>10</v>
      </c>
      <c r="AP68" s="42">
        <v>0</v>
      </c>
      <c r="AR68" s="42">
        <v>0</v>
      </c>
      <c r="AV68" s="42">
        <v>0</v>
      </c>
      <c r="AX68" s="42">
        <v>0</v>
      </c>
      <c r="AZ68" s="42">
        <v>0</v>
      </c>
      <c r="BB68" s="42">
        <f>SUM(G68:AZ68)</f>
        <v>0</v>
      </c>
      <c r="BD68" s="42">
        <v>0</v>
      </c>
      <c r="BF68" s="42">
        <v>0</v>
      </c>
      <c r="BH68" s="42">
        <v>0</v>
      </c>
      <c r="BJ68" s="42">
        <v>0</v>
      </c>
      <c r="BL68" s="42">
        <f t="shared" si="13"/>
        <v>0</v>
      </c>
      <c r="BN68" s="42">
        <f>+'Gen Fd Rev'!AM68-'Gen Fd Exp'!BL68</f>
        <v>0</v>
      </c>
      <c r="BP68" s="42">
        <v>0</v>
      </c>
      <c r="BR68" s="42">
        <v>0</v>
      </c>
      <c r="BT68" s="42">
        <v>0</v>
      </c>
      <c r="BV68" s="42">
        <f t="shared" si="14"/>
        <v>0</v>
      </c>
      <c r="BX68" s="5">
        <f>+BV68-'Gen Fd BS'!AI68+BT68</f>
        <v>0</v>
      </c>
    </row>
    <row r="69" spans="1:76">
      <c r="A69" s="9" t="s">
        <v>399</v>
      </c>
      <c r="B69" s="9"/>
      <c r="C69" s="9" t="s">
        <v>45</v>
      </c>
      <c r="D69" s="9"/>
      <c r="E69" s="23">
        <v>48306</v>
      </c>
      <c r="G69" s="42">
        <v>20954688</v>
      </c>
      <c r="I69" s="42">
        <v>4542665</v>
      </c>
      <c r="K69" s="42">
        <v>0</v>
      </c>
      <c r="M69" s="42">
        <v>0</v>
      </c>
      <c r="O69" s="42">
        <v>152757</v>
      </c>
      <c r="Q69" s="42">
        <v>1244071</v>
      </c>
      <c r="S69" s="42">
        <v>1770266</v>
      </c>
      <c r="U69" s="42">
        <v>130605</v>
      </c>
      <c r="W69" s="42">
        <v>2280762</v>
      </c>
      <c r="Y69" s="42">
        <v>1014027</v>
      </c>
      <c r="AA69" s="42">
        <v>97194</v>
      </c>
      <c r="AC69" s="42">
        <v>4226588</v>
      </c>
      <c r="AE69" s="42">
        <v>3132722</v>
      </c>
      <c r="AG69" s="42">
        <v>28583</v>
      </c>
      <c r="AI69" s="42">
        <v>0</v>
      </c>
      <c r="AK69" s="42">
        <v>330182</v>
      </c>
      <c r="AL69" s="9" t="s">
        <v>399</v>
      </c>
      <c r="AM69" s="9"/>
      <c r="AN69" s="9" t="s">
        <v>45</v>
      </c>
      <c r="AP69" s="42">
        <v>744121</v>
      </c>
      <c r="AR69" s="42">
        <v>0</v>
      </c>
      <c r="AV69" s="42">
        <v>0</v>
      </c>
      <c r="AX69" s="42">
        <v>0</v>
      </c>
      <c r="AZ69" s="42">
        <v>0</v>
      </c>
      <c r="BB69" s="42">
        <f t="shared" si="4"/>
        <v>40649231</v>
      </c>
      <c r="BD69" s="42">
        <v>461343</v>
      </c>
      <c r="BF69" s="42">
        <v>0</v>
      </c>
      <c r="BH69" s="42">
        <v>0</v>
      </c>
      <c r="BJ69" s="42">
        <v>0</v>
      </c>
      <c r="BL69" s="42">
        <f t="shared" si="13"/>
        <v>41110574</v>
      </c>
      <c r="BN69" s="42">
        <f>+'Gen Fd Rev'!AM69-'Gen Fd Exp'!BL69</f>
        <v>1389570</v>
      </c>
      <c r="BP69" s="42">
        <v>3581096</v>
      </c>
      <c r="BR69" s="42">
        <v>0</v>
      </c>
      <c r="BT69" s="42">
        <v>0</v>
      </c>
      <c r="BV69" s="42">
        <f t="shared" si="14"/>
        <v>4970666</v>
      </c>
      <c r="BX69" s="5">
        <f>+BV69-'Gen Fd BS'!AI69+BT69</f>
        <v>0</v>
      </c>
    </row>
    <row r="70" spans="1:76" hidden="1">
      <c r="A70" s="9" t="s">
        <v>900</v>
      </c>
      <c r="B70" s="9"/>
      <c r="C70" s="9" t="s">
        <v>61</v>
      </c>
      <c r="D70" s="9"/>
      <c r="E70" s="23">
        <v>49767</v>
      </c>
      <c r="G70" s="42">
        <v>0</v>
      </c>
      <c r="I70" s="42">
        <v>0</v>
      </c>
      <c r="K70" s="42">
        <v>0</v>
      </c>
      <c r="M70" s="42">
        <v>0</v>
      </c>
      <c r="O70" s="42">
        <v>0</v>
      </c>
      <c r="Q70" s="42">
        <v>0</v>
      </c>
      <c r="S70" s="42">
        <v>0</v>
      </c>
      <c r="U70" s="42">
        <v>0</v>
      </c>
      <c r="W70" s="42">
        <v>0</v>
      </c>
      <c r="Y70" s="42">
        <v>0</v>
      </c>
      <c r="AA70" s="42">
        <v>0</v>
      </c>
      <c r="AC70" s="42">
        <v>0</v>
      </c>
      <c r="AE70" s="42">
        <v>0</v>
      </c>
      <c r="AG70" s="42">
        <v>0</v>
      </c>
      <c r="AI70" s="42">
        <v>0</v>
      </c>
      <c r="AK70" s="42">
        <v>0</v>
      </c>
      <c r="AL70" s="9" t="s">
        <v>900</v>
      </c>
      <c r="AM70" s="9"/>
      <c r="AN70" s="9" t="s">
        <v>61</v>
      </c>
      <c r="AP70" s="42">
        <v>0</v>
      </c>
      <c r="AR70" s="42">
        <v>0</v>
      </c>
      <c r="AV70" s="42">
        <v>0</v>
      </c>
      <c r="AX70" s="42">
        <v>0</v>
      </c>
      <c r="AZ70" s="42">
        <v>0</v>
      </c>
      <c r="BB70" s="42">
        <f t="shared" si="4"/>
        <v>0</v>
      </c>
      <c r="BD70" s="42">
        <v>0</v>
      </c>
      <c r="BF70" s="42">
        <v>0</v>
      </c>
      <c r="BH70" s="42">
        <v>0</v>
      </c>
      <c r="BJ70" s="42">
        <v>0</v>
      </c>
      <c r="BL70" s="42">
        <f t="shared" si="13"/>
        <v>0</v>
      </c>
      <c r="BN70" s="42">
        <f>+'Gen Fd Rev'!AM70-'Gen Fd Exp'!BL70</f>
        <v>0</v>
      </c>
      <c r="BP70" s="42">
        <v>0</v>
      </c>
      <c r="BR70" s="42">
        <v>0</v>
      </c>
      <c r="BT70" s="42">
        <v>0</v>
      </c>
      <c r="BV70" s="42">
        <f t="shared" si="14"/>
        <v>0</v>
      </c>
      <c r="BX70" s="5">
        <f>+BV70-'Gen Fd BS'!AI70+BT70</f>
        <v>0</v>
      </c>
    </row>
    <row r="71" spans="1:76">
      <c r="A71" s="9" t="s">
        <v>549</v>
      </c>
      <c r="B71" s="9"/>
      <c r="C71" s="9" t="s">
        <v>72</v>
      </c>
      <c r="D71" s="9"/>
      <c r="E71" s="23">
        <v>43638</v>
      </c>
      <c r="G71" s="42">
        <v>18448225</v>
      </c>
      <c r="I71" s="42">
        <v>0</v>
      </c>
      <c r="K71" s="42">
        <v>0</v>
      </c>
      <c r="M71" s="42">
        <v>0</v>
      </c>
      <c r="O71" s="42">
        <v>0</v>
      </c>
      <c r="Q71" s="42">
        <v>10604059</v>
      </c>
      <c r="S71" s="42">
        <v>0</v>
      </c>
      <c r="U71" s="42">
        <v>0</v>
      </c>
      <c r="W71" s="42">
        <v>0</v>
      </c>
      <c r="Y71" s="42">
        <v>0</v>
      </c>
      <c r="AA71" s="42">
        <v>0</v>
      </c>
      <c r="AC71" s="42">
        <v>0</v>
      </c>
      <c r="AE71" s="42">
        <v>0</v>
      </c>
      <c r="AG71" s="42">
        <v>0</v>
      </c>
      <c r="AI71" s="42">
        <v>0</v>
      </c>
      <c r="AK71" s="42">
        <v>132361</v>
      </c>
      <c r="AL71" s="9" t="s">
        <v>549</v>
      </c>
      <c r="AM71" s="9"/>
      <c r="AN71" s="9" t="s">
        <v>72</v>
      </c>
      <c r="AP71" s="42">
        <v>653428</v>
      </c>
      <c r="AR71" s="42">
        <v>0</v>
      </c>
      <c r="AV71" s="42">
        <v>0</v>
      </c>
      <c r="AX71" s="42">
        <v>0</v>
      </c>
      <c r="AZ71" s="42">
        <v>0</v>
      </c>
      <c r="BB71" s="42">
        <f t="shared" si="4"/>
        <v>29838073</v>
      </c>
      <c r="BD71" s="42">
        <v>40000</v>
      </c>
      <c r="BF71" s="42">
        <v>0</v>
      </c>
      <c r="BH71" s="42">
        <v>0</v>
      </c>
      <c r="BJ71" s="42">
        <v>24</v>
      </c>
      <c r="BL71" s="42">
        <f t="shared" si="13"/>
        <v>29878097</v>
      </c>
      <c r="BN71" s="42">
        <f>+'Gen Fd Rev'!AM71-'Gen Fd Exp'!BL71</f>
        <v>658478</v>
      </c>
      <c r="BP71" s="42">
        <v>7113061</v>
      </c>
      <c r="BR71" s="42">
        <v>0</v>
      </c>
      <c r="BT71" s="42">
        <v>0</v>
      </c>
      <c r="BV71" s="42">
        <f t="shared" si="14"/>
        <v>7771539</v>
      </c>
      <c r="BX71" s="5">
        <f>+BV71-'Gen Fd BS'!AI71+BT71</f>
        <v>0</v>
      </c>
    </row>
    <row r="72" spans="1:76" hidden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42">
        <v>0</v>
      </c>
      <c r="M72" s="42">
        <v>0</v>
      </c>
      <c r="O72" s="42">
        <v>0</v>
      </c>
      <c r="Q72" s="42">
        <v>0</v>
      </c>
      <c r="S72" s="42">
        <v>0</v>
      </c>
      <c r="U72" s="42">
        <v>0</v>
      </c>
      <c r="W72" s="42">
        <v>0</v>
      </c>
      <c r="Y72" s="42">
        <v>0</v>
      </c>
      <c r="AA72" s="42">
        <v>0</v>
      </c>
      <c r="AC72" s="42">
        <v>0</v>
      </c>
      <c r="AE72" s="42">
        <v>0</v>
      </c>
      <c r="AG72" s="42">
        <v>0</v>
      </c>
      <c r="AI72" s="42">
        <v>0</v>
      </c>
      <c r="AK72" s="42">
        <v>0</v>
      </c>
      <c r="AL72" s="9" t="s">
        <v>876</v>
      </c>
      <c r="AM72" s="9"/>
      <c r="AN72" s="9" t="s">
        <v>48</v>
      </c>
      <c r="AP72" s="42">
        <v>0</v>
      </c>
      <c r="AR72" s="42">
        <v>0</v>
      </c>
      <c r="AV72" s="42">
        <v>0</v>
      </c>
      <c r="AX72" s="42">
        <v>0</v>
      </c>
      <c r="AZ72" s="42">
        <v>0</v>
      </c>
      <c r="BB72" s="42">
        <f>SUM(G72:AZ72)</f>
        <v>0</v>
      </c>
      <c r="BD72" s="42">
        <v>0</v>
      </c>
      <c r="BF72" s="42">
        <v>0</v>
      </c>
      <c r="BH72" s="42">
        <v>0</v>
      </c>
      <c r="BJ72" s="42">
        <v>0</v>
      </c>
      <c r="BL72" s="42">
        <f t="shared" si="13"/>
        <v>0</v>
      </c>
      <c r="BN72" s="42">
        <f>+'Gen Fd Rev'!AM72-'Gen Fd Exp'!BL72</f>
        <v>0</v>
      </c>
      <c r="BP72" s="42">
        <v>0</v>
      </c>
      <c r="BR72" s="42">
        <v>0</v>
      </c>
      <c r="BT72" s="42">
        <v>0</v>
      </c>
      <c r="BV72" s="42">
        <f t="shared" si="14"/>
        <v>0</v>
      </c>
      <c r="BX72" s="5">
        <f>+BV72-'Gen Fd BS'!AI72+BT72</f>
        <v>0</v>
      </c>
    </row>
    <row r="73" spans="1:76">
      <c r="A73" s="9" t="s">
        <v>779</v>
      </c>
      <c r="B73" s="9"/>
      <c r="C73" s="9" t="s">
        <v>20</v>
      </c>
      <c r="D73" s="9"/>
      <c r="E73" s="23">
        <v>43646</v>
      </c>
      <c r="G73" s="42">
        <v>20964409</v>
      </c>
      <c r="I73" s="42">
        <v>6031444</v>
      </c>
      <c r="K73" s="42">
        <v>100658</v>
      </c>
      <c r="M73" s="42">
        <v>0</v>
      </c>
      <c r="O73" s="42">
        <v>648211</v>
      </c>
      <c r="Q73" s="42">
        <v>3705266</v>
      </c>
      <c r="S73" s="42">
        <v>2639635</v>
      </c>
      <c r="U73" s="42">
        <v>126554</v>
      </c>
      <c r="W73" s="42">
        <v>2769650</v>
      </c>
      <c r="Y73" s="42">
        <v>1205588</v>
      </c>
      <c r="AA73" s="42">
        <v>439061</v>
      </c>
      <c r="AC73" s="42">
        <v>3933811</v>
      </c>
      <c r="AE73" s="42">
        <v>2992518</v>
      </c>
      <c r="AG73" s="42">
        <v>225018</v>
      </c>
      <c r="AI73" s="42">
        <v>0</v>
      </c>
      <c r="AK73" s="42">
        <v>0</v>
      </c>
      <c r="AL73" s="9" t="s">
        <v>779</v>
      </c>
      <c r="AM73" s="9"/>
      <c r="AN73" s="9" t="s">
        <v>20</v>
      </c>
      <c r="AP73" s="42">
        <v>796953</v>
      </c>
      <c r="AR73" s="42">
        <v>0</v>
      </c>
      <c r="AV73" s="42">
        <v>31090</v>
      </c>
      <c r="AX73" s="42">
        <v>13202</v>
      </c>
      <c r="AZ73" s="42">
        <v>0</v>
      </c>
      <c r="BB73" s="42">
        <f t="shared" si="4"/>
        <v>46623068</v>
      </c>
      <c r="BD73" s="42">
        <v>15000</v>
      </c>
      <c r="BF73" s="42">
        <v>0</v>
      </c>
      <c r="BH73" s="42">
        <v>0</v>
      </c>
      <c r="BJ73" s="42">
        <v>0</v>
      </c>
      <c r="BL73" s="42">
        <f t="shared" si="13"/>
        <v>46638068</v>
      </c>
      <c r="BN73" s="42">
        <f>+'Gen Fd Rev'!AM73-'Gen Fd Exp'!BL73</f>
        <v>-605200</v>
      </c>
      <c r="BP73" s="42">
        <v>9422686</v>
      </c>
      <c r="BR73" s="42">
        <v>0</v>
      </c>
      <c r="BT73" s="42">
        <v>0</v>
      </c>
      <c r="BV73" s="42">
        <f t="shared" si="14"/>
        <v>8817486</v>
      </c>
      <c r="BX73" s="5">
        <f>+BV73-'Gen Fd BS'!AI73+BT73</f>
        <v>0</v>
      </c>
    </row>
    <row r="74" spans="1:76">
      <c r="A74" s="9" t="s">
        <v>745</v>
      </c>
      <c r="B74" s="9"/>
      <c r="C74" s="9" t="s">
        <v>15</v>
      </c>
      <c r="D74" s="9"/>
      <c r="E74" s="23">
        <v>45237</v>
      </c>
      <c r="F74" s="7"/>
      <c r="G74" s="42">
        <v>3369805</v>
      </c>
      <c r="I74" s="42">
        <v>528225</v>
      </c>
      <c r="K74" s="42">
        <v>27514</v>
      </c>
      <c r="M74" s="42">
        <v>0</v>
      </c>
      <c r="O74" s="42">
        <v>127985</v>
      </c>
      <c r="Q74" s="42">
        <v>305240</v>
      </c>
      <c r="S74" s="42">
        <v>269174</v>
      </c>
      <c r="U74" s="42">
        <v>43667</v>
      </c>
      <c r="W74" s="42">
        <v>652425</v>
      </c>
      <c r="Y74" s="42">
        <v>249730</v>
      </c>
      <c r="AA74" s="42">
        <v>39423</v>
      </c>
      <c r="AC74" s="42">
        <v>637938</v>
      </c>
      <c r="AE74" s="42">
        <v>310510</v>
      </c>
      <c r="AG74" s="42">
        <v>8057</v>
      </c>
      <c r="AI74" s="42">
        <v>0</v>
      </c>
      <c r="AK74" s="42">
        <v>0</v>
      </c>
      <c r="AL74" s="9" t="s">
        <v>745</v>
      </c>
      <c r="AM74" s="9"/>
      <c r="AN74" s="9" t="s">
        <v>15</v>
      </c>
      <c r="AP74" s="42">
        <v>110004</v>
      </c>
      <c r="AR74" s="42">
        <v>0</v>
      </c>
      <c r="AV74" s="42">
        <v>0</v>
      </c>
      <c r="AX74" s="42">
        <v>0</v>
      </c>
      <c r="AZ74" s="42">
        <v>0</v>
      </c>
      <c r="BB74" s="42">
        <f t="shared" si="4"/>
        <v>6679697</v>
      </c>
      <c r="BD74" s="42">
        <v>0</v>
      </c>
      <c r="BF74" s="42">
        <v>0</v>
      </c>
      <c r="BH74" s="42">
        <v>0</v>
      </c>
      <c r="BJ74" s="42">
        <v>0</v>
      </c>
      <c r="BL74" s="42">
        <f t="shared" si="13"/>
        <v>6679697</v>
      </c>
      <c r="BN74" s="42">
        <f>+'Gen Fd Rev'!AM74-'Gen Fd Exp'!BL74</f>
        <v>287724</v>
      </c>
      <c r="BP74" s="42">
        <v>668017</v>
      </c>
      <c r="BR74" s="42">
        <v>0</v>
      </c>
      <c r="BT74" s="42">
        <v>0</v>
      </c>
      <c r="BV74" s="42">
        <f t="shared" si="14"/>
        <v>955741</v>
      </c>
      <c r="BX74" s="5">
        <f>+BV74-'Gen Fd BS'!AI74+BT74</f>
        <v>0</v>
      </c>
    </row>
    <row r="75" spans="1:76" hidden="1">
      <c r="A75" s="9" t="s">
        <v>787</v>
      </c>
      <c r="B75" s="9"/>
      <c r="C75" s="9" t="s">
        <v>346</v>
      </c>
      <c r="D75" s="9"/>
      <c r="E75" s="23">
        <v>47613</v>
      </c>
      <c r="G75" s="42">
        <v>0</v>
      </c>
      <c r="I75" s="42">
        <v>0</v>
      </c>
      <c r="K75" s="42">
        <v>0</v>
      </c>
      <c r="M75" s="42">
        <v>0</v>
      </c>
      <c r="O75" s="42">
        <v>0</v>
      </c>
      <c r="Q75" s="42">
        <v>0</v>
      </c>
      <c r="S75" s="42">
        <v>0</v>
      </c>
      <c r="U75" s="42">
        <v>0</v>
      </c>
      <c r="W75" s="42">
        <v>0</v>
      </c>
      <c r="Y75" s="42">
        <v>0</v>
      </c>
      <c r="AA75" s="42">
        <v>0</v>
      </c>
      <c r="AC75" s="42">
        <v>0</v>
      </c>
      <c r="AE75" s="42">
        <v>0</v>
      </c>
      <c r="AG75" s="42">
        <v>0</v>
      </c>
      <c r="AI75" s="42">
        <v>0</v>
      </c>
      <c r="AK75" s="42">
        <v>0</v>
      </c>
      <c r="AL75" s="9" t="s">
        <v>787</v>
      </c>
      <c r="AM75" s="9"/>
      <c r="AN75" s="9" t="s">
        <v>346</v>
      </c>
      <c r="AP75" s="42">
        <v>0</v>
      </c>
      <c r="AR75" s="42">
        <v>0</v>
      </c>
      <c r="AV75" s="42">
        <v>0</v>
      </c>
      <c r="AX75" s="42">
        <v>0</v>
      </c>
      <c r="AZ75" s="42">
        <v>0</v>
      </c>
      <c r="BB75" s="42">
        <f t="shared" si="4"/>
        <v>0</v>
      </c>
      <c r="BD75" s="42">
        <v>0</v>
      </c>
      <c r="BF75" s="42">
        <v>0</v>
      </c>
      <c r="BH75" s="42">
        <v>0</v>
      </c>
      <c r="BJ75" s="42">
        <v>0</v>
      </c>
      <c r="BL75" s="42">
        <f t="shared" si="13"/>
        <v>0</v>
      </c>
      <c r="BN75" s="42">
        <f>+'Gen Fd Rev'!AM75-'Gen Fd Exp'!BL75</f>
        <v>0</v>
      </c>
      <c r="BP75" s="42">
        <v>0</v>
      </c>
      <c r="BR75" s="42">
        <v>0</v>
      </c>
      <c r="BT75" s="42">
        <v>0</v>
      </c>
      <c r="BV75" s="42">
        <f t="shared" si="14"/>
        <v>0</v>
      </c>
      <c r="BX75" s="5">
        <f>+BV75-'Gen Fd BS'!AI75+BT75</f>
        <v>0</v>
      </c>
    </row>
    <row r="76" spans="1:76">
      <c r="A76" s="9" t="s">
        <v>515</v>
      </c>
      <c r="B76" s="9"/>
      <c r="C76" s="9" t="s">
        <v>64</v>
      </c>
      <c r="D76" s="9"/>
      <c r="E76" s="23">
        <v>50112</v>
      </c>
      <c r="G76" s="42">
        <v>3645239</v>
      </c>
      <c r="I76" s="42">
        <v>440375</v>
      </c>
      <c r="K76" s="42">
        <v>62110</v>
      </c>
      <c r="M76" s="42">
        <v>0</v>
      </c>
      <c r="O76" s="42">
        <v>8901</v>
      </c>
      <c r="Q76" s="42">
        <v>236237</v>
      </c>
      <c r="S76" s="42">
        <v>96713</v>
      </c>
      <c r="U76" s="42">
        <v>33111</v>
      </c>
      <c r="W76" s="42">
        <v>614788</v>
      </c>
      <c r="Y76" s="42">
        <v>224297</v>
      </c>
      <c r="AA76" s="42">
        <v>26852</v>
      </c>
      <c r="AC76" s="42">
        <v>516959</v>
      </c>
      <c r="AE76" s="42">
        <v>408111</v>
      </c>
      <c r="AG76" s="42">
        <v>98582</v>
      </c>
      <c r="AI76" s="42">
        <v>0</v>
      </c>
      <c r="AK76" s="42">
        <v>120</v>
      </c>
      <c r="AL76" s="9" t="s">
        <v>515</v>
      </c>
      <c r="AM76" s="9"/>
      <c r="AN76" s="9" t="s">
        <v>64</v>
      </c>
      <c r="AP76" s="42">
        <v>168578</v>
      </c>
      <c r="AR76" s="42">
        <v>8000</v>
      </c>
      <c r="AV76" s="42">
        <v>0</v>
      </c>
      <c r="AX76" s="42">
        <v>0</v>
      </c>
      <c r="AZ76" s="42">
        <v>0</v>
      </c>
      <c r="BB76" s="42">
        <f t="shared" si="4"/>
        <v>6588973</v>
      </c>
      <c r="BD76" s="42">
        <v>0</v>
      </c>
      <c r="BF76" s="42">
        <v>0</v>
      </c>
      <c r="BH76" s="42">
        <v>0</v>
      </c>
      <c r="BJ76" s="42">
        <v>0</v>
      </c>
      <c r="BL76" s="42">
        <f t="shared" si="13"/>
        <v>6588973</v>
      </c>
      <c r="BN76" s="42">
        <f>+'Gen Fd Rev'!AM76-'Gen Fd Exp'!BL76</f>
        <v>-16107</v>
      </c>
      <c r="BP76" s="42">
        <v>1490358</v>
      </c>
      <c r="BR76" s="42">
        <v>0</v>
      </c>
      <c r="BT76" s="42">
        <v>0</v>
      </c>
      <c r="BV76" s="42">
        <f t="shared" si="14"/>
        <v>1474251</v>
      </c>
      <c r="BX76" s="5">
        <f>+BV76-'Gen Fd BS'!AI76+BT76</f>
        <v>0</v>
      </c>
    </row>
    <row r="77" spans="1:76">
      <c r="A77" s="9" t="s">
        <v>668</v>
      </c>
      <c r="B77" s="9"/>
      <c r="C77" s="9" t="s">
        <v>64</v>
      </c>
      <c r="D77" s="9"/>
      <c r="E77" s="23">
        <v>50120</v>
      </c>
      <c r="G77" s="42">
        <v>4602232</v>
      </c>
      <c r="I77" s="42">
        <v>854464</v>
      </c>
      <c r="K77" s="42">
        <v>80282</v>
      </c>
      <c r="M77" s="42">
        <v>0</v>
      </c>
      <c r="O77" s="42">
        <v>0</v>
      </c>
      <c r="Q77" s="42">
        <v>507097</v>
      </c>
      <c r="S77" s="42">
        <v>373625</v>
      </c>
      <c r="U77" s="42">
        <v>11687</v>
      </c>
      <c r="W77" s="42">
        <v>934595</v>
      </c>
      <c r="Y77" s="42">
        <v>288465</v>
      </c>
      <c r="AA77" s="42">
        <v>37303</v>
      </c>
      <c r="AC77" s="42">
        <v>832054</v>
      </c>
      <c r="AE77" s="42">
        <v>562485</v>
      </c>
      <c r="AG77" s="42">
        <v>12170</v>
      </c>
      <c r="AI77" s="42">
        <v>0</v>
      </c>
      <c r="AK77" s="42">
        <v>0</v>
      </c>
      <c r="AL77" s="9" t="s">
        <v>668</v>
      </c>
      <c r="AM77" s="9"/>
      <c r="AN77" s="9" t="s">
        <v>64</v>
      </c>
      <c r="AP77" s="42">
        <v>213769</v>
      </c>
      <c r="AR77" s="42">
        <v>0</v>
      </c>
      <c r="AV77" s="42">
        <v>22244</v>
      </c>
      <c r="AX77" s="42">
        <v>6640</v>
      </c>
      <c r="AZ77" s="42">
        <v>0</v>
      </c>
      <c r="BB77" s="42">
        <f t="shared" si="4"/>
        <v>9339112</v>
      </c>
      <c r="BD77" s="42">
        <v>0</v>
      </c>
      <c r="BF77" s="42">
        <v>0</v>
      </c>
      <c r="BH77" s="42">
        <v>0</v>
      </c>
      <c r="BJ77" s="42">
        <v>0</v>
      </c>
      <c r="BL77" s="42">
        <f t="shared" si="13"/>
        <v>9339112</v>
      </c>
      <c r="BN77" s="42">
        <f>+'Gen Fd Rev'!AM77-'Gen Fd Exp'!BL77</f>
        <v>-179311</v>
      </c>
      <c r="BP77" s="42">
        <v>-1835797</v>
      </c>
      <c r="BR77" s="42">
        <v>0</v>
      </c>
      <c r="BT77" s="42">
        <v>0</v>
      </c>
      <c r="BV77" s="42">
        <f t="shared" si="14"/>
        <v>-2015108</v>
      </c>
      <c r="BX77" s="5">
        <f>+BV77-'Gen Fd BS'!AI77+BT77</f>
        <v>0</v>
      </c>
    </row>
    <row r="78" spans="1:76">
      <c r="A78" s="9" t="s">
        <v>262</v>
      </c>
      <c r="B78" s="9"/>
      <c r="C78" s="9" t="s">
        <v>20</v>
      </c>
      <c r="D78" s="9"/>
      <c r="E78" s="23">
        <v>43653</v>
      </c>
      <c r="G78" s="42">
        <v>7151647</v>
      </c>
      <c r="I78" s="42">
        <v>2229190</v>
      </c>
      <c r="K78" s="42">
        <v>124041</v>
      </c>
      <c r="M78" s="42">
        <v>0</v>
      </c>
      <c r="O78" s="42">
        <v>0</v>
      </c>
      <c r="Q78" s="42">
        <v>1428140</v>
      </c>
      <c r="S78" s="42">
        <v>200035</v>
      </c>
      <c r="U78" s="42">
        <v>41335</v>
      </c>
      <c r="W78" s="42">
        <v>1367950</v>
      </c>
      <c r="Y78" s="42">
        <v>626502</v>
      </c>
      <c r="AA78" s="42">
        <v>108119</v>
      </c>
      <c r="AC78" s="42">
        <v>1005321</v>
      </c>
      <c r="AE78" s="42">
        <v>306830</v>
      </c>
      <c r="AG78" s="42">
        <v>187477</v>
      </c>
      <c r="AI78" s="42">
        <v>0</v>
      </c>
      <c r="AK78" s="42">
        <v>0</v>
      </c>
      <c r="AL78" s="9" t="s">
        <v>262</v>
      </c>
      <c r="AM78" s="9"/>
      <c r="AN78" s="9" t="s">
        <v>20</v>
      </c>
      <c r="AP78" s="42">
        <v>329767</v>
      </c>
      <c r="AR78" s="42">
        <v>3091</v>
      </c>
      <c r="AV78" s="42">
        <v>0</v>
      </c>
      <c r="AX78" s="42">
        <v>0</v>
      </c>
      <c r="AZ78" s="42">
        <v>0</v>
      </c>
      <c r="BB78" s="42">
        <f t="shared" si="4"/>
        <v>15109445</v>
      </c>
      <c r="BD78" s="42">
        <v>0</v>
      </c>
      <c r="BF78" s="42">
        <v>0</v>
      </c>
      <c r="BH78" s="42">
        <v>0</v>
      </c>
      <c r="BJ78" s="42">
        <v>0</v>
      </c>
      <c r="BL78" s="42">
        <f t="shared" si="13"/>
        <v>15109445</v>
      </c>
      <c r="BN78" s="42">
        <f>+'Gen Fd Rev'!AM78-'Gen Fd Exp'!BL78</f>
        <v>-970070</v>
      </c>
      <c r="BP78" s="42">
        <v>4681585</v>
      </c>
      <c r="BR78" s="42">
        <v>0</v>
      </c>
      <c r="BT78" s="42">
        <v>0</v>
      </c>
      <c r="BV78" s="42">
        <f t="shared" si="14"/>
        <v>3711515</v>
      </c>
      <c r="BX78" s="5">
        <f>+BV78-'Gen Fd BS'!AI78+BT78</f>
        <v>0</v>
      </c>
    </row>
    <row r="79" spans="1:76">
      <c r="A79" s="9" t="s">
        <v>425</v>
      </c>
      <c r="B79" s="9"/>
      <c r="C79" s="9" t="s">
        <v>50</v>
      </c>
      <c r="D79" s="9"/>
      <c r="E79" s="23">
        <v>48678</v>
      </c>
      <c r="G79" s="42">
        <v>5542869</v>
      </c>
      <c r="I79" s="42">
        <v>1009622</v>
      </c>
      <c r="K79" s="42">
        <v>171186</v>
      </c>
      <c r="M79" s="42">
        <v>0</v>
      </c>
      <c r="O79" s="42">
        <v>96937</v>
      </c>
      <c r="Q79" s="42">
        <v>722768</v>
      </c>
      <c r="S79" s="42">
        <v>705847</v>
      </c>
      <c r="U79" s="42">
        <v>0</v>
      </c>
      <c r="W79" s="42">
        <f>24172+1366386</f>
        <v>1390558</v>
      </c>
      <c r="Y79" s="42">
        <v>344388</v>
      </c>
      <c r="AA79" s="42">
        <v>518</v>
      </c>
      <c r="AC79" s="42">
        <v>1124361</v>
      </c>
      <c r="AE79" s="42">
        <v>763767</v>
      </c>
      <c r="AG79" s="42">
        <v>26378</v>
      </c>
      <c r="AI79" s="42">
        <v>0</v>
      </c>
      <c r="AK79" s="42">
        <v>54649</v>
      </c>
      <c r="AL79" s="9" t="s">
        <v>425</v>
      </c>
      <c r="AM79" s="9"/>
      <c r="AN79" s="9" t="s">
        <v>50</v>
      </c>
      <c r="AP79" s="42">
        <v>361687</v>
      </c>
      <c r="AR79" s="42">
        <v>0</v>
      </c>
      <c r="AV79" s="42">
        <v>0</v>
      </c>
      <c r="AX79" s="42">
        <v>0</v>
      </c>
      <c r="AZ79" s="42">
        <v>0</v>
      </c>
      <c r="BB79" s="42">
        <f t="shared" si="4"/>
        <v>12315535</v>
      </c>
      <c r="BD79" s="42">
        <v>40691</v>
      </c>
      <c r="BF79" s="42">
        <v>0</v>
      </c>
      <c r="BH79" s="42">
        <v>0</v>
      </c>
      <c r="BJ79" s="42">
        <v>0</v>
      </c>
      <c r="BL79" s="42">
        <f t="shared" si="13"/>
        <v>12356226</v>
      </c>
      <c r="BN79" s="42">
        <f>+'Gen Fd Rev'!AM79-'Gen Fd Exp'!BL79</f>
        <v>-529907</v>
      </c>
      <c r="BP79" s="42">
        <v>3176342</v>
      </c>
      <c r="BR79" s="42">
        <v>0</v>
      </c>
      <c r="BT79" s="42">
        <v>0</v>
      </c>
      <c r="BV79" s="42">
        <f t="shared" si="14"/>
        <v>2646435</v>
      </c>
      <c r="BX79" s="5">
        <f>+BV79-'Gen Fd BS'!AI79+BT79</f>
        <v>0</v>
      </c>
    </row>
    <row r="80" spans="1:76">
      <c r="A80" s="9" t="s">
        <v>226</v>
      </c>
      <c r="B80" s="9"/>
      <c r="C80" s="9" t="s">
        <v>16</v>
      </c>
      <c r="D80" s="9"/>
      <c r="E80" s="23">
        <v>46177</v>
      </c>
      <c r="F80" s="7"/>
      <c r="G80" s="42">
        <v>3672330</v>
      </c>
      <c r="I80" s="42">
        <v>491777</v>
      </c>
      <c r="K80" s="42">
        <v>69268</v>
      </c>
      <c r="M80" s="42">
        <v>0</v>
      </c>
      <c r="O80" s="42">
        <v>0</v>
      </c>
      <c r="Q80" s="42">
        <v>228009</v>
      </c>
      <c r="S80" s="42">
        <v>268829</v>
      </c>
      <c r="U80" s="42">
        <v>201308</v>
      </c>
      <c r="W80" s="42">
        <v>708277</v>
      </c>
      <c r="Y80" s="42">
        <v>178820</v>
      </c>
      <c r="AA80" s="42">
        <v>0</v>
      </c>
      <c r="AC80" s="42">
        <v>439485</v>
      </c>
      <c r="AE80" s="42">
        <v>331681</v>
      </c>
      <c r="AG80" s="42">
        <v>8159</v>
      </c>
      <c r="AI80" s="42">
        <v>0</v>
      </c>
      <c r="AK80" s="42">
        <v>0</v>
      </c>
      <c r="AL80" s="9" t="s">
        <v>226</v>
      </c>
      <c r="AM80" s="9"/>
      <c r="AN80" s="9" t="s">
        <v>16</v>
      </c>
      <c r="AP80" s="42">
        <v>199751</v>
      </c>
      <c r="AR80" s="42">
        <v>0</v>
      </c>
      <c r="AV80" s="42">
        <v>27332</v>
      </c>
      <c r="AX80" s="42">
        <v>1623</v>
      </c>
      <c r="AZ80" s="42">
        <v>0</v>
      </c>
      <c r="BB80" s="42">
        <f t="shared" si="4"/>
        <v>6826649</v>
      </c>
      <c r="BD80" s="42">
        <v>0</v>
      </c>
      <c r="BF80" s="42">
        <v>0</v>
      </c>
      <c r="BH80" s="42">
        <v>0</v>
      </c>
      <c r="BJ80" s="42">
        <v>0</v>
      </c>
      <c r="BL80" s="42">
        <f t="shared" si="13"/>
        <v>6826649</v>
      </c>
      <c r="BN80" s="42">
        <f>+'Gen Fd Rev'!AM80-'Gen Fd Exp'!BL80</f>
        <v>188425</v>
      </c>
      <c r="BP80" s="42">
        <v>3212142</v>
      </c>
      <c r="BR80" s="42">
        <v>0</v>
      </c>
      <c r="BT80" s="42">
        <v>0</v>
      </c>
      <c r="BV80" s="42">
        <f t="shared" si="14"/>
        <v>3400567</v>
      </c>
      <c r="BX80" s="5">
        <f>+BV80-'Gen Fd BS'!AI80+BT80</f>
        <v>0</v>
      </c>
    </row>
    <row r="81" spans="1:76">
      <c r="A81" s="9" t="s">
        <v>412</v>
      </c>
      <c r="B81" s="9"/>
      <c r="C81" s="9" t="s">
        <v>47</v>
      </c>
      <c r="D81" s="9"/>
      <c r="E81" s="23">
        <v>43661</v>
      </c>
      <c r="G81" s="42">
        <v>30328711</v>
      </c>
      <c r="I81" s="42">
        <v>6664444</v>
      </c>
      <c r="K81" s="42">
        <v>197131</v>
      </c>
      <c r="M81" s="42">
        <v>0</v>
      </c>
      <c r="O81" s="42">
        <v>2038688</v>
      </c>
      <c r="Q81" s="42">
        <v>5034004</v>
      </c>
      <c r="S81" s="42">
        <v>2522283</v>
      </c>
      <c r="U81" s="42">
        <v>575164</v>
      </c>
      <c r="W81" s="42">
        <v>4668582</v>
      </c>
      <c r="Y81" s="42">
        <v>1233379</v>
      </c>
      <c r="AA81" s="42">
        <v>424640</v>
      </c>
      <c r="AC81" s="42">
        <v>5484089</v>
      </c>
      <c r="AE81" s="42">
        <v>4213352</v>
      </c>
      <c r="AG81" s="42">
        <v>259148</v>
      </c>
      <c r="AI81" s="42">
        <v>35993</v>
      </c>
      <c r="AK81" s="42">
        <v>19372</v>
      </c>
      <c r="AL81" s="9" t="s">
        <v>412</v>
      </c>
      <c r="AM81" s="9"/>
      <c r="AN81" s="9" t="s">
        <v>47</v>
      </c>
      <c r="AP81" s="42">
        <v>1315219</v>
      </c>
      <c r="AR81" s="42">
        <v>0</v>
      </c>
      <c r="AV81" s="42">
        <v>0</v>
      </c>
      <c r="AX81" s="42">
        <v>0</v>
      </c>
      <c r="AZ81" s="42">
        <v>0</v>
      </c>
      <c r="BB81" s="42">
        <f t="shared" si="4"/>
        <v>65014199</v>
      </c>
      <c r="BD81" s="42">
        <v>7500</v>
      </c>
      <c r="BF81" s="42">
        <v>0</v>
      </c>
      <c r="BH81" s="42">
        <v>0</v>
      </c>
      <c r="BJ81" s="42">
        <v>0</v>
      </c>
      <c r="BL81" s="42">
        <f t="shared" si="13"/>
        <v>65021699</v>
      </c>
      <c r="BN81" s="42">
        <f>+'Gen Fd Rev'!AM81-'Gen Fd Exp'!BL81</f>
        <v>-3472478</v>
      </c>
      <c r="BP81" s="42">
        <v>4174158</v>
      </c>
      <c r="BR81" s="42">
        <v>0</v>
      </c>
      <c r="BT81" s="42">
        <v>0</v>
      </c>
      <c r="BV81" s="42">
        <f t="shared" si="14"/>
        <v>701680</v>
      </c>
      <c r="BX81" s="5">
        <f>+BV81-'Gen Fd BS'!AI81+BT81</f>
        <v>0</v>
      </c>
    </row>
    <row r="82" spans="1:76" hidden="1">
      <c r="A82" s="9" t="s">
        <v>669</v>
      </c>
      <c r="B82" s="9"/>
      <c r="C82" s="9" t="s">
        <v>548</v>
      </c>
      <c r="D82" s="9"/>
      <c r="E82" s="23">
        <v>43679</v>
      </c>
      <c r="G82" s="42">
        <v>0</v>
      </c>
      <c r="I82" s="42">
        <v>0</v>
      </c>
      <c r="K82" s="42">
        <v>0</v>
      </c>
      <c r="M82" s="42">
        <v>0</v>
      </c>
      <c r="O82" s="42">
        <v>0</v>
      </c>
      <c r="Q82" s="42">
        <v>0</v>
      </c>
      <c r="S82" s="42">
        <v>0</v>
      </c>
      <c r="U82" s="42">
        <v>0</v>
      </c>
      <c r="W82" s="42">
        <v>0</v>
      </c>
      <c r="Y82" s="42">
        <v>0</v>
      </c>
      <c r="AA82" s="42">
        <v>0</v>
      </c>
      <c r="AC82" s="42">
        <v>0</v>
      </c>
      <c r="AE82" s="42">
        <v>0</v>
      </c>
      <c r="AG82" s="42">
        <v>0</v>
      </c>
      <c r="AI82" s="42">
        <v>0</v>
      </c>
      <c r="AK82" s="42">
        <v>0</v>
      </c>
      <c r="AL82" s="9" t="s">
        <v>669</v>
      </c>
      <c r="AM82" s="9"/>
      <c r="AN82" s="9" t="s">
        <v>548</v>
      </c>
      <c r="AP82" s="42">
        <v>0</v>
      </c>
      <c r="AR82" s="42">
        <v>0</v>
      </c>
      <c r="AV82" s="42">
        <v>0</v>
      </c>
      <c r="AX82" s="42">
        <v>0</v>
      </c>
      <c r="AZ82" s="42">
        <v>0</v>
      </c>
      <c r="BB82" s="42">
        <f t="shared" si="4"/>
        <v>0</v>
      </c>
      <c r="BD82" s="42">
        <v>0</v>
      </c>
      <c r="BF82" s="42">
        <v>0</v>
      </c>
      <c r="BH82" s="42">
        <v>0</v>
      </c>
      <c r="BJ82" s="42">
        <v>0</v>
      </c>
      <c r="BL82" s="42">
        <f t="shared" si="13"/>
        <v>0</v>
      </c>
      <c r="BN82" s="42">
        <f>+'Gen Fd Rev'!AM82-'Gen Fd Exp'!BL82</f>
        <v>0</v>
      </c>
      <c r="BP82" s="42">
        <v>0</v>
      </c>
      <c r="BR82" s="42">
        <v>0</v>
      </c>
      <c r="BT82" s="42">
        <v>0</v>
      </c>
      <c r="BV82" s="42">
        <f t="shared" si="14"/>
        <v>0</v>
      </c>
      <c r="BX82" s="5">
        <f>+BV82-'Gen Fd BS'!AI82+BT82</f>
        <v>0</v>
      </c>
    </row>
    <row r="83" spans="1:76">
      <c r="A83" s="9" t="s">
        <v>254</v>
      </c>
      <c r="B83" s="9"/>
      <c r="C83" s="9" t="s">
        <v>110</v>
      </c>
      <c r="D83" s="9"/>
      <c r="E83" s="23">
        <v>46508</v>
      </c>
      <c r="F83" s="7"/>
      <c r="G83" s="42">
        <v>4033190</v>
      </c>
      <c r="I83" s="42">
        <v>661028</v>
      </c>
      <c r="K83" s="42">
        <v>138672</v>
      </c>
      <c r="M83" s="42">
        <v>0</v>
      </c>
      <c r="O83" s="42">
        <v>0</v>
      </c>
      <c r="Q83" s="42">
        <v>318861</v>
      </c>
      <c r="S83" s="42">
        <v>114593</v>
      </c>
      <c r="U83" s="42">
        <v>18300</v>
      </c>
      <c r="W83" s="42">
        <v>778307</v>
      </c>
      <c r="Y83" s="42">
        <v>278516</v>
      </c>
      <c r="AA83" s="42">
        <v>0</v>
      </c>
      <c r="AC83" s="42">
        <v>517476</v>
      </c>
      <c r="AE83" s="42">
        <v>429702</v>
      </c>
      <c r="AG83" s="42">
        <v>70016</v>
      </c>
      <c r="AI83" s="42">
        <v>0</v>
      </c>
      <c r="AK83" s="42">
        <v>14404</v>
      </c>
      <c r="AL83" s="9" t="s">
        <v>254</v>
      </c>
      <c r="AM83" s="9"/>
      <c r="AN83" s="9" t="s">
        <v>110</v>
      </c>
      <c r="AP83" s="42">
        <v>266600</v>
      </c>
      <c r="AR83" s="42">
        <v>111922</v>
      </c>
      <c r="AV83" s="42">
        <v>53203</v>
      </c>
      <c r="AX83" s="42">
        <v>24933</v>
      </c>
      <c r="AZ83" s="42">
        <v>0</v>
      </c>
      <c r="BB83" s="42">
        <f t="shared" si="4"/>
        <v>7829723</v>
      </c>
      <c r="BD83" s="42">
        <v>50000</v>
      </c>
      <c r="BF83" s="42">
        <v>0</v>
      </c>
      <c r="BH83" s="42">
        <v>0</v>
      </c>
      <c r="BJ83" s="42">
        <v>0</v>
      </c>
      <c r="BL83" s="42">
        <f t="shared" ref="BL83:BL89" si="24">+BB83+BD83+BF83+BJ83</f>
        <v>7879723</v>
      </c>
      <c r="BN83" s="42">
        <f>+'Gen Fd Rev'!AM83-'Gen Fd Exp'!BL83</f>
        <v>626840</v>
      </c>
      <c r="BP83" s="42">
        <v>2487006</v>
      </c>
      <c r="BR83" s="42">
        <v>0</v>
      </c>
      <c r="BT83" s="42">
        <v>0</v>
      </c>
      <c r="BV83" s="42">
        <f t="shared" ref="BV83:BV107" si="25">+BP83+BN83-BR83</f>
        <v>3113846</v>
      </c>
      <c r="BX83" s="5">
        <f>+BV83-'Gen Fd BS'!AI83+BT83</f>
        <v>0</v>
      </c>
    </row>
    <row r="84" spans="1:76">
      <c r="A84" s="9" t="s">
        <v>205</v>
      </c>
      <c r="B84" s="9"/>
      <c r="C84" s="9" t="s">
        <v>12</v>
      </c>
      <c r="D84" s="9"/>
      <c r="E84" s="23">
        <v>45856</v>
      </c>
      <c r="F84" s="7"/>
      <c r="G84" s="42">
        <v>8869526</v>
      </c>
      <c r="I84" s="42">
        <v>1663282</v>
      </c>
      <c r="K84" s="42">
        <v>294535</v>
      </c>
      <c r="M84" s="42">
        <v>0</v>
      </c>
      <c r="O84" s="42">
        <v>0</v>
      </c>
      <c r="Q84" s="42">
        <v>519352</v>
      </c>
      <c r="S84" s="42">
        <v>176422</v>
      </c>
      <c r="U84" s="42">
        <v>26189</v>
      </c>
      <c r="W84" s="42">
        <v>1357898</v>
      </c>
      <c r="Y84" s="42">
        <v>455598</v>
      </c>
      <c r="AA84" s="42">
        <v>80443</v>
      </c>
      <c r="AC84" s="42">
        <v>1720207</v>
      </c>
      <c r="AE84" s="42">
        <v>990790</v>
      </c>
      <c r="AG84" s="42">
        <v>48707</v>
      </c>
      <c r="AI84" s="42">
        <v>0</v>
      </c>
      <c r="AK84" s="42">
        <v>0</v>
      </c>
      <c r="AL84" s="9" t="s">
        <v>205</v>
      </c>
      <c r="AM84" s="9"/>
      <c r="AN84" s="9" t="s">
        <v>12</v>
      </c>
      <c r="AP84" s="42">
        <v>333445</v>
      </c>
      <c r="AR84" s="42">
        <v>108391</v>
      </c>
      <c r="AV84" s="42">
        <v>0</v>
      </c>
      <c r="AX84" s="42">
        <v>0</v>
      </c>
      <c r="AZ84" s="42">
        <v>0</v>
      </c>
      <c r="BB84" s="42">
        <f t="shared" si="4"/>
        <v>16644785</v>
      </c>
      <c r="BD84" s="42">
        <v>0</v>
      </c>
      <c r="BF84" s="42">
        <v>0</v>
      </c>
      <c r="BH84" s="42">
        <v>0</v>
      </c>
      <c r="BJ84" s="42">
        <v>0</v>
      </c>
      <c r="BL84" s="42">
        <f t="shared" si="24"/>
        <v>16644785</v>
      </c>
      <c r="BN84" s="42">
        <f>+'Gen Fd Rev'!AM84-'Gen Fd Exp'!BL84</f>
        <v>-2612537</v>
      </c>
      <c r="BP84" s="42">
        <v>6687054</v>
      </c>
      <c r="BR84" s="42">
        <v>0</v>
      </c>
      <c r="BT84" s="42">
        <v>0</v>
      </c>
      <c r="BV84" s="42">
        <f t="shared" si="25"/>
        <v>4074517</v>
      </c>
      <c r="BX84" s="5">
        <f>+BV84-'Gen Fd BS'!AI84+BT84</f>
        <v>0</v>
      </c>
    </row>
    <row r="85" spans="1:76">
      <c r="A85" s="9" t="s">
        <v>205</v>
      </c>
      <c r="B85" s="9"/>
      <c r="C85" s="9" t="s">
        <v>39</v>
      </c>
      <c r="D85" s="9"/>
      <c r="E85" s="23">
        <v>47787</v>
      </c>
      <c r="G85" s="42">
        <v>8929816</v>
      </c>
      <c r="I85" s="42">
        <v>1609211</v>
      </c>
      <c r="K85" s="42">
        <v>511985</v>
      </c>
      <c r="M85" s="42">
        <v>0</v>
      </c>
      <c r="O85" s="42">
        <v>84084</v>
      </c>
      <c r="Q85" s="42">
        <v>650713</v>
      </c>
      <c r="S85" s="42">
        <v>392688</v>
      </c>
      <c r="U85" s="42">
        <v>72837</v>
      </c>
      <c r="W85" s="42">
        <v>1708127</v>
      </c>
      <c r="Y85" s="42">
        <v>485022</v>
      </c>
      <c r="AA85" s="42">
        <v>41171</v>
      </c>
      <c r="AC85" s="42">
        <v>1911112</v>
      </c>
      <c r="AE85" s="42">
        <v>2055216</v>
      </c>
      <c r="AG85" s="42">
        <v>0</v>
      </c>
      <c r="AI85" s="42">
        <v>0</v>
      </c>
      <c r="AK85" s="42">
        <v>0</v>
      </c>
      <c r="AL85" s="9" t="s">
        <v>205</v>
      </c>
      <c r="AM85" s="9"/>
      <c r="AN85" s="9" t="s">
        <v>39</v>
      </c>
      <c r="AP85" s="42">
        <v>287629</v>
      </c>
      <c r="AR85" s="42">
        <v>200222</v>
      </c>
      <c r="AV85" s="42">
        <v>5619</v>
      </c>
      <c r="AX85" s="42">
        <v>7146</v>
      </c>
      <c r="AZ85" s="42">
        <v>0</v>
      </c>
      <c r="BB85" s="42">
        <f t="shared" si="4"/>
        <v>18952598</v>
      </c>
      <c r="BD85" s="42">
        <v>7786</v>
      </c>
      <c r="BF85" s="42">
        <v>0</v>
      </c>
      <c r="BH85" s="42">
        <v>0</v>
      </c>
      <c r="BJ85" s="42">
        <v>0</v>
      </c>
      <c r="BL85" s="42">
        <f t="shared" si="24"/>
        <v>18960384</v>
      </c>
      <c r="BN85" s="42">
        <f>+'Gen Fd Rev'!AM85-'Gen Fd Exp'!BL85</f>
        <v>-625324</v>
      </c>
      <c r="BP85" s="42">
        <v>-195570</v>
      </c>
      <c r="BR85" s="42">
        <v>0</v>
      </c>
      <c r="BT85" s="42">
        <v>0</v>
      </c>
      <c r="BV85" s="42">
        <f t="shared" si="25"/>
        <v>-820894</v>
      </c>
      <c r="BX85" s="5">
        <f>+BV85-'Gen Fd BS'!AI85+BT85</f>
        <v>0</v>
      </c>
    </row>
    <row r="86" spans="1:76">
      <c r="A86" s="9" t="s">
        <v>670</v>
      </c>
      <c r="B86" s="9"/>
      <c r="C86" s="9" t="s">
        <v>47</v>
      </c>
      <c r="D86" s="9"/>
      <c r="E86" s="23">
        <v>48470</v>
      </c>
      <c r="G86" s="42">
        <v>8669023</v>
      </c>
      <c r="I86" s="42">
        <v>1453610</v>
      </c>
      <c r="K86" s="42">
        <v>138542</v>
      </c>
      <c r="M86" s="42">
        <v>0</v>
      </c>
      <c r="O86" s="42">
        <v>1131797</v>
      </c>
      <c r="Q86" s="42">
        <v>789956</v>
      </c>
      <c r="S86" s="42">
        <v>950461</v>
      </c>
      <c r="U86" s="42">
        <v>34309</v>
      </c>
      <c r="W86" s="42">
        <v>1441437</v>
      </c>
      <c r="Y86" s="42">
        <v>648992</v>
      </c>
      <c r="AA86" s="42">
        <v>22849</v>
      </c>
      <c r="AC86" s="42">
        <v>1082793</v>
      </c>
      <c r="AE86" s="42">
        <v>1021300</v>
      </c>
      <c r="AG86" s="42">
        <v>3220</v>
      </c>
      <c r="AI86" s="42">
        <v>0</v>
      </c>
      <c r="AK86" s="42">
        <v>203625</v>
      </c>
      <c r="AL86" s="9" t="s">
        <v>670</v>
      </c>
      <c r="AM86" s="9"/>
      <c r="AN86" s="9" t="s">
        <v>47</v>
      </c>
      <c r="AP86" s="42">
        <v>69133</v>
      </c>
      <c r="AR86" s="42">
        <v>275</v>
      </c>
      <c r="AV86" s="42">
        <v>0</v>
      </c>
      <c r="AX86" s="42">
        <v>0</v>
      </c>
      <c r="AZ86" s="42">
        <v>0</v>
      </c>
      <c r="BB86" s="42">
        <f t="shared" ref="BB86:BB89" si="26">SUM(G86:AZ86)</f>
        <v>17661322</v>
      </c>
      <c r="BD86" s="42">
        <v>128185</v>
      </c>
      <c r="BF86" s="42">
        <v>0</v>
      </c>
      <c r="BH86" s="42">
        <v>0</v>
      </c>
      <c r="BJ86" s="42">
        <v>0</v>
      </c>
      <c r="BL86" s="42">
        <f t="shared" si="24"/>
        <v>17789507</v>
      </c>
      <c r="BN86" s="42">
        <f>+'Gen Fd Rev'!AM86-'Gen Fd Exp'!BL86</f>
        <v>1544403</v>
      </c>
      <c r="BP86" s="42">
        <v>-810730</v>
      </c>
      <c r="BR86" s="42">
        <v>0</v>
      </c>
      <c r="BT86" s="42">
        <v>0</v>
      </c>
      <c r="BV86" s="42">
        <f t="shared" si="25"/>
        <v>733673</v>
      </c>
      <c r="BX86" s="5">
        <f>+BV86-'Gen Fd BS'!AI86+BT86</f>
        <v>0</v>
      </c>
    </row>
    <row r="87" spans="1:76" hidden="1">
      <c r="A87" s="35" t="s">
        <v>788</v>
      </c>
      <c r="B87" s="9"/>
      <c r="C87" s="9" t="s">
        <v>111</v>
      </c>
      <c r="D87" s="9"/>
      <c r="E87" s="54" t="s">
        <v>871</v>
      </c>
      <c r="G87" s="42">
        <v>0</v>
      </c>
      <c r="I87" s="42">
        <v>0</v>
      </c>
      <c r="K87" s="42">
        <v>0</v>
      </c>
      <c r="M87" s="42">
        <v>0</v>
      </c>
      <c r="O87" s="42">
        <v>0</v>
      </c>
      <c r="Q87" s="42">
        <v>0</v>
      </c>
      <c r="S87" s="42">
        <v>0</v>
      </c>
      <c r="U87" s="42">
        <v>0</v>
      </c>
      <c r="W87" s="42">
        <v>0</v>
      </c>
      <c r="Y87" s="42">
        <v>0</v>
      </c>
      <c r="AA87" s="42">
        <v>0</v>
      </c>
      <c r="AC87" s="42">
        <v>0</v>
      </c>
      <c r="AE87" s="42">
        <v>0</v>
      </c>
      <c r="AG87" s="42">
        <v>0</v>
      </c>
      <c r="AI87" s="42">
        <v>0</v>
      </c>
      <c r="AK87" s="42">
        <v>0</v>
      </c>
      <c r="AL87" s="35" t="s">
        <v>788</v>
      </c>
      <c r="AM87" s="9"/>
      <c r="AN87" s="9" t="s">
        <v>111</v>
      </c>
      <c r="AP87" s="42">
        <v>0</v>
      </c>
      <c r="AR87" s="42">
        <v>0</v>
      </c>
      <c r="AV87" s="42">
        <v>0</v>
      </c>
      <c r="AX87" s="42">
        <v>0</v>
      </c>
      <c r="AZ87" s="42">
        <v>0</v>
      </c>
      <c r="BB87" s="42">
        <f t="shared" si="26"/>
        <v>0</v>
      </c>
      <c r="BD87" s="42">
        <v>0</v>
      </c>
      <c r="BF87" s="42">
        <v>0</v>
      </c>
      <c r="BH87" s="42">
        <v>0</v>
      </c>
      <c r="BJ87" s="42">
        <v>0</v>
      </c>
      <c r="BL87" s="42">
        <f t="shared" si="24"/>
        <v>0</v>
      </c>
      <c r="BN87" s="42">
        <f>+'Gen Fd Rev'!AM87-'Gen Fd Exp'!BL87</f>
        <v>0</v>
      </c>
      <c r="BP87" s="42">
        <v>0</v>
      </c>
      <c r="BR87" s="42">
        <v>0</v>
      </c>
      <c r="BT87" s="42">
        <v>0</v>
      </c>
      <c r="BV87" s="42">
        <f t="shared" si="25"/>
        <v>0</v>
      </c>
      <c r="BX87" s="5">
        <f>+BV87-'Gen Fd BS'!AI87+BT87</f>
        <v>0</v>
      </c>
    </row>
    <row r="88" spans="1:76">
      <c r="A88" s="9" t="s">
        <v>631</v>
      </c>
      <c r="B88" s="9"/>
      <c r="C88" s="9" t="s">
        <v>23</v>
      </c>
      <c r="D88" s="9"/>
      <c r="E88" s="23">
        <v>46755</v>
      </c>
      <c r="G88" s="42">
        <v>10428605</v>
      </c>
      <c r="I88" s="42">
        <v>1403554</v>
      </c>
      <c r="K88" s="42">
        <v>108304</v>
      </c>
      <c r="M88" s="42">
        <v>0</v>
      </c>
      <c r="O88" s="42">
        <v>5865</v>
      </c>
      <c r="Q88" s="42">
        <v>1949390</v>
      </c>
      <c r="S88" s="42">
        <v>272797</v>
      </c>
      <c r="U88" s="42">
        <v>199642</v>
      </c>
      <c r="W88" s="42">
        <v>1805352</v>
      </c>
      <c r="Y88" s="42">
        <v>597735</v>
      </c>
      <c r="AA88" s="42">
        <v>0</v>
      </c>
      <c r="AC88" s="42">
        <v>2105485</v>
      </c>
      <c r="AE88" s="42">
        <v>1502301</v>
      </c>
      <c r="AG88" s="42">
        <v>29741</v>
      </c>
      <c r="AI88" s="42">
        <v>0</v>
      </c>
      <c r="AK88" s="42">
        <v>11810</v>
      </c>
      <c r="AL88" s="9" t="s">
        <v>631</v>
      </c>
      <c r="AM88" s="9"/>
      <c r="AN88" s="9" t="s">
        <v>23</v>
      </c>
      <c r="AP88" s="42">
        <v>263388</v>
      </c>
      <c r="AR88" s="42">
        <v>0</v>
      </c>
      <c r="AV88" s="42">
        <v>758</v>
      </c>
      <c r="AX88" s="42">
        <v>8</v>
      </c>
      <c r="AZ88" s="42">
        <v>0</v>
      </c>
      <c r="BB88" s="42">
        <f t="shared" si="26"/>
        <v>20684735</v>
      </c>
      <c r="BD88" s="42">
        <v>357869</v>
      </c>
      <c r="BF88" s="42">
        <v>0</v>
      </c>
      <c r="BH88" s="42">
        <v>0</v>
      </c>
      <c r="BJ88" s="42">
        <v>0</v>
      </c>
      <c r="BL88" s="42">
        <f t="shared" si="24"/>
        <v>21042604</v>
      </c>
      <c r="BN88" s="42">
        <f>+'Gen Fd Rev'!AM88-'Gen Fd Exp'!BL88</f>
        <v>1085011</v>
      </c>
      <c r="BP88" s="42">
        <v>5052604</v>
      </c>
      <c r="BR88" s="42">
        <v>0</v>
      </c>
      <c r="BT88" s="42">
        <v>0</v>
      </c>
      <c r="BV88" s="42">
        <f t="shared" si="25"/>
        <v>6137615</v>
      </c>
      <c r="BX88" s="5">
        <f>+BV88-'Gen Fd BS'!AI88+BT88</f>
        <v>0</v>
      </c>
    </row>
    <row r="89" spans="1:76">
      <c r="A89" s="9" t="s">
        <v>255</v>
      </c>
      <c r="B89" s="9"/>
      <c r="C89" s="9" t="s">
        <v>110</v>
      </c>
      <c r="D89" s="9"/>
      <c r="E89" s="23">
        <v>43687</v>
      </c>
      <c r="G89" s="42">
        <v>7179351</v>
      </c>
      <c r="I89" s="42">
        <v>1496139</v>
      </c>
      <c r="K89" s="42">
        <v>9389</v>
      </c>
      <c r="M89" s="42">
        <v>0</v>
      </c>
      <c r="O89" s="42">
        <v>0</v>
      </c>
      <c r="Q89" s="42">
        <v>835393</v>
      </c>
      <c r="S89" s="42">
        <v>801063</v>
      </c>
      <c r="U89" s="42">
        <v>99527</v>
      </c>
      <c r="W89" s="42">
        <v>1355548</v>
      </c>
      <c r="Y89" s="42">
        <v>433558</v>
      </c>
      <c r="AA89" s="42">
        <v>137145</v>
      </c>
      <c r="AC89" s="42">
        <v>936473</v>
      </c>
      <c r="AE89" s="42">
        <v>309468</v>
      </c>
      <c r="AG89" s="42">
        <v>191959</v>
      </c>
      <c r="AI89" s="42">
        <v>0</v>
      </c>
      <c r="AK89" s="42">
        <v>400</v>
      </c>
      <c r="AL89" s="9" t="s">
        <v>255</v>
      </c>
      <c r="AM89" s="9"/>
      <c r="AN89" s="9" t="s">
        <v>110</v>
      </c>
      <c r="AP89" s="42">
        <v>322456</v>
      </c>
      <c r="AR89" s="42">
        <v>0</v>
      </c>
      <c r="AV89" s="42">
        <v>0</v>
      </c>
      <c r="AX89" s="42">
        <v>0</v>
      </c>
      <c r="AZ89" s="42">
        <v>0</v>
      </c>
      <c r="BB89" s="42">
        <f t="shared" si="26"/>
        <v>14107869</v>
      </c>
      <c r="BD89" s="42">
        <v>0</v>
      </c>
      <c r="BF89" s="42">
        <v>0</v>
      </c>
      <c r="BH89" s="42">
        <v>0</v>
      </c>
      <c r="BJ89" s="42">
        <v>0</v>
      </c>
      <c r="BL89" s="42">
        <f t="shared" si="24"/>
        <v>14107869</v>
      </c>
      <c r="BN89" s="42">
        <f>+'Gen Fd Rev'!AM89-'Gen Fd Exp'!BL89</f>
        <v>-364336</v>
      </c>
      <c r="BP89" s="42">
        <v>5606011</v>
      </c>
      <c r="BR89" s="42">
        <v>0</v>
      </c>
      <c r="BT89" s="42">
        <v>0</v>
      </c>
      <c r="BV89" s="42">
        <f t="shared" si="25"/>
        <v>5241675</v>
      </c>
      <c r="BX89" s="5">
        <f>+BV89-'Gen Fd BS'!AI89+BT89</f>
        <v>0</v>
      </c>
    </row>
    <row r="90" spans="1:76">
      <c r="A90" s="9" t="s">
        <v>746</v>
      </c>
      <c r="B90" s="9"/>
      <c r="C90" s="9" t="s">
        <v>52</v>
      </c>
      <c r="D90" s="9"/>
      <c r="E90" s="23">
        <v>45252</v>
      </c>
      <c r="G90" s="42">
        <v>3828177</v>
      </c>
      <c r="I90" s="42">
        <v>441004</v>
      </c>
      <c r="K90" s="42">
        <v>86144</v>
      </c>
      <c r="M90" s="42">
        <v>5304</v>
      </c>
      <c r="O90" s="42">
        <v>764</v>
      </c>
      <c r="Q90" s="42">
        <v>453685</v>
      </c>
      <c r="S90" s="42">
        <v>562157</v>
      </c>
      <c r="U90" s="42">
        <v>59834</v>
      </c>
      <c r="W90" s="42">
        <v>599383</v>
      </c>
      <c r="Y90" s="42">
        <v>327064</v>
      </c>
      <c r="AA90" s="42">
        <v>0</v>
      </c>
      <c r="AC90" s="42">
        <v>487655</v>
      </c>
      <c r="AE90" s="42">
        <v>545905</v>
      </c>
      <c r="AG90" s="42">
        <v>0</v>
      </c>
      <c r="AI90" s="42">
        <v>0</v>
      </c>
      <c r="AK90" s="42">
        <v>3779</v>
      </c>
      <c r="AL90" s="9" t="s">
        <v>746</v>
      </c>
      <c r="AM90" s="9"/>
      <c r="AN90" s="9" t="s">
        <v>52</v>
      </c>
      <c r="AP90" s="42">
        <v>145404</v>
      </c>
      <c r="AR90" s="42">
        <v>0</v>
      </c>
      <c r="AV90" s="42">
        <v>2946</v>
      </c>
      <c r="AX90" s="42">
        <v>1494</v>
      </c>
      <c r="AZ90" s="42">
        <v>0</v>
      </c>
      <c r="BB90" s="42">
        <f t="shared" ref="BB90:BB106" si="27">SUM(G90:AZ90)</f>
        <v>7550699</v>
      </c>
      <c r="BD90" s="42">
        <v>0</v>
      </c>
      <c r="BF90" s="42">
        <v>0</v>
      </c>
      <c r="BH90" s="42">
        <v>0</v>
      </c>
      <c r="BJ90" s="42">
        <v>0</v>
      </c>
      <c r="BL90" s="42">
        <f t="shared" ref="BL90:BL91" si="28">+BB90+BD90+BF90+BJ90</f>
        <v>7550699</v>
      </c>
      <c r="BN90" s="42">
        <f>+'Gen Fd Rev'!AM90-'Gen Fd Exp'!BL90</f>
        <v>-1809</v>
      </c>
      <c r="BP90" s="42">
        <v>807561</v>
      </c>
      <c r="BR90" s="42">
        <v>0</v>
      </c>
      <c r="BT90" s="42">
        <v>0</v>
      </c>
      <c r="BV90" s="42">
        <f t="shared" si="25"/>
        <v>805752</v>
      </c>
      <c r="BX90" s="5">
        <f>+BV90-'Gen Fd BS'!AI90+BT90</f>
        <v>0</v>
      </c>
    </row>
    <row r="91" spans="1:76">
      <c r="A91" s="9" t="s">
        <v>317</v>
      </c>
      <c r="B91" s="9"/>
      <c r="C91" s="9" t="s">
        <v>31</v>
      </c>
      <c r="D91" s="9"/>
      <c r="E91" s="23">
        <v>43695</v>
      </c>
      <c r="G91" s="42">
        <v>10998366</v>
      </c>
      <c r="I91" s="42">
        <v>2253809</v>
      </c>
      <c r="K91" s="42">
        <v>92670</v>
      </c>
      <c r="M91" s="42">
        <v>14072</v>
      </c>
      <c r="O91" s="42">
        <v>8069</v>
      </c>
      <c r="Q91" s="42">
        <v>1340007</v>
      </c>
      <c r="S91" s="42">
        <v>63394</v>
      </c>
      <c r="U91" s="42">
        <v>73343</v>
      </c>
      <c r="W91" s="42">
        <v>1350386</v>
      </c>
      <c r="Y91" s="42">
        <v>487844</v>
      </c>
      <c r="AA91" s="42">
        <v>34874</v>
      </c>
      <c r="AC91" s="42">
        <v>1898087</v>
      </c>
      <c r="AE91" s="42">
        <v>1216273</v>
      </c>
      <c r="AG91" s="42">
        <v>221799</v>
      </c>
      <c r="AI91" s="42">
        <v>0</v>
      </c>
      <c r="AK91" s="42">
        <v>952</v>
      </c>
      <c r="AL91" s="9" t="s">
        <v>317</v>
      </c>
      <c r="AM91" s="9"/>
      <c r="AN91" s="9" t="s">
        <v>31</v>
      </c>
      <c r="AP91" s="42">
        <v>379081</v>
      </c>
      <c r="AR91" s="42">
        <v>0</v>
      </c>
      <c r="AV91" s="42">
        <v>12305</v>
      </c>
      <c r="AX91" s="42">
        <v>778</v>
      </c>
      <c r="AZ91" s="42">
        <v>0</v>
      </c>
      <c r="BB91" s="42">
        <f t="shared" si="27"/>
        <v>20446109</v>
      </c>
      <c r="BD91" s="42">
        <v>0</v>
      </c>
      <c r="BF91" s="42">
        <v>0</v>
      </c>
      <c r="BH91" s="42">
        <v>0</v>
      </c>
      <c r="BJ91" s="42">
        <v>0</v>
      </c>
      <c r="BL91" s="42">
        <f t="shared" si="28"/>
        <v>20446109</v>
      </c>
      <c r="BN91" s="42">
        <f>+'Gen Fd Rev'!AM91-'Gen Fd Exp'!BL91</f>
        <v>-309669</v>
      </c>
      <c r="BP91" s="42">
        <v>1120367</v>
      </c>
      <c r="BR91" s="42">
        <v>0</v>
      </c>
      <c r="BT91" s="42">
        <v>0</v>
      </c>
      <c r="BV91" s="42">
        <f t="shared" si="25"/>
        <v>810698</v>
      </c>
      <c r="BX91" s="5">
        <f>+BV91-'Gen Fd BS'!AI91+BT91</f>
        <v>0</v>
      </c>
    </row>
    <row r="92" spans="1:76">
      <c r="A92" s="9" t="s">
        <v>642</v>
      </c>
      <c r="B92" s="9"/>
      <c r="C92" s="9" t="s">
        <v>45</v>
      </c>
      <c r="D92" s="9"/>
      <c r="E92" s="23">
        <v>43703</v>
      </c>
      <c r="G92" s="42">
        <v>6738180</v>
      </c>
      <c r="I92" s="42">
        <v>1828855</v>
      </c>
      <c r="K92" s="42">
        <v>168401</v>
      </c>
      <c r="M92" s="42">
        <v>0</v>
      </c>
      <c r="O92" s="42">
        <v>265039</v>
      </c>
      <c r="Q92" s="42">
        <v>308130</v>
      </c>
      <c r="S92" s="42">
        <v>492858</v>
      </c>
      <c r="U92" s="42">
        <v>29225</v>
      </c>
      <c r="W92" s="42">
        <v>886066</v>
      </c>
      <c r="Y92" s="42">
        <v>332751</v>
      </c>
      <c r="AA92" s="42">
        <v>0</v>
      </c>
      <c r="AC92" s="42">
        <v>1756691</v>
      </c>
      <c r="AE92" s="42">
        <v>508813</v>
      </c>
      <c r="AG92" s="42">
        <v>0</v>
      </c>
      <c r="AI92" s="42">
        <v>0</v>
      </c>
      <c r="AK92" s="42">
        <v>0</v>
      </c>
      <c r="AL92" s="9" t="s">
        <v>642</v>
      </c>
      <c r="AM92" s="9"/>
      <c r="AN92" s="9" t="s">
        <v>45</v>
      </c>
      <c r="AP92" s="42">
        <v>266449</v>
      </c>
      <c r="AR92" s="42">
        <v>0</v>
      </c>
      <c r="AV92" s="42">
        <v>137000</v>
      </c>
      <c r="AX92" s="42">
        <v>100200</v>
      </c>
      <c r="AZ92" s="42">
        <v>0</v>
      </c>
      <c r="BB92" s="42">
        <f t="shared" si="27"/>
        <v>13818658</v>
      </c>
      <c r="BD92" s="42">
        <v>293646</v>
      </c>
      <c r="BF92" s="42">
        <v>0</v>
      </c>
      <c r="BH92" s="42">
        <v>0</v>
      </c>
      <c r="BJ92" s="42">
        <v>0</v>
      </c>
      <c r="BL92" s="42">
        <f t="shared" ref="BL92:BL123" si="29">+BB92+BD92+BF92+BJ92</f>
        <v>14112304</v>
      </c>
      <c r="BN92" s="42">
        <f>+'Gen Fd Rev'!AM92-'Gen Fd Exp'!BL92</f>
        <v>-719478</v>
      </c>
      <c r="BP92" s="42">
        <v>-643233</v>
      </c>
      <c r="BR92" s="42">
        <v>0</v>
      </c>
      <c r="BT92" s="42">
        <v>0</v>
      </c>
      <c r="BV92" s="42">
        <f t="shared" si="25"/>
        <v>-1362711</v>
      </c>
      <c r="BX92" s="5">
        <f>+BV92-'Gen Fd BS'!AI92+BT92</f>
        <v>0</v>
      </c>
    </row>
    <row r="93" spans="1:76">
      <c r="A93" s="9" t="s">
        <v>298</v>
      </c>
      <c r="B93" s="9"/>
      <c r="C93" s="9" t="s">
        <v>27</v>
      </c>
      <c r="D93" s="9"/>
      <c r="E93" s="23">
        <v>46946</v>
      </c>
      <c r="G93" s="42">
        <v>15287983</v>
      </c>
      <c r="I93" s="42">
        <v>3332918</v>
      </c>
      <c r="K93" s="42">
        <v>370045</v>
      </c>
      <c r="M93" s="42">
        <v>0</v>
      </c>
      <c r="O93" s="42">
        <v>99946</v>
      </c>
      <c r="Q93" s="42">
        <v>1668887</v>
      </c>
      <c r="S93" s="42">
        <v>802350</v>
      </c>
      <c r="U93" s="42">
        <v>251219</v>
      </c>
      <c r="W93" s="42">
        <v>2763723</v>
      </c>
      <c r="Y93" s="42">
        <v>841094</v>
      </c>
      <c r="AA93" s="42">
        <v>9092</v>
      </c>
      <c r="AC93" s="42">
        <v>3574252</v>
      </c>
      <c r="AE93" s="42">
        <v>2598706</v>
      </c>
      <c r="AG93" s="42">
        <v>410359</v>
      </c>
      <c r="AI93" s="42">
        <v>0</v>
      </c>
      <c r="AK93" s="42">
        <v>232363</v>
      </c>
      <c r="AL93" s="9" t="s">
        <v>298</v>
      </c>
      <c r="AM93" s="9"/>
      <c r="AN93" s="9" t="s">
        <v>27</v>
      </c>
      <c r="AP93" s="42">
        <v>549683</v>
      </c>
      <c r="AR93" s="42">
        <v>135167</v>
      </c>
      <c r="AV93" s="42">
        <v>113207</v>
      </c>
      <c r="AX93" s="42">
        <v>62567</v>
      </c>
      <c r="AZ93" s="42">
        <v>0</v>
      </c>
      <c r="BB93" s="42">
        <f t="shared" si="27"/>
        <v>33103561</v>
      </c>
      <c r="BD93" s="42">
        <v>188311</v>
      </c>
      <c r="BF93" s="42">
        <v>0</v>
      </c>
      <c r="BH93" s="42">
        <v>0</v>
      </c>
      <c r="BJ93" s="42">
        <v>0</v>
      </c>
      <c r="BL93" s="42">
        <f t="shared" si="29"/>
        <v>33291872</v>
      </c>
      <c r="BN93" s="42">
        <f>+'Gen Fd Rev'!AM93-'Gen Fd Exp'!BL93</f>
        <v>2305364</v>
      </c>
      <c r="BP93" s="42">
        <v>9791564</v>
      </c>
      <c r="BR93" s="42">
        <v>0</v>
      </c>
      <c r="BT93" s="42">
        <v>0</v>
      </c>
      <c r="BV93" s="42">
        <f t="shared" si="25"/>
        <v>12096928</v>
      </c>
      <c r="BX93" s="5">
        <f>+BV93-'Gen Fd BS'!AI93+BT93</f>
        <v>0</v>
      </c>
    </row>
    <row r="94" spans="1:76">
      <c r="A94" s="9" t="s">
        <v>400</v>
      </c>
      <c r="B94" s="9"/>
      <c r="C94" s="9" t="s">
        <v>45</v>
      </c>
      <c r="D94" s="9"/>
      <c r="E94" s="23">
        <v>48314</v>
      </c>
      <c r="G94" s="42">
        <v>12304521</v>
      </c>
      <c r="I94" s="42">
        <v>2213671</v>
      </c>
      <c r="K94" s="42">
        <v>289752</v>
      </c>
      <c r="M94" s="42">
        <v>0</v>
      </c>
      <c r="O94" s="42">
        <v>0</v>
      </c>
      <c r="Q94" s="42">
        <v>1293937</v>
      </c>
      <c r="S94" s="42">
        <v>1118650</v>
      </c>
      <c r="U94" s="42">
        <v>42025</v>
      </c>
      <c r="W94" s="42">
        <v>1552668</v>
      </c>
      <c r="Y94" s="42">
        <v>560679</v>
      </c>
      <c r="AA94" s="42">
        <v>219938</v>
      </c>
      <c r="AC94" s="42">
        <v>1888110</v>
      </c>
      <c r="AE94" s="42">
        <v>1436109</v>
      </c>
      <c r="AG94" s="42">
        <v>126371</v>
      </c>
      <c r="AI94" s="42">
        <v>0</v>
      </c>
      <c r="AK94" s="42">
        <v>0</v>
      </c>
      <c r="AL94" s="9" t="s">
        <v>400</v>
      </c>
      <c r="AM94" s="9"/>
      <c r="AN94" s="9" t="s">
        <v>45</v>
      </c>
      <c r="AP94" s="42">
        <v>573111</v>
      </c>
      <c r="AR94" s="42">
        <v>20155</v>
      </c>
      <c r="AV94" s="42">
        <v>0</v>
      </c>
      <c r="AX94" s="42">
        <v>0</v>
      </c>
      <c r="AZ94" s="42">
        <v>0</v>
      </c>
      <c r="BB94" s="42">
        <f t="shared" si="27"/>
        <v>23639697</v>
      </c>
      <c r="BD94" s="42">
        <v>85000</v>
      </c>
      <c r="BF94" s="42">
        <v>0</v>
      </c>
      <c r="BH94" s="42">
        <v>0</v>
      </c>
      <c r="BJ94" s="42">
        <v>0</v>
      </c>
      <c r="BL94" s="42">
        <f t="shared" si="29"/>
        <v>23724697</v>
      </c>
      <c r="BN94" s="42">
        <f>+'Gen Fd Rev'!AM94-'Gen Fd Exp'!BL94</f>
        <v>-90727</v>
      </c>
      <c r="BP94" s="42">
        <v>3131792</v>
      </c>
      <c r="BR94" s="42">
        <v>0</v>
      </c>
      <c r="BT94" s="42">
        <v>0</v>
      </c>
      <c r="BV94" s="42">
        <f t="shared" si="25"/>
        <v>3041065</v>
      </c>
      <c r="BX94" s="5">
        <f>+BV94-'Gen Fd BS'!AI94+BT94</f>
        <v>0</v>
      </c>
    </row>
    <row r="95" spans="1:76">
      <c r="A95" s="9" t="s">
        <v>490</v>
      </c>
      <c r="B95" s="9"/>
      <c r="C95" s="9" t="s">
        <v>62</v>
      </c>
      <c r="D95" s="9"/>
      <c r="E95" s="23">
        <v>43711</v>
      </c>
      <c r="G95" s="42">
        <v>40145000</v>
      </c>
      <c r="I95" s="42">
        <v>11552000</v>
      </c>
      <c r="K95" s="42">
        <v>2477000</v>
      </c>
      <c r="M95" s="42">
        <v>958000</v>
      </c>
      <c r="O95" s="42">
        <v>13899000</v>
      </c>
      <c r="Q95" s="42">
        <v>6064000</v>
      </c>
      <c r="S95" s="42">
        <v>1984000</v>
      </c>
      <c r="U95" s="42">
        <v>30000</v>
      </c>
      <c r="W95" s="42">
        <v>8146000</v>
      </c>
      <c r="Y95" s="42">
        <v>1461000</v>
      </c>
      <c r="AA95" s="42">
        <v>469000</v>
      </c>
      <c r="AC95" s="42">
        <v>9823000</v>
      </c>
      <c r="AE95" s="42">
        <v>3303000</v>
      </c>
      <c r="AG95" s="42">
        <v>3575000</v>
      </c>
      <c r="AI95" s="42">
        <v>0</v>
      </c>
      <c r="AK95" s="42">
        <v>887000</v>
      </c>
      <c r="AL95" s="9" t="s">
        <v>490</v>
      </c>
      <c r="AM95" s="9"/>
      <c r="AN95" s="9" t="s">
        <v>62</v>
      </c>
      <c r="AP95" s="42">
        <v>1607000</v>
      </c>
      <c r="AR95" s="42">
        <v>35000</v>
      </c>
      <c r="AV95" s="42">
        <v>24000</v>
      </c>
      <c r="AX95" s="42">
        <v>2000</v>
      </c>
      <c r="AZ95" s="42">
        <v>0</v>
      </c>
      <c r="BB95" s="42">
        <f>SUM(G95:AZ95)</f>
        <v>106441000</v>
      </c>
      <c r="BD95" s="42">
        <v>1291000</v>
      </c>
      <c r="BF95" s="42">
        <v>0</v>
      </c>
      <c r="BH95" s="42">
        <v>0</v>
      </c>
      <c r="BJ95" s="42">
        <v>0</v>
      </c>
      <c r="BL95" s="42">
        <f>+BB95+BD95+BF95+BJ95</f>
        <v>107732000</v>
      </c>
      <c r="BN95" s="42">
        <f>+'Gen Fd Rev'!AM95-'Gen Fd Exp'!BL95</f>
        <v>-3736000</v>
      </c>
      <c r="BP95" s="42">
        <v>5094000</v>
      </c>
      <c r="BR95" s="42">
        <v>373000</v>
      </c>
      <c r="BT95" s="42">
        <v>0</v>
      </c>
      <c r="BV95" s="42">
        <f>+BP95+BN95-BR95</f>
        <v>985000</v>
      </c>
      <c r="BX95" s="5">
        <f>+BV95-'Gen Fd BS'!AI95+BT95</f>
        <v>0</v>
      </c>
    </row>
    <row r="96" spans="1:76">
      <c r="A96" s="9" t="s">
        <v>491</v>
      </c>
      <c r="B96" s="9"/>
      <c r="C96" s="9" t="s">
        <v>62</v>
      </c>
      <c r="D96" s="9"/>
      <c r="E96" s="23">
        <v>49833</v>
      </c>
      <c r="G96" s="42">
        <v>8941787</v>
      </c>
      <c r="I96" s="42">
        <v>2266321</v>
      </c>
      <c r="K96" s="42">
        <v>1340835</v>
      </c>
      <c r="M96" s="42">
        <v>0</v>
      </c>
      <c r="O96" s="42">
        <v>593093</v>
      </c>
      <c r="Q96" s="42">
        <v>1039947</v>
      </c>
      <c r="S96" s="42">
        <v>969117</v>
      </c>
      <c r="U96" s="42">
        <v>29986</v>
      </c>
      <c r="W96" s="42">
        <v>1558274</v>
      </c>
      <c r="Y96" s="42">
        <v>336016</v>
      </c>
      <c r="AA96" s="42">
        <v>270302</v>
      </c>
      <c r="AC96" s="42">
        <v>1944440</v>
      </c>
      <c r="AE96" s="42">
        <v>861478</v>
      </c>
      <c r="AG96" s="42">
        <v>176222</v>
      </c>
      <c r="AI96" s="42">
        <v>0</v>
      </c>
      <c r="AK96" s="42">
        <v>0</v>
      </c>
      <c r="AL96" s="9" t="s">
        <v>491</v>
      </c>
      <c r="AM96" s="9"/>
      <c r="AN96" s="9" t="s">
        <v>62</v>
      </c>
      <c r="AP96" s="42">
        <v>583605</v>
      </c>
      <c r="AR96" s="42">
        <v>0</v>
      </c>
      <c r="AV96" s="42">
        <v>0</v>
      </c>
      <c r="AX96" s="42">
        <v>0</v>
      </c>
      <c r="AZ96" s="42">
        <v>0</v>
      </c>
      <c r="BB96" s="42">
        <f t="shared" ref="BB96" si="30">SUM(G96:AZ96)</f>
        <v>20911423</v>
      </c>
      <c r="BD96" s="42">
        <v>0</v>
      </c>
      <c r="BF96" s="42">
        <v>0</v>
      </c>
      <c r="BH96" s="42">
        <v>0</v>
      </c>
      <c r="BJ96" s="42">
        <v>0</v>
      </c>
      <c r="BL96" s="42">
        <f t="shared" ref="BL96" si="31">+BB96+BD96+BF96+BJ96</f>
        <v>20911423</v>
      </c>
      <c r="BN96" s="42">
        <f>+'Gen Fd Rev'!AM96-'Gen Fd Exp'!BL96</f>
        <v>143034</v>
      </c>
      <c r="BP96" s="42">
        <v>210459</v>
      </c>
      <c r="BR96" s="42">
        <v>0</v>
      </c>
      <c r="BT96" s="42">
        <v>0</v>
      </c>
      <c r="BV96" s="42">
        <f t="shared" ref="BV96" si="32">+BP96+BN96-BR96</f>
        <v>353493</v>
      </c>
      <c r="BX96" s="5">
        <f>+BV96-'Gen Fd BS'!AI96+BT96</f>
        <v>0</v>
      </c>
    </row>
    <row r="97" spans="1:76">
      <c r="A97" s="9" t="s">
        <v>643</v>
      </c>
      <c r="B97" s="9"/>
      <c r="C97" s="9" t="s">
        <v>30</v>
      </c>
      <c r="D97" s="9"/>
      <c r="E97" s="23">
        <v>47175</v>
      </c>
      <c r="G97" s="42">
        <v>4686969</v>
      </c>
      <c r="I97" s="42">
        <v>2704185</v>
      </c>
      <c r="K97" s="42">
        <v>0</v>
      </c>
      <c r="M97" s="42">
        <v>0</v>
      </c>
      <c r="O97" s="42">
        <v>0</v>
      </c>
      <c r="Q97" s="42">
        <v>400166</v>
      </c>
      <c r="S97" s="42">
        <v>169379</v>
      </c>
      <c r="U97" s="42">
        <v>29432</v>
      </c>
      <c r="W97" s="42">
        <v>959272</v>
      </c>
      <c r="Y97" s="42">
        <v>367587</v>
      </c>
      <c r="AA97" s="42">
        <v>53824</v>
      </c>
      <c r="AC97" s="42">
        <v>1120739</v>
      </c>
      <c r="AE97" s="42">
        <v>1191909</v>
      </c>
      <c r="AG97" s="42">
        <v>235899</v>
      </c>
      <c r="AI97" s="42">
        <v>2266</v>
      </c>
      <c r="AK97" s="42">
        <v>0</v>
      </c>
      <c r="AL97" s="9" t="s">
        <v>643</v>
      </c>
      <c r="AM97" s="9"/>
      <c r="AN97" s="9" t="s">
        <v>30</v>
      </c>
      <c r="AP97" s="42">
        <v>236050</v>
      </c>
      <c r="AR97" s="42">
        <v>0</v>
      </c>
      <c r="AV97" s="42">
        <v>65000</v>
      </c>
      <c r="AX97" s="42">
        <v>17819</v>
      </c>
      <c r="AZ97" s="42">
        <v>0</v>
      </c>
      <c r="BB97" s="42">
        <f t="shared" si="27"/>
        <v>12240496</v>
      </c>
      <c r="BD97" s="42">
        <v>126596</v>
      </c>
      <c r="BF97" s="42">
        <v>0</v>
      </c>
      <c r="BH97" s="42">
        <v>0</v>
      </c>
      <c r="BJ97" s="42">
        <v>0</v>
      </c>
      <c r="BL97" s="42">
        <f t="shared" si="29"/>
        <v>12367092</v>
      </c>
      <c r="BN97" s="42">
        <f>+'Gen Fd Rev'!AM97-'Gen Fd Exp'!BL97</f>
        <v>330558</v>
      </c>
      <c r="BP97" s="42">
        <v>-386648</v>
      </c>
      <c r="BR97" s="42">
        <v>0</v>
      </c>
      <c r="BT97" s="42">
        <v>0</v>
      </c>
      <c r="BV97" s="42">
        <f t="shared" si="25"/>
        <v>-56090</v>
      </c>
      <c r="BX97" s="5">
        <f>+BV97-'Gen Fd BS'!AI97+BT97</f>
        <v>0</v>
      </c>
    </row>
    <row r="98" spans="1:76">
      <c r="A98" s="9" t="s">
        <v>438</v>
      </c>
      <c r="B98" s="9"/>
      <c r="C98" s="9" t="s">
        <v>78</v>
      </c>
      <c r="D98" s="9"/>
      <c r="E98" s="23">
        <v>48793</v>
      </c>
      <c r="G98" s="42">
        <v>4431613</v>
      </c>
      <c r="I98" s="42">
        <v>696746</v>
      </c>
      <c r="K98" s="42">
        <v>238382</v>
      </c>
      <c r="M98" s="42">
        <v>0</v>
      </c>
      <c r="O98" s="42">
        <v>1476499</v>
      </c>
      <c r="Q98" s="42">
        <v>292555</v>
      </c>
      <c r="S98" s="42">
        <v>351966</v>
      </c>
      <c r="U98" s="42">
        <v>53359</v>
      </c>
      <c r="W98" s="42">
        <v>1047401</v>
      </c>
      <c r="Y98" s="42">
        <v>288886</v>
      </c>
      <c r="AA98" s="42">
        <v>0</v>
      </c>
      <c r="AC98" s="42">
        <v>1113010</v>
      </c>
      <c r="AE98" s="42">
        <v>570525</v>
      </c>
      <c r="AG98" s="42">
        <v>25701</v>
      </c>
      <c r="AI98" s="42">
        <v>0</v>
      </c>
      <c r="AK98" s="42">
        <v>2461</v>
      </c>
      <c r="AL98" s="9" t="s">
        <v>438</v>
      </c>
      <c r="AM98" s="9"/>
      <c r="AN98" s="9" t="s">
        <v>78</v>
      </c>
      <c r="AP98" s="42">
        <v>149733</v>
      </c>
      <c r="AR98" s="42">
        <v>0</v>
      </c>
      <c r="AV98" s="42">
        <v>0</v>
      </c>
      <c r="AX98" s="42">
        <v>0</v>
      </c>
      <c r="AZ98" s="42">
        <v>0</v>
      </c>
      <c r="BB98" s="42">
        <f t="shared" si="27"/>
        <v>10738837</v>
      </c>
      <c r="BD98" s="42">
        <v>51581</v>
      </c>
      <c r="BF98" s="42">
        <v>0</v>
      </c>
      <c r="BH98" s="42">
        <v>0</v>
      </c>
      <c r="BJ98" s="42">
        <v>0</v>
      </c>
      <c r="BL98" s="42">
        <f t="shared" si="29"/>
        <v>10790418</v>
      </c>
      <c r="BN98" s="42">
        <f>+'Gen Fd Rev'!AM98-'Gen Fd Exp'!BL98</f>
        <v>-510024</v>
      </c>
      <c r="BP98" s="42">
        <v>-26757</v>
      </c>
      <c r="BR98" s="42">
        <v>0</v>
      </c>
      <c r="BT98" s="42">
        <v>0</v>
      </c>
      <c r="BV98" s="42">
        <f t="shared" si="25"/>
        <v>-536781</v>
      </c>
      <c r="BX98" s="5">
        <f>+BV98-'Gen Fd BS'!AI98+BT98</f>
        <v>0</v>
      </c>
    </row>
    <row r="99" spans="1:76" hidden="1">
      <c r="A99" s="9" t="s">
        <v>855</v>
      </c>
      <c r="B99" s="9"/>
      <c r="C99" s="9" t="s">
        <v>553</v>
      </c>
      <c r="D99" s="9"/>
      <c r="E99" s="23">
        <v>45260</v>
      </c>
      <c r="G99" s="42">
        <v>0</v>
      </c>
      <c r="I99" s="42">
        <v>0</v>
      </c>
      <c r="K99" s="42">
        <v>0</v>
      </c>
      <c r="M99" s="42">
        <v>0</v>
      </c>
      <c r="O99" s="42">
        <v>0</v>
      </c>
      <c r="Q99" s="42">
        <v>0</v>
      </c>
      <c r="S99" s="42">
        <v>0</v>
      </c>
      <c r="U99" s="42">
        <v>0</v>
      </c>
      <c r="W99" s="42">
        <v>0</v>
      </c>
      <c r="Y99" s="42">
        <v>0</v>
      </c>
      <c r="AA99" s="42">
        <v>0</v>
      </c>
      <c r="AC99" s="42">
        <v>0</v>
      </c>
      <c r="AE99" s="42">
        <v>0</v>
      </c>
      <c r="AG99" s="42">
        <v>0</v>
      </c>
      <c r="AI99" s="42">
        <v>0</v>
      </c>
      <c r="AK99" s="42">
        <v>0</v>
      </c>
      <c r="AL99" s="9" t="s">
        <v>855</v>
      </c>
      <c r="AM99" s="9"/>
      <c r="AN99" s="9" t="s">
        <v>553</v>
      </c>
      <c r="AP99" s="42">
        <v>0</v>
      </c>
      <c r="AR99" s="42">
        <v>0</v>
      </c>
      <c r="AV99" s="42">
        <v>0</v>
      </c>
      <c r="AX99" s="42">
        <v>0</v>
      </c>
      <c r="AZ99" s="42">
        <v>0</v>
      </c>
      <c r="BB99" s="42">
        <f t="shared" si="27"/>
        <v>0</v>
      </c>
      <c r="BD99" s="42">
        <v>0</v>
      </c>
      <c r="BF99" s="42">
        <v>0</v>
      </c>
      <c r="BH99" s="42">
        <v>0</v>
      </c>
      <c r="BJ99" s="42">
        <v>0</v>
      </c>
      <c r="BL99" s="42">
        <f t="shared" si="29"/>
        <v>0</v>
      </c>
      <c r="BN99" s="42">
        <f>+'Gen Fd Rev'!AM99-'Gen Fd Exp'!BL99</f>
        <v>0</v>
      </c>
      <c r="BP99" s="42">
        <v>0</v>
      </c>
      <c r="BR99" s="42">
        <v>0</v>
      </c>
      <c r="BT99" s="42">
        <v>0</v>
      </c>
      <c r="BV99" s="42">
        <f t="shared" si="25"/>
        <v>0</v>
      </c>
      <c r="BX99" s="5">
        <f>+BV99-'Gen Fd BS'!AI99+BT99</f>
        <v>0</v>
      </c>
    </row>
    <row r="100" spans="1:76" s="24" customFormat="1">
      <c r="A100" s="51" t="s">
        <v>539</v>
      </c>
      <c r="B100" s="51"/>
      <c r="C100" s="51" t="s">
        <v>69</v>
      </c>
      <c r="D100" s="51"/>
      <c r="E100" s="23">
        <v>50419</v>
      </c>
      <c r="G100" s="42">
        <v>7720672</v>
      </c>
      <c r="H100" s="42"/>
      <c r="I100" s="42">
        <v>1345074</v>
      </c>
      <c r="J100" s="42"/>
      <c r="K100" s="42">
        <v>113154</v>
      </c>
      <c r="L100" s="42"/>
      <c r="M100" s="42">
        <v>0</v>
      </c>
      <c r="N100" s="42"/>
      <c r="O100" s="42">
        <f>98784+131</f>
        <v>98915</v>
      </c>
      <c r="P100" s="42"/>
      <c r="Q100" s="42">
        <v>739178</v>
      </c>
      <c r="R100" s="42"/>
      <c r="S100" s="42">
        <v>686016</v>
      </c>
      <c r="T100" s="42"/>
      <c r="U100" s="42">
        <v>27259</v>
      </c>
      <c r="V100" s="42"/>
      <c r="W100" s="42">
        <v>963074</v>
      </c>
      <c r="X100" s="42"/>
      <c r="Y100" s="42">
        <v>508583</v>
      </c>
      <c r="Z100" s="42"/>
      <c r="AA100" s="42">
        <v>13171</v>
      </c>
      <c r="AB100" s="42"/>
      <c r="AC100" s="42">
        <v>1161502</v>
      </c>
      <c r="AD100" s="42"/>
      <c r="AE100" s="42">
        <v>818274</v>
      </c>
      <c r="AF100" s="42"/>
      <c r="AG100" s="42">
        <v>40603</v>
      </c>
      <c r="AH100" s="42"/>
      <c r="AI100" s="42">
        <v>0</v>
      </c>
      <c r="AJ100" s="42"/>
      <c r="AK100" s="42">
        <v>3383</v>
      </c>
      <c r="AL100" s="51" t="s">
        <v>539</v>
      </c>
      <c r="AM100" s="51"/>
      <c r="AN100" s="51" t="s">
        <v>69</v>
      </c>
      <c r="AP100" s="42">
        <v>438465</v>
      </c>
      <c r="AQ100" s="42"/>
      <c r="AR100" s="42">
        <v>0</v>
      </c>
      <c r="AS100" s="42"/>
      <c r="AT100" s="42"/>
      <c r="AU100" s="42"/>
      <c r="AV100" s="42">
        <v>27611</v>
      </c>
      <c r="AW100" s="42"/>
      <c r="AX100" s="42">
        <v>5551</v>
      </c>
      <c r="AY100" s="42"/>
      <c r="AZ100" s="42">
        <v>0</v>
      </c>
      <c r="BA100" s="42"/>
      <c r="BB100" s="42">
        <f t="shared" si="27"/>
        <v>14710485</v>
      </c>
      <c r="BC100" s="42"/>
      <c r="BD100" s="42">
        <v>0</v>
      </c>
      <c r="BE100" s="42"/>
      <c r="BF100" s="42">
        <v>0</v>
      </c>
      <c r="BG100" s="42"/>
      <c r="BH100" s="42">
        <v>0</v>
      </c>
      <c r="BI100" s="42"/>
      <c r="BJ100" s="42">
        <v>0</v>
      </c>
      <c r="BK100" s="42"/>
      <c r="BL100" s="42">
        <f t="shared" si="29"/>
        <v>14710485</v>
      </c>
      <c r="BM100" s="42"/>
      <c r="BN100" s="42">
        <f>+'Gen Fd Rev'!AM100-'Gen Fd Exp'!BL100</f>
        <v>548059</v>
      </c>
      <c r="BO100" s="42"/>
      <c r="BP100" s="42">
        <v>-656493</v>
      </c>
      <c r="BQ100" s="42"/>
      <c r="BR100" s="42">
        <v>0</v>
      </c>
      <c r="BS100" s="42"/>
      <c r="BT100" s="42">
        <v>0</v>
      </c>
      <c r="BU100" s="42"/>
      <c r="BV100" s="42">
        <f t="shared" si="25"/>
        <v>-108434</v>
      </c>
      <c r="BW100" s="42"/>
      <c r="BX100" s="5">
        <f>+BV100-'Gen Fd BS'!AI100+BT100</f>
        <v>0</v>
      </c>
    </row>
    <row r="101" spans="1:76" s="24" customFormat="1">
      <c r="A101" s="51" t="s">
        <v>747</v>
      </c>
      <c r="B101" s="51"/>
      <c r="C101" s="51" t="s">
        <v>16</v>
      </c>
      <c r="D101" s="51"/>
      <c r="E101" s="51">
        <v>45278</v>
      </c>
      <c r="G101" s="24">
        <v>8739328</v>
      </c>
      <c r="I101" s="24">
        <v>2171472</v>
      </c>
      <c r="K101" s="24">
        <v>268669</v>
      </c>
      <c r="M101" s="24">
        <v>1602</v>
      </c>
      <c r="O101" s="24">
        <f>16728+392121</f>
        <v>408849</v>
      </c>
      <c r="Q101" s="24">
        <v>1256369</v>
      </c>
      <c r="S101" s="24">
        <v>627482</v>
      </c>
      <c r="U101" s="24">
        <v>38024</v>
      </c>
      <c r="W101" s="24">
        <v>1620506</v>
      </c>
      <c r="Y101" s="24">
        <v>647707</v>
      </c>
      <c r="AA101" s="24">
        <v>93877</v>
      </c>
      <c r="AC101" s="24">
        <v>1724818</v>
      </c>
      <c r="AE101" s="24">
        <v>1435739</v>
      </c>
      <c r="AG101" s="24">
        <v>42543</v>
      </c>
      <c r="AI101" s="24">
        <v>16103</v>
      </c>
      <c r="AK101" s="24">
        <v>27634</v>
      </c>
      <c r="AL101" s="51" t="s">
        <v>747</v>
      </c>
      <c r="AM101" s="51"/>
      <c r="AN101" s="51" t="s">
        <v>16</v>
      </c>
      <c r="AP101" s="24">
        <v>440496</v>
      </c>
      <c r="AR101" s="24">
        <v>13225</v>
      </c>
      <c r="AV101" s="24">
        <v>58175</v>
      </c>
      <c r="AX101" s="24">
        <v>9564</v>
      </c>
      <c r="AZ101" s="24">
        <v>0</v>
      </c>
      <c r="BB101" s="24">
        <f t="shared" si="27"/>
        <v>19642182</v>
      </c>
      <c r="BD101" s="24">
        <v>228489</v>
      </c>
      <c r="BF101" s="24">
        <v>0</v>
      </c>
      <c r="BH101" s="24">
        <v>0</v>
      </c>
      <c r="BJ101" s="24">
        <v>0</v>
      </c>
      <c r="BL101" s="24">
        <f t="shared" si="29"/>
        <v>19870671</v>
      </c>
      <c r="BN101" s="24">
        <f>+'Gen Fd Rev'!AM101-'Gen Fd Exp'!BL101</f>
        <v>86205</v>
      </c>
      <c r="BP101" s="24">
        <v>4581581</v>
      </c>
      <c r="BR101" s="24">
        <v>0</v>
      </c>
      <c r="BT101" s="24">
        <v>0</v>
      </c>
      <c r="BV101" s="24">
        <f t="shared" si="25"/>
        <v>4667786</v>
      </c>
      <c r="BX101" s="64">
        <f>+BV101-'Gen Fd BS'!AI101+BT101</f>
        <v>0</v>
      </c>
    </row>
    <row r="102" spans="1:76">
      <c r="A102" s="9" t="s">
        <v>644</v>
      </c>
      <c r="B102" s="9"/>
      <c r="C102" s="9" t="s">
        <v>113</v>
      </c>
      <c r="D102" s="9"/>
      <c r="E102" s="23">
        <v>47258</v>
      </c>
      <c r="G102" s="42">
        <v>2470523</v>
      </c>
      <c r="I102" s="42">
        <v>440477</v>
      </c>
      <c r="K102" s="42">
        <v>3120</v>
      </c>
      <c r="M102" s="42">
        <v>0</v>
      </c>
      <c r="O102" s="42">
        <f>2669+315955</f>
        <v>318624</v>
      </c>
      <c r="Q102" s="42">
        <v>527977</v>
      </c>
      <c r="S102" s="42">
        <v>247695</v>
      </c>
      <c r="U102" s="42">
        <v>22387</v>
      </c>
      <c r="W102" s="42">
        <v>687571</v>
      </c>
      <c r="Y102" s="42">
        <v>308938</v>
      </c>
      <c r="AA102" s="42">
        <v>473</v>
      </c>
      <c r="AC102" s="42">
        <v>600161</v>
      </c>
      <c r="AE102" s="42">
        <v>212959</v>
      </c>
      <c r="AG102" s="42">
        <v>1826</v>
      </c>
      <c r="AI102" s="42">
        <v>0</v>
      </c>
      <c r="AK102" s="42">
        <v>0</v>
      </c>
      <c r="AL102" s="9" t="s">
        <v>644</v>
      </c>
      <c r="AM102" s="9"/>
      <c r="AN102" s="9" t="s">
        <v>113</v>
      </c>
      <c r="AP102" s="42">
        <v>201359</v>
      </c>
      <c r="AR102" s="42">
        <v>32469</v>
      </c>
      <c r="AV102" s="42">
        <v>0</v>
      </c>
      <c r="AX102" s="42">
        <v>0</v>
      </c>
      <c r="AZ102" s="42">
        <v>0</v>
      </c>
      <c r="BB102" s="42">
        <f t="shared" si="27"/>
        <v>6076559</v>
      </c>
      <c r="BD102" s="42">
        <v>0</v>
      </c>
      <c r="BF102" s="42">
        <v>0</v>
      </c>
      <c r="BH102" s="42">
        <v>0</v>
      </c>
      <c r="BJ102" s="42">
        <v>0</v>
      </c>
      <c r="BL102" s="42">
        <f t="shared" si="29"/>
        <v>6076559</v>
      </c>
      <c r="BN102" s="42">
        <f>+'Gen Fd Rev'!AM102-'Gen Fd Exp'!BL102</f>
        <v>84863</v>
      </c>
      <c r="BP102" s="42">
        <v>2434814</v>
      </c>
      <c r="BR102" s="42">
        <v>0</v>
      </c>
      <c r="BT102" s="42">
        <v>0</v>
      </c>
      <c r="BV102" s="42">
        <f t="shared" si="25"/>
        <v>2519677</v>
      </c>
      <c r="BX102" s="5">
        <f>+BV102-'Gen Fd BS'!AI102+BT102</f>
        <v>0</v>
      </c>
    </row>
    <row r="103" spans="1:76" hidden="1">
      <c r="A103" s="9" t="s">
        <v>613</v>
      </c>
      <c r="B103" s="9"/>
      <c r="C103" s="9" t="s">
        <v>419</v>
      </c>
      <c r="D103" s="9"/>
      <c r="E103" s="23">
        <v>43729</v>
      </c>
      <c r="G103" s="42">
        <v>0</v>
      </c>
      <c r="I103" s="42">
        <v>0</v>
      </c>
      <c r="K103" s="42">
        <v>0</v>
      </c>
      <c r="M103" s="42">
        <v>0</v>
      </c>
      <c r="O103" s="42">
        <v>0</v>
      </c>
      <c r="Q103" s="42">
        <v>0</v>
      </c>
      <c r="S103" s="42">
        <v>0</v>
      </c>
      <c r="U103" s="42">
        <v>0</v>
      </c>
      <c r="W103" s="42">
        <v>0</v>
      </c>
      <c r="Y103" s="42">
        <v>0</v>
      </c>
      <c r="AA103" s="42">
        <v>0</v>
      </c>
      <c r="AC103" s="42">
        <v>0</v>
      </c>
      <c r="AE103" s="42">
        <v>0</v>
      </c>
      <c r="AG103" s="42">
        <v>0</v>
      </c>
      <c r="AI103" s="42">
        <v>0</v>
      </c>
      <c r="AK103" s="42">
        <v>0</v>
      </c>
      <c r="AL103" s="9" t="s">
        <v>613</v>
      </c>
      <c r="AM103" s="9"/>
      <c r="AN103" s="9" t="s">
        <v>419</v>
      </c>
      <c r="AP103" s="42">
        <v>0</v>
      </c>
      <c r="AR103" s="42">
        <v>0</v>
      </c>
      <c r="AV103" s="42">
        <v>0</v>
      </c>
      <c r="AX103" s="42">
        <v>0</v>
      </c>
      <c r="AZ103" s="42">
        <v>0</v>
      </c>
      <c r="BB103" s="42">
        <f t="shared" si="27"/>
        <v>0</v>
      </c>
      <c r="BD103" s="42">
        <v>0</v>
      </c>
      <c r="BF103" s="42">
        <v>0</v>
      </c>
      <c r="BH103" s="42">
        <v>0</v>
      </c>
      <c r="BJ103" s="42">
        <v>0</v>
      </c>
      <c r="BL103" s="42">
        <f t="shared" si="29"/>
        <v>0</v>
      </c>
      <c r="BN103" s="42">
        <f>+'Gen Fd Rev'!AM103-'Gen Fd Exp'!BL103</f>
        <v>0</v>
      </c>
      <c r="BP103" s="42">
        <v>0</v>
      </c>
      <c r="BR103" s="42">
        <v>0</v>
      </c>
      <c r="BT103" s="42">
        <v>0</v>
      </c>
      <c r="BV103" s="42">
        <f t="shared" si="25"/>
        <v>0</v>
      </c>
      <c r="BX103" s="5">
        <f>+BV103-'Gen Fd BS'!AI103+BT103</f>
        <v>0</v>
      </c>
    </row>
    <row r="104" spans="1:76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v>0</v>
      </c>
      <c r="I104" s="42">
        <v>0</v>
      </c>
      <c r="K104" s="42">
        <v>0</v>
      </c>
      <c r="M104" s="42">
        <v>0</v>
      </c>
      <c r="O104" s="42">
        <v>0</v>
      </c>
      <c r="Q104" s="42">
        <v>0</v>
      </c>
      <c r="S104" s="42">
        <v>0</v>
      </c>
      <c r="U104" s="42">
        <v>0</v>
      </c>
      <c r="W104" s="42">
        <v>0</v>
      </c>
      <c r="Y104" s="42">
        <v>0</v>
      </c>
      <c r="AA104" s="42">
        <v>0</v>
      </c>
      <c r="AC104" s="42">
        <v>0</v>
      </c>
      <c r="AE104" s="42">
        <v>0</v>
      </c>
      <c r="AG104" s="42">
        <v>0</v>
      </c>
      <c r="AI104" s="42">
        <v>0</v>
      </c>
      <c r="AK104" s="42">
        <v>0</v>
      </c>
      <c r="AL104" s="9" t="s">
        <v>856</v>
      </c>
      <c r="AM104" s="9"/>
      <c r="AN104" s="9" t="s">
        <v>40</v>
      </c>
      <c r="AP104" s="42">
        <v>0</v>
      </c>
      <c r="AR104" s="42">
        <v>0</v>
      </c>
      <c r="AV104" s="42">
        <v>0</v>
      </c>
      <c r="AX104" s="42">
        <v>0</v>
      </c>
      <c r="AZ104" s="42">
        <v>0</v>
      </c>
      <c r="BB104" s="42">
        <f t="shared" si="27"/>
        <v>0</v>
      </c>
      <c r="BD104" s="42">
        <v>0</v>
      </c>
      <c r="BF104" s="42">
        <v>0</v>
      </c>
      <c r="BH104" s="42">
        <v>0</v>
      </c>
      <c r="BJ104" s="42">
        <v>0</v>
      </c>
      <c r="BL104" s="42">
        <f t="shared" si="29"/>
        <v>0</v>
      </c>
      <c r="BN104" s="42">
        <f>+'Gen Fd Rev'!AM104-'Gen Fd Exp'!BL104</f>
        <v>0</v>
      </c>
      <c r="BP104" s="42">
        <v>0</v>
      </c>
      <c r="BR104" s="42">
        <v>0</v>
      </c>
      <c r="BT104" s="42">
        <v>0</v>
      </c>
      <c r="BV104" s="42">
        <f t="shared" si="25"/>
        <v>0</v>
      </c>
      <c r="BX104" s="5">
        <f>+BV104-'Gen Fd BS'!AI104+BT104</f>
        <v>0</v>
      </c>
    </row>
    <row r="105" spans="1:76">
      <c r="A105" s="9" t="s">
        <v>645</v>
      </c>
      <c r="B105" s="9"/>
      <c r="C105" s="9" t="s">
        <v>50</v>
      </c>
      <c r="D105" s="9"/>
      <c r="E105" s="23">
        <v>43737</v>
      </c>
      <c r="G105" s="42">
        <v>39425347</v>
      </c>
      <c r="I105" s="42">
        <v>8699884</v>
      </c>
      <c r="K105" s="42">
        <v>2628579</v>
      </c>
      <c r="M105" s="42">
        <v>0</v>
      </c>
      <c r="O105" s="42">
        <v>1059508</v>
      </c>
      <c r="Q105" s="42">
        <v>4776675</v>
      </c>
      <c r="S105" s="42">
        <v>6424292</v>
      </c>
      <c r="U105" s="42">
        <v>0</v>
      </c>
      <c r="W105" s="42">
        <f>23561+5132887</f>
        <v>5156448</v>
      </c>
      <c r="Y105" s="42">
        <v>1498659</v>
      </c>
      <c r="AA105" s="42">
        <v>551454</v>
      </c>
      <c r="AC105" s="42">
        <v>5540446</v>
      </c>
      <c r="AE105" s="42">
        <v>6591980</v>
      </c>
      <c r="AG105" s="42">
        <v>66322</v>
      </c>
      <c r="AI105" s="42">
        <v>0</v>
      </c>
      <c r="AK105" s="42">
        <v>1059018</v>
      </c>
      <c r="AL105" s="9" t="s">
        <v>645</v>
      </c>
      <c r="AM105" s="9"/>
      <c r="AN105" s="9" t="s">
        <v>50</v>
      </c>
      <c r="AP105" s="42">
        <v>13130</v>
      </c>
      <c r="AR105" s="42">
        <v>0</v>
      </c>
      <c r="AV105" s="42">
        <v>0</v>
      </c>
      <c r="AX105" s="42">
        <v>0</v>
      </c>
      <c r="AZ105" s="42">
        <v>0</v>
      </c>
      <c r="BB105" s="42">
        <f t="shared" si="27"/>
        <v>83491742</v>
      </c>
      <c r="BD105" s="42">
        <v>0</v>
      </c>
      <c r="BF105" s="42">
        <v>0</v>
      </c>
      <c r="BH105" s="42">
        <v>0</v>
      </c>
      <c r="BJ105" s="42">
        <v>0</v>
      </c>
      <c r="BL105" s="42">
        <f t="shared" si="29"/>
        <v>83491742</v>
      </c>
      <c r="BN105" s="42">
        <f>+'Gen Fd Rev'!AM105-'Gen Fd Exp'!BL105</f>
        <v>-6033234</v>
      </c>
      <c r="BP105" s="42">
        <v>15883362</v>
      </c>
      <c r="BR105" s="42">
        <v>0</v>
      </c>
      <c r="BT105" s="42">
        <v>0</v>
      </c>
      <c r="BV105" s="42">
        <f t="shared" si="25"/>
        <v>9850128</v>
      </c>
      <c r="BX105" s="5">
        <f>+BV105-'Gen Fd BS'!AI105+BT105</f>
        <v>0</v>
      </c>
    </row>
    <row r="106" spans="1:76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v>0</v>
      </c>
      <c r="I106" s="42">
        <v>0</v>
      </c>
      <c r="K106" s="42">
        <v>0</v>
      </c>
      <c r="M106" s="42">
        <v>0</v>
      </c>
      <c r="O106" s="42">
        <v>0</v>
      </c>
      <c r="Q106" s="42">
        <v>0</v>
      </c>
      <c r="S106" s="42">
        <v>0</v>
      </c>
      <c r="U106" s="42">
        <v>0</v>
      </c>
      <c r="W106" s="42">
        <v>0</v>
      </c>
      <c r="Y106" s="42">
        <v>0</v>
      </c>
      <c r="AA106" s="42">
        <v>0</v>
      </c>
      <c r="AC106" s="42">
        <v>0</v>
      </c>
      <c r="AE106" s="42">
        <v>0</v>
      </c>
      <c r="AG106" s="42">
        <v>0</v>
      </c>
      <c r="AI106" s="42">
        <v>0</v>
      </c>
      <c r="AK106" s="42">
        <v>0</v>
      </c>
      <c r="AL106" s="9" t="s">
        <v>730</v>
      </c>
      <c r="AM106" s="9"/>
      <c r="AN106" s="9" t="s">
        <v>22</v>
      </c>
      <c r="AP106" s="42">
        <v>0</v>
      </c>
      <c r="AR106" s="42">
        <v>0</v>
      </c>
      <c r="AV106" s="42">
        <v>0</v>
      </c>
      <c r="AX106" s="42">
        <v>0</v>
      </c>
      <c r="AZ106" s="42">
        <v>0</v>
      </c>
      <c r="BB106" s="42">
        <f t="shared" si="27"/>
        <v>0</v>
      </c>
      <c r="BD106" s="42">
        <v>0</v>
      </c>
      <c r="BF106" s="42">
        <v>0</v>
      </c>
      <c r="BH106" s="42">
        <v>0</v>
      </c>
      <c r="BJ106" s="42">
        <v>0</v>
      </c>
      <c r="BL106" s="42">
        <f t="shared" si="29"/>
        <v>0</v>
      </c>
      <c r="BN106" s="42">
        <f>+'Gen Fd Rev'!AM106-'Gen Fd Exp'!BL106</f>
        <v>0</v>
      </c>
      <c r="BP106" s="42">
        <v>0</v>
      </c>
      <c r="BR106" s="42">
        <v>0</v>
      </c>
      <c r="BT106" s="42">
        <v>0</v>
      </c>
      <c r="BV106" s="42">
        <f t="shared" si="25"/>
        <v>0</v>
      </c>
      <c r="BX106" s="5">
        <f>+BV106-'Gen Fd BS'!AI106+BT106</f>
        <v>0</v>
      </c>
    </row>
    <row r="107" spans="1:76">
      <c r="A107" s="9" t="s">
        <v>748</v>
      </c>
      <c r="B107" s="9"/>
      <c r="C107" s="9" t="s">
        <v>20</v>
      </c>
      <c r="D107" s="9"/>
      <c r="E107" s="23">
        <v>45286</v>
      </c>
      <c r="G107" s="42">
        <v>11914018</v>
      </c>
      <c r="I107" s="42">
        <v>2346902</v>
      </c>
      <c r="K107" s="42">
        <v>608328</v>
      </c>
      <c r="M107" s="42">
        <v>0</v>
      </c>
      <c r="O107" s="42">
        <v>21786</v>
      </c>
      <c r="Q107" s="42">
        <v>1323476</v>
      </c>
      <c r="S107" s="42">
        <v>1058954</v>
      </c>
      <c r="U107" s="42">
        <v>75162</v>
      </c>
      <c r="W107" s="42">
        <v>2191399</v>
      </c>
      <c r="Y107" s="42">
        <v>839145</v>
      </c>
      <c r="AA107" s="42">
        <v>400</v>
      </c>
      <c r="AC107" s="42">
        <v>2304880</v>
      </c>
      <c r="AE107" s="42">
        <v>1218301</v>
      </c>
      <c r="AG107" s="42">
        <v>12700</v>
      </c>
      <c r="AI107" s="42">
        <v>0</v>
      </c>
      <c r="AK107" s="42">
        <v>315813</v>
      </c>
      <c r="AL107" s="9" t="s">
        <v>748</v>
      </c>
      <c r="AM107" s="9"/>
      <c r="AN107" s="9" t="s">
        <v>20</v>
      </c>
      <c r="AP107" s="42">
        <v>522662</v>
      </c>
      <c r="AR107" s="42">
        <v>11522</v>
      </c>
      <c r="AV107" s="42">
        <v>174136</v>
      </c>
      <c r="AX107" s="42">
        <v>109892</v>
      </c>
      <c r="AZ107" s="42">
        <v>0</v>
      </c>
      <c r="BB107" s="42">
        <f t="shared" ref="BB107:BB138" si="33">SUM(G107:AZ107)</f>
        <v>25049476</v>
      </c>
      <c r="BD107" s="42">
        <v>419200</v>
      </c>
      <c r="BF107" s="42">
        <v>0</v>
      </c>
      <c r="BH107" s="42">
        <v>0</v>
      </c>
      <c r="BJ107" s="42">
        <v>0</v>
      </c>
      <c r="BL107" s="42">
        <f t="shared" si="29"/>
        <v>25468676</v>
      </c>
      <c r="BN107" s="42">
        <f>+'Gen Fd Rev'!AM107-'Gen Fd Exp'!BL107</f>
        <v>1185259</v>
      </c>
      <c r="BP107" s="42">
        <v>6641514</v>
      </c>
      <c r="BR107" s="42">
        <v>0</v>
      </c>
      <c r="BT107" s="42">
        <v>0</v>
      </c>
      <c r="BV107" s="42">
        <f t="shared" si="25"/>
        <v>7826773</v>
      </c>
      <c r="BX107" s="5">
        <f>+BV107-'Gen Fd BS'!AI107+BT107</f>
        <v>0</v>
      </c>
    </row>
    <row r="108" spans="1:76">
      <c r="A108" s="9" t="s">
        <v>516</v>
      </c>
      <c r="B108" s="9"/>
      <c r="C108" s="9" t="s">
        <v>64</v>
      </c>
      <c r="D108" s="9"/>
      <c r="E108" s="23">
        <v>50138</v>
      </c>
      <c r="G108" s="42">
        <v>5388450</v>
      </c>
      <c r="I108" s="42">
        <v>1226194</v>
      </c>
      <c r="K108" s="42">
        <v>94057</v>
      </c>
      <c r="M108" s="42">
        <v>0</v>
      </c>
      <c r="O108" s="42">
        <v>453612</v>
      </c>
      <c r="Q108" s="42">
        <v>578836</v>
      </c>
      <c r="S108" s="42">
        <v>795416</v>
      </c>
      <c r="U108" s="42">
        <v>21180</v>
      </c>
      <c r="W108" s="42">
        <v>1106835</v>
      </c>
      <c r="Y108" s="42">
        <v>368508</v>
      </c>
      <c r="AA108" s="42">
        <v>0</v>
      </c>
      <c r="AC108" s="42">
        <v>1362507</v>
      </c>
      <c r="AE108" s="42">
        <v>833224</v>
      </c>
      <c r="AG108" s="42">
        <v>4415</v>
      </c>
      <c r="AI108" s="42">
        <v>0</v>
      </c>
      <c r="AK108" s="42">
        <v>0</v>
      </c>
      <c r="AL108" s="9" t="s">
        <v>516</v>
      </c>
      <c r="AM108" s="9"/>
      <c r="AN108" s="9" t="s">
        <v>64</v>
      </c>
      <c r="AP108" s="42">
        <v>296500</v>
      </c>
      <c r="AR108" s="42">
        <f>1268+99868</f>
        <v>101136</v>
      </c>
      <c r="AV108" s="42">
        <v>122302</v>
      </c>
      <c r="AX108" s="42">
        <v>39766</v>
      </c>
      <c r="AZ108" s="42">
        <v>0</v>
      </c>
      <c r="BB108" s="42">
        <f t="shared" si="33"/>
        <v>12792938</v>
      </c>
      <c r="BD108" s="42">
        <v>71147</v>
      </c>
      <c r="BF108" s="42">
        <v>0</v>
      </c>
      <c r="BH108" s="42">
        <v>0</v>
      </c>
      <c r="BJ108" s="42">
        <v>0</v>
      </c>
      <c r="BL108" s="42">
        <f t="shared" si="29"/>
        <v>12864085</v>
      </c>
      <c r="BN108" s="42">
        <f>+'Gen Fd Rev'!AM108-'Gen Fd Exp'!BL108</f>
        <v>-118292</v>
      </c>
      <c r="BP108" s="42">
        <v>-412492</v>
      </c>
      <c r="BR108" s="42">
        <v>-1312</v>
      </c>
      <c r="BT108" s="42">
        <v>0</v>
      </c>
      <c r="BV108" s="42">
        <f t="shared" ref="BV108:BV157" si="34">+BP108+BN108-BR108</f>
        <v>-529472</v>
      </c>
      <c r="BX108" s="5">
        <f>+BV108-'Gen Fd BS'!AI108+BT108</f>
        <v>0</v>
      </c>
    </row>
    <row r="109" spans="1:76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v>0</v>
      </c>
      <c r="I109" s="42">
        <v>0</v>
      </c>
      <c r="K109" s="42">
        <v>0</v>
      </c>
      <c r="M109" s="42">
        <v>0</v>
      </c>
      <c r="O109" s="42">
        <v>0</v>
      </c>
      <c r="Q109" s="42">
        <v>0</v>
      </c>
      <c r="S109" s="42">
        <v>0</v>
      </c>
      <c r="U109" s="42">
        <v>0</v>
      </c>
      <c r="W109" s="42">
        <v>0</v>
      </c>
      <c r="Y109" s="42">
        <v>0</v>
      </c>
      <c r="AA109" s="42">
        <v>0</v>
      </c>
      <c r="AC109" s="42">
        <v>0</v>
      </c>
      <c r="AE109" s="42">
        <v>0</v>
      </c>
      <c r="AG109" s="42">
        <v>0</v>
      </c>
      <c r="AI109" s="42">
        <v>0</v>
      </c>
      <c r="AK109" s="42">
        <v>0</v>
      </c>
      <c r="AL109" s="9" t="s">
        <v>731</v>
      </c>
      <c r="AM109" s="9"/>
      <c r="AN109" s="9" t="s">
        <v>30</v>
      </c>
      <c r="AP109" s="42">
        <v>0</v>
      </c>
      <c r="AR109" s="42">
        <v>0</v>
      </c>
      <c r="AV109" s="42">
        <v>0</v>
      </c>
      <c r="AX109" s="42">
        <v>0</v>
      </c>
      <c r="AZ109" s="42">
        <v>0</v>
      </c>
      <c r="BB109" s="42">
        <f t="shared" si="33"/>
        <v>0</v>
      </c>
      <c r="BD109" s="42">
        <v>0</v>
      </c>
      <c r="BF109" s="42">
        <v>0</v>
      </c>
      <c r="BH109" s="42">
        <v>0</v>
      </c>
      <c r="BJ109" s="42">
        <v>0</v>
      </c>
      <c r="BL109" s="42">
        <f t="shared" si="29"/>
        <v>0</v>
      </c>
      <c r="BN109" s="42">
        <f>+'Gen Fd Rev'!AM109-'Gen Fd Exp'!BL109</f>
        <v>0</v>
      </c>
      <c r="BP109" s="42">
        <v>0</v>
      </c>
      <c r="BR109" s="42">
        <v>0</v>
      </c>
      <c r="BT109" s="42">
        <v>0</v>
      </c>
      <c r="BV109" s="42">
        <f t="shared" si="34"/>
        <v>0</v>
      </c>
      <c r="BX109" s="5">
        <f>+BV109-'Gen Fd BS'!AI109+BT109</f>
        <v>0</v>
      </c>
    </row>
    <row r="110" spans="1:76">
      <c r="A110" s="9" t="s">
        <v>749</v>
      </c>
      <c r="B110" s="9"/>
      <c r="C110" s="9" t="s">
        <v>364</v>
      </c>
      <c r="D110" s="9"/>
      <c r="E110" s="23">
        <v>45294</v>
      </c>
      <c r="G110" s="42">
        <v>6275487</v>
      </c>
      <c r="I110" s="42">
        <v>928713</v>
      </c>
      <c r="K110" s="42">
        <v>0</v>
      </c>
      <c r="M110" s="42">
        <v>0</v>
      </c>
      <c r="O110" s="42">
        <v>335955</v>
      </c>
      <c r="Q110" s="42">
        <v>283364</v>
      </c>
      <c r="S110" s="42">
        <v>310336</v>
      </c>
      <c r="U110" s="42">
        <v>68487</v>
      </c>
      <c r="W110" s="42">
        <v>896348</v>
      </c>
      <c r="Y110" s="42">
        <v>357185</v>
      </c>
      <c r="AA110" s="42">
        <v>0</v>
      </c>
      <c r="AC110" s="42">
        <v>1158861</v>
      </c>
      <c r="AE110" s="42">
        <v>589211</v>
      </c>
      <c r="AG110" s="42">
        <v>239247</v>
      </c>
      <c r="AI110" s="42">
        <v>0</v>
      </c>
      <c r="AK110" s="42">
        <v>18218</v>
      </c>
      <c r="AL110" s="9" t="s">
        <v>749</v>
      </c>
      <c r="AM110" s="9"/>
      <c r="AN110" s="9" t="s">
        <v>364</v>
      </c>
      <c r="AP110" s="42">
        <v>208049</v>
      </c>
      <c r="AR110" s="42">
        <v>250</v>
      </c>
      <c r="AV110" s="42">
        <v>10684</v>
      </c>
      <c r="AX110" s="42">
        <v>596</v>
      </c>
      <c r="AZ110" s="42">
        <v>0</v>
      </c>
      <c r="BB110" s="42">
        <f t="shared" si="33"/>
        <v>11680991</v>
      </c>
      <c r="BD110" s="42">
        <v>4456</v>
      </c>
      <c r="BF110" s="42">
        <v>0</v>
      </c>
      <c r="BH110" s="42">
        <v>0</v>
      </c>
      <c r="BJ110" s="42">
        <v>0</v>
      </c>
      <c r="BL110" s="42">
        <f t="shared" si="29"/>
        <v>11685447</v>
      </c>
      <c r="BN110" s="42">
        <f>+'Gen Fd Rev'!AM110-'Gen Fd Exp'!BL110</f>
        <v>-95529</v>
      </c>
      <c r="BP110" s="42">
        <v>857361</v>
      </c>
      <c r="BR110" s="42">
        <v>0</v>
      </c>
      <c r="BT110" s="42">
        <v>0</v>
      </c>
      <c r="BV110" s="42">
        <f t="shared" si="34"/>
        <v>761832</v>
      </c>
      <c r="BX110" s="5">
        <f>+BV110-'Gen Fd BS'!AI110+BT110</f>
        <v>0</v>
      </c>
    </row>
    <row r="111" spans="1:76">
      <c r="A111" s="9" t="s">
        <v>470</v>
      </c>
      <c r="B111" s="9"/>
      <c r="C111" s="9" t="s">
        <v>58</v>
      </c>
      <c r="D111" s="9"/>
      <c r="E111" s="23">
        <v>43745</v>
      </c>
      <c r="G111" s="42">
        <v>15216891</v>
      </c>
      <c r="I111" s="42">
        <v>1387583</v>
      </c>
      <c r="K111" s="42">
        <v>28</v>
      </c>
      <c r="M111" s="42">
        <v>0</v>
      </c>
      <c r="O111" s="42">
        <v>170200</v>
      </c>
      <c r="Q111" s="42">
        <v>1396992</v>
      </c>
      <c r="S111" s="42">
        <v>846158</v>
      </c>
      <c r="U111" s="42">
        <v>59691</v>
      </c>
      <c r="W111" s="42">
        <v>1835130</v>
      </c>
      <c r="Y111" s="42">
        <v>688752</v>
      </c>
      <c r="AA111" s="42">
        <v>115795</v>
      </c>
      <c r="AC111" s="42">
        <v>1885251</v>
      </c>
      <c r="AE111" s="42">
        <v>842066</v>
      </c>
      <c r="AG111" s="42">
        <v>134509</v>
      </c>
      <c r="AI111" s="42">
        <v>0</v>
      </c>
      <c r="AK111" s="42">
        <v>6732</v>
      </c>
      <c r="AL111" s="9" t="s">
        <v>470</v>
      </c>
      <c r="AM111" s="9"/>
      <c r="AN111" s="9" t="s">
        <v>58</v>
      </c>
      <c r="AP111" s="42">
        <v>351205</v>
      </c>
      <c r="AR111" s="42">
        <v>6614</v>
      </c>
      <c r="AV111" s="42">
        <v>1811254</v>
      </c>
      <c r="AX111" s="42">
        <v>34385</v>
      </c>
      <c r="AZ111" s="42">
        <v>0</v>
      </c>
      <c r="BB111" s="42">
        <f t="shared" si="33"/>
        <v>26789236</v>
      </c>
      <c r="BD111" s="42">
        <v>0</v>
      </c>
      <c r="BF111" s="42">
        <v>0</v>
      </c>
      <c r="BH111" s="42">
        <v>0</v>
      </c>
      <c r="BJ111" s="42">
        <v>0</v>
      </c>
      <c r="BL111" s="42">
        <f t="shared" si="29"/>
        <v>26789236</v>
      </c>
      <c r="BN111" s="42">
        <f>+'Gen Fd Rev'!AM111-'Gen Fd Exp'!BL111</f>
        <v>677722</v>
      </c>
      <c r="BP111" s="42">
        <v>64735</v>
      </c>
      <c r="BR111" s="42">
        <v>0</v>
      </c>
      <c r="BT111" s="42">
        <v>0</v>
      </c>
      <c r="BV111" s="42">
        <f t="shared" si="34"/>
        <v>742457</v>
      </c>
      <c r="BX111" s="5">
        <f>+BV111-'Gen Fd BS'!AI111+BT111</f>
        <v>0</v>
      </c>
    </row>
    <row r="112" spans="1:76">
      <c r="A112" s="9" t="s">
        <v>547</v>
      </c>
      <c r="B112" s="9"/>
      <c r="C112" s="9" t="s">
        <v>71</v>
      </c>
      <c r="D112" s="9"/>
      <c r="E112" s="23">
        <v>50534</v>
      </c>
      <c r="G112" s="42">
        <v>5404500</v>
      </c>
      <c r="I112" s="42">
        <v>599074</v>
      </c>
      <c r="K112" s="42">
        <v>7275</v>
      </c>
      <c r="M112" s="42">
        <v>0</v>
      </c>
      <c r="O112" s="42">
        <v>396275</v>
      </c>
      <c r="Q112" s="42">
        <v>161799</v>
      </c>
      <c r="S112" s="42">
        <v>421804</v>
      </c>
      <c r="U112" s="42">
        <v>42768</v>
      </c>
      <c r="W112" s="42">
        <v>1205737</v>
      </c>
      <c r="Y112" s="42">
        <v>397503</v>
      </c>
      <c r="AA112" s="42">
        <v>0</v>
      </c>
      <c r="AC112" s="42">
        <v>1035071</v>
      </c>
      <c r="AE112" s="42">
        <v>642202</v>
      </c>
      <c r="AG112" s="42">
        <v>181953</v>
      </c>
      <c r="AI112" s="42">
        <v>0</v>
      </c>
      <c r="AK112" s="42">
        <v>0</v>
      </c>
      <c r="AL112" s="9" t="s">
        <v>547</v>
      </c>
      <c r="AM112" s="9"/>
      <c r="AN112" s="9" t="s">
        <v>71</v>
      </c>
      <c r="AP112" s="42">
        <v>386188</v>
      </c>
      <c r="AR112" s="42">
        <v>0</v>
      </c>
      <c r="AV112" s="42">
        <v>0</v>
      </c>
      <c r="AX112" s="42">
        <v>0</v>
      </c>
      <c r="AZ112" s="42">
        <v>0</v>
      </c>
      <c r="BB112" s="42">
        <f t="shared" si="33"/>
        <v>10882149</v>
      </c>
      <c r="BD112" s="42">
        <v>271500</v>
      </c>
      <c r="BF112" s="42">
        <v>0</v>
      </c>
      <c r="BH112" s="42">
        <v>0</v>
      </c>
      <c r="BJ112" s="42">
        <v>0</v>
      </c>
      <c r="BL112" s="42">
        <f t="shared" si="29"/>
        <v>11153649</v>
      </c>
      <c r="BN112" s="42">
        <f>+'Gen Fd Rev'!AM112-'Gen Fd Exp'!BL112</f>
        <v>-180395</v>
      </c>
      <c r="BP112" s="42">
        <v>6425725</v>
      </c>
      <c r="BR112" s="42">
        <v>0</v>
      </c>
      <c r="BT112" s="42">
        <v>0</v>
      </c>
      <c r="BV112" s="42">
        <f t="shared" si="34"/>
        <v>6245330</v>
      </c>
      <c r="BX112" s="5">
        <f>+BV112-'Gen Fd BS'!AI112+BT112</f>
        <v>0</v>
      </c>
    </row>
    <row r="113" spans="1:76">
      <c r="A113" s="9" t="s">
        <v>647</v>
      </c>
      <c r="B113" s="9"/>
      <c r="C113" s="9" t="s">
        <v>32</v>
      </c>
      <c r="D113" s="9"/>
      <c r="E113" s="23">
        <v>43752</v>
      </c>
      <c r="G113" s="42">
        <v>201838839</v>
      </c>
      <c r="I113" s="42">
        <v>49397603</v>
      </c>
      <c r="K113" s="42">
        <v>3066370</v>
      </c>
      <c r="M113" s="42">
        <v>0</v>
      </c>
      <c r="O113" s="42">
        <v>76</v>
      </c>
      <c r="Q113" s="42">
        <v>28510779</v>
      </c>
      <c r="S113" s="42">
        <v>19829699</v>
      </c>
      <c r="U113" s="42">
        <v>364567</v>
      </c>
      <c r="W113" s="42">
        <v>25308306</v>
      </c>
      <c r="Y113" s="42">
        <v>5339639</v>
      </c>
      <c r="AA113" s="42">
        <v>1138608</v>
      </c>
      <c r="AC113" s="42">
        <v>30684028</v>
      </c>
      <c r="AE113" s="42">
        <v>29973387</v>
      </c>
      <c r="AG113" s="42">
        <v>19037290</v>
      </c>
      <c r="AI113" s="42">
        <v>0</v>
      </c>
      <c r="AK113" s="42">
        <v>0</v>
      </c>
      <c r="AL113" s="9" t="s">
        <v>647</v>
      </c>
      <c r="AM113" s="9"/>
      <c r="AN113" s="9" t="s">
        <v>32</v>
      </c>
      <c r="AP113" s="42">
        <v>2347632</v>
      </c>
      <c r="AR113" s="42">
        <v>163310</v>
      </c>
      <c r="AV113" s="42">
        <v>0</v>
      </c>
      <c r="AX113" s="42">
        <v>0</v>
      </c>
      <c r="AZ113" s="42">
        <v>0</v>
      </c>
      <c r="BB113" s="42">
        <f t="shared" si="33"/>
        <v>417000133</v>
      </c>
      <c r="BD113" s="42">
        <v>12390768</v>
      </c>
      <c r="BF113" s="42">
        <v>0</v>
      </c>
      <c r="BH113" s="42">
        <v>0</v>
      </c>
      <c r="BJ113" s="42">
        <v>0</v>
      </c>
      <c r="BL113" s="42">
        <f t="shared" si="29"/>
        <v>429390901</v>
      </c>
      <c r="BN113" s="42">
        <f>+'Gen Fd Rev'!AM113-'Gen Fd Exp'!BL113</f>
        <v>26747734</v>
      </c>
      <c r="BP113" s="42">
        <v>131505880</v>
      </c>
      <c r="BR113" s="42">
        <v>0</v>
      </c>
      <c r="BT113" s="42">
        <v>0</v>
      </c>
      <c r="BV113" s="42">
        <f t="shared" si="34"/>
        <v>158253614</v>
      </c>
      <c r="BX113" s="5">
        <f>+BV113-'Gen Fd BS'!AI113+BT113</f>
        <v>0</v>
      </c>
    </row>
    <row r="114" spans="1:76">
      <c r="A114" s="9" t="s">
        <v>449</v>
      </c>
      <c r="B114" s="9"/>
      <c r="C114" s="9" t="s">
        <v>54</v>
      </c>
      <c r="D114" s="9"/>
      <c r="E114" s="23">
        <v>43760</v>
      </c>
      <c r="G114" s="42">
        <v>10437100</v>
      </c>
      <c r="I114" s="42">
        <v>1997577</v>
      </c>
      <c r="K114" s="42">
        <v>101597</v>
      </c>
      <c r="M114" s="42">
        <v>0</v>
      </c>
      <c r="O114" s="42">
        <v>826</v>
      </c>
      <c r="Q114" s="42">
        <v>847686</v>
      </c>
      <c r="S114" s="42">
        <v>1704905</v>
      </c>
      <c r="U114" s="42">
        <v>50069</v>
      </c>
      <c r="W114" s="42">
        <v>1880451</v>
      </c>
      <c r="Y114" s="42">
        <v>484056</v>
      </c>
      <c r="AA114" s="42">
        <v>0</v>
      </c>
      <c r="AC114" s="42">
        <v>1373524</v>
      </c>
      <c r="AE114" s="42">
        <v>816745</v>
      </c>
      <c r="AG114" s="42">
        <v>13328</v>
      </c>
      <c r="AI114" s="42">
        <v>0</v>
      </c>
      <c r="AK114" s="42">
        <v>945</v>
      </c>
      <c r="AL114" s="9" t="s">
        <v>449</v>
      </c>
      <c r="AM114" s="9"/>
      <c r="AN114" s="9" t="s">
        <v>54</v>
      </c>
      <c r="AP114" s="42">
        <v>360588</v>
      </c>
      <c r="AR114" s="42">
        <f>46206+181895</f>
        <v>228101</v>
      </c>
      <c r="AV114" s="42">
        <v>21000</v>
      </c>
      <c r="AX114" s="42">
        <v>11054</v>
      </c>
      <c r="AZ114" s="42">
        <v>0</v>
      </c>
      <c r="BB114" s="42">
        <f t="shared" si="33"/>
        <v>20329552</v>
      </c>
      <c r="BD114" s="42">
        <v>75360</v>
      </c>
      <c r="BF114" s="42">
        <v>0</v>
      </c>
      <c r="BH114" s="42">
        <v>0</v>
      </c>
      <c r="BJ114" s="42">
        <v>0</v>
      </c>
      <c r="BL114" s="42">
        <f t="shared" si="29"/>
        <v>20404912</v>
      </c>
      <c r="BN114" s="42">
        <f>+'Gen Fd Rev'!AM114-'Gen Fd Exp'!BL114</f>
        <v>1069235</v>
      </c>
      <c r="BP114" s="42">
        <v>14238443</v>
      </c>
      <c r="BR114" s="42">
        <v>-1119</v>
      </c>
      <c r="BT114" s="42">
        <v>0</v>
      </c>
      <c r="BV114" s="42">
        <f t="shared" si="34"/>
        <v>15308797</v>
      </c>
      <c r="BX114" s="5">
        <f>+BV114-'Gen Fd BS'!AI114+BT114</f>
        <v>0</v>
      </c>
    </row>
    <row r="115" spans="1:76">
      <c r="A115" s="9" t="s">
        <v>229</v>
      </c>
      <c r="B115" s="9"/>
      <c r="C115" s="9" t="s">
        <v>17</v>
      </c>
      <c r="D115" s="9"/>
      <c r="E115" s="23">
        <v>46284</v>
      </c>
      <c r="G115" s="42">
        <v>9211836</v>
      </c>
      <c r="I115" s="42">
        <v>1479385</v>
      </c>
      <c r="K115" s="42">
        <v>214082</v>
      </c>
      <c r="M115" s="42">
        <v>7649</v>
      </c>
      <c r="O115" s="42">
        <v>320370</v>
      </c>
      <c r="Q115" s="42">
        <v>723885</v>
      </c>
      <c r="S115" s="42">
        <v>565634</v>
      </c>
      <c r="U115" s="42">
        <v>119065</v>
      </c>
      <c r="W115" s="42">
        <v>1600841</v>
      </c>
      <c r="Y115" s="42">
        <v>488490</v>
      </c>
      <c r="AA115" s="42">
        <v>10100</v>
      </c>
      <c r="AC115" s="42">
        <v>1225559</v>
      </c>
      <c r="AE115" s="42">
        <v>986963</v>
      </c>
      <c r="AG115" s="42">
        <v>0</v>
      </c>
      <c r="AI115" s="42">
        <v>0</v>
      </c>
      <c r="AK115" s="42">
        <v>73777</v>
      </c>
      <c r="AL115" s="9" t="s">
        <v>229</v>
      </c>
      <c r="AM115" s="9"/>
      <c r="AN115" s="9" t="s">
        <v>17</v>
      </c>
      <c r="AP115" s="42">
        <v>785082</v>
      </c>
      <c r="AR115" s="42">
        <v>0</v>
      </c>
      <c r="AV115" s="42">
        <v>60877</v>
      </c>
      <c r="AX115" s="42">
        <v>597</v>
      </c>
      <c r="AZ115" s="42">
        <v>0</v>
      </c>
      <c r="BB115" s="42">
        <f t="shared" si="33"/>
        <v>17874192</v>
      </c>
      <c r="BD115" s="42">
        <v>227824</v>
      </c>
      <c r="BF115" s="42">
        <v>0</v>
      </c>
      <c r="BH115" s="42">
        <v>0</v>
      </c>
      <c r="BJ115" s="42">
        <v>0</v>
      </c>
      <c r="BL115" s="42">
        <f t="shared" si="29"/>
        <v>18102016</v>
      </c>
      <c r="BN115" s="42">
        <f>+'Gen Fd Rev'!AM115-'Gen Fd Exp'!BL115</f>
        <v>359429</v>
      </c>
      <c r="BP115" s="42">
        <v>984968</v>
      </c>
      <c r="BR115" s="42">
        <v>0</v>
      </c>
      <c r="BT115" s="42">
        <v>0</v>
      </c>
      <c r="BV115" s="42">
        <f t="shared" si="34"/>
        <v>1344397</v>
      </c>
      <c r="BX115" s="5">
        <f>+BV115-'Gen Fd BS'!AI115+BT115</f>
        <v>0</v>
      </c>
    </row>
    <row r="116" spans="1:76">
      <c r="A116" s="9" t="s">
        <v>477</v>
      </c>
      <c r="B116" s="9"/>
      <c r="C116" s="9" t="s">
        <v>59</v>
      </c>
      <c r="D116" s="9"/>
      <c r="E116" s="23">
        <v>49601</v>
      </c>
      <c r="G116" s="42">
        <v>3154768</v>
      </c>
      <c r="I116" s="42">
        <v>292629</v>
      </c>
      <c r="K116" s="42">
        <v>0</v>
      </c>
      <c r="M116" s="42">
        <v>0</v>
      </c>
      <c r="O116" s="42">
        <v>17833</v>
      </c>
      <c r="Q116" s="42">
        <v>252504</v>
      </c>
      <c r="S116" s="42">
        <v>240162</v>
      </c>
      <c r="U116" s="42">
        <v>6816</v>
      </c>
      <c r="W116" s="42">
        <v>646274</v>
      </c>
      <c r="Y116" s="42">
        <v>75937</v>
      </c>
      <c r="AA116" s="42">
        <v>0</v>
      </c>
      <c r="AC116" s="42">
        <v>447316</v>
      </c>
      <c r="AE116" s="42">
        <v>248967</v>
      </c>
      <c r="AG116" s="42">
        <v>1320</v>
      </c>
      <c r="AI116" s="42">
        <v>0</v>
      </c>
      <c r="AK116" s="42">
        <v>0</v>
      </c>
      <c r="AL116" s="9" t="s">
        <v>477</v>
      </c>
      <c r="AM116" s="9"/>
      <c r="AN116" s="9" t="s">
        <v>59</v>
      </c>
      <c r="AP116" s="42">
        <v>67447</v>
      </c>
      <c r="AR116" s="42">
        <v>0</v>
      </c>
      <c r="AV116" s="42">
        <v>26671</v>
      </c>
      <c r="AX116" s="42">
        <v>0</v>
      </c>
      <c r="AZ116" s="42">
        <v>0</v>
      </c>
      <c r="BB116" s="42">
        <f t="shared" si="33"/>
        <v>5478644</v>
      </c>
      <c r="BD116" s="42">
        <v>18965</v>
      </c>
      <c r="BF116" s="42">
        <v>0</v>
      </c>
      <c r="BH116" s="42">
        <v>0</v>
      </c>
      <c r="BJ116" s="42">
        <v>0</v>
      </c>
      <c r="BL116" s="42">
        <f t="shared" si="29"/>
        <v>5497609</v>
      </c>
      <c r="BN116" s="42">
        <f>+'Gen Fd Rev'!AM116-'Gen Fd Exp'!BL116</f>
        <v>1366</v>
      </c>
      <c r="BP116" s="42">
        <v>-93135</v>
      </c>
      <c r="BR116" s="42">
        <v>0</v>
      </c>
      <c r="BT116" s="42">
        <v>0</v>
      </c>
      <c r="BV116" s="42">
        <f t="shared" si="34"/>
        <v>-91769</v>
      </c>
      <c r="BX116" s="5">
        <f>+BV116-'Gen Fd BS'!AI116+BT116</f>
        <v>0</v>
      </c>
    </row>
    <row r="117" spans="1:76">
      <c r="A117" s="9" t="s">
        <v>529</v>
      </c>
      <c r="B117" s="9"/>
      <c r="C117" s="9" t="s">
        <v>65</v>
      </c>
      <c r="D117" s="9"/>
      <c r="E117" s="23">
        <v>43778</v>
      </c>
      <c r="G117" s="42">
        <v>9236067</v>
      </c>
      <c r="I117" s="42">
        <v>1925811</v>
      </c>
      <c r="K117" s="42">
        <v>88281</v>
      </c>
      <c r="M117" s="42">
        <v>0</v>
      </c>
      <c r="O117" s="42">
        <v>91754</v>
      </c>
      <c r="Q117" s="42">
        <v>910953</v>
      </c>
      <c r="S117" s="42">
        <v>823677</v>
      </c>
      <c r="U117" s="42">
        <v>47712</v>
      </c>
      <c r="W117" s="42">
        <v>1237330</v>
      </c>
      <c r="Y117" s="42">
        <v>349049</v>
      </c>
      <c r="AA117" s="42">
        <v>11522</v>
      </c>
      <c r="AC117" s="42">
        <v>1856485</v>
      </c>
      <c r="AE117" s="42">
        <v>644547</v>
      </c>
      <c r="AG117" s="42">
        <v>601</v>
      </c>
      <c r="AI117" s="42">
        <v>0</v>
      </c>
      <c r="AK117" s="42">
        <v>0</v>
      </c>
      <c r="AL117" s="9" t="s">
        <v>529</v>
      </c>
      <c r="AM117" s="9"/>
      <c r="AN117" s="9" t="s">
        <v>65</v>
      </c>
      <c r="AP117" s="42">
        <v>443411</v>
      </c>
      <c r="AR117" s="42">
        <v>201604</v>
      </c>
      <c r="AV117" s="42">
        <v>30088</v>
      </c>
      <c r="AX117" s="42">
        <v>10876</v>
      </c>
      <c r="AZ117" s="42">
        <v>0</v>
      </c>
      <c r="BB117" s="42">
        <f t="shared" si="33"/>
        <v>17909768</v>
      </c>
      <c r="BD117" s="42">
        <v>0</v>
      </c>
      <c r="BF117" s="42">
        <v>0</v>
      </c>
      <c r="BH117" s="42">
        <v>0</v>
      </c>
      <c r="BJ117" s="42">
        <v>0</v>
      </c>
      <c r="BL117" s="42">
        <f t="shared" si="29"/>
        <v>17909768</v>
      </c>
      <c r="BN117" s="42">
        <f>+'Gen Fd Rev'!AM117-'Gen Fd Exp'!BL117</f>
        <v>178215</v>
      </c>
      <c r="BP117" s="42">
        <v>1833646</v>
      </c>
      <c r="BR117" s="42">
        <v>0</v>
      </c>
      <c r="BT117" s="42">
        <v>0</v>
      </c>
      <c r="BV117" s="42">
        <f t="shared" si="34"/>
        <v>2011861</v>
      </c>
      <c r="BX117" s="5">
        <f>+BV117-'Gen Fd BS'!AI117+BT117</f>
        <v>0</v>
      </c>
    </row>
    <row r="118" spans="1:76">
      <c r="A118" s="9" t="s">
        <v>465</v>
      </c>
      <c r="B118" s="9"/>
      <c r="C118" s="9" t="s">
        <v>109</v>
      </c>
      <c r="D118" s="9"/>
      <c r="E118" s="23">
        <v>49411</v>
      </c>
      <c r="G118" s="42">
        <v>6560788</v>
      </c>
      <c r="I118" s="42">
        <v>1460832</v>
      </c>
      <c r="K118" s="42">
        <v>180630</v>
      </c>
      <c r="M118" s="42">
        <v>0</v>
      </c>
      <c r="O118" s="42">
        <v>719481</v>
      </c>
      <c r="Q118" s="42">
        <v>705349</v>
      </c>
      <c r="S118" s="42">
        <v>460217</v>
      </c>
      <c r="U118" s="42">
        <v>79180</v>
      </c>
      <c r="W118" s="42">
        <v>993365</v>
      </c>
      <c r="Y118" s="42">
        <v>337595</v>
      </c>
      <c r="AA118" s="42">
        <v>0</v>
      </c>
      <c r="AC118" s="42">
        <v>1516669</v>
      </c>
      <c r="AE118" s="42">
        <v>1073558</v>
      </c>
      <c r="AG118" s="42">
        <v>19533</v>
      </c>
      <c r="AI118" s="42">
        <v>0</v>
      </c>
      <c r="AK118" s="42">
        <v>0</v>
      </c>
      <c r="AL118" s="9" t="s">
        <v>465</v>
      </c>
      <c r="AM118" s="9"/>
      <c r="AN118" s="9" t="s">
        <v>109</v>
      </c>
      <c r="AP118" s="42">
        <v>102596</v>
      </c>
      <c r="AR118" s="42">
        <v>0</v>
      </c>
      <c r="AV118" s="42">
        <v>0</v>
      </c>
      <c r="AX118" s="42">
        <v>0</v>
      </c>
      <c r="AZ118" s="42">
        <v>0</v>
      </c>
      <c r="BB118" s="42">
        <f t="shared" si="33"/>
        <v>14209793</v>
      </c>
      <c r="BD118" s="42">
        <v>307263</v>
      </c>
      <c r="BF118" s="42">
        <v>0</v>
      </c>
      <c r="BH118" s="42">
        <v>0</v>
      </c>
      <c r="BJ118" s="42">
        <v>0</v>
      </c>
      <c r="BL118" s="42">
        <f t="shared" si="29"/>
        <v>14517056</v>
      </c>
      <c r="BN118" s="42">
        <f>+'Gen Fd Rev'!AM118-'Gen Fd Exp'!BL118</f>
        <v>25162</v>
      </c>
      <c r="BP118" s="42">
        <v>6224632</v>
      </c>
      <c r="BR118" s="42">
        <v>20615</v>
      </c>
      <c r="BT118" s="42">
        <v>0</v>
      </c>
      <c r="BV118" s="42">
        <f t="shared" si="34"/>
        <v>6229179</v>
      </c>
      <c r="BX118" s="5">
        <f>+BV118-'Gen Fd BS'!AI118+BT118</f>
        <v>0</v>
      </c>
    </row>
    <row r="119" spans="1:76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v>0</v>
      </c>
      <c r="I119" s="42">
        <v>0</v>
      </c>
      <c r="K119" s="42">
        <v>0</v>
      </c>
      <c r="M119" s="42">
        <v>0</v>
      </c>
      <c r="O119" s="42">
        <v>0</v>
      </c>
      <c r="Q119" s="42">
        <v>0</v>
      </c>
      <c r="S119" s="42">
        <v>0</v>
      </c>
      <c r="U119" s="42">
        <v>0</v>
      </c>
      <c r="W119" s="42">
        <v>0</v>
      </c>
      <c r="Y119" s="42">
        <v>0</v>
      </c>
      <c r="AA119" s="42">
        <v>0</v>
      </c>
      <c r="AC119" s="42">
        <v>0</v>
      </c>
      <c r="AE119" s="42">
        <v>0</v>
      </c>
      <c r="AG119" s="42">
        <v>0</v>
      </c>
      <c r="AI119" s="42">
        <v>0</v>
      </c>
      <c r="AK119" s="42">
        <v>0</v>
      </c>
      <c r="AL119" s="9" t="s">
        <v>901</v>
      </c>
      <c r="AM119" s="9"/>
      <c r="AN119" s="9" t="s">
        <v>44</v>
      </c>
      <c r="AP119" s="42">
        <v>0</v>
      </c>
      <c r="AR119" s="42">
        <v>0</v>
      </c>
      <c r="AV119" s="42">
        <v>0</v>
      </c>
      <c r="AX119" s="42">
        <v>0</v>
      </c>
      <c r="AZ119" s="42">
        <v>0</v>
      </c>
      <c r="BB119" s="42">
        <f t="shared" si="33"/>
        <v>0</v>
      </c>
      <c r="BD119" s="42">
        <v>0</v>
      </c>
      <c r="BF119" s="42">
        <v>0</v>
      </c>
      <c r="BH119" s="42">
        <v>0</v>
      </c>
      <c r="BJ119" s="42">
        <v>0</v>
      </c>
      <c r="BL119" s="42">
        <f t="shared" si="29"/>
        <v>0</v>
      </c>
      <c r="BN119" s="42">
        <f>+'Gen Fd Rev'!AM119-'Gen Fd Exp'!BL119</f>
        <v>0</v>
      </c>
      <c r="BP119" s="42">
        <v>0</v>
      </c>
      <c r="BR119" s="42">
        <v>0</v>
      </c>
      <c r="BT119" s="42">
        <v>0</v>
      </c>
      <c r="BV119" s="42">
        <f t="shared" si="34"/>
        <v>0</v>
      </c>
      <c r="BX119" s="5">
        <f>+BV119-'Gen Fd BS'!AI119+BT119</f>
        <v>0</v>
      </c>
    </row>
    <row r="120" spans="1:76">
      <c r="A120" s="9" t="s">
        <v>648</v>
      </c>
      <c r="B120" s="9"/>
      <c r="C120" s="9" t="s">
        <v>112</v>
      </c>
      <c r="D120" s="9"/>
      <c r="E120" s="23">
        <v>46326</v>
      </c>
      <c r="G120" s="42">
        <v>6736862</v>
      </c>
      <c r="I120" s="42">
        <v>1705014</v>
      </c>
      <c r="K120" s="42">
        <v>0</v>
      </c>
      <c r="M120" s="42">
        <v>0</v>
      </c>
      <c r="O120" s="42">
        <v>460914</v>
      </c>
      <c r="Q120" s="42">
        <v>664803</v>
      </c>
      <c r="S120" s="42">
        <v>629116</v>
      </c>
      <c r="U120" s="42">
        <v>76159</v>
      </c>
      <c r="W120" s="42">
        <v>923781</v>
      </c>
      <c r="Y120" s="42">
        <v>499184</v>
      </c>
      <c r="AA120" s="42">
        <v>55922</v>
      </c>
      <c r="AC120" s="42">
        <v>1051882</v>
      </c>
      <c r="AE120" s="42">
        <v>1889533</v>
      </c>
      <c r="AG120" s="42">
        <v>166373</v>
      </c>
      <c r="AI120" s="42">
        <v>0</v>
      </c>
      <c r="AK120" s="42">
        <f>18809+500</f>
        <v>19309</v>
      </c>
      <c r="AL120" s="9" t="s">
        <v>648</v>
      </c>
      <c r="AM120" s="9"/>
      <c r="AN120" s="9" t="s">
        <v>112</v>
      </c>
      <c r="AP120" s="42">
        <v>0</v>
      </c>
      <c r="AR120" s="42">
        <v>0</v>
      </c>
      <c r="AV120" s="42">
        <v>0</v>
      </c>
      <c r="AX120" s="42">
        <v>0</v>
      </c>
      <c r="AZ120" s="42">
        <v>0</v>
      </c>
      <c r="BB120" s="42">
        <f t="shared" si="33"/>
        <v>14878852</v>
      </c>
      <c r="BD120" s="42">
        <v>386000</v>
      </c>
      <c r="BF120" s="42">
        <v>0</v>
      </c>
      <c r="BH120" s="42">
        <v>0</v>
      </c>
      <c r="BJ120" s="42">
        <v>0</v>
      </c>
      <c r="BL120" s="42">
        <f t="shared" si="29"/>
        <v>15264852</v>
      </c>
      <c r="BN120" s="42">
        <f>+'Gen Fd Rev'!AM120-'Gen Fd Exp'!BL120</f>
        <v>277045</v>
      </c>
      <c r="BP120" s="42">
        <v>973518</v>
      </c>
      <c r="BR120" s="42">
        <v>0</v>
      </c>
      <c r="BT120" s="42">
        <v>0</v>
      </c>
      <c r="BV120" s="42">
        <f t="shared" si="34"/>
        <v>1250563</v>
      </c>
      <c r="BX120" s="5">
        <f>+BV120-'Gen Fd BS'!AI120+BT120</f>
        <v>0</v>
      </c>
    </row>
    <row r="121" spans="1:76">
      <c r="A121" s="9" t="s">
        <v>646</v>
      </c>
      <c r="B121" s="9"/>
      <c r="C121" s="9" t="s">
        <v>20</v>
      </c>
      <c r="D121" s="9"/>
      <c r="E121" s="23">
        <v>43794</v>
      </c>
      <c r="G121" s="42">
        <v>41241465</v>
      </c>
      <c r="I121" s="42">
        <v>10863443</v>
      </c>
      <c r="K121" s="42">
        <v>1844290</v>
      </c>
      <c r="M121" s="42">
        <v>0</v>
      </c>
      <c r="O121" s="42">
        <v>8260680</v>
      </c>
      <c r="Q121" s="42">
        <v>8887479</v>
      </c>
      <c r="S121" s="42">
        <v>4405911</v>
      </c>
      <c r="U121" s="42">
        <v>584645</v>
      </c>
      <c r="W121" s="42">
        <v>5352271</v>
      </c>
      <c r="Y121" s="42">
        <v>2750628</v>
      </c>
      <c r="AA121" s="42">
        <v>486832</v>
      </c>
      <c r="AC121" s="42">
        <v>11072551</v>
      </c>
      <c r="AE121" s="42">
        <v>4303341</v>
      </c>
      <c r="AG121" s="42">
        <v>4286195</v>
      </c>
      <c r="AI121" s="42">
        <v>8230</v>
      </c>
      <c r="AK121" s="42">
        <f>265+119014</f>
        <v>119279</v>
      </c>
      <c r="AL121" s="9" t="s">
        <v>646</v>
      </c>
      <c r="AM121" s="9"/>
      <c r="AN121" s="9" t="s">
        <v>20</v>
      </c>
      <c r="AP121" s="42">
        <v>1483614</v>
      </c>
      <c r="AR121" s="42">
        <v>0</v>
      </c>
      <c r="AV121" s="42">
        <v>527177</v>
      </c>
      <c r="AX121" s="42">
        <v>28373</v>
      </c>
      <c r="AZ121" s="42">
        <v>0</v>
      </c>
      <c r="BB121" s="42">
        <f t="shared" si="33"/>
        <v>106506404</v>
      </c>
      <c r="BD121" s="42">
        <v>611872</v>
      </c>
      <c r="BF121" s="42">
        <v>0</v>
      </c>
      <c r="BH121" s="42">
        <v>0</v>
      </c>
      <c r="BJ121" s="42">
        <v>0</v>
      </c>
      <c r="BL121" s="42">
        <f t="shared" si="29"/>
        <v>107118276</v>
      </c>
      <c r="BN121" s="42">
        <f>+'Gen Fd Rev'!AM121-'Gen Fd Exp'!BL121</f>
        <v>-2986752</v>
      </c>
      <c r="BP121" s="42">
        <v>45570736</v>
      </c>
      <c r="BR121" s="42">
        <v>0</v>
      </c>
      <c r="BT121" s="42">
        <v>0</v>
      </c>
      <c r="BV121" s="42">
        <f t="shared" si="34"/>
        <v>42583984</v>
      </c>
      <c r="BX121" s="5">
        <f>+BV121-'Gen Fd BS'!AI121+BT121</f>
        <v>0</v>
      </c>
    </row>
    <row r="122" spans="1:76">
      <c r="A122" s="9" t="s">
        <v>263</v>
      </c>
      <c r="B122" s="9"/>
      <c r="C122" s="9" t="s">
        <v>20</v>
      </c>
      <c r="D122" s="9"/>
      <c r="E122" s="23">
        <v>43786</v>
      </c>
      <c r="G122" s="42">
        <v>291211445</v>
      </c>
      <c r="I122" s="42">
        <v>128964285</v>
      </c>
      <c r="K122" s="42">
        <v>11376145</v>
      </c>
      <c r="M122" s="42">
        <v>108929</v>
      </c>
      <c r="O122" s="42">
        <v>655084</v>
      </c>
      <c r="Q122" s="42">
        <v>29049543</v>
      </c>
      <c r="S122" s="42">
        <v>18895772</v>
      </c>
      <c r="U122" s="42">
        <v>273980</v>
      </c>
      <c r="W122" s="42">
        <v>32206827</v>
      </c>
      <c r="Y122" s="42">
        <v>10954757</v>
      </c>
      <c r="AA122" s="42">
        <v>2013062</v>
      </c>
      <c r="AC122" s="42">
        <v>51182587</v>
      </c>
      <c r="AE122" s="42">
        <v>27263027</v>
      </c>
      <c r="AG122" s="42">
        <v>19729546</v>
      </c>
      <c r="AI122" s="42">
        <v>0</v>
      </c>
      <c r="AK122" s="42">
        <v>1157712</v>
      </c>
      <c r="AL122" s="9" t="s">
        <v>263</v>
      </c>
      <c r="AM122" s="9"/>
      <c r="AN122" s="9" t="s">
        <v>20</v>
      </c>
      <c r="AP122" s="42">
        <v>6324273</v>
      </c>
      <c r="AR122" s="42">
        <v>4448</v>
      </c>
      <c r="AV122" s="42">
        <v>915914</v>
      </c>
      <c r="AX122" s="42">
        <v>321086</v>
      </c>
      <c r="AZ122" s="42">
        <v>0</v>
      </c>
      <c r="BB122" s="42">
        <f t="shared" si="33"/>
        <v>632608422</v>
      </c>
      <c r="BD122" s="42">
        <v>944394</v>
      </c>
      <c r="BF122" s="42">
        <v>0</v>
      </c>
      <c r="BH122" s="42">
        <v>0</v>
      </c>
      <c r="BJ122" s="42">
        <v>0</v>
      </c>
      <c r="BL122" s="42">
        <f t="shared" si="29"/>
        <v>633552816</v>
      </c>
      <c r="BN122" s="42">
        <f>+'Gen Fd Rev'!AM122-'Gen Fd Exp'!BL122</f>
        <v>28356843</v>
      </c>
      <c r="BP122" s="42">
        <v>15179194</v>
      </c>
      <c r="BR122" s="42">
        <v>0</v>
      </c>
      <c r="BT122" s="42">
        <v>0</v>
      </c>
      <c r="BV122" s="42">
        <f t="shared" si="34"/>
        <v>43536037</v>
      </c>
      <c r="BX122" s="5">
        <f>+BV122-'Gen Fd BS'!AI122+BT122</f>
        <v>0</v>
      </c>
    </row>
    <row r="123" spans="1:76">
      <c r="A123" s="9" t="s">
        <v>241</v>
      </c>
      <c r="B123" s="9"/>
      <c r="C123" s="9" t="s">
        <v>18</v>
      </c>
      <c r="D123" s="9"/>
      <c r="E123" s="23">
        <v>46391</v>
      </c>
      <c r="F123" s="7"/>
      <c r="G123" s="42">
        <v>7589093</v>
      </c>
      <c r="I123" s="42">
        <v>896566</v>
      </c>
      <c r="K123" s="42">
        <v>0</v>
      </c>
      <c r="M123" s="42">
        <v>0</v>
      </c>
      <c r="O123" s="42">
        <v>984550</v>
      </c>
      <c r="Q123" s="42">
        <v>884299</v>
      </c>
      <c r="S123" s="42">
        <v>844882</v>
      </c>
      <c r="U123" s="42">
        <v>0</v>
      </c>
      <c r="W123" s="42">
        <f>28674+1070230</f>
        <v>1098904</v>
      </c>
      <c r="Y123" s="42">
        <v>373585</v>
      </c>
      <c r="AA123" s="42">
        <v>0</v>
      </c>
      <c r="AC123" s="42">
        <v>1462638</v>
      </c>
      <c r="AE123" s="42">
        <v>1005396</v>
      </c>
      <c r="AG123" s="42">
        <v>3916</v>
      </c>
      <c r="AI123" s="42">
        <v>0</v>
      </c>
      <c r="AK123" s="42">
        <v>1383</v>
      </c>
      <c r="AL123" s="9" t="s">
        <v>241</v>
      </c>
      <c r="AM123" s="9"/>
      <c r="AN123" s="9" t="s">
        <v>18</v>
      </c>
      <c r="AP123" s="42">
        <v>410297</v>
      </c>
      <c r="AR123" s="42">
        <v>785391</v>
      </c>
      <c r="AV123" s="42">
        <v>280114</v>
      </c>
      <c r="AX123" s="42">
        <v>82608</v>
      </c>
      <c r="AZ123" s="42">
        <v>0</v>
      </c>
      <c r="BB123" s="42">
        <f t="shared" si="33"/>
        <v>16703622</v>
      </c>
      <c r="BD123" s="42">
        <v>84569</v>
      </c>
      <c r="BF123" s="42">
        <v>0</v>
      </c>
      <c r="BH123" s="42">
        <v>0</v>
      </c>
      <c r="BJ123" s="42">
        <v>0</v>
      </c>
      <c r="BL123" s="42">
        <f t="shared" si="29"/>
        <v>16788191</v>
      </c>
      <c r="BN123" s="42">
        <f>+'Gen Fd Rev'!AM123-'Gen Fd Exp'!BL123</f>
        <v>-215461</v>
      </c>
      <c r="BP123" s="42">
        <v>2389580</v>
      </c>
      <c r="BR123" s="42">
        <v>0</v>
      </c>
      <c r="BT123" s="42">
        <v>0</v>
      </c>
      <c r="BV123" s="42">
        <f t="shared" si="34"/>
        <v>2174119</v>
      </c>
      <c r="BX123" s="5">
        <f>+BV123-'Gen Fd BS'!AI123+BT123</f>
        <v>0</v>
      </c>
    </row>
    <row r="124" spans="1:76">
      <c r="A124" s="9" t="s">
        <v>413</v>
      </c>
      <c r="B124" s="9"/>
      <c r="C124" s="9" t="s">
        <v>47</v>
      </c>
      <c r="D124" s="9"/>
      <c r="E124" s="23">
        <v>48488</v>
      </c>
      <c r="G124" s="42">
        <v>10646657</v>
      </c>
      <c r="I124" s="42">
        <v>1762118</v>
      </c>
      <c r="K124" s="42">
        <v>45452</v>
      </c>
      <c r="M124" s="42">
        <v>0</v>
      </c>
      <c r="O124" s="42">
        <v>1774663</v>
      </c>
      <c r="Q124" s="42">
        <v>1336669</v>
      </c>
      <c r="S124" s="42">
        <v>1676801</v>
      </c>
      <c r="U124" s="42">
        <v>33135</v>
      </c>
      <c r="W124" s="42">
        <v>1448679</v>
      </c>
      <c r="Y124" s="42">
        <v>509659</v>
      </c>
      <c r="AA124" s="42">
        <v>252503</v>
      </c>
      <c r="AC124" s="42">
        <v>1874162</v>
      </c>
      <c r="AE124" s="42">
        <v>1905093</v>
      </c>
      <c r="AG124" s="42">
        <v>327521</v>
      </c>
      <c r="AI124" s="42">
        <v>0</v>
      </c>
      <c r="AK124" s="42">
        <v>335721</v>
      </c>
      <c r="AL124" s="9" t="s">
        <v>413</v>
      </c>
      <c r="AM124" s="9"/>
      <c r="AN124" s="9" t="s">
        <v>47</v>
      </c>
      <c r="AP124" s="42">
        <v>524433</v>
      </c>
      <c r="AR124" s="42">
        <v>0</v>
      </c>
      <c r="AV124" s="42">
        <v>0</v>
      </c>
      <c r="AX124" s="42">
        <v>0</v>
      </c>
      <c r="AZ124" s="42">
        <v>0</v>
      </c>
      <c r="BB124" s="42">
        <f t="shared" si="33"/>
        <v>24453266</v>
      </c>
      <c r="BD124" s="42">
        <v>73046</v>
      </c>
      <c r="BF124" s="42">
        <v>0</v>
      </c>
      <c r="BH124" s="42">
        <v>0</v>
      </c>
      <c r="BJ124" s="42">
        <v>0</v>
      </c>
      <c r="BL124" s="42">
        <f t="shared" ref="BL124:BL155" si="35">+BB124+BD124+BF124+BJ124</f>
        <v>24526312</v>
      </c>
      <c r="BN124" s="42">
        <f>+'Gen Fd Rev'!AM124-'Gen Fd Exp'!BL124</f>
        <v>1688628</v>
      </c>
      <c r="BP124" s="42">
        <v>-109738</v>
      </c>
      <c r="BR124" s="42">
        <v>0</v>
      </c>
      <c r="BT124" s="42">
        <v>0</v>
      </c>
      <c r="BV124" s="42">
        <f t="shared" si="34"/>
        <v>1578890</v>
      </c>
      <c r="BX124" s="5">
        <f>+BV124-'Gen Fd BS'!AI124+BT124</f>
        <v>0</v>
      </c>
    </row>
    <row r="125" spans="1:76">
      <c r="A125" s="9" t="s">
        <v>750</v>
      </c>
      <c r="B125" s="9"/>
      <c r="C125" s="9" t="s">
        <v>79</v>
      </c>
      <c r="D125" s="9"/>
      <c r="E125" s="23">
        <v>45302</v>
      </c>
      <c r="G125" s="42">
        <v>8608987</v>
      </c>
      <c r="I125" s="42">
        <v>1634133</v>
      </c>
      <c r="K125" s="42">
        <v>18917</v>
      </c>
      <c r="M125" s="42">
        <v>0</v>
      </c>
      <c r="O125" s="42">
        <v>800305</v>
      </c>
      <c r="Q125" s="42">
        <v>1470994</v>
      </c>
      <c r="S125" s="42">
        <v>493450</v>
      </c>
      <c r="U125" s="42">
        <v>25891</v>
      </c>
      <c r="W125" s="42">
        <v>1430324</v>
      </c>
      <c r="Y125" s="42">
        <v>499488</v>
      </c>
      <c r="AA125" s="42">
        <v>9368</v>
      </c>
      <c r="AC125" s="42">
        <v>1639604</v>
      </c>
      <c r="AE125" s="42">
        <v>1088077</v>
      </c>
      <c r="AG125" s="42">
        <v>50669</v>
      </c>
      <c r="AI125" s="42">
        <v>0</v>
      </c>
      <c r="AK125" s="42">
        <v>305932</v>
      </c>
      <c r="AL125" s="9" t="s">
        <v>750</v>
      </c>
      <c r="AM125" s="9"/>
      <c r="AN125" s="9" t="s">
        <v>79</v>
      </c>
      <c r="AP125" s="42">
        <v>371264</v>
      </c>
      <c r="AR125" s="42">
        <v>0</v>
      </c>
      <c r="AV125" s="42">
        <v>0</v>
      </c>
      <c r="AX125" s="42">
        <v>0</v>
      </c>
      <c r="AZ125" s="42">
        <v>0</v>
      </c>
      <c r="BB125" s="42">
        <f t="shared" si="33"/>
        <v>18447403</v>
      </c>
      <c r="BD125" s="42">
        <v>1727902</v>
      </c>
      <c r="BF125" s="42">
        <v>0</v>
      </c>
      <c r="BH125" s="42">
        <v>0</v>
      </c>
      <c r="BJ125" s="42">
        <v>0</v>
      </c>
      <c r="BL125" s="42">
        <f t="shared" si="35"/>
        <v>20175305</v>
      </c>
      <c r="BN125" s="42">
        <f>+'Gen Fd Rev'!AM125-'Gen Fd Exp'!BL125</f>
        <v>176764</v>
      </c>
      <c r="BP125" s="42">
        <v>2312402</v>
      </c>
      <c r="BR125" s="42">
        <v>18697</v>
      </c>
      <c r="BT125" s="42">
        <v>0</v>
      </c>
      <c r="BV125" s="42">
        <f t="shared" si="34"/>
        <v>2470469</v>
      </c>
      <c r="BX125" s="5">
        <f>+BV125-'Gen Fd BS'!AI125+BT125</f>
        <v>0</v>
      </c>
    </row>
    <row r="126" spans="1:76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v>0</v>
      </c>
      <c r="I126" s="42">
        <v>0</v>
      </c>
      <c r="K126" s="42">
        <v>0</v>
      </c>
      <c r="M126" s="42">
        <v>0</v>
      </c>
      <c r="O126" s="42">
        <v>0</v>
      </c>
      <c r="Q126" s="42">
        <v>0</v>
      </c>
      <c r="S126" s="42">
        <v>0</v>
      </c>
      <c r="U126" s="42">
        <v>0</v>
      </c>
      <c r="W126" s="42">
        <v>0</v>
      </c>
      <c r="Y126" s="42">
        <v>0</v>
      </c>
      <c r="AA126" s="42">
        <v>0</v>
      </c>
      <c r="AC126" s="42">
        <v>0</v>
      </c>
      <c r="AE126" s="42">
        <v>0</v>
      </c>
      <c r="AG126" s="42">
        <v>0</v>
      </c>
      <c r="AI126" s="42">
        <v>0</v>
      </c>
      <c r="AK126" s="42">
        <v>0</v>
      </c>
      <c r="AL126" s="9" t="s">
        <v>649</v>
      </c>
      <c r="AM126" s="9"/>
      <c r="AN126" s="9" t="s">
        <v>419</v>
      </c>
      <c r="AP126" s="42">
        <v>0</v>
      </c>
      <c r="AR126" s="42">
        <v>0</v>
      </c>
      <c r="AV126" s="42">
        <v>0</v>
      </c>
      <c r="AX126" s="42">
        <v>0</v>
      </c>
      <c r="AZ126" s="42">
        <v>0</v>
      </c>
      <c r="BB126" s="42">
        <f t="shared" si="33"/>
        <v>0</v>
      </c>
      <c r="BD126" s="42">
        <v>0</v>
      </c>
      <c r="BF126" s="42">
        <v>0</v>
      </c>
      <c r="BH126" s="42">
        <v>0</v>
      </c>
      <c r="BJ126" s="42">
        <v>0</v>
      </c>
      <c r="BL126" s="42">
        <f t="shared" si="35"/>
        <v>0</v>
      </c>
      <c r="BN126" s="42">
        <f>+'Gen Fd Rev'!AM126-'Gen Fd Exp'!BL126</f>
        <v>0</v>
      </c>
      <c r="BP126" s="42">
        <v>0</v>
      </c>
      <c r="BR126" s="42">
        <v>0</v>
      </c>
      <c r="BT126" s="42">
        <v>0</v>
      </c>
      <c r="BV126" s="42">
        <f t="shared" si="34"/>
        <v>0</v>
      </c>
      <c r="BX126" s="5">
        <f>+BV126-'Gen Fd BS'!AI126+BT126</f>
        <v>0</v>
      </c>
    </row>
    <row r="127" spans="1:76" hidden="1">
      <c r="A127" s="9" t="s">
        <v>605</v>
      </c>
      <c r="B127" s="9"/>
      <c r="C127" s="9" t="s">
        <v>57</v>
      </c>
      <c r="D127" s="9"/>
      <c r="E127" s="23">
        <v>64964</v>
      </c>
      <c r="G127" s="42">
        <v>0</v>
      </c>
      <c r="I127" s="42">
        <v>0</v>
      </c>
      <c r="K127" s="42">
        <v>0</v>
      </c>
      <c r="M127" s="42">
        <v>0</v>
      </c>
      <c r="O127" s="42">
        <v>0</v>
      </c>
      <c r="Q127" s="42">
        <v>0</v>
      </c>
      <c r="S127" s="42">
        <v>0</v>
      </c>
      <c r="U127" s="42">
        <v>0</v>
      </c>
      <c r="W127" s="42">
        <v>0</v>
      </c>
      <c r="Y127" s="42">
        <v>0</v>
      </c>
      <c r="AA127" s="42">
        <v>0</v>
      </c>
      <c r="AC127" s="42">
        <v>0</v>
      </c>
      <c r="AE127" s="42">
        <v>0</v>
      </c>
      <c r="AG127" s="42">
        <v>0</v>
      </c>
      <c r="AI127" s="42">
        <v>0</v>
      </c>
      <c r="AK127" s="42">
        <v>0</v>
      </c>
      <c r="AL127" s="9" t="s">
        <v>605</v>
      </c>
      <c r="AM127" s="9"/>
      <c r="AN127" s="9" t="s">
        <v>57</v>
      </c>
      <c r="AP127" s="42">
        <v>0</v>
      </c>
      <c r="AR127" s="42">
        <v>0</v>
      </c>
      <c r="AV127" s="42">
        <v>0</v>
      </c>
      <c r="AX127" s="42">
        <v>0</v>
      </c>
      <c r="AZ127" s="42">
        <v>0</v>
      </c>
      <c r="BB127" s="42">
        <f t="shared" si="33"/>
        <v>0</v>
      </c>
      <c r="BD127" s="42">
        <v>0</v>
      </c>
      <c r="BF127" s="42">
        <v>0</v>
      </c>
      <c r="BH127" s="42">
        <v>0</v>
      </c>
      <c r="BJ127" s="42">
        <v>0</v>
      </c>
      <c r="BL127" s="42">
        <f t="shared" si="35"/>
        <v>0</v>
      </c>
      <c r="BN127" s="42">
        <f>+'Gen Fd Rev'!AM127-'Gen Fd Exp'!BL127</f>
        <v>0</v>
      </c>
      <c r="BP127" s="42">
        <v>0</v>
      </c>
      <c r="BR127" s="42">
        <v>0</v>
      </c>
      <c r="BT127" s="42">
        <v>0</v>
      </c>
      <c r="BV127" s="42">
        <f t="shared" si="34"/>
        <v>0</v>
      </c>
      <c r="BX127" s="5">
        <f>+BV127-'Gen Fd BS'!AI127+BT127</f>
        <v>0</v>
      </c>
    </row>
    <row r="128" spans="1:76">
      <c r="A128" s="9" t="s">
        <v>256</v>
      </c>
      <c r="B128" s="9"/>
      <c r="C128" s="9" t="s">
        <v>110</v>
      </c>
      <c r="D128" s="9"/>
      <c r="E128" s="23">
        <v>46516</v>
      </c>
      <c r="G128" s="42">
        <v>4190694</v>
      </c>
      <c r="I128" s="42">
        <v>1010190</v>
      </c>
      <c r="K128" s="42">
        <v>27279</v>
      </c>
      <c r="M128" s="42">
        <v>0</v>
      </c>
      <c r="O128" s="42">
        <v>1105</v>
      </c>
      <c r="Q128" s="42">
        <v>686840</v>
      </c>
      <c r="S128" s="42">
        <v>253132</v>
      </c>
      <c r="U128" s="42">
        <v>24593</v>
      </c>
      <c r="W128" s="42">
        <v>713896</v>
      </c>
      <c r="Y128" s="42">
        <v>311256</v>
      </c>
      <c r="AA128" s="42">
        <v>1511</v>
      </c>
      <c r="AC128" s="42">
        <v>986056</v>
      </c>
      <c r="AE128" s="42">
        <v>638927</v>
      </c>
      <c r="AG128" s="42">
        <v>54079</v>
      </c>
      <c r="AI128" s="42">
        <v>0</v>
      </c>
      <c r="AK128" s="42">
        <v>52781</v>
      </c>
      <c r="AL128" s="9" t="s">
        <v>256</v>
      </c>
      <c r="AM128" s="9"/>
      <c r="AN128" s="9" t="s">
        <v>110</v>
      </c>
      <c r="AP128" s="42">
        <v>310695</v>
      </c>
      <c r="AR128" s="42">
        <f>34696+75666</f>
        <v>110362</v>
      </c>
      <c r="AV128" s="42">
        <v>28343</v>
      </c>
      <c r="AX128" s="42">
        <v>5178</v>
      </c>
      <c r="AZ128" s="42">
        <v>0</v>
      </c>
      <c r="BB128" s="42">
        <f t="shared" si="33"/>
        <v>9406917</v>
      </c>
      <c r="BD128" s="42">
        <v>0</v>
      </c>
      <c r="BF128" s="42">
        <v>0</v>
      </c>
      <c r="BH128" s="42">
        <v>0</v>
      </c>
      <c r="BJ128" s="42">
        <v>0</v>
      </c>
      <c r="BL128" s="42">
        <f t="shared" si="35"/>
        <v>9406917</v>
      </c>
      <c r="BN128" s="42">
        <f>+'Gen Fd Rev'!AM128-'Gen Fd Exp'!BL128</f>
        <v>-414431</v>
      </c>
      <c r="BP128" s="42">
        <v>2056062</v>
      </c>
      <c r="BR128" s="42">
        <v>0</v>
      </c>
      <c r="BT128" s="42">
        <v>0</v>
      </c>
      <c r="BV128" s="42">
        <f t="shared" si="34"/>
        <v>1641631</v>
      </c>
      <c r="BX128" s="5">
        <f>+BV128-'Gen Fd BS'!AI128+BT128</f>
        <v>0</v>
      </c>
    </row>
    <row r="129" spans="1:76">
      <c r="A129" s="9" t="s">
        <v>380</v>
      </c>
      <c r="B129" s="9"/>
      <c r="C129" s="9" t="s">
        <v>44</v>
      </c>
      <c r="D129" s="9"/>
      <c r="E129" s="23">
        <v>48140</v>
      </c>
      <c r="G129" s="42">
        <v>4359595</v>
      </c>
      <c r="I129" s="42">
        <v>860288</v>
      </c>
      <c r="K129" s="42">
        <v>167524</v>
      </c>
      <c r="M129" s="42">
        <v>0</v>
      </c>
      <c r="O129" s="42">
        <v>391710</v>
      </c>
      <c r="Q129" s="42">
        <v>455492</v>
      </c>
      <c r="S129" s="42">
        <v>442241</v>
      </c>
      <c r="U129" s="42">
        <v>16859</v>
      </c>
      <c r="W129" s="42">
        <v>924643</v>
      </c>
      <c r="Y129" s="42">
        <v>372286</v>
      </c>
      <c r="AA129" s="42">
        <v>0</v>
      </c>
      <c r="AC129" s="42">
        <v>886158</v>
      </c>
      <c r="AE129" s="42">
        <v>658516</v>
      </c>
      <c r="AG129" s="42">
        <v>108483</v>
      </c>
      <c r="AI129" s="42">
        <v>0</v>
      </c>
      <c r="AK129" s="42">
        <v>0</v>
      </c>
      <c r="AL129" s="9" t="s">
        <v>380</v>
      </c>
      <c r="AM129" s="9"/>
      <c r="AN129" s="9" t="s">
        <v>44</v>
      </c>
      <c r="AP129" s="42">
        <v>362678</v>
      </c>
      <c r="AR129" s="42">
        <v>24610</v>
      </c>
      <c r="AV129" s="42">
        <v>27017</v>
      </c>
      <c r="AX129" s="42">
        <v>6606</v>
      </c>
      <c r="AZ129" s="42">
        <v>0</v>
      </c>
      <c r="BB129" s="42">
        <f t="shared" si="33"/>
        <v>10064706</v>
      </c>
      <c r="BD129" s="42">
        <v>77675</v>
      </c>
      <c r="BF129" s="42">
        <v>0</v>
      </c>
      <c r="BH129" s="42">
        <v>0</v>
      </c>
      <c r="BJ129" s="42">
        <v>0</v>
      </c>
      <c r="BL129" s="42">
        <f t="shared" si="35"/>
        <v>10142381</v>
      </c>
      <c r="BN129" s="42">
        <f>+'Gen Fd Rev'!AM129-'Gen Fd Exp'!BL129</f>
        <v>126531</v>
      </c>
      <c r="BP129" s="42">
        <v>-392853</v>
      </c>
      <c r="BR129" s="42">
        <v>0</v>
      </c>
      <c r="BT129" s="42">
        <v>0</v>
      </c>
      <c r="BV129" s="42">
        <f t="shared" si="34"/>
        <v>-266322</v>
      </c>
      <c r="BX129" s="5">
        <f>+BV129-'Gen Fd BS'!AI129+BT129</f>
        <v>0</v>
      </c>
    </row>
    <row r="130" spans="1:76">
      <c r="A130" s="9" t="s">
        <v>751</v>
      </c>
      <c r="B130" s="9"/>
      <c r="C130" s="9" t="s">
        <v>111</v>
      </c>
      <c r="D130" s="9"/>
      <c r="E130" s="23">
        <v>45328</v>
      </c>
      <c r="F130" s="7"/>
      <c r="G130" s="42">
        <v>4368235</v>
      </c>
      <c r="I130" s="42">
        <v>881963</v>
      </c>
      <c r="K130" s="42">
        <v>19271</v>
      </c>
      <c r="M130" s="42">
        <v>0</v>
      </c>
      <c r="O130" s="42">
        <v>0</v>
      </c>
      <c r="Q130" s="42">
        <v>432301</v>
      </c>
      <c r="S130" s="42">
        <v>315784</v>
      </c>
      <c r="U130" s="42">
        <v>35375</v>
      </c>
      <c r="W130" s="42">
        <v>770652</v>
      </c>
      <c r="Y130" s="42">
        <v>337629</v>
      </c>
      <c r="AA130" s="42">
        <v>0</v>
      </c>
      <c r="AC130" s="42">
        <v>669224</v>
      </c>
      <c r="AE130" s="42">
        <v>734016</v>
      </c>
      <c r="AG130" s="42">
        <v>26141</v>
      </c>
      <c r="AI130" s="42">
        <v>0</v>
      </c>
      <c r="AK130" s="42">
        <v>0</v>
      </c>
      <c r="AL130" s="9" t="s">
        <v>751</v>
      </c>
      <c r="AM130" s="9"/>
      <c r="AN130" s="9" t="s">
        <v>111</v>
      </c>
      <c r="AP130" s="42">
        <v>198427</v>
      </c>
      <c r="AR130" s="42">
        <v>14250</v>
      </c>
      <c r="AV130" s="42">
        <v>64333</v>
      </c>
      <c r="AX130" s="42">
        <v>60313</v>
      </c>
      <c r="AZ130" s="42">
        <v>0</v>
      </c>
      <c r="BB130" s="42">
        <f t="shared" si="33"/>
        <v>8927914</v>
      </c>
      <c r="BD130" s="42">
        <v>0</v>
      </c>
      <c r="BF130" s="42">
        <v>0</v>
      </c>
      <c r="BH130" s="42">
        <v>0</v>
      </c>
      <c r="BJ130" s="42">
        <v>0</v>
      </c>
      <c r="BL130" s="42">
        <f t="shared" si="35"/>
        <v>8927914</v>
      </c>
      <c r="BN130" s="42">
        <f>+'Gen Fd Rev'!AM130-'Gen Fd Exp'!BL130</f>
        <v>337780</v>
      </c>
      <c r="BP130" s="42">
        <v>2312737</v>
      </c>
      <c r="BR130" s="42">
        <v>0</v>
      </c>
      <c r="BT130" s="42">
        <v>0</v>
      </c>
      <c r="BV130" s="42">
        <f t="shared" si="34"/>
        <v>2650517</v>
      </c>
      <c r="BX130" s="5">
        <f>+BV130-'Gen Fd BS'!AI130+BT130</f>
        <v>0</v>
      </c>
    </row>
    <row r="131" spans="1:76">
      <c r="A131" s="9" t="s">
        <v>299</v>
      </c>
      <c r="B131" s="9"/>
      <c r="C131" s="9" t="s">
        <v>27</v>
      </c>
      <c r="D131" s="9"/>
      <c r="E131" s="23">
        <v>43802</v>
      </c>
      <c r="G131" s="42">
        <v>353278312</v>
      </c>
      <c r="I131" s="42">
        <v>78630425</v>
      </c>
      <c r="K131" s="42">
        <v>5917175</v>
      </c>
      <c r="M131" s="42">
        <v>0</v>
      </c>
      <c r="O131" s="42">
        <v>2001484</v>
      </c>
      <c r="Q131" s="42">
        <v>50084993</v>
      </c>
      <c r="S131" s="42">
        <v>42986011</v>
      </c>
      <c r="U131" s="42">
        <v>124493</v>
      </c>
      <c r="W131" s="42">
        <v>44629841</v>
      </c>
      <c r="Y131" s="42">
        <v>8131658</v>
      </c>
      <c r="AA131" s="42">
        <v>3260162</v>
      </c>
      <c r="AC131" s="42">
        <v>56367359</v>
      </c>
      <c r="AE131" s="42">
        <v>54423891</v>
      </c>
      <c r="AG131" s="42">
        <v>6372220</v>
      </c>
      <c r="AI131" s="42">
        <v>0</v>
      </c>
      <c r="AK131" s="42">
        <v>1950</v>
      </c>
      <c r="AL131" s="9" t="s">
        <v>299</v>
      </c>
      <c r="AM131" s="9"/>
      <c r="AN131" s="9" t="s">
        <v>27</v>
      </c>
      <c r="AP131" s="42">
        <v>6891631</v>
      </c>
      <c r="AR131" s="42">
        <v>48393</v>
      </c>
      <c r="AV131" s="42">
        <v>0</v>
      </c>
      <c r="AX131" s="42">
        <v>0</v>
      </c>
      <c r="AZ131" s="42">
        <v>0</v>
      </c>
      <c r="BB131" s="42">
        <f t="shared" si="33"/>
        <v>713149998</v>
      </c>
      <c r="BD131" s="42">
        <v>7908363</v>
      </c>
      <c r="BF131" s="42">
        <v>0</v>
      </c>
      <c r="BH131" s="42">
        <v>0</v>
      </c>
      <c r="BJ131" s="42">
        <v>0</v>
      </c>
      <c r="BL131" s="42">
        <f t="shared" si="35"/>
        <v>721058361</v>
      </c>
      <c r="BN131" s="42">
        <f>+'Gen Fd Rev'!AM131-'Gen Fd Exp'!BL131</f>
        <v>-17129423</v>
      </c>
      <c r="BP131" s="42">
        <v>243240826</v>
      </c>
      <c r="BR131" s="42">
        <v>0</v>
      </c>
      <c r="BT131" s="42">
        <v>0</v>
      </c>
      <c r="BV131" s="42">
        <f t="shared" si="34"/>
        <v>226111403</v>
      </c>
      <c r="BX131" s="5">
        <f>+BV131-'Gen Fd BS'!AI131+BT131</f>
        <v>0</v>
      </c>
    </row>
    <row r="132" spans="1:76" hidden="1">
      <c r="A132" s="9" t="s">
        <v>606</v>
      </c>
      <c r="B132" s="9"/>
      <c r="C132" s="9" t="s">
        <v>464</v>
      </c>
      <c r="D132" s="9"/>
      <c r="E132" s="23">
        <v>49312</v>
      </c>
      <c r="G132" s="42">
        <v>0</v>
      </c>
      <c r="I132" s="42">
        <v>0</v>
      </c>
      <c r="K132" s="42">
        <v>0</v>
      </c>
      <c r="M132" s="42">
        <v>0</v>
      </c>
      <c r="O132" s="42">
        <v>0</v>
      </c>
      <c r="Q132" s="42">
        <v>0</v>
      </c>
      <c r="S132" s="42">
        <v>0</v>
      </c>
      <c r="U132" s="42">
        <v>0</v>
      </c>
      <c r="W132" s="42">
        <v>0</v>
      </c>
      <c r="Y132" s="42">
        <v>0</v>
      </c>
      <c r="AA132" s="42">
        <v>0</v>
      </c>
      <c r="AC132" s="42">
        <v>0</v>
      </c>
      <c r="AE132" s="42">
        <v>0</v>
      </c>
      <c r="AG132" s="42">
        <v>0</v>
      </c>
      <c r="AI132" s="42">
        <v>0</v>
      </c>
      <c r="AK132" s="42">
        <v>0</v>
      </c>
      <c r="AL132" s="9" t="s">
        <v>606</v>
      </c>
      <c r="AM132" s="9"/>
      <c r="AN132" s="9" t="s">
        <v>464</v>
      </c>
      <c r="AP132" s="42">
        <v>0</v>
      </c>
      <c r="AR132" s="42">
        <v>0</v>
      </c>
      <c r="AV132" s="42">
        <v>0</v>
      </c>
      <c r="AX132" s="42">
        <v>0</v>
      </c>
      <c r="AZ132" s="42">
        <v>0</v>
      </c>
      <c r="BB132" s="42">
        <f t="shared" si="33"/>
        <v>0</v>
      </c>
      <c r="BD132" s="42">
        <v>0</v>
      </c>
      <c r="BF132" s="42">
        <v>0</v>
      </c>
      <c r="BH132" s="42">
        <v>0</v>
      </c>
      <c r="BJ132" s="42">
        <v>0</v>
      </c>
      <c r="BL132" s="42">
        <f t="shared" si="35"/>
        <v>0</v>
      </c>
      <c r="BN132" s="42">
        <f>+'Gen Fd Rev'!AM132-'Gen Fd Exp'!BL132</f>
        <v>0</v>
      </c>
      <c r="BP132" s="42">
        <v>0</v>
      </c>
      <c r="BR132" s="42">
        <v>0</v>
      </c>
      <c r="BT132" s="42">
        <v>0</v>
      </c>
      <c r="BV132" s="42">
        <f t="shared" si="34"/>
        <v>0</v>
      </c>
      <c r="BX132" s="5">
        <f>+BV132-'Gen Fd BS'!AI132+BT132</f>
        <v>0</v>
      </c>
    </row>
    <row r="133" spans="1:76">
      <c r="A133" s="9" t="s">
        <v>206</v>
      </c>
      <c r="B133" s="9"/>
      <c r="C133" s="9" t="s">
        <v>12</v>
      </c>
      <c r="D133" s="9"/>
      <c r="E133" s="23">
        <v>43810</v>
      </c>
      <c r="F133" s="7"/>
      <c r="G133" s="42">
        <v>6777079</v>
      </c>
      <c r="I133" s="42">
        <v>1512959</v>
      </c>
      <c r="K133" s="42">
        <v>64561</v>
      </c>
      <c r="M133" s="42">
        <v>0</v>
      </c>
      <c r="O133" s="42">
        <v>1254318</v>
      </c>
      <c r="Q133" s="42">
        <v>914942</v>
      </c>
      <c r="S133" s="42">
        <v>876130</v>
      </c>
      <c r="U133" s="42">
        <v>22807</v>
      </c>
      <c r="W133" s="42">
        <v>1617319</v>
      </c>
      <c r="Y133" s="42">
        <v>436033</v>
      </c>
      <c r="AA133" s="42">
        <v>0</v>
      </c>
      <c r="AC133" s="42">
        <v>1756253</v>
      </c>
      <c r="AE133" s="42">
        <v>701648</v>
      </c>
      <c r="AG133" s="42">
        <v>22893</v>
      </c>
      <c r="AI133" s="42">
        <v>0</v>
      </c>
      <c r="AK133" s="42">
        <v>0</v>
      </c>
      <c r="AL133" s="9" t="s">
        <v>206</v>
      </c>
      <c r="AM133" s="9"/>
      <c r="AN133" s="9" t="s">
        <v>12</v>
      </c>
      <c r="AP133" s="42">
        <v>245665</v>
      </c>
      <c r="AR133" s="42">
        <v>0</v>
      </c>
      <c r="AV133" s="42">
        <v>110000</v>
      </c>
      <c r="AX133" s="42">
        <v>7483</v>
      </c>
      <c r="AZ133" s="42">
        <v>0</v>
      </c>
      <c r="BB133" s="42">
        <f t="shared" si="33"/>
        <v>16320090</v>
      </c>
      <c r="BD133" s="42">
        <v>0</v>
      </c>
      <c r="BF133" s="42">
        <v>0</v>
      </c>
      <c r="BH133" s="42">
        <v>0</v>
      </c>
      <c r="BJ133" s="42">
        <v>0</v>
      </c>
      <c r="BL133" s="42">
        <f t="shared" si="35"/>
        <v>16320090</v>
      </c>
      <c r="BN133" s="42">
        <f>+'Gen Fd Rev'!AM133-'Gen Fd Exp'!BL133</f>
        <v>-782764</v>
      </c>
      <c r="BP133" s="42">
        <v>2745685</v>
      </c>
      <c r="BR133" s="42">
        <v>0</v>
      </c>
      <c r="BT133" s="42">
        <v>0</v>
      </c>
      <c r="BV133" s="42">
        <f t="shared" si="34"/>
        <v>1962921</v>
      </c>
      <c r="BX133" s="5">
        <f>+BV133-'Gen Fd BS'!AI133+BT133</f>
        <v>0</v>
      </c>
    </row>
    <row r="134" spans="1:76">
      <c r="A134" s="9" t="s">
        <v>340</v>
      </c>
      <c r="B134" s="9"/>
      <c r="C134" s="9" t="s">
        <v>341</v>
      </c>
      <c r="D134" s="9"/>
      <c r="E134" s="23">
        <v>47548</v>
      </c>
      <c r="G134" s="42">
        <v>2363410</v>
      </c>
      <c r="I134" s="42">
        <v>344227</v>
      </c>
      <c r="K134" s="42">
        <v>0</v>
      </c>
      <c r="M134" s="42">
        <v>0</v>
      </c>
      <c r="O134" s="42">
        <v>10086</v>
      </c>
      <c r="Q134" s="42">
        <v>190002</v>
      </c>
      <c r="S134" s="42">
        <v>137906</v>
      </c>
      <c r="U134" s="42">
        <v>15217</v>
      </c>
      <c r="W134" s="42">
        <v>521333</v>
      </c>
      <c r="Y134" s="42">
        <v>231354</v>
      </c>
      <c r="AA134" s="42">
        <v>0</v>
      </c>
      <c r="AC134" s="42">
        <v>469023</v>
      </c>
      <c r="AE134" s="42">
        <v>327490</v>
      </c>
      <c r="AG134" s="42">
        <v>9168</v>
      </c>
      <c r="AI134" s="42">
        <v>0</v>
      </c>
      <c r="AK134" s="42">
        <v>0</v>
      </c>
      <c r="AL134" s="9" t="s">
        <v>340</v>
      </c>
      <c r="AM134" s="9"/>
      <c r="AN134" s="9" t="s">
        <v>341</v>
      </c>
      <c r="AP134" s="42">
        <v>80905</v>
      </c>
      <c r="AR134" s="42">
        <v>0</v>
      </c>
      <c r="AV134" s="42">
        <v>14320</v>
      </c>
      <c r="AX134" s="42">
        <v>391</v>
      </c>
      <c r="AZ134" s="42">
        <v>0</v>
      </c>
      <c r="BB134" s="42">
        <f t="shared" si="33"/>
        <v>4714832</v>
      </c>
      <c r="BD134" s="42">
        <v>20000</v>
      </c>
      <c r="BF134" s="42">
        <v>0</v>
      </c>
      <c r="BH134" s="42">
        <v>0</v>
      </c>
      <c r="BJ134" s="42">
        <v>0</v>
      </c>
      <c r="BL134" s="42">
        <f t="shared" si="35"/>
        <v>4734832</v>
      </c>
      <c r="BN134" s="42">
        <f>+'Gen Fd Rev'!AM134-'Gen Fd Exp'!BL134</f>
        <v>176177</v>
      </c>
      <c r="BP134" s="42">
        <v>316971</v>
      </c>
      <c r="BR134" s="42">
        <v>0</v>
      </c>
      <c r="BT134" s="42">
        <v>0</v>
      </c>
      <c r="BV134" s="42">
        <f t="shared" si="34"/>
        <v>493148</v>
      </c>
      <c r="BX134" s="5">
        <f>+BV134-'Gen Fd BS'!AI134+BT134</f>
        <v>0</v>
      </c>
    </row>
    <row r="135" spans="1:76" hidden="1">
      <c r="A135" s="9" t="s">
        <v>671</v>
      </c>
      <c r="B135" s="9"/>
      <c r="C135" s="9" t="s">
        <v>464</v>
      </c>
      <c r="D135" s="9"/>
      <c r="E135" s="23">
        <v>49320</v>
      </c>
      <c r="G135" s="42">
        <v>0</v>
      </c>
      <c r="I135" s="42">
        <v>0</v>
      </c>
      <c r="K135" s="42">
        <v>0</v>
      </c>
      <c r="M135" s="42">
        <v>0</v>
      </c>
      <c r="O135" s="42">
        <v>0</v>
      </c>
      <c r="Q135" s="42">
        <v>0</v>
      </c>
      <c r="S135" s="42">
        <v>0</v>
      </c>
      <c r="U135" s="42">
        <v>0</v>
      </c>
      <c r="W135" s="42">
        <v>0</v>
      </c>
      <c r="Y135" s="42">
        <v>0</v>
      </c>
      <c r="AA135" s="42">
        <v>0</v>
      </c>
      <c r="AC135" s="42">
        <v>0</v>
      </c>
      <c r="AE135" s="42">
        <v>0</v>
      </c>
      <c r="AG135" s="42">
        <v>0</v>
      </c>
      <c r="AI135" s="42">
        <v>0</v>
      </c>
      <c r="AK135" s="42">
        <v>0</v>
      </c>
      <c r="AL135" s="9" t="s">
        <v>671</v>
      </c>
      <c r="AM135" s="9"/>
      <c r="AN135" s="9" t="s">
        <v>464</v>
      </c>
      <c r="AP135" s="42">
        <v>0</v>
      </c>
      <c r="AR135" s="42">
        <v>0</v>
      </c>
      <c r="AV135" s="42">
        <v>0</v>
      </c>
      <c r="AX135" s="42">
        <v>0</v>
      </c>
      <c r="AZ135" s="42">
        <v>0</v>
      </c>
      <c r="BB135" s="42">
        <f t="shared" si="33"/>
        <v>0</v>
      </c>
      <c r="BD135" s="42">
        <v>0</v>
      </c>
      <c r="BF135" s="42">
        <v>0</v>
      </c>
      <c r="BH135" s="42">
        <v>0</v>
      </c>
      <c r="BJ135" s="42">
        <v>0</v>
      </c>
      <c r="BL135" s="42">
        <f t="shared" si="35"/>
        <v>0</v>
      </c>
      <c r="BN135" s="42">
        <f>+'Gen Fd Rev'!AM135-'Gen Fd Exp'!BL135</f>
        <v>0</v>
      </c>
      <c r="BP135" s="42">
        <v>0</v>
      </c>
      <c r="BR135" s="42">
        <v>0</v>
      </c>
      <c r="BT135" s="42">
        <v>0</v>
      </c>
      <c r="BV135" s="42">
        <f t="shared" si="34"/>
        <v>0</v>
      </c>
      <c r="BX135" s="5">
        <f>+BV135-'Gen Fd BS'!AI135+BT135</f>
        <v>0</v>
      </c>
    </row>
    <row r="136" spans="1:76">
      <c r="A136" s="9" t="s">
        <v>504</v>
      </c>
      <c r="B136" s="9"/>
      <c r="C136" s="9" t="s">
        <v>63</v>
      </c>
      <c r="D136" s="9"/>
      <c r="E136" s="23">
        <v>49981</v>
      </c>
      <c r="G136" s="42">
        <v>15993026</v>
      </c>
      <c r="I136" s="42">
        <v>3412130</v>
      </c>
      <c r="K136" s="42">
        <v>587981</v>
      </c>
      <c r="M136" s="42">
        <v>0</v>
      </c>
      <c r="O136" s="42">
        <v>0</v>
      </c>
      <c r="Q136" s="42">
        <v>1802470</v>
      </c>
      <c r="S136" s="42">
        <v>656330</v>
      </c>
      <c r="U136" s="42">
        <v>133319</v>
      </c>
      <c r="W136" s="42">
        <v>1878333</v>
      </c>
      <c r="Y136" s="42">
        <v>1825869</v>
      </c>
      <c r="AA136" s="42">
        <v>137587</v>
      </c>
      <c r="AC136" s="42">
        <v>2945176</v>
      </c>
      <c r="AE136" s="42">
        <v>1563408</v>
      </c>
      <c r="AG136" s="42">
        <v>205870</v>
      </c>
      <c r="AI136" s="42">
        <v>0</v>
      </c>
      <c r="AK136" s="42">
        <v>77775</v>
      </c>
      <c r="AL136" s="9" t="s">
        <v>504</v>
      </c>
      <c r="AM136" s="9"/>
      <c r="AN136" s="9" t="s">
        <v>63</v>
      </c>
      <c r="AP136" s="42">
        <v>650614</v>
      </c>
      <c r="AR136" s="42">
        <v>10958</v>
      </c>
      <c r="AV136" s="42">
        <v>32211</v>
      </c>
      <c r="AX136" s="42">
        <v>6189</v>
      </c>
      <c r="AZ136" s="42">
        <v>0</v>
      </c>
      <c r="BB136" s="42">
        <f t="shared" si="33"/>
        <v>31919246</v>
      </c>
      <c r="BD136" s="42">
        <v>30000</v>
      </c>
      <c r="BF136" s="42">
        <v>0</v>
      </c>
      <c r="BH136" s="42">
        <v>0</v>
      </c>
      <c r="BJ136" s="42">
        <v>0</v>
      </c>
      <c r="BL136" s="42">
        <f t="shared" si="35"/>
        <v>31949246</v>
      </c>
      <c r="BN136" s="42">
        <f>+'Gen Fd Rev'!AM136-'Gen Fd Exp'!BL136</f>
        <v>6986</v>
      </c>
      <c r="BP136" s="42">
        <v>9725707</v>
      </c>
      <c r="BR136" s="42">
        <v>0</v>
      </c>
      <c r="BT136" s="42">
        <v>0</v>
      </c>
      <c r="BV136" s="42">
        <f t="shared" si="34"/>
        <v>9732693</v>
      </c>
      <c r="BX136" s="5">
        <f>+BV136-'Gen Fd BS'!AI136+BT136</f>
        <v>0</v>
      </c>
    </row>
    <row r="137" spans="1:76">
      <c r="A137" s="9" t="s">
        <v>334</v>
      </c>
      <c r="B137" s="9"/>
      <c r="C137" s="9" t="s">
        <v>33</v>
      </c>
      <c r="D137" s="9"/>
      <c r="E137" s="23">
        <v>47431</v>
      </c>
      <c r="G137" s="42">
        <v>3045538</v>
      </c>
      <c r="I137" s="42">
        <v>417297</v>
      </c>
      <c r="K137" s="42">
        <v>247682</v>
      </c>
      <c r="M137" s="42">
        <v>0</v>
      </c>
      <c r="O137" s="42">
        <v>0</v>
      </c>
      <c r="Q137" s="42">
        <v>259358</v>
      </c>
      <c r="S137" s="42">
        <v>272942</v>
      </c>
      <c r="U137" s="42">
        <v>37964</v>
      </c>
      <c r="W137" s="42">
        <v>929251</v>
      </c>
      <c r="Y137" s="42">
        <v>230494</v>
      </c>
      <c r="AA137" s="42">
        <v>0</v>
      </c>
      <c r="AC137" s="42">
        <v>631772</v>
      </c>
      <c r="AE137" s="42">
        <v>401977</v>
      </c>
      <c r="AG137" s="42">
        <v>8099</v>
      </c>
      <c r="AI137" s="42">
        <v>0</v>
      </c>
      <c r="AK137" s="42">
        <v>0</v>
      </c>
      <c r="AL137" s="9" t="s">
        <v>334</v>
      </c>
      <c r="AM137" s="9"/>
      <c r="AN137" s="9" t="s">
        <v>33</v>
      </c>
      <c r="AP137" s="42">
        <v>167872</v>
      </c>
      <c r="AR137" s="42">
        <v>0</v>
      </c>
      <c r="AV137" s="42">
        <v>14008</v>
      </c>
      <c r="AX137" s="42">
        <v>2001</v>
      </c>
      <c r="AZ137" s="42">
        <v>0</v>
      </c>
      <c r="BB137" s="42">
        <f t="shared" si="33"/>
        <v>6666255</v>
      </c>
      <c r="BD137" s="42">
        <v>20859</v>
      </c>
      <c r="BF137" s="42">
        <v>0</v>
      </c>
      <c r="BH137" s="42">
        <v>0</v>
      </c>
      <c r="BJ137" s="42">
        <v>0</v>
      </c>
      <c r="BL137" s="42">
        <f t="shared" si="35"/>
        <v>6687114</v>
      </c>
      <c r="BN137" s="42">
        <f>+'Gen Fd Rev'!AM137-'Gen Fd Exp'!BL137</f>
        <v>575622</v>
      </c>
      <c r="BP137" s="42">
        <v>407191</v>
      </c>
      <c r="BR137" s="42">
        <v>0</v>
      </c>
      <c r="BT137" s="42">
        <v>0</v>
      </c>
      <c r="BV137" s="42">
        <f t="shared" si="34"/>
        <v>982813</v>
      </c>
      <c r="BX137" s="5">
        <f>+BV137-'Gen Fd BS'!AI137+BT137</f>
        <v>0</v>
      </c>
    </row>
    <row r="138" spans="1:76">
      <c r="A138" s="9" t="s">
        <v>251</v>
      </c>
      <c r="B138" s="9"/>
      <c r="C138" s="9" t="s">
        <v>19</v>
      </c>
      <c r="D138" s="9"/>
      <c r="E138" s="23">
        <v>43828</v>
      </c>
      <c r="F138" s="7"/>
      <c r="G138" s="42">
        <v>10008310</v>
      </c>
      <c r="I138" s="42">
        <v>0</v>
      </c>
      <c r="K138" s="42">
        <v>0</v>
      </c>
      <c r="M138" s="42">
        <v>0</v>
      </c>
      <c r="O138" s="42">
        <v>0</v>
      </c>
      <c r="Q138" s="42">
        <v>711658</v>
      </c>
      <c r="S138" s="42">
        <v>459410</v>
      </c>
      <c r="U138" s="42">
        <v>56291</v>
      </c>
      <c r="W138" s="42">
        <v>1282287</v>
      </c>
      <c r="Y138" s="42">
        <v>436554</v>
      </c>
      <c r="AA138" s="42">
        <v>311807</v>
      </c>
      <c r="AC138" s="42">
        <v>1450645</v>
      </c>
      <c r="AE138" s="42">
        <v>350699</v>
      </c>
      <c r="AG138" s="42">
        <v>17199</v>
      </c>
      <c r="AI138" s="42">
        <v>0</v>
      </c>
      <c r="AK138" s="42">
        <v>16082</v>
      </c>
      <c r="AL138" s="9" t="s">
        <v>251</v>
      </c>
      <c r="AM138" s="9"/>
      <c r="AN138" s="9" t="s">
        <v>19</v>
      </c>
      <c r="AP138" s="42">
        <v>202012</v>
      </c>
      <c r="AR138" s="42">
        <v>0</v>
      </c>
      <c r="AV138" s="42">
        <v>0</v>
      </c>
      <c r="AX138" s="42">
        <v>0</v>
      </c>
      <c r="AZ138" s="42">
        <v>0</v>
      </c>
      <c r="BB138" s="42">
        <f t="shared" si="33"/>
        <v>15302954</v>
      </c>
      <c r="BD138" s="42">
        <v>30695</v>
      </c>
      <c r="BF138" s="42">
        <v>0</v>
      </c>
      <c r="BH138" s="42">
        <v>0</v>
      </c>
      <c r="BJ138" s="42">
        <v>42229</v>
      </c>
      <c r="BL138" s="42">
        <f t="shared" si="35"/>
        <v>15375878</v>
      </c>
      <c r="BN138" s="42">
        <f>+'Gen Fd Rev'!AM138-'Gen Fd Exp'!BL138</f>
        <v>-268218</v>
      </c>
      <c r="BP138" s="42">
        <v>1614253</v>
      </c>
      <c r="BR138" s="42">
        <v>0</v>
      </c>
      <c r="BT138" s="42">
        <v>0</v>
      </c>
      <c r="BV138" s="42">
        <f>+BP138+BN138-BR138</f>
        <v>1346035</v>
      </c>
      <c r="BX138" s="5">
        <f>+BV138-'Gen Fd BS'!AI138+BT138</f>
        <v>0</v>
      </c>
    </row>
    <row r="139" spans="1:76">
      <c r="A139" s="9" t="s">
        <v>599</v>
      </c>
      <c r="B139" s="9"/>
      <c r="C139" s="9" t="s">
        <v>63</v>
      </c>
      <c r="D139" s="9"/>
      <c r="E139" s="23">
        <v>49999</v>
      </c>
      <c r="F139" s="7"/>
      <c r="G139" s="42">
        <v>8735416</v>
      </c>
      <c r="I139" s="42">
        <v>2352333</v>
      </c>
      <c r="K139" s="42">
        <v>86508</v>
      </c>
      <c r="M139" s="42">
        <v>0</v>
      </c>
      <c r="O139" s="42">
        <v>730937</v>
      </c>
      <c r="Q139" s="42">
        <v>901209</v>
      </c>
      <c r="S139" s="42">
        <v>975440</v>
      </c>
      <c r="U139" s="42">
        <v>204069</v>
      </c>
      <c r="W139" s="42">
        <v>1482598</v>
      </c>
      <c r="Y139" s="42">
        <v>462555</v>
      </c>
      <c r="AA139" s="42">
        <v>58441</v>
      </c>
      <c r="AC139" s="42">
        <v>1946430</v>
      </c>
      <c r="AE139" s="42">
        <v>1363247</v>
      </c>
      <c r="AG139" s="42">
        <v>219247</v>
      </c>
      <c r="AI139" s="42">
        <v>0</v>
      </c>
      <c r="AK139" s="42">
        <v>14188</v>
      </c>
      <c r="AL139" s="9" t="s">
        <v>599</v>
      </c>
      <c r="AM139" s="9"/>
      <c r="AN139" s="9" t="s">
        <v>63</v>
      </c>
      <c r="AP139" s="42">
        <v>329790</v>
      </c>
      <c r="AR139" s="42">
        <v>247</v>
      </c>
      <c r="AV139" s="42">
        <v>300638</v>
      </c>
      <c r="AX139" s="42">
        <v>220762</v>
      </c>
      <c r="AZ139" s="42">
        <v>0</v>
      </c>
      <c r="BB139" s="42">
        <f t="shared" ref="BB139:BB161" si="36">SUM(G139:AZ139)</f>
        <v>20384055</v>
      </c>
      <c r="BD139" s="42">
        <v>247497</v>
      </c>
      <c r="BF139" s="42">
        <v>0</v>
      </c>
      <c r="BH139" s="42">
        <v>0</v>
      </c>
      <c r="BJ139" s="42">
        <v>0</v>
      </c>
      <c r="BL139" s="42">
        <f t="shared" si="35"/>
        <v>20631552</v>
      </c>
      <c r="BN139" s="42">
        <f>+'Gen Fd Rev'!AM139-'Gen Fd Exp'!BL139</f>
        <v>-1011527</v>
      </c>
      <c r="BP139" s="42">
        <v>-2605269</v>
      </c>
      <c r="BR139" s="42">
        <v>0</v>
      </c>
      <c r="BT139" s="42">
        <v>0</v>
      </c>
      <c r="BV139" s="42">
        <f t="shared" si="34"/>
        <v>-3616796</v>
      </c>
      <c r="BX139" s="5">
        <f>+BV139-'Gen Fd BS'!AI139+BT139</f>
        <v>0</v>
      </c>
    </row>
    <row r="140" spans="1:76">
      <c r="A140" s="9" t="s">
        <v>752</v>
      </c>
      <c r="B140" s="9"/>
      <c r="C140" s="9" t="s">
        <v>48</v>
      </c>
      <c r="D140" s="9"/>
      <c r="E140" s="23">
        <v>45336</v>
      </c>
      <c r="G140" s="42">
        <v>3271692</v>
      </c>
      <c r="I140" s="42">
        <v>788829</v>
      </c>
      <c r="K140" s="42">
        <v>0</v>
      </c>
      <c r="M140" s="42">
        <v>0</v>
      </c>
      <c r="O140" s="42">
        <v>3068</v>
      </c>
      <c r="Q140" s="42">
        <v>330921</v>
      </c>
      <c r="S140" s="42">
        <v>258236</v>
      </c>
      <c r="U140" s="42">
        <v>9854</v>
      </c>
      <c r="W140" s="42">
        <v>742651</v>
      </c>
      <c r="Y140" s="42">
        <v>254064</v>
      </c>
      <c r="AA140" s="42">
        <v>0</v>
      </c>
      <c r="AC140" s="42">
        <v>534298</v>
      </c>
      <c r="AE140" s="42">
        <v>347288</v>
      </c>
      <c r="AG140" s="42">
        <v>149382</v>
      </c>
      <c r="AI140" s="42">
        <v>0</v>
      </c>
      <c r="AK140" s="42">
        <v>42381</v>
      </c>
      <c r="AL140" s="9" t="s">
        <v>752</v>
      </c>
      <c r="AM140" s="9"/>
      <c r="AN140" s="9" t="s">
        <v>48</v>
      </c>
      <c r="AP140" s="42">
        <v>263439</v>
      </c>
      <c r="AR140" s="42">
        <v>500</v>
      </c>
      <c r="AV140" s="42">
        <v>36214</v>
      </c>
      <c r="AX140" s="42">
        <v>9090</v>
      </c>
      <c r="AZ140" s="42">
        <v>0</v>
      </c>
      <c r="BB140" s="42">
        <f t="shared" si="36"/>
        <v>7041907</v>
      </c>
      <c r="BD140" s="42">
        <v>0</v>
      </c>
      <c r="BF140" s="42">
        <v>0</v>
      </c>
      <c r="BH140" s="42">
        <v>0</v>
      </c>
      <c r="BJ140" s="42">
        <v>0</v>
      </c>
      <c r="BL140" s="42">
        <f t="shared" si="35"/>
        <v>7041907</v>
      </c>
      <c r="BN140" s="42">
        <f>+'Gen Fd Rev'!AM140-'Gen Fd Exp'!BL140</f>
        <v>632072</v>
      </c>
      <c r="BP140" s="42">
        <v>1371487</v>
      </c>
      <c r="BR140" s="42">
        <v>0</v>
      </c>
      <c r="BT140" s="42">
        <v>0</v>
      </c>
      <c r="BV140" s="42">
        <f t="shared" si="34"/>
        <v>2003559</v>
      </c>
      <c r="BX140" s="5">
        <f>+BV140-'Gen Fd BS'!AI140+BT140</f>
        <v>0</v>
      </c>
    </row>
    <row r="141" spans="1:76" hidden="1">
      <c r="A141" s="9" t="s">
        <v>825</v>
      </c>
      <c r="B141" s="9"/>
      <c r="C141" s="9" t="s">
        <v>110</v>
      </c>
      <c r="D141" s="9"/>
      <c r="E141" s="23">
        <v>45344</v>
      </c>
      <c r="G141" s="42">
        <v>0</v>
      </c>
      <c r="I141" s="42">
        <v>0</v>
      </c>
      <c r="K141" s="42">
        <v>0</v>
      </c>
      <c r="M141" s="42">
        <v>0</v>
      </c>
      <c r="O141" s="42">
        <v>0</v>
      </c>
      <c r="Q141" s="42">
        <v>0</v>
      </c>
      <c r="S141" s="42">
        <v>0</v>
      </c>
      <c r="U141" s="42">
        <v>0</v>
      </c>
      <c r="W141" s="42">
        <v>0</v>
      </c>
      <c r="Y141" s="42">
        <v>0</v>
      </c>
      <c r="AA141" s="42">
        <v>0</v>
      </c>
      <c r="AC141" s="42">
        <v>0</v>
      </c>
      <c r="AE141" s="42">
        <v>0</v>
      </c>
      <c r="AG141" s="42">
        <v>0</v>
      </c>
      <c r="AI141" s="42">
        <v>0</v>
      </c>
      <c r="AK141" s="42">
        <v>0</v>
      </c>
      <c r="AL141" s="9" t="s">
        <v>825</v>
      </c>
      <c r="AM141" s="9"/>
      <c r="AN141" s="9" t="s">
        <v>110</v>
      </c>
      <c r="AP141" s="42">
        <v>0</v>
      </c>
      <c r="AR141" s="42">
        <v>0</v>
      </c>
      <c r="AV141" s="42">
        <v>0</v>
      </c>
      <c r="AX141" s="42">
        <v>0</v>
      </c>
      <c r="AZ141" s="42">
        <v>0</v>
      </c>
      <c r="BB141" s="42">
        <f t="shared" si="36"/>
        <v>0</v>
      </c>
      <c r="BD141" s="42">
        <v>0</v>
      </c>
      <c r="BF141" s="42">
        <v>0</v>
      </c>
      <c r="BH141" s="42">
        <v>0</v>
      </c>
      <c r="BJ141" s="42">
        <v>0</v>
      </c>
      <c r="BL141" s="42">
        <f t="shared" si="35"/>
        <v>0</v>
      </c>
      <c r="BN141" s="42">
        <f>+'Gen Fd Rev'!AM141-'Gen Fd Exp'!BL141</f>
        <v>0</v>
      </c>
      <c r="BP141" s="42">
        <v>0</v>
      </c>
      <c r="BR141" s="42">
        <v>0</v>
      </c>
      <c r="BT141" s="42">
        <v>0</v>
      </c>
      <c r="BV141" s="42">
        <f t="shared" si="34"/>
        <v>0</v>
      </c>
      <c r="BX141" s="5">
        <f>+BV141-'Gen Fd BS'!AI141+BT141</f>
        <v>0</v>
      </c>
    </row>
    <row r="142" spans="1:76">
      <c r="A142" s="9" t="s">
        <v>245</v>
      </c>
      <c r="B142" s="9"/>
      <c r="C142" s="9" t="s">
        <v>111</v>
      </c>
      <c r="D142" s="9"/>
      <c r="E142" s="23">
        <v>46433</v>
      </c>
      <c r="F142" s="7"/>
      <c r="G142" s="42">
        <v>5064590</v>
      </c>
      <c r="I142" s="42">
        <v>814848</v>
      </c>
      <c r="K142" s="42">
        <v>70594</v>
      </c>
      <c r="M142" s="42">
        <v>0</v>
      </c>
      <c r="O142" s="42">
        <v>38762</v>
      </c>
      <c r="Q142" s="42">
        <v>567668</v>
      </c>
      <c r="S142" s="42">
        <v>482391</v>
      </c>
      <c r="U142" s="42">
        <v>26504</v>
      </c>
      <c r="W142" s="42">
        <v>1000190</v>
      </c>
      <c r="Y142" s="42">
        <v>346077</v>
      </c>
      <c r="AA142" s="42">
        <v>0</v>
      </c>
      <c r="AC142" s="42">
        <v>1056804</v>
      </c>
      <c r="AE142" s="42">
        <v>774374</v>
      </c>
      <c r="AG142" s="42">
        <v>28277</v>
      </c>
      <c r="AI142" s="42">
        <v>0</v>
      </c>
      <c r="AK142" s="42">
        <v>0</v>
      </c>
      <c r="AL142" s="9" t="s">
        <v>245</v>
      </c>
      <c r="AM142" s="9"/>
      <c r="AN142" s="9" t="s">
        <v>111</v>
      </c>
      <c r="AP142" s="42">
        <v>210291</v>
      </c>
      <c r="AR142" s="42">
        <v>0</v>
      </c>
      <c r="AV142" s="42">
        <v>78342</v>
      </c>
      <c r="AX142" s="42">
        <v>24777</v>
      </c>
      <c r="AZ142" s="42">
        <v>0</v>
      </c>
      <c r="BB142" s="42">
        <f t="shared" si="36"/>
        <v>10584489</v>
      </c>
      <c r="BD142" s="42">
        <v>0</v>
      </c>
      <c r="BF142" s="42">
        <v>0</v>
      </c>
      <c r="BH142" s="42">
        <v>0</v>
      </c>
      <c r="BJ142" s="42">
        <v>0</v>
      </c>
      <c r="BL142" s="42">
        <f t="shared" si="35"/>
        <v>10584489</v>
      </c>
      <c r="BN142" s="42">
        <f>+'Gen Fd Rev'!AM142-'Gen Fd Exp'!BL142</f>
        <v>132993</v>
      </c>
      <c r="BP142" s="42">
        <v>896694</v>
      </c>
      <c r="BR142" s="42">
        <v>0</v>
      </c>
      <c r="BT142" s="42">
        <v>0</v>
      </c>
      <c r="BV142" s="42">
        <f t="shared" si="34"/>
        <v>1029687</v>
      </c>
      <c r="BX142" s="5">
        <f>+BV142-'Gen Fd BS'!AI142+BT142</f>
        <v>0</v>
      </c>
    </row>
    <row r="143" spans="1:76">
      <c r="A143" s="9" t="s">
        <v>245</v>
      </c>
      <c r="B143" s="9"/>
      <c r="C143" s="9" t="s">
        <v>109</v>
      </c>
      <c r="D143" s="9"/>
      <c r="E143" s="23">
        <v>49429</v>
      </c>
      <c r="G143" s="42">
        <v>5127228</v>
      </c>
      <c r="I143" s="42">
        <v>698736</v>
      </c>
      <c r="K143" s="42">
        <v>256794</v>
      </c>
      <c r="M143" s="42">
        <v>0</v>
      </c>
      <c r="O143" s="42">
        <v>865</v>
      </c>
      <c r="Q143" s="42">
        <v>398608</v>
      </c>
      <c r="S143" s="42">
        <v>328550</v>
      </c>
      <c r="U143" s="42">
        <v>79374</v>
      </c>
      <c r="W143" s="42">
        <v>938689</v>
      </c>
      <c r="Y143" s="42">
        <v>217478</v>
      </c>
      <c r="AA143" s="42">
        <v>545</v>
      </c>
      <c r="AC143" s="42">
        <v>882087</v>
      </c>
      <c r="AE143" s="42">
        <v>719106</v>
      </c>
      <c r="AG143" s="42">
        <v>22353</v>
      </c>
      <c r="AI143" s="42">
        <v>0</v>
      </c>
      <c r="AK143" s="42">
        <v>82050</v>
      </c>
      <c r="AL143" s="9" t="s">
        <v>245</v>
      </c>
      <c r="AM143" s="9"/>
      <c r="AN143" s="9" t="s">
        <v>109</v>
      </c>
      <c r="AP143" s="42">
        <v>372630</v>
      </c>
      <c r="AR143" s="42">
        <v>4581</v>
      </c>
      <c r="AV143" s="42">
        <v>0</v>
      </c>
      <c r="AX143" s="42">
        <v>0</v>
      </c>
      <c r="AZ143" s="42">
        <v>0</v>
      </c>
      <c r="BB143" s="42">
        <f t="shared" si="36"/>
        <v>10129674</v>
      </c>
      <c r="BD143" s="42">
        <v>6500</v>
      </c>
      <c r="BF143" s="42">
        <v>0</v>
      </c>
      <c r="BH143" s="42">
        <v>0</v>
      </c>
      <c r="BJ143" s="42">
        <v>0</v>
      </c>
      <c r="BL143" s="42">
        <f t="shared" si="35"/>
        <v>10136174</v>
      </c>
      <c r="BN143" s="42">
        <f>+'Gen Fd Rev'!AM143-'Gen Fd Exp'!BL143</f>
        <v>141442</v>
      </c>
      <c r="BP143" s="42">
        <v>5537543</v>
      </c>
      <c r="BR143" s="42">
        <v>0</v>
      </c>
      <c r="BT143" s="42">
        <v>0</v>
      </c>
      <c r="BV143" s="42">
        <f t="shared" si="34"/>
        <v>5678985</v>
      </c>
      <c r="BX143" s="5">
        <f>+BV143-'Gen Fd BS'!AI143+BT143</f>
        <v>0</v>
      </c>
    </row>
    <row r="144" spans="1:76" hidden="1">
      <c r="A144" s="9" t="s">
        <v>650</v>
      </c>
      <c r="B144" s="9"/>
      <c r="C144" s="9" t="s">
        <v>67</v>
      </c>
      <c r="D144" s="9"/>
      <c r="E144" s="23">
        <v>50351</v>
      </c>
      <c r="G144" s="42">
        <v>0</v>
      </c>
      <c r="I144" s="42">
        <v>0</v>
      </c>
      <c r="K144" s="42">
        <v>0</v>
      </c>
      <c r="M144" s="42">
        <v>0</v>
      </c>
      <c r="O144" s="42">
        <v>0</v>
      </c>
      <c r="Q144" s="42">
        <v>0</v>
      </c>
      <c r="S144" s="42">
        <v>0</v>
      </c>
      <c r="U144" s="42">
        <v>0</v>
      </c>
      <c r="W144" s="42">
        <v>0</v>
      </c>
      <c r="Y144" s="42">
        <v>0</v>
      </c>
      <c r="AA144" s="42">
        <v>0</v>
      </c>
      <c r="AC144" s="42">
        <v>0</v>
      </c>
      <c r="AE144" s="42">
        <v>0</v>
      </c>
      <c r="AG144" s="42">
        <v>0</v>
      </c>
      <c r="AI144" s="42">
        <v>0</v>
      </c>
      <c r="AK144" s="42">
        <v>0</v>
      </c>
      <c r="AL144" s="9" t="s">
        <v>650</v>
      </c>
      <c r="AM144" s="9"/>
      <c r="AN144" s="9" t="s">
        <v>67</v>
      </c>
      <c r="AP144" s="42">
        <v>0</v>
      </c>
      <c r="AR144" s="42">
        <v>0</v>
      </c>
      <c r="AV144" s="42">
        <v>0</v>
      </c>
      <c r="AX144" s="42">
        <v>0</v>
      </c>
      <c r="AZ144" s="42">
        <v>0</v>
      </c>
      <c r="BB144" s="42">
        <f t="shared" si="36"/>
        <v>0</v>
      </c>
      <c r="BD144" s="42">
        <v>0</v>
      </c>
      <c r="BF144" s="42">
        <v>0</v>
      </c>
      <c r="BH144" s="42">
        <v>0</v>
      </c>
      <c r="BJ144" s="42">
        <v>0</v>
      </c>
      <c r="BL144" s="42">
        <f t="shared" si="35"/>
        <v>0</v>
      </c>
      <c r="BN144" s="42">
        <f>+'Gen Fd Rev'!AM144-'Gen Fd Exp'!BL144</f>
        <v>0</v>
      </c>
      <c r="BP144" s="42">
        <v>0</v>
      </c>
      <c r="BR144" s="42">
        <v>0</v>
      </c>
      <c r="BT144" s="42">
        <v>0</v>
      </c>
      <c r="BV144" s="42">
        <f t="shared" si="34"/>
        <v>0</v>
      </c>
      <c r="BX144" s="5">
        <f>+BV144-'Gen Fd BS'!AI144+BT144</f>
        <v>0</v>
      </c>
    </row>
    <row r="145" spans="1:76">
      <c r="A145" s="9" t="s">
        <v>712</v>
      </c>
      <c r="B145" s="9"/>
      <c r="C145" s="9" t="s">
        <v>56</v>
      </c>
      <c r="D145" s="9"/>
      <c r="E145" s="23">
        <v>49189</v>
      </c>
      <c r="G145" s="42">
        <v>8350151</v>
      </c>
      <c r="I145" s="42">
        <v>1805010</v>
      </c>
      <c r="K145" s="42">
        <v>180895</v>
      </c>
      <c r="M145" s="42">
        <v>0</v>
      </c>
      <c r="O145" s="42">
        <f>23536+1160302</f>
        <v>1183838</v>
      </c>
      <c r="Q145" s="42">
        <v>800764</v>
      </c>
      <c r="S145" s="42">
        <v>500211</v>
      </c>
      <c r="U145" s="42">
        <v>20358</v>
      </c>
      <c r="W145" s="42">
        <v>2126267</v>
      </c>
      <c r="Y145" s="42">
        <v>536046</v>
      </c>
      <c r="AA145" s="42">
        <v>22050</v>
      </c>
      <c r="AC145" s="42">
        <v>1773777</v>
      </c>
      <c r="AE145" s="42">
        <v>1470017</v>
      </c>
      <c r="AG145" s="42">
        <v>335722</v>
      </c>
      <c r="AI145" s="42">
        <v>0</v>
      </c>
      <c r="AK145" s="42">
        <v>9662</v>
      </c>
      <c r="AL145" s="9" t="s">
        <v>712</v>
      </c>
      <c r="AM145" s="9"/>
      <c r="AN145" s="9" t="s">
        <v>56</v>
      </c>
      <c r="AP145" s="42">
        <v>431827</v>
      </c>
      <c r="AR145" s="42">
        <v>0</v>
      </c>
      <c r="AV145" s="42">
        <v>0</v>
      </c>
      <c r="AX145" s="42">
        <v>0</v>
      </c>
      <c r="AZ145" s="42">
        <v>0</v>
      </c>
      <c r="BB145" s="42">
        <f t="shared" si="36"/>
        <v>19546595</v>
      </c>
      <c r="BD145" s="42">
        <v>71693</v>
      </c>
      <c r="BF145" s="42">
        <v>0</v>
      </c>
      <c r="BH145" s="42">
        <v>0</v>
      </c>
      <c r="BJ145" s="42">
        <v>0</v>
      </c>
      <c r="BL145" s="42">
        <f t="shared" si="35"/>
        <v>19618288</v>
      </c>
      <c r="BN145" s="42">
        <f>+'Gen Fd Rev'!AM145-'Gen Fd Exp'!BL145</f>
        <v>-76562</v>
      </c>
      <c r="BP145" s="42">
        <v>856344</v>
      </c>
      <c r="BR145" s="42">
        <v>0</v>
      </c>
      <c r="BT145" s="42">
        <v>0</v>
      </c>
      <c r="BV145" s="42">
        <f t="shared" si="34"/>
        <v>779782</v>
      </c>
      <c r="BX145" s="5">
        <f>+BV145-'Gen Fd BS'!AI145+BT145</f>
        <v>0</v>
      </c>
    </row>
    <row r="146" spans="1:76">
      <c r="A146" s="9" t="s">
        <v>753</v>
      </c>
      <c r="B146" s="9"/>
      <c r="C146" s="9" t="s">
        <v>448</v>
      </c>
      <c r="D146" s="9"/>
      <c r="E146" s="23">
        <v>45351</v>
      </c>
      <c r="G146" s="42">
        <v>5805844</v>
      </c>
      <c r="I146" s="42">
        <v>0</v>
      </c>
      <c r="K146" s="42">
        <v>0</v>
      </c>
      <c r="M146" s="42">
        <v>0</v>
      </c>
      <c r="O146" s="42">
        <v>0</v>
      </c>
      <c r="Q146" s="42">
        <v>387404</v>
      </c>
      <c r="S146" s="42">
        <v>312761</v>
      </c>
      <c r="U146" s="42">
        <v>67545</v>
      </c>
      <c r="W146" s="42">
        <v>861499</v>
      </c>
      <c r="Y146" s="42">
        <v>280309</v>
      </c>
      <c r="AA146" s="42">
        <v>0</v>
      </c>
      <c r="AC146" s="42">
        <v>967585</v>
      </c>
      <c r="AE146" s="42">
        <v>667825</v>
      </c>
      <c r="AG146" s="42">
        <v>57373</v>
      </c>
      <c r="AI146" s="42">
        <v>0</v>
      </c>
      <c r="AK146" s="42">
        <v>0</v>
      </c>
      <c r="AL146" s="9" t="s">
        <v>753</v>
      </c>
      <c r="AM146" s="9"/>
      <c r="AN146" s="9" t="s">
        <v>448</v>
      </c>
      <c r="AP146" s="42">
        <v>256235</v>
      </c>
      <c r="AR146" s="42">
        <v>7366</v>
      </c>
      <c r="AV146" s="42">
        <v>55340</v>
      </c>
      <c r="AX146" s="42">
        <v>23605</v>
      </c>
      <c r="AZ146" s="42">
        <v>0</v>
      </c>
      <c r="BB146" s="42">
        <f t="shared" si="36"/>
        <v>9750691</v>
      </c>
      <c r="BD146" s="42">
        <v>0</v>
      </c>
      <c r="BF146" s="42">
        <v>0</v>
      </c>
      <c r="BH146" s="42">
        <v>0</v>
      </c>
      <c r="BJ146" s="42">
        <v>0</v>
      </c>
      <c r="BL146" s="42">
        <f t="shared" si="35"/>
        <v>9750691</v>
      </c>
      <c r="BN146" s="42">
        <f>+'Gen Fd Rev'!AM146-'Gen Fd Exp'!BL146</f>
        <v>86303</v>
      </c>
      <c r="BP146" s="42">
        <v>-36364</v>
      </c>
      <c r="BR146" s="42">
        <v>0</v>
      </c>
      <c r="BT146" s="42">
        <v>0</v>
      </c>
      <c r="BV146" s="42">
        <f t="shared" si="34"/>
        <v>49939</v>
      </c>
      <c r="BX146" s="5">
        <f>+BV146-'Gen Fd BS'!AI146+BT146</f>
        <v>0</v>
      </c>
    </row>
    <row r="147" spans="1:76">
      <c r="A147" s="9" t="s">
        <v>651</v>
      </c>
      <c r="B147" s="9"/>
      <c r="C147" s="9" t="s">
        <v>63</v>
      </c>
      <c r="D147" s="9"/>
      <c r="E147" s="23">
        <v>43836</v>
      </c>
      <c r="G147" s="42">
        <v>20933763</v>
      </c>
      <c r="I147" s="42">
        <v>5113653</v>
      </c>
      <c r="K147" s="42">
        <v>893457</v>
      </c>
      <c r="M147" s="42">
        <v>0</v>
      </c>
      <c r="O147" s="42">
        <v>3992384</v>
      </c>
      <c r="Q147" s="42">
        <v>4075089</v>
      </c>
      <c r="S147" s="42">
        <v>1025317</v>
      </c>
      <c r="U147" s="42">
        <v>97631</v>
      </c>
      <c r="W147" s="42">
        <v>2617272</v>
      </c>
      <c r="Y147" s="42">
        <v>1163531</v>
      </c>
      <c r="AA147" s="42">
        <v>377641</v>
      </c>
      <c r="AC147" s="42">
        <v>4232204</v>
      </c>
      <c r="AE147" s="42">
        <v>1338485</v>
      </c>
      <c r="AG147" s="42">
        <v>369573</v>
      </c>
      <c r="AI147" s="42">
        <v>0</v>
      </c>
      <c r="AK147" s="42">
        <v>185197</v>
      </c>
      <c r="AL147" s="9" t="s">
        <v>651</v>
      </c>
      <c r="AM147" s="9"/>
      <c r="AN147" s="9" t="s">
        <v>63</v>
      </c>
      <c r="AP147" s="42">
        <v>770463</v>
      </c>
      <c r="AR147" s="42">
        <f>163562+3142</f>
        <v>166704</v>
      </c>
      <c r="AV147" s="42">
        <v>33292</v>
      </c>
      <c r="AX147" s="42">
        <v>2972</v>
      </c>
      <c r="AZ147" s="42">
        <v>0</v>
      </c>
      <c r="BB147" s="42">
        <f t="shared" si="36"/>
        <v>47388628</v>
      </c>
      <c r="BD147" s="42">
        <v>13181</v>
      </c>
      <c r="BF147" s="42">
        <v>0</v>
      </c>
      <c r="BH147" s="42">
        <v>0</v>
      </c>
      <c r="BJ147" s="42">
        <v>0</v>
      </c>
      <c r="BL147" s="42">
        <f t="shared" si="35"/>
        <v>47401809</v>
      </c>
      <c r="BN147" s="42">
        <f>+'Gen Fd Rev'!AM147-'Gen Fd Exp'!BL147</f>
        <v>-1283053</v>
      </c>
      <c r="BP147" s="42">
        <v>2452113</v>
      </c>
      <c r="BR147" s="42">
        <v>0</v>
      </c>
      <c r="BT147" s="42">
        <v>0</v>
      </c>
      <c r="BV147" s="42">
        <f t="shared" si="34"/>
        <v>1169060</v>
      </c>
      <c r="BX147" s="5">
        <f>+BV147-'Gen Fd BS'!AI147+BT147</f>
        <v>0</v>
      </c>
    </row>
    <row r="148" spans="1:76">
      <c r="A148" s="9" t="s">
        <v>713</v>
      </c>
      <c r="B148" s="9"/>
      <c r="C148" s="9" t="s">
        <v>20</v>
      </c>
      <c r="D148" s="9"/>
      <c r="E148" s="23">
        <v>46557</v>
      </c>
      <c r="G148" s="42">
        <v>5565889</v>
      </c>
      <c r="I148" s="42">
        <v>1233331</v>
      </c>
      <c r="K148" s="42">
        <v>9585</v>
      </c>
      <c r="M148" s="42">
        <v>0</v>
      </c>
      <c r="O148" s="42">
        <v>0</v>
      </c>
      <c r="Q148" s="42">
        <v>656536</v>
      </c>
      <c r="S148" s="42">
        <v>495841</v>
      </c>
      <c r="U148" s="42">
        <v>54181</v>
      </c>
      <c r="W148" s="42">
        <v>1334826</v>
      </c>
      <c r="Y148" s="42">
        <v>453747</v>
      </c>
      <c r="AA148" s="42">
        <v>0</v>
      </c>
      <c r="AC148" s="42">
        <v>1324048</v>
      </c>
      <c r="AE148" s="42">
        <v>705316</v>
      </c>
      <c r="AG148" s="42">
        <v>213102</v>
      </c>
      <c r="AI148" s="42">
        <v>0</v>
      </c>
      <c r="AK148" s="42">
        <v>44127</v>
      </c>
      <c r="AL148" s="9" t="s">
        <v>713</v>
      </c>
      <c r="AM148" s="9"/>
      <c r="AN148" s="9" t="s">
        <v>20</v>
      </c>
      <c r="AP148" s="42">
        <v>529897</v>
      </c>
      <c r="AR148" s="42">
        <v>0</v>
      </c>
      <c r="AV148" s="42">
        <v>15910</v>
      </c>
      <c r="AX148" s="42">
        <v>1339</v>
      </c>
      <c r="AZ148" s="42">
        <v>0</v>
      </c>
      <c r="BB148" s="42">
        <f t="shared" si="36"/>
        <v>12637675</v>
      </c>
      <c r="BD148" s="42">
        <v>110000</v>
      </c>
      <c r="BF148" s="42">
        <v>0</v>
      </c>
      <c r="BH148" s="42">
        <v>0</v>
      </c>
      <c r="BJ148" s="42">
        <v>0</v>
      </c>
      <c r="BL148" s="42">
        <f t="shared" si="35"/>
        <v>12747675</v>
      </c>
      <c r="BN148" s="42">
        <f>+'Gen Fd Rev'!AM148-'Gen Fd Exp'!BL148</f>
        <v>1176774</v>
      </c>
      <c r="BP148" s="42">
        <v>630596</v>
      </c>
      <c r="BR148" s="42">
        <v>0</v>
      </c>
      <c r="BT148" s="42">
        <v>0</v>
      </c>
      <c r="BV148" s="42">
        <f t="shared" si="34"/>
        <v>1807370</v>
      </c>
      <c r="BX148" s="5">
        <f>+BV148-'Gen Fd BS'!AI148+BT148</f>
        <v>0</v>
      </c>
    </row>
    <row r="149" spans="1:76">
      <c r="A149" s="9" t="s">
        <v>604</v>
      </c>
      <c r="B149" s="9"/>
      <c r="C149" s="9" t="s">
        <v>71</v>
      </c>
      <c r="D149" s="9"/>
      <c r="E149" s="23">
        <v>50542</v>
      </c>
      <c r="G149" s="42">
        <v>3282370</v>
      </c>
      <c r="I149" s="42">
        <v>369322</v>
      </c>
      <c r="K149" s="42">
        <v>173480</v>
      </c>
      <c r="M149" s="42">
        <v>0</v>
      </c>
      <c r="O149" s="42">
        <v>341274</v>
      </c>
      <c r="Q149" s="42">
        <v>394360</v>
      </c>
      <c r="S149" s="42">
        <v>590632</v>
      </c>
      <c r="U149" s="42">
        <v>14006</v>
      </c>
      <c r="W149" s="42">
        <v>657716</v>
      </c>
      <c r="Y149" s="42">
        <v>217321</v>
      </c>
      <c r="AA149" s="42">
        <v>0</v>
      </c>
      <c r="AC149" s="42">
        <v>708394</v>
      </c>
      <c r="AE149" s="42">
        <v>432233</v>
      </c>
      <c r="AG149" s="42">
        <v>75675</v>
      </c>
      <c r="AI149" s="42">
        <v>0</v>
      </c>
      <c r="AK149" s="42">
        <v>0</v>
      </c>
      <c r="AL149" s="9" t="s">
        <v>604</v>
      </c>
      <c r="AM149" s="9"/>
      <c r="AN149" s="9" t="s">
        <v>71</v>
      </c>
      <c r="AP149" s="42">
        <v>259049</v>
      </c>
      <c r="AR149" s="42">
        <v>2334</v>
      </c>
      <c r="AV149" s="42">
        <v>4875</v>
      </c>
      <c r="AX149" s="42">
        <v>65</v>
      </c>
      <c r="AZ149" s="42">
        <v>0</v>
      </c>
      <c r="BB149" s="42">
        <f>SUM(G149:AZ149)</f>
        <v>7523106</v>
      </c>
      <c r="BD149" s="42">
        <v>0</v>
      </c>
      <c r="BF149" s="42">
        <v>0</v>
      </c>
      <c r="BH149" s="42">
        <v>0</v>
      </c>
      <c r="BJ149" s="42">
        <v>0</v>
      </c>
      <c r="BL149" s="42">
        <f>+BB149+BD149+BF149+BJ149</f>
        <v>7523106</v>
      </c>
      <c r="BN149" s="42">
        <f>+'Gen Fd Rev'!AM149-'Gen Fd Exp'!BL149</f>
        <v>472263</v>
      </c>
      <c r="BP149" s="42">
        <v>646769</v>
      </c>
      <c r="BR149" s="42">
        <v>0</v>
      </c>
      <c r="BT149" s="42">
        <v>0</v>
      </c>
      <c r="BV149" s="42">
        <f t="shared" si="34"/>
        <v>1119032</v>
      </c>
      <c r="BX149" s="5">
        <f>+BV149-'Gen Fd BS'!AI149+BT149</f>
        <v>0</v>
      </c>
    </row>
    <row r="150" spans="1:76" hidden="1">
      <c r="A150" s="9" t="s">
        <v>735</v>
      </c>
      <c r="B150" s="9"/>
      <c r="C150" s="9" t="s">
        <v>53</v>
      </c>
      <c r="D150" s="9"/>
      <c r="E150" s="23">
        <v>48934</v>
      </c>
      <c r="G150" s="42">
        <v>0</v>
      </c>
      <c r="I150" s="42">
        <v>0</v>
      </c>
      <c r="K150" s="42">
        <v>0</v>
      </c>
      <c r="M150" s="42">
        <v>0</v>
      </c>
      <c r="O150" s="42">
        <v>0</v>
      </c>
      <c r="Q150" s="42">
        <v>0</v>
      </c>
      <c r="S150" s="42">
        <v>0</v>
      </c>
      <c r="U150" s="42">
        <v>0</v>
      </c>
      <c r="W150" s="42">
        <v>0</v>
      </c>
      <c r="Y150" s="42">
        <v>0</v>
      </c>
      <c r="AA150" s="42">
        <v>0</v>
      </c>
      <c r="AC150" s="42">
        <v>0</v>
      </c>
      <c r="AE150" s="42">
        <v>0</v>
      </c>
      <c r="AG150" s="42">
        <v>0</v>
      </c>
      <c r="AI150" s="42">
        <v>0</v>
      </c>
      <c r="AK150" s="42">
        <v>0</v>
      </c>
      <c r="AL150" s="9" t="s">
        <v>735</v>
      </c>
      <c r="AM150" s="9"/>
      <c r="AN150" s="9" t="s">
        <v>53</v>
      </c>
      <c r="AP150" s="42">
        <v>0</v>
      </c>
      <c r="AR150" s="42">
        <v>0</v>
      </c>
      <c r="AV150" s="42">
        <v>0</v>
      </c>
      <c r="AX150" s="42">
        <v>0</v>
      </c>
      <c r="AZ150" s="42">
        <v>0</v>
      </c>
      <c r="BB150" s="42">
        <f t="shared" si="36"/>
        <v>0</v>
      </c>
      <c r="BD150" s="42">
        <v>0</v>
      </c>
      <c r="BF150" s="42">
        <v>0</v>
      </c>
      <c r="BH150" s="42">
        <v>0</v>
      </c>
      <c r="BJ150" s="42">
        <v>0</v>
      </c>
      <c r="BL150" s="42">
        <f>+BB150+BD150+BF150+BJ150</f>
        <v>0</v>
      </c>
      <c r="BN150" s="42">
        <f>+'Gen Fd Rev'!AM150-'Gen Fd Exp'!BL150</f>
        <v>0</v>
      </c>
      <c r="BP150" s="42">
        <v>0</v>
      </c>
      <c r="BR150" s="42">
        <v>0</v>
      </c>
      <c r="BT150" s="42">
        <v>0</v>
      </c>
      <c r="BV150" s="42">
        <f t="shared" si="34"/>
        <v>0</v>
      </c>
      <c r="BX150" s="5">
        <f>+BV150-'Gen Fd BS'!AI150+BT150</f>
        <v>0</v>
      </c>
    </row>
    <row r="151" spans="1:76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v>0</v>
      </c>
      <c r="I151" s="42">
        <v>0</v>
      </c>
      <c r="K151" s="42">
        <v>0</v>
      </c>
      <c r="M151" s="42">
        <v>0</v>
      </c>
      <c r="O151" s="42">
        <v>0</v>
      </c>
      <c r="Q151" s="42">
        <v>0</v>
      </c>
      <c r="S151" s="42">
        <v>0</v>
      </c>
      <c r="U151" s="42">
        <v>0</v>
      </c>
      <c r="W151" s="42">
        <v>0</v>
      </c>
      <c r="Y151" s="42">
        <v>0</v>
      </c>
      <c r="AA151" s="42">
        <v>0</v>
      </c>
      <c r="AC151" s="42">
        <v>0</v>
      </c>
      <c r="AE151" s="42">
        <v>0</v>
      </c>
      <c r="AG151" s="42">
        <v>0</v>
      </c>
      <c r="AI151" s="42">
        <v>0</v>
      </c>
      <c r="AK151" s="42">
        <v>0</v>
      </c>
      <c r="AL151" s="9" t="s">
        <v>652</v>
      </c>
      <c r="AM151" s="9"/>
      <c r="AN151" s="9" t="s">
        <v>40</v>
      </c>
      <c r="AP151" s="42">
        <v>0</v>
      </c>
      <c r="AR151" s="42">
        <v>0</v>
      </c>
      <c r="AV151" s="42">
        <v>0</v>
      </c>
      <c r="AX151" s="42">
        <v>0</v>
      </c>
      <c r="AZ151" s="42">
        <v>0</v>
      </c>
      <c r="BB151" s="42">
        <f t="shared" si="36"/>
        <v>0</v>
      </c>
      <c r="BD151" s="42">
        <v>0</v>
      </c>
      <c r="BF151" s="42">
        <v>0</v>
      </c>
      <c r="BH151" s="42">
        <v>0</v>
      </c>
      <c r="BJ151" s="42">
        <v>0</v>
      </c>
      <c r="BL151" s="42">
        <f t="shared" si="35"/>
        <v>0</v>
      </c>
      <c r="BN151" s="42">
        <f>+'Gen Fd Rev'!AM151-'Gen Fd Exp'!BL151</f>
        <v>0</v>
      </c>
      <c r="BP151" s="42">
        <v>0</v>
      </c>
      <c r="BR151" s="42">
        <v>0</v>
      </c>
      <c r="BT151" s="42">
        <v>0</v>
      </c>
      <c r="BV151" s="42">
        <f t="shared" si="34"/>
        <v>0</v>
      </c>
      <c r="BX151" s="5">
        <f>+BV151-'Gen Fd BS'!AI151+BT151</f>
        <v>0</v>
      </c>
    </row>
    <row r="152" spans="1:76">
      <c r="A152" s="9" t="s">
        <v>365</v>
      </c>
      <c r="B152" s="9"/>
      <c r="C152" s="9" t="s">
        <v>364</v>
      </c>
      <c r="D152" s="9"/>
      <c r="E152" s="23">
        <v>47928</v>
      </c>
      <c r="G152" s="42">
        <v>5336218</v>
      </c>
      <c r="I152" s="42">
        <v>565940</v>
      </c>
      <c r="K152" s="42">
        <v>226199</v>
      </c>
      <c r="M152" s="42">
        <v>0</v>
      </c>
      <c r="O152" s="42">
        <v>423305</v>
      </c>
      <c r="Q152" s="42">
        <v>541064</v>
      </c>
      <c r="S152" s="42">
        <v>393118</v>
      </c>
      <c r="U152" s="42">
        <v>44755</v>
      </c>
      <c r="W152" s="42">
        <v>738983</v>
      </c>
      <c r="Y152" s="42">
        <v>358392</v>
      </c>
      <c r="AA152" s="42">
        <v>25261</v>
      </c>
      <c r="AC152" s="42">
        <v>1021260</v>
      </c>
      <c r="AE152" s="42">
        <v>688288</v>
      </c>
      <c r="AG152" s="42">
        <v>197724</v>
      </c>
      <c r="AI152" s="42">
        <v>0</v>
      </c>
      <c r="AK152" s="42">
        <v>0</v>
      </c>
      <c r="AL152" s="9" t="s">
        <v>365</v>
      </c>
      <c r="AM152" s="9"/>
      <c r="AN152" s="9" t="s">
        <v>364</v>
      </c>
      <c r="AP152" s="42">
        <v>306101</v>
      </c>
      <c r="AR152" s="42">
        <v>0</v>
      </c>
      <c r="AV152" s="42">
        <v>0</v>
      </c>
      <c r="AX152" s="42">
        <v>0</v>
      </c>
      <c r="AZ152" s="42">
        <v>0</v>
      </c>
      <c r="BB152" s="42">
        <f t="shared" si="36"/>
        <v>10866608</v>
      </c>
      <c r="BD152" s="42">
        <v>250624</v>
      </c>
      <c r="BF152" s="42">
        <v>0</v>
      </c>
      <c r="BH152" s="42">
        <v>0</v>
      </c>
      <c r="BJ152" s="42">
        <v>0</v>
      </c>
      <c r="BL152" s="42">
        <f t="shared" si="35"/>
        <v>11117232</v>
      </c>
      <c r="BN152" s="42">
        <f>+'Gen Fd Rev'!AM152-'Gen Fd Exp'!BL152</f>
        <v>59071</v>
      </c>
      <c r="BP152" s="42">
        <v>3117476</v>
      </c>
      <c r="BR152" s="42">
        <v>0</v>
      </c>
      <c r="BT152" s="42">
        <v>0</v>
      </c>
      <c r="BV152" s="42">
        <f t="shared" si="34"/>
        <v>3176547</v>
      </c>
      <c r="BX152" s="5">
        <f>+BV152-'Gen Fd BS'!AI152+BT152</f>
        <v>0</v>
      </c>
    </row>
    <row r="153" spans="1:76">
      <c r="A153" s="9" t="s">
        <v>426</v>
      </c>
      <c r="B153" s="9"/>
      <c r="C153" s="9" t="s">
        <v>50</v>
      </c>
      <c r="D153" s="9"/>
      <c r="E153" s="23">
        <v>43844</v>
      </c>
      <c r="G153" s="42">
        <v>58761006</v>
      </c>
      <c r="I153" s="42">
        <v>23688663</v>
      </c>
      <c r="K153" s="42">
        <v>2480716</v>
      </c>
      <c r="M153" s="42">
        <v>11816</v>
      </c>
      <c r="O153" s="42">
        <v>137441</v>
      </c>
      <c r="Q153" s="42">
        <v>9258883</v>
      </c>
      <c r="S153" s="42">
        <v>7108666</v>
      </c>
      <c r="U153" s="42">
        <v>1135863</v>
      </c>
      <c r="W153" s="42">
        <v>10428959</v>
      </c>
      <c r="Y153" s="42">
        <v>3458283</v>
      </c>
      <c r="AA153" s="42">
        <v>2491063</v>
      </c>
      <c r="AC153" s="42">
        <v>18326887</v>
      </c>
      <c r="AE153" s="42">
        <v>15686887</v>
      </c>
      <c r="AG153" s="42">
        <v>6658435</v>
      </c>
      <c r="AI153" s="42">
        <v>0</v>
      </c>
      <c r="AK153" s="42">
        <v>59989116</v>
      </c>
      <c r="AL153" s="9" t="s">
        <v>426</v>
      </c>
      <c r="AM153" s="9"/>
      <c r="AN153" s="9" t="s">
        <v>50</v>
      </c>
      <c r="AP153" s="42">
        <v>1125069</v>
      </c>
      <c r="AR153" s="42">
        <v>0</v>
      </c>
      <c r="AV153" s="42">
        <v>0</v>
      </c>
      <c r="AX153" s="42">
        <v>614199</v>
      </c>
      <c r="AZ153" s="42">
        <v>0</v>
      </c>
      <c r="BB153" s="42">
        <f t="shared" si="36"/>
        <v>221361952</v>
      </c>
      <c r="BD153" s="42">
        <v>0</v>
      </c>
      <c r="BF153" s="42">
        <v>0</v>
      </c>
      <c r="BH153" s="42">
        <v>0</v>
      </c>
      <c r="BJ153" s="42">
        <v>0</v>
      </c>
      <c r="BL153" s="42">
        <f t="shared" si="35"/>
        <v>221361952</v>
      </c>
      <c r="BN153" s="42">
        <f>+'Gen Fd Rev'!AM153-'Gen Fd Exp'!BL153</f>
        <v>-13656268</v>
      </c>
      <c r="BP153" s="42">
        <v>17935817</v>
      </c>
      <c r="BR153" s="42">
        <v>0</v>
      </c>
      <c r="BT153" s="42">
        <v>0</v>
      </c>
      <c r="BV153" s="42">
        <f t="shared" si="34"/>
        <v>4279549</v>
      </c>
      <c r="BX153" s="5">
        <f>+BV153-'Gen Fd BS'!AI153+BT153</f>
        <v>0</v>
      </c>
    </row>
    <row r="154" spans="1:76">
      <c r="A154" s="9" t="s">
        <v>877</v>
      </c>
      <c r="B154" s="9"/>
      <c r="C154" s="9" t="s">
        <v>32</v>
      </c>
      <c r="D154" s="9"/>
      <c r="E154" s="23">
        <v>43851</v>
      </c>
      <c r="G154" s="42">
        <v>4852591</v>
      </c>
      <c r="I154" s="42">
        <v>1621943</v>
      </c>
      <c r="K154" s="42">
        <v>217372</v>
      </c>
      <c r="M154" s="42">
        <v>0</v>
      </c>
      <c r="O154" s="42">
        <v>0</v>
      </c>
      <c r="Q154" s="42">
        <v>724906</v>
      </c>
      <c r="S154" s="42">
        <v>585774</v>
      </c>
      <c r="U154" s="42">
        <v>0</v>
      </c>
      <c r="W154" s="42">
        <f>95375+1054412</f>
        <v>1149787</v>
      </c>
      <c r="Y154" s="42">
        <v>611192</v>
      </c>
      <c r="AA154" s="42">
        <v>98367</v>
      </c>
      <c r="AC154" s="42">
        <v>1323677</v>
      </c>
      <c r="AE154" s="42">
        <v>294251</v>
      </c>
      <c r="AG154" s="42">
        <v>145317</v>
      </c>
      <c r="AI154" s="42">
        <v>0</v>
      </c>
      <c r="AK154" s="42">
        <v>34992</v>
      </c>
      <c r="AL154" s="9" t="s">
        <v>877</v>
      </c>
      <c r="AM154" s="9"/>
      <c r="AN154" s="9" t="s">
        <v>32</v>
      </c>
      <c r="AP154" s="42">
        <v>383945</v>
      </c>
      <c r="AR154" s="42">
        <v>0</v>
      </c>
      <c r="AV154" s="42">
        <v>137823</v>
      </c>
      <c r="AX154" s="42">
        <v>10391</v>
      </c>
      <c r="AZ154" s="42">
        <v>0</v>
      </c>
      <c r="BB154" s="42">
        <f t="shared" si="36"/>
        <v>12192328</v>
      </c>
      <c r="BD154" s="42">
        <v>1400334</v>
      </c>
      <c r="BF154" s="42">
        <v>0</v>
      </c>
      <c r="BH154" s="42">
        <v>0</v>
      </c>
      <c r="BJ154" s="42">
        <v>0</v>
      </c>
      <c r="BL154" s="42">
        <f t="shared" si="35"/>
        <v>13592662</v>
      </c>
      <c r="BN154" s="42">
        <f>+'Gen Fd Rev'!AM154-'Gen Fd Exp'!BL154</f>
        <v>-638997</v>
      </c>
      <c r="BP154" s="42">
        <v>7422334</v>
      </c>
      <c r="BR154" s="42">
        <v>0</v>
      </c>
      <c r="BT154" s="42">
        <v>0</v>
      </c>
      <c r="BV154" s="42">
        <f t="shared" si="34"/>
        <v>6783337</v>
      </c>
      <c r="BX154" s="5">
        <f>+BV154-'Gen Fd BS'!AI154+BT154</f>
        <v>0</v>
      </c>
    </row>
    <row r="155" spans="1:76" hidden="1">
      <c r="A155" s="9" t="s">
        <v>653</v>
      </c>
      <c r="B155" s="9"/>
      <c r="C155" s="9" t="s">
        <v>22</v>
      </c>
      <c r="D155" s="9"/>
      <c r="E155" s="23">
        <v>43869</v>
      </c>
      <c r="G155" s="42">
        <v>0</v>
      </c>
      <c r="I155" s="42">
        <v>0</v>
      </c>
      <c r="K155" s="42">
        <v>0</v>
      </c>
      <c r="M155" s="42">
        <v>0</v>
      </c>
      <c r="O155" s="42">
        <v>0</v>
      </c>
      <c r="Q155" s="42">
        <v>0</v>
      </c>
      <c r="S155" s="42">
        <v>0</v>
      </c>
      <c r="U155" s="42">
        <v>0</v>
      </c>
      <c r="W155" s="42">
        <v>0</v>
      </c>
      <c r="Y155" s="42">
        <v>0</v>
      </c>
      <c r="AA155" s="42">
        <v>0</v>
      </c>
      <c r="AC155" s="42">
        <v>0</v>
      </c>
      <c r="AE155" s="42">
        <v>0</v>
      </c>
      <c r="AG155" s="42">
        <v>0</v>
      </c>
      <c r="AI155" s="42">
        <v>0</v>
      </c>
      <c r="AK155" s="42">
        <v>0</v>
      </c>
      <c r="AL155" s="9" t="s">
        <v>653</v>
      </c>
      <c r="AM155" s="9"/>
      <c r="AN155" s="9" t="s">
        <v>22</v>
      </c>
      <c r="AP155" s="42">
        <v>0</v>
      </c>
      <c r="AR155" s="42">
        <v>0</v>
      </c>
      <c r="AV155" s="42">
        <v>0</v>
      </c>
      <c r="AX155" s="42">
        <v>0</v>
      </c>
      <c r="AZ155" s="42">
        <v>0</v>
      </c>
      <c r="BB155" s="42">
        <f t="shared" si="36"/>
        <v>0</v>
      </c>
      <c r="BD155" s="42">
        <v>0</v>
      </c>
      <c r="BF155" s="42">
        <v>0</v>
      </c>
      <c r="BH155" s="42">
        <v>0</v>
      </c>
      <c r="BJ155" s="42">
        <v>0</v>
      </c>
      <c r="BL155" s="42">
        <f t="shared" si="35"/>
        <v>0</v>
      </c>
      <c r="BN155" s="42">
        <f>+'Gen Fd Rev'!AM155-'Gen Fd Exp'!BL155</f>
        <v>0</v>
      </c>
      <c r="BP155" s="42">
        <v>0</v>
      </c>
      <c r="BR155" s="42">
        <v>0</v>
      </c>
      <c r="BT155" s="42">
        <v>0</v>
      </c>
      <c r="BV155" s="42">
        <f t="shared" si="34"/>
        <v>0</v>
      </c>
      <c r="BX155" s="5">
        <f>+BV155-'Gen Fd BS'!AI155+BT155</f>
        <v>0</v>
      </c>
    </row>
    <row r="156" spans="1:76">
      <c r="A156" s="9" t="s">
        <v>736</v>
      </c>
      <c r="B156" s="9"/>
      <c r="C156" s="9" t="s">
        <v>23</v>
      </c>
      <c r="D156" s="9"/>
      <c r="E156" s="23">
        <v>43877</v>
      </c>
      <c r="G156" s="42">
        <v>22154101</v>
      </c>
      <c r="I156" s="42">
        <v>5333420</v>
      </c>
      <c r="K156" s="42">
        <v>156218</v>
      </c>
      <c r="M156" s="42">
        <v>0</v>
      </c>
      <c r="O156" s="42">
        <f>43894+16820</f>
        <v>60714</v>
      </c>
      <c r="Q156" s="42">
        <v>2455879</v>
      </c>
      <c r="S156" s="42">
        <v>2275487</v>
      </c>
      <c r="U156" s="42">
        <v>176816</v>
      </c>
      <c r="W156" s="42">
        <v>2992541</v>
      </c>
      <c r="Y156" s="42">
        <v>1087454</v>
      </c>
      <c r="AA156" s="42">
        <v>312389</v>
      </c>
      <c r="AC156" s="42">
        <v>3926639</v>
      </c>
      <c r="AE156" s="42">
        <v>2786409</v>
      </c>
      <c r="AG156" s="42">
        <v>136137</v>
      </c>
      <c r="AI156" s="42">
        <v>0</v>
      </c>
      <c r="AK156" s="42">
        <v>1040666</v>
      </c>
      <c r="AL156" s="9" t="s">
        <v>736</v>
      </c>
      <c r="AM156" s="9"/>
      <c r="AN156" s="9" t="s">
        <v>23</v>
      </c>
      <c r="AP156" s="42">
        <v>877663</v>
      </c>
      <c r="AR156" s="42">
        <v>0</v>
      </c>
      <c r="AV156" s="42">
        <v>155370</v>
      </c>
      <c r="AX156" s="42">
        <v>72995</v>
      </c>
      <c r="AZ156" s="42">
        <v>0</v>
      </c>
      <c r="BB156" s="42">
        <f t="shared" si="36"/>
        <v>46000898</v>
      </c>
      <c r="BD156" s="42">
        <v>0</v>
      </c>
      <c r="BF156" s="42">
        <v>0</v>
      </c>
      <c r="BH156" s="42">
        <v>0</v>
      </c>
      <c r="BJ156" s="42">
        <v>0</v>
      </c>
      <c r="BL156" s="42">
        <f t="shared" ref="BL156:BL161" si="37">+BB156+BD156+BF156+BJ156</f>
        <v>46000898</v>
      </c>
      <c r="BN156" s="42">
        <f>+'Gen Fd Rev'!AM156-'Gen Fd Exp'!BL156</f>
        <v>4156802</v>
      </c>
      <c r="BP156" s="42">
        <v>5404296</v>
      </c>
      <c r="BR156" s="42">
        <v>0</v>
      </c>
      <c r="BT156" s="42">
        <v>0</v>
      </c>
      <c r="BV156" s="42">
        <f t="shared" si="34"/>
        <v>9561098</v>
      </c>
      <c r="BX156" s="5">
        <f>+BV156-'Gen Fd BS'!AI156+BT156</f>
        <v>0</v>
      </c>
    </row>
    <row r="157" spans="1:76">
      <c r="A157" s="9" t="s">
        <v>200</v>
      </c>
      <c r="B157" s="9"/>
      <c r="C157" s="9" t="s">
        <v>10</v>
      </c>
      <c r="D157" s="9"/>
      <c r="E157" s="23">
        <v>43885</v>
      </c>
      <c r="F157" s="7"/>
      <c r="G157" s="42">
        <v>4433357</v>
      </c>
      <c r="I157" s="42">
        <v>823492</v>
      </c>
      <c r="K157" s="42">
        <v>459801</v>
      </c>
      <c r="M157" s="42">
        <v>0</v>
      </c>
      <c r="O157" s="42">
        <v>0</v>
      </c>
      <c r="Q157" s="42">
        <v>518105</v>
      </c>
      <c r="S157" s="42">
        <v>292856</v>
      </c>
      <c r="U157" s="42">
        <v>28758</v>
      </c>
      <c r="W157" s="42">
        <v>967812</v>
      </c>
      <c r="Y157" s="42">
        <v>299693</v>
      </c>
      <c r="AA157" s="42">
        <v>0</v>
      </c>
      <c r="AC157" s="42">
        <v>544154</v>
      </c>
      <c r="AE157" s="42">
        <v>398945</v>
      </c>
      <c r="AG157" s="42">
        <v>303</v>
      </c>
      <c r="AI157" s="42">
        <v>0</v>
      </c>
      <c r="AK157" s="42">
        <v>0</v>
      </c>
      <c r="AL157" s="9" t="s">
        <v>200</v>
      </c>
      <c r="AM157" s="9"/>
      <c r="AN157" s="9" t="s">
        <v>10</v>
      </c>
      <c r="AP157" s="42">
        <v>152270</v>
      </c>
      <c r="AR157" s="42">
        <v>0</v>
      </c>
      <c r="AV157" s="42">
        <v>0</v>
      </c>
      <c r="AX157" s="42">
        <v>0</v>
      </c>
      <c r="AZ157" s="42">
        <v>0</v>
      </c>
      <c r="BB157" s="42">
        <f t="shared" si="36"/>
        <v>8919546</v>
      </c>
      <c r="BD157" s="42">
        <v>0</v>
      </c>
      <c r="BF157" s="42">
        <v>0</v>
      </c>
      <c r="BH157" s="42">
        <v>0</v>
      </c>
      <c r="BJ157" s="42">
        <v>0</v>
      </c>
      <c r="BL157" s="42">
        <f t="shared" si="37"/>
        <v>8919546</v>
      </c>
      <c r="BN157" s="42">
        <f>+'Gen Fd Rev'!AM157-'Gen Fd Exp'!BL157</f>
        <v>-74496</v>
      </c>
      <c r="BP157" s="42">
        <v>-136155</v>
      </c>
      <c r="BR157" s="42">
        <v>0</v>
      </c>
      <c r="BT157" s="42">
        <v>0</v>
      </c>
      <c r="BV157" s="42">
        <f t="shared" si="34"/>
        <v>-210651</v>
      </c>
      <c r="BX157" s="5">
        <f>+BV157-'Gen Fd BS'!AI157+BT157</f>
        <v>0</v>
      </c>
    </row>
    <row r="158" spans="1:76">
      <c r="A158" s="9" t="s">
        <v>530</v>
      </c>
      <c r="B158" s="9"/>
      <c r="C158" s="9" t="s">
        <v>65</v>
      </c>
      <c r="D158" s="9"/>
      <c r="E158" s="23">
        <v>43893</v>
      </c>
      <c r="G158" s="42">
        <v>10727616</v>
      </c>
      <c r="I158" s="42">
        <v>1952110</v>
      </c>
      <c r="K158" s="42">
        <v>33750</v>
      </c>
      <c r="M158" s="42">
        <v>0</v>
      </c>
      <c r="O158" s="42">
        <f>109570+234428</f>
        <v>343998</v>
      </c>
      <c r="Q158" s="42">
        <v>993731</v>
      </c>
      <c r="S158" s="42">
        <v>776644</v>
      </c>
      <c r="U158" s="42">
        <v>57408</v>
      </c>
      <c r="W158" s="42">
        <v>1769159</v>
      </c>
      <c r="Y158" s="42">
        <v>654410</v>
      </c>
      <c r="AA158" s="42">
        <v>0</v>
      </c>
      <c r="AC158" s="42">
        <v>1795365</v>
      </c>
      <c r="AE158" s="42">
        <v>773778</v>
      </c>
      <c r="AG158" s="42">
        <v>0</v>
      </c>
      <c r="AI158" s="42">
        <v>0</v>
      </c>
      <c r="AK158" s="42">
        <v>0</v>
      </c>
      <c r="AL158" s="9" t="s">
        <v>530</v>
      </c>
      <c r="AM158" s="9"/>
      <c r="AN158" s="9" t="s">
        <v>65</v>
      </c>
      <c r="AP158" s="42">
        <v>674935</v>
      </c>
      <c r="AR158" s="42">
        <v>0</v>
      </c>
      <c r="AV158" s="42">
        <v>29144</v>
      </c>
      <c r="AX158" s="42">
        <v>6292</v>
      </c>
      <c r="AZ158" s="42">
        <v>0</v>
      </c>
      <c r="BB158" s="42">
        <f t="shared" si="36"/>
        <v>20588340</v>
      </c>
      <c r="BD158" s="42">
        <v>0</v>
      </c>
      <c r="BF158" s="42">
        <v>0</v>
      </c>
      <c r="BH158" s="42">
        <v>0</v>
      </c>
      <c r="BJ158" s="42">
        <v>0</v>
      </c>
      <c r="BL158" s="42">
        <f t="shared" si="37"/>
        <v>20588340</v>
      </c>
      <c r="BN158" s="42">
        <f>+'Gen Fd Rev'!AM158-'Gen Fd Exp'!BL158</f>
        <v>219899</v>
      </c>
      <c r="BP158" s="42">
        <v>7549556</v>
      </c>
      <c r="BR158" s="42">
        <v>0</v>
      </c>
      <c r="BT158" s="42">
        <v>0</v>
      </c>
      <c r="BV158" s="42">
        <f t="shared" ref="BV158:BV205" si="38">+BP158+BN158-BR158</f>
        <v>7769455</v>
      </c>
      <c r="BX158" s="5">
        <f>+BV158-'Gen Fd BS'!AI158+BT158</f>
        <v>0</v>
      </c>
    </row>
    <row r="159" spans="1:76">
      <c r="A159" s="9" t="s">
        <v>300</v>
      </c>
      <c r="B159" s="9"/>
      <c r="C159" s="9" t="s">
        <v>27</v>
      </c>
      <c r="D159" s="9"/>
      <c r="E159" s="23">
        <v>47027</v>
      </c>
      <c r="G159" s="42">
        <v>80279175</v>
      </c>
      <c r="I159" s="42">
        <v>20042617</v>
      </c>
      <c r="K159" s="42">
        <v>236662</v>
      </c>
      <c r="M159" s="42">
        <v>0</v>
      </c>
      <c r="O159" s="42">
        <v>0</v>
      </c>
      <c r="Q159" s="42">
        <v>10444746</v>
      </c>
      <c r="S159" s="42">
        <v>14383336</v>
      </c>
      <c r="U159" s="42">
        <v>0</v>
      </c>
      <c r="W159" s="42">
        <f>191358+11085690</f>
        <v>11277048</v>
      </c>
      <c r="Y159" s="42">
        <v>3582382</v>
      </c>
      <c r="AA159" s="42">
        <v>1082253</v>
      </c>
      <c r="AC159" s="42">
        <v>11664580</v>
      </c>
      <c r="AE159" s="42">
        <v>8197968</v>
      </c>
      <c r="AG159" s="42">
        <v>416862</v>
      </c>
      <c r="AI159" s="42">
        <v>0</v>
      </c>
      <c r="AK159" s="42">
        <v>1987</v>
      </c>
      <c r="AL159" s="9" t="s">
        <v>300</v>
      </c>
      <c r="AM159" s="9"/>
      <c r="AN159" s="9" t="s">
        <v>27</v>
      </c>
      <c r="AP159" s="42">
        <v>3815326</v>
      </c>
      <c r="AR159" s="42">
        <v>162683</v>
      </c>
      <c r="AV159" s="42">
        <v>0</v>
      </c>
      <c r="AX159" s="42">
        <v>0</v>
      </c>
      <c r="AZ159" s="42">
        <v>18649</v>
      </c>
      <c r="BB159" s="42">
        <f t="shared" si="36"/>
        <v>165606274</v>
      </c>
      <c r="BD159" s="42">
        <v>449350</v>
      </c>
      <c r="BF159" s="42">
        <v>0</v>
      </c>
      <c r="BH159" s="42">
        <v>0</v>
      </c>
      <c r="BJ159" s="42">
        <v>0</v>
      </c>
      <c r="BL159" s="42">
        <f t="shared" si="37"/>
        <v>166055624</v>
      </c>
      <c r="BN159" s="42">
        <f>+'Gen Fd Rev'!AM159-'Gen Fd Exp'!BL159</f>
        <v>2717012</v>
      </c>
      <c r="BP159" s="42">
        <v>64417079</v>
      </c>
      <c r="BR159" s="42">
        <v>-84329</v>
      </c>
      <c r="BT159" s="42">
        <v>0</v>
      </c>
      <c r="BV159" s="42">
        <f t="shared" si="38"/>
        <v>67218420</v>
      </c>
      <c r="BX159" s="5">
        <f>+BV159-'Gen Fd BS'!AI159+BT159</f>
        <v>0</v>
      </c>
    </row>
    <row r="160" spans="1:76">
      <c r="A160" s="9" t="s">
        <v>264</v>
      </c>
      <c r="B160" s="9"/>
      <c r="C160" s="9" t="s">
        <v>20</v>
      </c>
      <c r="D160" s="9"/>
      <c r="E160" s="23">
        <v>43901</v>
      </c>
      <c r="G160" s="42">
        <v>14092951</v>
      </c>
      <c r="I160" s="42">
        <v>9841825</v>
      </c>
      <c r="K160" s="42">
        <v>1560023</v>
      </c>
      <c r="M160" s="42">
        <v>37878</v>
      </c>
      <c r="O160" s="42">
        <v>6243153</v>
      </c>
      <c r="Q160" s="42">
        <v>2826258</v>
      </c>
      <c r="S160" s="42">
        <v>1224938</v>
      </c>
      <c r="U160" s="42">
        <v>54160</v>
      </c>
      <c r="W160" s="42">
        <v>4048950</v>
      </c>
      <c r="Y160" s="42">
        <v>1952125</v>
      </c>
      <c r="AA160" s="42">
        <v>530506</v>
      </c>
      <c r="AC160" s="42">
        <v>5036907</v>
      </c>
      <c r="AE160" s="42">
        <v>1273779</v>
      </c>
      <c r="AG160" s="42">
        <v>2404495</v>
      </c>
      <c r="AI160" s="42">
        <v>0</v>
      </c>
      <c r="AK160" s="42">
        <v>0</v>
      </c>
      <c r="AL160" s="9" t="s">
        <v>264</v>
      </c>
      <c r="AM160" s="9"/>
      <c r="AN160" s="9" t="s">
        <v>20</v>
      </c>
      <c r="AP160" s="42">
        <v>293079</v>
      </c>
      <c r="AR160" s="42">
        <v>25750</v>
      </c>
      <c r="AV160" s="42">
        <v>0</v>
      </c>
      <c r="AX160" s="42">
        <v>0</v>
      </c>
      <c r="AZ160" s="42">
        <v>0</v>
      </c>
      <c r="BB160" s="42">
        <f t="shared" si="36"/>
        <v>51446777</v>
      </c>
      <c r="BD160" s="42">
        <v>180000</v>
      </c>
      <c r="BF160" s="42">
        <v>0</v>
      </c>
      <c r="BH160" s="42">
        <v>0</v>
      </c>
      <c r="BJ160" s="42">
        <v>0</v>
      </c>
      <c r="BL160" s="42">
        <f t="shared" si="37"/>
        <v>51626777</v>
      </c>
      <c r="BN160" s="42">
        <f>+'Gen Fd Rev'!AM160-'Gen Fd Exp'!BL160</f>
        <v>-6684594</v>
      </c>
      <c r="BP160" s="42">
        <v>28232589</v>
      </c>
      <c r="BR160" s="42">
        <v>0</v>
      </c>
      <c r="BT160" s="42">
        <v>0</v>
      </c>
      <c r="BV160" s="42">
        <f t="shared" si="38"/>
        <v>21547995</v>
      </c>
      <c r="BX160" s="5">
        <f>+BV160-'Gen Fd BS'!AI160+BT160</f>
        <v>0</v>
      </c>
    </row>
    <row r="161" spans="1:76">
      <c r="A161" s="9" t="s">
        <v>242</v>
      </c>
      <c r="B161" s="9"/>
      <c r="C161" s="9" t="s">
        <v>18</v>
      </c>
      <c r="D161" s="9"/>
      <c r="E161" s="23">
        <v>46409</v>
      </c>
      <c r="F161" s="7"/>
      <c r="G161" s="42">
        <v>5616490</v>
      </c>
      <c r="I161" s="42">
        <v>898917</v>
      </c>
      <c r="K161" s="42">
        <v>77813</v>
      </c>
      <c r="M161" s="42">
        <v>0</v>
      </c>
      <c r="O161" s="42">
        <v>34</v>
      </c>
      <c r="Q161" s="42">
        <v>463899</v>
      </c>
      <c r="S161" s="42">
        <v>958769</v>
      </c>
      <c r="U161" s="42">
        <v>42437</v>
      </c>
      <c r="W161" s="42">
        <v>920790</v>
      </c>
      <c r="Y161" s="42">
        <v>257067</v>
      </c>
      <c r="AA161" s="42">
        <v>3135</v>
      </c>
      <c r="AC161" s="42">
        <v>1027684</v>
      </c>
      <c r="AE161" s="42">
        <v>696874</v>
      </c>
      <c r="AG161" s="42">
        <v>60804</v>
      </c>
      <c r="AI161" s="42">
        <v>0</v>
      </c>
      <c r="AK161" s="42">
        <v>193</v>
      </c>
      <c r="AL161" s="9" t="s">
        <v>242</v>
      </c>
      <c r="AM161" s="9"/>
      <c r="AN161" s="9" t="s">
        <v>18</v>
      </c>
      <c r="AP161" s="42">
        <v>215748</v>
      </c>
      <c r="AR161" s="42">
        <v>0</v>
      </c>
      <c r="AV161" s="42">
        <v>35000</v>
      </c>
      <c r="AX161" s="42">
        <v>6533</v>
      </c>
      <c r="AZ161" s="42">
        <v>0</v>
      </c>
      <c r="BB161" s="42">
        <f t="shared" si="36"/>
        <v>11282187</v>
      </c>
      <c r="BD161" s="42">
        <v>0</v>
      </c>
      <c r="BF161" s="42">
        <v>0</v>
      </c>
      <c r="BH161" s="42">
        <v>0</v>
      </c>
      <c r="BJ161" s="42">
        <v>0</v>
      </c>
      <c r="BL161" s="42">
        <f t="shared" si="37"/>
        <v>11282187</v>
      </c>
      <c r="BN161" s="42">
        <f>+'Gen Fd Rev'!AM161-'Gen Fd Exp'!BL161</f>
        <v>861924</v>
      </c>
      <c r="BP161" s="42">
        <v>1922264</v>
      </c>
      <c r="BR161" s="42">
        <v>0</v>
      </c>
      <c r="BT161" s="42">
        <v>0</v>
      </c>
      <c r="BV161" s="42">
        <f t="shared" si="38"/>
        <v>2784188</v>
      </c>
      <c r="BX161" s="5">
        <f>+BV161-'Gen Fd BS'!AI161+BT161</f>
        <v>0</v>
      </c>
    </row>
    <row r="162" spans="1:76">
      <c r="A162" s="9" t="s">
        <v>318</v>
      </c>
      <c r="B162" s="9"/>
      <c r="C162" s="9" t="s">
        <v>31</v>
      </c>
      <c r="D162" s="9"/>
      <c r="E162" s="23">
        <v>69682</v>
      </c>
      <c r="G162" s="42">
        <v>4271134</v>
      </c>
      <c r="I162" s="42">
        <v>623606</v>
      </c>
      <c r="K162" s="42">
        <v>122961</v>
      </c>
      <c r="M162" s="42">
        <v>5329</v>
      </c>
      <c r="O162" s="42">
        <v>397</v>
      </c>
      <c r="Q162" s="42">
        <v>650956</v>
      </c>
      <c r="S162" s="42">
        <v>295919</v>
      </c>
      <c r="U162" s="42">
        <v>39941</v>
      </c>
      <c r="W162" s="42">
        <v>832560</v>
      </c>
      <c r="Y162" s="42">
        <v>444349</v>
      </c>
      <c r="AA162" s="42">
        <v>1245</v>
      </c>
      <c r="AC162" s="42">
        <v>1155250</v>
      </c>
      <c r="AE162" s="42">
        <v>1095383</v>
      </c>
      <c r="AG162" s="42">
        <v>62893</v>
      </c>
      <c r="AI162" s="42">
        <v>0</v>
      </c>
      <c r="AK162" s="42">
        <v>4576</v>
      </c>
      <c r="AL162" s="9" t="s">
        <v>318</v>
      </c>
      <c r="AM162" s="9"/>
      <c r="AN162" s="9" t="s">
        <v>31</v>
      </c>
      <c r="AP162" s="42">
        <v>208992</v>
      </c>
      <c r="AR162" s="42">
        <v>120454</v>
      </c>
      <c r="AV162" s="42">
        <v>98776</v>
      </c>
      <c r="AX162" s="42">
        <v>20937</v>
      </c>
      <c r="AZ162" s="42">
        <v>0</v>
      </c>
      <c r="BB162" s="42">
        <f t="shared" ref="BB162:BB208" si="39">SUM(G162:AZ162)</f>
        <v>10055658</v>
      </c>
      <c r="BD162" s="42">
        <v>246960</v>
      </c>
      <c r="BF162" s="42">
        <v>0</v>
      </c>
      <c r="BH162" s="42">
        <v>0</v>
      </c>
      <c r="BJ162" s="42">
        <v>0</v>
      </c>
      <c r="BL162" s="42">
        <f t="shared" ref="BL162:BL208" si="40">+BB162+BD162+BF162+BJ162</f>
        <v>10302618</v>
      </c>
      <c r="BN162" s="42">
        <f>+'Gen Fd Rev'!AM162-'Gen Fd Exp'!BL162</f>
        <v>-42723</v>
      </c>
      <c r="BP162" s="42">
        <v>3415640</v>
      </c>
      <c r="BR162" s="42">
        <v>0</v>
      </c>
      <c r="BT162" s="42">
        <v>0</v>
      </c>
      <c r="BV162" s="42">
        <f t="shared" si="38"/>
        <v>3372917</v>
      </c>
      <c r="BX162" s="5">
        <f>+BV162-'Gen Fd BS'!AI162+BT162</f>
        <v>0</v>
      </c>
    </row>
    <row r="163" spans="1:76">
      <c r="A163" s="9" t="s">
        <v>351</v>
      </c>
      <c r="B163" s="9"/>
      <c r="C163" s="9" t="s">
        <v>36</v>
      </c>
      <c r="D163" s="9"/>
      <c r="E163" s="23">
        <v>47688</v>
      </c>
      <c r="G163" s="42">
        <v>6551629</v>
      </c>
      <c r="I163" s="42">
        <v>917157</v>
      </c>
      <c r="K163" s="42">
        <v>261113</v>
      </c>
      <c r="M163" s="42">
        <v>0</v>
      </c>
      <c r="O163" s="42">
        <v>0</v>
      </c>
      <c r="Q163" s="42">
        <v>680723</v>
      </c>
      <c r="S163" s="42">
        <v>636958</v>
      </c>
      <c r="U163" s="42">
        <v>31442</v>
      </c>
      <c r="W163" s="42">
        <v>1503492</v>
      </c>
      <c r="Y163" s="42">
        <v>457601</v>
      </c>
      <c r="AA163" s="42">
        <v>0</v>
      </c>
      <c r="AC163" s="42">
        <v>1511463</v>
      </c>
      <c r="AE163" s="42">
        <v>1222328</v>
      </c>
      <c r="AG163" s="42">
        <v>119016</v>
      </c>
      <c r="AI163" s="42">
        <v>0</v>
      </c>
      <c r="AK163" s="42">
        <v>0</v>
      </c>
      <c r="AL163" s="9" t="s">
        <v>351</v>
      </c>
      <c r="AM163" s="9"/>
      <c r="AN163" s="9" t="s">
        <v>36</v>
      </c>
      <c r="AP163" s="42">
        <v>251663</v>
      </c>
      <c r="AR163" s="42">
        <v>3097</v>
      </c>
      <c r="AV163" s="42">
        <v>0</v>
      </c>
      <c r="AX163" s="42">
        <v>0</v>
      </c>
      <c r="AZ163" s="42">
        <v>0</v>
      </c>
      <c r="BB163" s="42">
        <f t="shared" si="39"/>
        <v>14147682</v>
      </c>
      <c r="BD163" s="42">
        <v>75000</v>
      </c>
      <c r="BF163" s="42">
        <v>0</v>
      </c>
      <c r="BH163" s="42">
        <v>0</v>
      </c>
      <c r="BJ163" s="42">
        <v>0</v>
      </c>
      <c r="BL163" s="42">
        <f t="shared" si="40"/>
        <v>14222682</v>
      </c>
      <c r="BN163" s="42">
        <f>+'Gen Fd Rev'!AM163-'Gen Fd Exp'!BL163</f>
        <v>771307</v>
      </c>
      <c r="BP163" s="42">
        <v>3242783</v>
      </c>
      <c r="BR163" s="42">
        <v>0</v>
      </c>
      <c r="BT163" s="42">
        <v>0</v>
      </c>
      <c r="BV163" s="42">
        <f t="shared" si="38"/>
        <v>4014090</v>
      </c>
      <c r="BX163" s="5">
        <f>+BV163-'Gen Fd BS'!AI163+BT163</f>
        <v>0</v>
      </c>
    </row>
    <row r="164" spans="1:76" hidden="1">
      <c r="A164" s="9" t="s">
        <v>654</v>
      </c>
      <c r="B164" s="9"/>
      <c r="C164" s="9" t="s">
        <v>40</v>
      </c>
      <c r="D164" s="9"/>
      <c r="E164" s="23">
        <v>47845</v>
      </c>
      <c r="G164" s="42">
        <v>0</v>
      </c>
      <c r="I164" s="42">
        <v>0</v>
      </c>
      <c r="K164" s="42">
        <v>0</v>
      </c>
      <c r="M164" s="42">
        <v>0</v>
      </c>
      <c r="O164" s="42">
        <v>0</v>
      </c>
      <c r="Q164" s="42">
        <v>0</v>
      </c>
      <c r="S164" s="42">
        <v>0</v>
      </c>
      <c r="U164" s="42">
        <v>0</v>
      </c>
      <c r="W164" s="42">
        <v>0</v>
      </c>
      <c r="Y164" s="42">
        <v>0</v>
      </c>
      <c r="AA164" s="42">
        <v>0</v>
      </c>
      <c r="AC164" s="42">
        <v>0</v>
      </c>
      <c r="AE164" s="42">
        <v>0</v>
      </c>
      <c r="AG164" s="42">
        <v>0</v>
      </c>
      <c r="AI164" s="42">
        <v>0</v>
      </c>
      <c r="AK164" s="42">
        <v>0</v>
      </c>
      <c r="AL164" s="9" t="s">
        <v>654</v>
      </c>
      <c r="AM164" s="9"/>
      <c r="AN164" s="9" t="s">
        <v>40</v>
      </c>
      <c r="AP164" s="42">
        <v>0</v>
      </c>
      <c r="AR164" s="42">
        <v>0</v>
      </c>
      <c r="AV164" s="42">
        <v>0</v>
      </c>
      <c r="AX164" s="42">
        <v>0</v>
      </c>
      <c r="AZ164" s="42">
        <v>0</v>
      </c>
      <c r="BB164" s="42">
        <f t="shared" si="39"/>
        <v>0</v>
      </c>
      <c r="BD164" s="42">
        <v>0</v>
      </c>
      <c r="BF164" s="42">
        <v>0</v>
      </c>
      <c r="BH164" s="42">
        <v>0</v>
      </c>
      <c r="BJ164" s="42">
        <v>0</v>
      </c>
      <c r="BL164" s="42">
        <f t="shared" si="40"/>
        <v>0</v>
      </c>
      <c r="BN164" s="42">
        <f>+'Gen Fd Rev'!AM164-'Gen Fd Exp'!BL164</f>
        <v>0</v>
      </c>
      <c r="BP164" s="42">
        <v>0</v>
      </c>
      <c r="BR164" s="42">
        <v>0</v>
      </c>
      <c r="BT164" s="42">
        <v>0</v>
      </c>
      <c r="BV164" s="42">
        <f t="shared" si="38"/>
        <v>0</v>
      </c>
      <c r="BX164" s="5">
        <f>+BV164-'Gen Fd BS'!AI164+BT164</f>
        <v>0</v>
      </c>
    </row>
    <row r="165" spans="1:76">
      <c r="A165" s="9" t="s">
        <v>246</v>
      </c>
      <c r="B165" s="9"/>
      <c r="C165" s="9" t="s">
        <v>111</v>
      </c>
      <c r="D165" s="9"/>
      <c r="E165" s="23">
        <v>43919</v>
      </c>
      <c r="F165" s="7"/>
      <c r="G165" s="42">
        <v>9890069</v>
      </c>
      <c r="I165" s="42">
        <v>3122603</v>
      </c>
      <c r="K165" s="42">
        <v>1067939</v>
      </c>
      <c r="M165" s="42">
        <v>0</v>
      </c>
      <c r="O165" s="42">
        <f>4749+1799451</f>
        <v>1804200</v>
      </c>
      <c r="Q165" s="42">
        <v>1075672</v>
      </c>
      <c r="S165" s="42">
        <v>1102342</v>
      </c>
      <c r="U165" s="42">
        <v>117934</v>
      </c>
      <c r="W165" s="42">
        <v>1415479</v>
      </c>
      <c r="Y165" s="42">
        <v>534643</v>
      </c>
      <c r="AA165" s="42">
        <v>1450</v>
      </c>
      <c r="AC165" s="42">
        <v>2760661</v>
      </c>
      <c r="AE165" s="42">
        <v>1218342</v>
      </c>
      <c r="AG165" s="42">
        <v>34379</v>
      </c>
      <c r="AI165" s="42">
        <v>0</v>
      </c>
      <c r="AK165" s="42">
        <v>0</v>
      </c>
      <c r="AL165" s="9" t="s">
        <v>246</v>
      </c>
      <c r="AM165" s="9"/>
      <c r="AN165" s="9" t="s">
        <v>111</v>
      </c>
      <c r="AP165" s="42">
        <v>255715</v>
      </c>
      <c r="AR165" s="42">
        <v>26225</v>
      </c>
      <c r="AV165" s="42">
        <v>279000</v>
      </c>
      <c r="AX165" s="42">
        <v>70328</v>
      </c>
      <c r="AZ165" s="42">
        <v>0</v>
      </c>
      <c r="BB165" s="42">
        <f t="shared" si="39"/>
        <v>24776981</v>
      </c>
      <c r="BD165" s="42">
        <v>481449</v>
      </c>
      <c r="BF165" s="42">
        <v>0</v>
      </c>
      <c r="BH165" s="42">
        <v>0</v>
      </c>
      <c r="BJ165" s="42">
        <v>0</v>
      </c>
      <c r="BL165" s="42">
        <f t="shared" si="40"/>
        <v>25258430</v>
      </c>
      <c r="BN165" s="42">
        <f>+'Gen Fd Rev'!AM165-'Gen Fd Exp'!BL165</f>
        <v>-1926246</v>
      </c>
      <c r="BP165" s="42">
        <v>3638162</v>
      </c>
      <c r="BR165" s="42">
        <v>0</v>
      </c>
      <c r="BT165" s="42">
        <v>0</v>
      </c>
      <c r="BV165" s="42">
        <f t="shared" si="38"/>
        <v>1711916</v>
      </c>
      <c r="BX165" s="5">
        <f>+BV165-'Gen Fd BS'!AI165+BT165</f>
        <v>0</v>
      </c>
    </row>
    <row r="166" spans="1:76">
      <c r="A166" s="9" t="s">
        <v>440</v>
      </c>
      <c r="B166" s="9"/>
      <c r="C166" s="9" t="s">
        <v>51</v>
      </c>
      <c r="D166" s="9"/>
      <c r="E166" s="23">
        <v>48835</v>
      </c>
      <c r="G166" s="42">
        <v>8372267</v>
      </c>
      <c r="I166" s="42">
        <v>2074955</v>
      </c>
      <c r="K166" s="42">
        <v>218237</v>
      </c>
      <c r="M166" s="42">
        <v>0</v>
      </c>
      <c r="O166" s="42">
        <v>375675</v>
      </c>
      <c r="Q166" s="42">
        <v>458651</v>
      </c>
      <c r="S166" s="42">
        <v>319294</v>
      </c>
      <c r="U166" s="42">
        <v>38724</v>
      </c>
      <c r="W166" s="42">
        <v>1949241</v>
      </c>
      <c r="Y166" s="42">
        <v>415583</v>
      </c>
      <c r="AA166" s="42">
        <v>0</v>
      </c>
      <c r="AC166" s="42">
        <v>1557398</v>
      </c>
      <c r="AE166" s="42">
        <v>1207379</v>
      </c>
      <c r="AG166" s="42">
        <v>159595</v>
      </c>
      <c r="AI166" s="42">
        <v>0</v>
      </c>
      <c r="AK166" s="42">
        <v>0</v>
      </c>
      <c r="AL166" s="9" t="s">
        <v>440</v>
      </c>
      <c r="AM166" s="9"/>
      <c r="AN166" s="9" t="s">
        <v>51</v>
      </c>
      <c r="AP166" s="42">
        <v>294563</v>
      </c>
      <c r="AR166" s="42">
        <v>163016</v>
      </c>
      <c r="AV166" s="42">
        <v>72976</v>
      </c>
      <c r="AX166" s="42">
        <v>12502</v>
      </c>
      <c r="AZ166" s="42">
        <v>0</v>
      </c>
      <c r="BB166" s="42">
        <f t="shared" si="39"/>
        <v>17690056</v>
      </c>
      <c r="BD166" s="42">
        <v>0</v>
      </c>
      <c r="BF166" s="42">
        <v>0</v>
      </c>
      <c r="BH166" s="42">
        <v>0</v>
      </c>
      <c r="BJ166" s="42">
        <v>0</v>
      </c>
      <c r="BL166" s="42">
        <f t="shared" si="40"/>
        <v>17690056</v>
      </c>
      <c r="BN166" s="42">
        <f>+'Gen Fd Rev'!AM166-'Gen Fd Exp'!BL166</f>
        <v>-519089</v>
      </c>
      <c r="BP166" s="42">
        <v>5326356</v>
      </c>
      <c r="BR166" s="42">
        <v>0</v>
      </c>
      <c r="BT166" s="42">
        <v>0</v>
      </c>
      <c r="BV166" s="42">
        <f t="shared" si="38"/>
        <v>4807267</v>
      </c>
      <c r="BX166" s="5">
        <f>+BV166-'Gen Fd BS'!AI166+BT166</f>
        <v>0</v>
      </c>
    </row>
    <row r="167" spans="1:76">
      <c r="A167" s="9" t="s">
        <v>247</v>
      </c>
      <c r="B167" s="9"/>
      <c r="C167" s="9" t="s">
        <v>111</v>
      </c>
      <c r="D167" s="9"/>
      <c r="E167" s="23">
        <v>43927</v>
      </c>
      <c r="F167" s="7"/>
      <c r="G167" s="42">
        <v>3928393</v>
      </c>
      <c r="I167" s="42">
        <v>1625560</v>
      </c>
      <c r="K167" s="42">
        <v>40855</v>
      </c>
      <c r="M167" s="42">
        <v>0</v>
      </c>
      <c r="O167" s="42">
        <v>0</v>
      </c>
      <c r="Q167" s="42">
        <v>575968</v>
      </c>
      <c r="S167" s="42">
        <v>203525</v>
      </c>
      <c r="U167" s="42">
        <v>19169</v>
      </c>
      <c r="W167" s="42">
        <v>706820</v>
      </c>
      <c r="Y167" s="42">
        <v>255656</v>
      </c>
      <c r="AA167" s="42">
        <v>831682</v>
      </c>
      <c r="AC167" s="42">
        <v>991887</v>
      </c>
      <c r="AE167" s="42">
        <v>554094</v>
      </c>
      <c r="AG167" s="42">
        <v>0</v>
      </c>
      <c r="AI167" s="42">
        <v>0</v>
      </c>
      <c r="AK167" s="42">
        <v>1000</v>
      </c>
      <c r="AL167" s="9" t="s">
        <v>247</v>
      </c>
      <c r="AM167" s="9"/>
      <c r="AN167" s="9" t="s">
        <v>111</v>
      </c>
      <c r="AP167" s="42">
        <v>234392</v>
      </c>
      <c r="AR167" s="42">
        <v>0</v>
      </c>
      <c r="AV167" s="42">
        <v>0</v>
      </c>
      <c r="AX167" s="42">
        <v>0</v>
      </c>
      <c r="AZ167" s="42">
        <v>0</v>
      </c>
      <c r="BB167" s="42">
        <f t="shared" si="39"/>
        <v>9969001</v>
      </c>
      <c r="BD167" s="42">
        <v>0</v>
      </c>
      <c r="BF167" s="42">
        <v>0</v>
      </c>
      <c r="BH167" s="42">
        <v>0</v>
      </c>
      <c r="BJ167" s="42">
        <v>0</v>
      </c>
      <c r="BL167" s="42">
        <f t="shared" si="40"/>
        <v>9969001</v>
      </c>
      <c r="BN167" s="42">
        <f>+'Gen Fd Rev'!AM167-'Gen Fd Exp'!BL167</f>
        <v>109367</v>
      </c>
      <c r="BP167" s="42">
        <v>347429</v>
      </c>
      <c r="BR167" s="42">
        <v>0</v>
      </c>
      <c r="BT167" s="42">
        <v>0</v>
      </c>
      <c r="BV167" s="42">
        <f t="shared" si="38"/>
        <v>456796</v>
      </c>
      <c r="BX167" s="5">
        <f>+BV167-'Gen Fd BS'!AI167+BT167</f>
        <v>0</v>
      </c>
    </row>
    <row r="168" spans="1:76">
      <c r="A168" s="9" t="s">
        <v>217</v>
      </c>
      <c r="B168" s="9"/>
      <c r="C168" s="9" t="s">
        <v>77</v>
      </c>
      <c r="D168" s="9"/>
      <c r="E168" s="23">
        <v>46037</v>
      </c>
      <c r="F168" s="7"/>
      <c r="G168" s="42">
        <v>4401798</v>
      </c>
      <c r="I168" s="42">
        <v>1150736</v>
      </c>
      <c r="K168" s="42">
        <v>94079</v>
      </c>
      <c r="M168" s="42">
        <v>0</v>
      </c>
      <c r="O168" s="42">
        <v>1238475</v>
      </c>
      <c r="Q168" s="42">
        <v>362598</v>
      </c>
      <c r="S168" s="42">
        <v>843821</v>
      </c>
      <c r="U168" s="42">
        <v>24907</v>
      </c>
      <c r="W168" s="42">
        <v>1008350</v>
      </c>
      <c r="Y168" s="42">
        <v>425819</v>
      </c>
      <c r="AA168" s="42">
        <v>4745</v>
      </c>
      <c r="AC168" s="42">
        <v>878625</v>
      </c>
      <c r="AE168" s="42">
        <v>992248</v>
      </c>
      <c r="AG168" s="42">
        <v>45547</v>
      </c>
      <c r="AI168" s="42">
        <v>0</v>
      </c>
      <c r="AK168" s="42">
        <v>2952</v>
      </c>
      <c r="AL168" s="9" t="s">
        <v>217</v>
      </c>
      <c r="AM168" s="9"/>
      <c r="AN168" s="9" t="s">
        <v>77</v>
      </c>
      <c r="AP168" s="42">
        <v>128184</v>
      </c>
      <c r="AR168" s="42">
        <v>35172</v>
      </c>
      <c r="AV168" s="42">
        <v>0</v>
      </c>
      <c r="AX168" s="42">
        <v>0</v>
      </c>
      <c r="AZ168" s="42">
        <v>0</v>
      </c>
      <c r="BB168" s="42">
        <f t="shared" si="39"/>
        <v>11638056</v>
      </c>
      <c r="BD168" s="42">
        <v>0</v>
      </c>
      <c r="BF168" s="42">
        <v>0</v>
      </c>
      <c r="BH168" s="42">
        <v>0</v>
      </c>
      <c r="BJ168" s="42">
        <v>0</v>
      </c>
      <c r="BL168" s="42">
        <f t="shared" si="40"/>
        <v>11638056</v>
      </c>
      <c r="BN168" s="42">
        <f>+'Gen Fd Rev'!AM168-'Gen Fd Exp'!BL168</f>
        <v>715351</v>
      </c>
      <c r="BP168" s="42">
        <v>1271130</v>
      </c>
      <c r="BR168" s="42">
        <v>0</v>
      </c>
      <c r="BT168" s="42">
        <v>0</v>
      </c>
      <c r="BV168" s="42">
        <f t="shared" si="38"/>
        <v>1986481</v>
      </c>
      <c r="BX168" s="5">
        <f>+BV168-'Gen Fd BS'!AI168+BT168</f>
        <v>0</v>
      </c>
    </row>
    <row r="169" spans="1:76">
      <c r="A169" s="9" t="s">
        <v>217</v>
      </c>
      <c r="B169" s="9"/>
      <c r="C169" s="9" t="s">
        <v>417</v>
      </c>
      <c r="D169" s="9"/>
      <c r="E169" s="23">
        <v>48512</v>
      </c>
      <c r="F169" s="7"/>
      <c r="G169" s="42">
        <v>3825656</v>
      </c>
      <c r="I169" s="42">
        <v>504395</v>
      </c>
      <c r="K169" s="42">
        <v>0</v>
      </c>
      <c r="M169" s="42">
        <v>0</v>
      </c>
      <c r="O169" s="42">
        <f>11524+43</f>
        <v>11567</v>
      </c>
      <c r="Q169" s="42">
        <v>456876</v>
      </c>
      <c r="S169" s="42">
        <v>131000</v>
      </c>
      <c r="U169" s="42">
        <v>26641</v>
      </c>
      <c r="W169" s="42">
        <v>542178</v>
      </c>
      <c r="Y169" s="42">
        <v>250476</v>
      </c>
      <c r="AA169" s="42">
        <v>0</v>
      </c>
      <c r="AC169" s="42">
        <v>762432</v>
      </c>
      <c r="AE169" s="42">
        <v>658532</v>
      </c>
      <c r="AG169" s="42">
        <v>89115</v>
      </c>
      <c r="AI169" s="42">
        <v>0</v>
      </c>
      <c r="AK169" s="42">
        <v>5813</v>
      </c>
      <c r="AL169" s="9" t="s">
        <v>217</v>
      </c>
      <c r="AM169" s="9"/>
      <c r="AN169" s="9" t="s">
        <v>417</v>
      </c>
      <c r="AP169" s="42">
        <v>150630</v>
      </c>
      <c r="AR169" s="42">
        <v>72049</v>
      </c>
      <c r="AV169" s="42">
        <v>0</v>
      </c>
      <c r="AX169" s="42">
        <v>0</v>
      </c>
      <c r="AZ169" s="42">
        <v>0</v>
      </c>
      <c r="BB169" s="42">
        <f t="shared" si="39"/>
        <v>7487360</v>
      </c>
      <c r="BD169" s="42">
        <v>250000</v>
      </c>
      <c r="BF169" s="42">
        <v>0</v>
      </c>
      <c r="BH169" s="42">
        <v>0</v>
      </c>
      <c r="BJ169" s="42">
        <v>0</v>
      </c>
      <c r="BL169" s="42">
        <f t="shared" si="40"/>
        <v>7737360</v>
      </c>
      <c r="BN169" s="42">
        <f>+'Gen Fd Rev'!AM169-'Gen Fd Exp'!BL169</f>
        <v>-264499</v>
      </c>
      <c r="BP169" s="42">
        <v>981746</v>
      </c>
      <c r="BR169" s="42">
        <v>0</v>
      </c>
      <c r="BT169" s="42">
        <v>0</v>
      </c>
      <c r="BV169" s="42">
        <f t="shared" si="38"/>
        <v>717247</v>
      </c>
      <c r="BX169" s="5">
        <f>+BV169-'Gen Fd BS'!AI169+BT169</f>
        <v>0</v>
      </c>
    </row>
    <row r="170" spans="1:76" hidden="1">
      <c r="A170" s="9" t="s">
        <v>655</v>
      </c>
      <c r="B170" s="9"/>
      <c r="C170" s="9" t="s">
        <v>55</v>
      </c>
      <c r="D170" s="9"/>
      <c r="E170" s="23">
        <v>49122</v>
      </c>
      <c r="G170" s="42">
        <v>0</v>
      </c>
      <c r="I170" s="42">
        <v>0</v>
      </c>
      <c r="K170" s="42">
        <v>0</v>
      </c>
      <c r="M170" s="42">
        <v>0</v>
      </c>
      <c r="O170" s="42">
        <v>0</v>
      </c>
      <c r="Q170" s="42">
        <v>0</v>
      </c>
      <c r="S170" s="42">
        <v>0</v>
      </c>
      <c r="U170" s="42">
        <v>0</v>
      </c>
      <c r="W170" s="42">
        <v>0</v>
      </c>
      <c r="Y170" s="42">
        <v>0</v>
      </c>
      <c r="AA170" s="42">
        <v>0</v>
      </c>
      <c r="AC170" s="42">
        <v>0</v>
      </c>
      <c r="AE170" s="42">
        <v>0</v>
      </c>
      <c r="AG170" s="42">
        <v>0</v>
      </c>
      <c r="AI170" s="42">
        <v>0</v>
      </c>
      <c r="AK170" s="42">
        <v>0</v>
      </c>
      <c r="AL170" s="9" t="s">
        <v>655</v>
      </c>
      <c r="AM170" s="9"/>
      <c r="AN170" s="9" t="s">
        <v>55</v>
      </c>
      <c r="AP170" s="42">
        <v>0</v>
      </c>
      <c r="AR170" s="42">
        <v>0</v>
      </c>
      <c r="AV170" s="42">
        <v>0</v>
      </c>
      <c r="AX170" s="42">
        <v>0</v>
      </c>
      <c r="AZ170" s="42">
        <v>0</v>
      </c>
      <c r="BB170" s="42">
        <f t="shared" si="39"/>
        <v>0</v>
      </c>
      <c r="BD170" s="42">
        <v>0</v>
      </c>
      <c r="BF170" s="42">
        <v>0</v>
      </c>
      <c r="BH170" s="42">
        <v>0</v>
      </c>
      <c r="BJ170" s="42">
        <v>0</v>
      </c>
      <c r="BL170" s="42">
        <f t="shared" si="40"/>
        <v>0</v>
      </c>
      <c r="BN170" s="42">
        <f>+'Gen Fd Rev'!AM170-'Gen Fd Exp'!BL170</f>
        <v>0</v>
      </c>
      <c r="BP170" s="42">
        <v>0</v>
      </c>
      <c r="BR170" s="42">
        <v>0</v>
      </c>
      <c r="BT170" s="42">
        <v>0</v>
      </c>
      <c r="BV170" s="42">
        <f t="shared" si="38"/>
        <v>0</v>
      </c>
      <c r="BX170" s="5">
        <f>+BV170-'Gen Fd BS'!AI170+BT170</f>
        <v>0</v>
      </c>
    </row>
    <row r="171" spans="1:76">
      <c r="A171" s="9" t="s">
        <v>550</v>
      </c>
      <c r="B171" s="9"/>
      <c r="C171" s="9" t="s">
        <v>72</v>
      </c>
      <c r="D171" s="9"/>
      <c r="E171" s="23">
        <v>50674</v>
      </c>
      <c r="G171" s="42">
        <v>7443728</v>
      </c>
      <c r="I171" s="42">
        <v>1359835</v>
      </c>
      <c r="K171" s="42">
        <v>152856</v>
      </c>
      <c r="M171" s="42">
        <v>0</v>
      </c>
      <c r="O171" s="42">
        <v>0</v>
      </c>
      <c r="Q171" s="42">
        <v>451862</v>
      </c>
      <c r="S171" s="42">
        <v>520257</v>
      </c>
      <c r="U171" s="42">
        <v>33067</v>
      </c>
      <c r="W171" s="42">
        <v>1232171</v>
      </c>
      <c r="Y171" s="42">
        <v>519260</v>
      </c>
      <c r="AA171" s="42">
        <v>0</v>
      </c>
      <c r="AC171" s="42">
        <v>1086943</v>
      </c>
      <c r="AE171" s="42">
        <v>946770</v>
      </c>
      <c r="AG171" s="42">
        <v>0</v>
      </c>
      <c r="AI171" s="42">
        <v>0</v>
      </c>
      <c r="AK171" s="42">
        <v>0</v>
      </c>
      <c r="AL171" s="9" t="s">
        <v>550</v>
      </c>
      <c r="AM171" s="9"/>
      <c r="AN171" s="9" t="s">
        <v>72</v>
      </c>
      <c r="AP171" s="42">
        <v>376748</v>
      </c>
      <c r="AR171" s="42">
        <v>0</v>
      </c>
      <c r="AV171" s="42">
        <v>0</v>
      </c>
      <c r="AX171" s="42">
        <v>0</v>
      </c>
      <c r="AZ171" s="42">
        <v>0</v>
      </c>
      <c r="BB171" s="42">
        <f t="shared" si="39"/>
        <v>14123497</v>
      </c>
      <c r="BD171" s="42">
        <v>4681</v>
      </c>
      <c r="BF171" s="42">
        <v>0</v>
      </c>
      <c r="BH171" s="42">
        <v>0</v>
      </c>
      <c r="BJ171" s="42">
        <v>0</v>
      </c>
      <c r="BL171" s="42">
        <f t="shared" si="40"/>
        <v>14128178</v>
      </c>
      <c r="BN171" s="42">
        <f>+'Gen Fd Rev'!AM171-'Gen Fd Exp'!BL171</f>
        <v>528719</v>
      </c>
      <c r="BP171" s="42">
        <v>8836749</v>
      </c>
      <c r="BR171" s="42">
        <v>0</v>
      </c>
      <c r="BT171" s="42">
        <v>0</v>
      </c>
      <c r="BV171" s="42">
        <f t="shared" si="38"/>
        <v>9365468</v>
      </c>
      <c r="BX171" s="5">
        <f>+BV171-'Gen Fd BS'!AI171+BT171</f>
        <v>0</v>
      </c>
    </row>
    <row r="172" spans="1:76" hidden="1">
      <c r="A172" s="8" t="s">
        <v>858</v>
      </c>
      <c r="B172" s="9"/>
      <c r="C172" s="9" t="s">
        <v>57</v>
      </c>
      <c r="D172" s="9"/>
      <c r="E172" s="23">
        <v>43935</v>
      </c>
      <c r="G172" s="42">
        <v>0</v>
      </c>
      <c r="I172" s="42">
        <v>0</v>
      </c>
      <c r="K172" s="42">
        <v>0</v>
      </c>
      <c r="M172" s="42">
        <v>0</v>
      </c>
      <c r="O172" s="42">
        <v>0</v>
      </c>
      <c r="Q172" s="42">
        <v>0</v>
      </c>
      <c r="S172" s="42">
        <v>0</v>
      </c>
      <c r="U172" s="42">
        <v>0</v>
      </c>
      <c r="W172" s="42">
        <v>0</v>
      </c>
      <c r="Y172" s="42">
        <v>0</v>
      </c>
      <c r="AA172" s="42">
        <v>0</v>
      </c>
      <c r="AC172" s="42">
        <v>0</v>
      </c>
      <c r="AE172" s="42">
        <v>0</v>
      </c>
      <c r="AG172" s="42">
        <v>0</v>
      </c>
      <c r="AI172" s="42">
        <v>0</v>
      </c>
      <c r="AK172" s="42">
        <v>0</v>
      </c>
      <c r="AL172" s="8" t="s">
        <v>858</v>
      </c>
      <c r="AM172" s="9"/>
      <c r="AN172" s="9" t="s">
        <v>57</v>
      </c>
      <c r="AP172" s="42">
        <v>0</v>
      </c>
      <c r="AR172" s="42">
        <v>0</v>
      </c>
      <c r="AV172" s="42">
        <v>0</v>
      </c>
      <c r="AX172" s="42">
        <v>0</v>
      </c>
      <c r="AZ172" s="42">
        <v>0</v>
      </c>
      <c r="BB172" s="42">
        <f t="shared" si="39"/>
        <v>0</v>
      </c>
      <c r="BD172" s="42">
        <v>0</v>
      </c>
      <c r="BF172" s="42">
        <v>0</v>
      </c>
      <c r="BH172" s="42">
        <v>0</v>
      </c>
      <c r="BJ172" s="42">
        <v>0</v>
      </c>
      <c r="BL172" s="42">
        <f t="shared" si="40"/>
        <v>0</v>
      </c>
      <c r="BN172" s="42">
        <f>+'Gen Fd Rev'!AM172-'Gen Fd Exp'!BL172</f>
        <v>0</v>
      </c>
      <c r="BP172" s="42">
        <v>0</v>
      </c>
      <c r="BR172" s="42">
        <v>0</v>
      </c>
      <c r="BT172" s="42">
        <v>0</v>
      </c>
      <c r="BV172" s="42">
        <f t="shared" si="38"/>
        <v>0</v>
      </c>
      <c r="BX172" s="5">
        <f>+BV172-'Gen Fd BS'!AI172+BT172</f>
        <v>0</v>
      </c>
    </row>
    <row r="173" spans="1:76" hidden="1">
      <c r="A173" s="9" t="s">
        <v>656</v>
      </c>
      <c r="B173" s="9"/>
      <c r="C173" s="9" t="s">
        <v>548</v>
      </c>
      <c r="D173" s="9"/>
      <c r="E173" s="23">
        <v>50617</v>
      </c>
      <c r="G173" s="42">
        <v>0</v>
      </c>
      <c r="I173" s="42">
        <v>0</v>
      </c>
      <c r="K173" s="42">
        <v>0</v>
      </c>
      <c r="M173" s="42">
        <v>0</v>
      </c>
      <c r="O173" s="42">
        <v>0</v>
      </c>
      <c r="Q173" s="42">
        <v>0</v>
      </c>
      <c r="S173" s="42">
        <v>0</v>
      </c>
      <c r="U173" s="42">
        <v>0</v>
      </c>
      <c r="W173" s="42">
        <v>0</v>
      </c>
      <c r="Y173" s="42">
        <v>0</v>
      </c>
      <c r="AA173" s="42">
        <v>0</v>
      </c>
      <c r="AC173" s="42">
        <v>0</v>
      </c>
      <c r="AE173" s="42">
        <v>0</v>
      </c>
      <c r="AG173" s="42">
        <v>0</v>
      </c>
      <c r="AI173" s="42">
        <v>0</v>
      </c>
      <c r="AK173" s="42">
        <v>0</v>
      </c>
      <c r="AL173" s="9" t="s">
        <v>656</v>
      </c>
      <c r="AM173" s="9"/>
      <c r="AN173" s="9" t="s">
        <v>548</v>
      </c>
      <c r="AP173" s="42">
        <v>0</v>
      </c>
      <c r="AR173" s="42">
        <v>0</v>
      </c>
      <c r="AV173" s="42">
        <v>0</v>
      </c>
      <c r="AX173" s="42">
        <v>0</v>
      </c>
      <c r="AZ173" s="42">
        <v>0</v>
      </c>
      <c r="BB173" s="42">
        <f t="shared" si="39"/>
        <v>0</v>
      </c>
      <c r="BD173" s="42">
        <v>0</v>
      </c>
      <c r="BF173" s="42">
        <v>0</v>
      </c>
      <c r="BH173" s="42">
        <v>0</v>
      </c>
      <c r="BJ173" s="42">
        <v>0</v>
      </c>
      <c r="BL173" s="42">
        <f t="shared" si="40"/>
        <v>0</v>
      </c>
      <c r="BN173" s="42">
        <f>+'Gen Fd Rev'!AM173-'Gen Fd Exp'!BL173</f>
        <v>0</v>
      </c>
      <c r="BP173" s="42">
        <v>0</v>
      </c>
      <c r="BR173" s="42">
        <v>0</v>
      </c>
      <c r="BT173" s="42">
        <v>0</v>
      </c>
      <c r="BV173" s="42">
        <f t="shared" si="38"/>
        <v>0</v>
      </c>
      <c r="BX173" s="5">
        <f>+BV173-'Gen Fd BS'!AI173+BT173</f>
        <v>0</v>
      </c>
    </row>
    <row r="174" spans="1:76">
      <c r="A174" s="9" t="s">
        <v>657</v>
      </c>
      <c r="B174" s="9"/>
      <c r="C174" s="9" t="s">
        <v>220</v>
      </c>
      <c r="D174" s="9"/>
      <c r="E174" s="23">
        <v>46094</v>
      </c>
      <c r="F174" s="7"/>
      <c r="G174" s="42">
        <v>13843708</v>
      </c>
      <c r="I174" s="42">
        <v>2995908</v>
      </c>
      <c r="K174" s="42">
        <v>0</v>
      </c>
      <c r="M174" s="42">
        <v>0</v>
      </c>
      <c r="O174" s="42">
        <v>74670</v>
      </c>
      <c r="Q174" s="42">
        <v>1656416</v>
      </c>
      <c r="S174" s="42">
        <v>3082209</v>
      </c>
      <c r="U174" s="42">
        <v>296181</v>
      </c>
      <c r="W174" s="42">
        <v>1300224</v>
      </c>
      <c r="Y174" s="42">
        <v>750542</v>
      </c>
      <c r="AA174" s="42">
        <v>30634</v>
      </c>
      <c r="AC174" s="42">
        <v>2660234</v>
      </c>
      <c r="AE174" s="42">
        <v>1347404</v>
      </c>
      <c r="AG174" s="42">
        <v>200956</v>
      </c>
      <c r="AI174" s="42">
        <v>0</v>
      </c>
      <c r="AK174" s="42">
        <v>11098</v>
      </c>
      <c r="AL174" s="9" t="s">
        <v>657</v>
      </c>
      <c r="AM174" s="9"/>
      <c r="AN174" s="9" t="s">
        <v>220</v>
      </c>
      <c r="AP174" s="42">
        <v>363579</v>
      </c>
      <c r="AR174" s="42">
        <v>0</v>
      </c>
      <c r="AV174" s="42">
        <v>94890</v>
      </c>
      <c r="AX174" s="42">
        <v>16734</v>
      </c>
      <c r="AZ174" s="42">
        <v>0</v>
      </c>
      <c r="BB174" s="42">
        <f t="shared" si="39"/>
        <v>28725387</v>
      </c>
      <c r="BD174" s="42">
        <v>0</v>
      </c>
      <c r="BF174" s="42">
        <v>0</v>
      </c>
      <c r="BH174" s="42">
        <v>0</v>
      </c>
      <c r="BJ174" s="42">
        <v>0</v>
      </c>
      <c r="BL174" s="42">
        <f t="shared" si="40"/>
        <v>28725387</v>
      </c>
      <c r="BN174" s="42">
        <f>+'Gen Fd Rev'!AM174-'Gen Fd Exp'!BL174</f>
        <v>3290394</v>
      </c>
      <c r="BP174" s="42">
        <v>459292</v>
      </c>
      <c r="BR174" s="42">
        <v>0</v>
      </c>
      <c r="BT174" s="42">
        <v>0</v>
      </c>
      <c r="BV174" s="42">
        <f t="shared" si="38"/>
        <v>3749686</v>
      </c>
      <c r="BX174" s="5">
        <f>+BV174-'Gen Fd BS'!AI174+BT174</f>
        <v>0</v>
      </c>
    </row>
    <row r="175" spans="1:76">
      <c r="A175" s="9" t="s">
        <v>360</v>
      </c>
      <c r="B175" s="9"/>
      <c r="C175" s="9" t="s">
        <v>24</v>
      </c>
      <c r="D175" s="9"/>
      <c r="E175" s="23">
        <v>46789</v>
      </c>
      <c r="G175" s="42">
        <v>6444239</v>
      </c>
      <c r="I175" s="42">
        <v>2046824</v>
      </c>
      <c r="K175" s="42">
        <v>75456</v>
      </c>
      <c r="M175" s="42">
        <v>0</v>
      </c>
      <c r="O175" s="42">
        <v>961936</v>
      </c>
      <c r="Q175" s="42">
        <v>444816</v>
      </c>
      <c r="S175" s="42">
        <v>489925</v>
      </c>
      <c r="U175" s="42">
        <v>102760</v>
      </c>
      <c r="W175" s="42">
        <v>1162022</v>
      </c>
      <c r="Y175" s="42">
        <v>251281</v>
      </c>
      <c r="AA175" s="42">
        <v>0</v>
      </c>
      <c r="AC175" s="42">
        <v>1091061</v>
      </c>
      <c r="AE175" s="42">
        <v>843218</v>
      </c>
      <c r="AG175" s="42">
        <v>105251</v>
      </c>
      <c r="AI175" s="42">
        <v>0</v>
      </c>
      <c r="AK175" s="42">
        <v>1179</v>
      </c>
      <c r="AL175" s="9" t="s">
        <v>360</v>
      </c>
      <c r="AM175" s="9"/>
      <c r="AN175" s="9" t="s">
        <v>24</v>
      </c>
      <c r="AP175" s="42">
        <v>529583</v>
      </c>
      <c r="AR175" s="42">
        <v>0</v>
      </c>
      <c r="AV175" s="42">
        <v>30354</v>
      </c>
      <c r="AX175" s="42">
        <v>4144</v>
      </c>
      <c r="AZ175" s="42">
        <v>0</v>
      </c>
      <c r="BB175" s="42">
        <f t="shared" ref="BB175" si="41">SUM(G175:AZ175)</f>
        <v>14584049</v>
      </c>
      <c r="BD175" s="42">
        <v>0</v>
      </c>
      <c r="BF175" s="42">
        <v>0</v>
      </c>
      <c r="BH175" s="42">
        <v>0</v>
      </c>
      <c r="BJ175" s="42">
        <v>0</v>
      </c>
      <c r="BL175" s="42">
        <f t="shared" ref="BL175" si="42">+BB175+BD175+BF175+BJ175</f>
        <v>14584049</v>
      </c>
      <c r="BN175" s="42">
        <f>+'Gen Fd Rev'!AM175-'Gen Fd Exp'!BL175</f>
        <v>-935805</v>
      </c>
      <c r="BP175" s="42">
        <v>2724919</v>
      </c>
      <c r="BR175" s="42">
        <v>-1340</v>
      </c>
      <c r="BT175" s="42">
        <v>0</v>
      </c>
      <c r="BV175" s="42">
        <f t="shared" ref="BV175" si="43">+BP175+BN175-BR175</f>
        <v>1790454</v>
      </c>
      <c r="BX175" s="5">
        <f>+BV175-'Gen Fd BS'!AI175+BT175</f>
        <v>0</v>
      </c>
    </row>
    <row r="176" spans="1:76">
      <c r="A176" s="9" t="s">
        <v>360</v>
      </c>
      <c r="B176" s="9"/>
      <c r="C176" s="9" t="s">
        <v>39</v>
      </c>
      <c r="D176" s="9"/>
      <c r="E176" s="23">
        <v>47795</v>
      </c>
      <c r="G176" s="42">
        <v>6485351</v>
      </c>
      <c r="I176" s="42">
        <v>1257542</v>
      </c>
      <c r="K176" s="42">
        <v>126125</v>
      </c>
      <c r="M176" s="42">
        <v>0</v>
      </c>
      <c r="O176" s="42">
        <v>2837278</v>
      </c>
      <c r="Q176" s="42">
        <v>483212</v>
      </c>
      <c r="S176" s="42">
        <v>443523</v>
      </c>
      <c r="U176" s="42">
        <v>153817</v>
      </c>
      <c r="W176" s="42">
        <v>1292352</v>
      </c>
      <c r="Y176" s="42">
        <v>546870</v>
      </c>
      <c r="AA176" s="42">
        <v>26594</v>
      </c>
      <c r="AC176" s="42">
        <v>1355331</v>
      </c>
      <c r="AE176" s="42">
        <v>1471121</v>
      </c>
      <c r="AG176" s="42">
        <v>219029</v>
      </c>
      <c r="AI176" s="42">
        <v>0</v>
      </c>
      <c r="AK176" s="42">
        <v>62995</v>
      </c>
      <c r="AL176" s="9" t="s">
        <v>360</v>
      </c>
      <c r="AM176" s="9"/>
      <c r="AN176" s="9" t="s">
        <v>39</v>
      </c>
      <c r="AP176" s="42">
        <v>187408</v>
      </c>
      <c r="AR176" s="42">
        <v>0</v>
      </c>
      <c r="AV176" s="42">
        <v>44233</v>
      </c>
      <c r="AX176" s="42">
        <v>9923</v>
      </c>
      <c r="AZ176" s="42">
        <v>0</v>
      </c>
      <c r="BB176" s="42">
        <f t="shared" si="39"/>
        <v>17002704</v>
      </c>
      <c r="BD176" s="42">
        <v>0</v>
      </c>
      <c r="BF176" s="42">
        <v>0</v>
      </c>
      <c r="BH176" s="42">
        <v>0</v>
      </c>
      <c r="BJ176" s="42">
        <v>0</v>
      </c>
      <c r="BL176" s="42">
        <f t="shared" si="40"/>
        <v>17002704</v>
      </c>
      <c r="BN176" s="42">
        <f>+'Gen Fd Rev'!AM176-'Gen Fd Exp'!BL176</f>
        <v>1380099</v>
      </c>
      <c r="BP176" s="42">
        <v>-740346</v>
      </c>
      <c r="BR176" s="42">
        <v>0</v>
      </c>
      <c r="BT176" s="42">
        <v>0</v>
      </c>
      <c r="BV176" s="42">
        <f t="shared" si="38"/>
        <v>639753</v>
      </c>
      <c r="BX176" s="5">
        <f>+BV176-'Gen Fd BS'!AI176+BT176</f>
        <v>0</v>
      </c>
    </row>
    <row r="177" spans="1:76" hidden="1">
      <c r="A177" s="9" t="s">
        <v>859</v>
      </c>
      <c r="B177" s="9"/>
      <c r="C177" s="9" t="s">
        <v>548</v>
      </c>
      <c r="D177" s="9"/>
      <c r="E177" s="23">
        <v>50625</v>
      </c>
      <c r="G177" s="42">
        <v>0</v>
      </c>
      <c r="I177" s="42">
        <v>0</v>
      </c>
      <c r="K177" s="42">
        <v>0</v>
      </c>
      <c r="M177" s="42">
        <v>0</v>
      </c>
      <c r="O177" s="42">
        <v>0</v>
      </c>
      <c r="Q177" s="42">
        <v>0</v>
      </c>
      <c r="S177" s="42">
        <v>0</v>
      </c>
      <c r="U177" s="42">
        <v>0</v>
      </c>
      <c r="W177" s="42">
        <v>0</v>
      </c>
      <c r="Y177" s="42">
        <v>0</v>
      </c>
      <c r="AA177" s="42">
        <v>0</v>
      </c>
      <c r="AC177" s="42">
        <v>0</v>
      </c>
      <c r="AE177" s="42">
        <v>0</v>
      </c>
      <c r="AG177" s="42">
        <v>0</v>
      </c>
      <c r="AI177" s="42">
        <v>0</v>
      </c>
      <c r="AK177" s="42">
        <v>0</v>
      </c>
      <c r="AL177" s="9" t="s">
        <v>859</v>
      </c>
      <c r="AM177" s="9"/>
      <c r="AN177" s="9" t="s">
        <v>548</v>
      </c>
      <c r="AP177" s="42">
        <v>0</v>
      </c>
      <c r="AR177" s="42">
        <v>0</v>
      </c>
      <c r="AV177" s="42">
        <v>0</v>
      </c>
      <c r="AX177" s="42">
        <v>0</v>
      </c>
      <c r="AZ177" s="42">
        <v>0</v>
      </c>
      <c r="BB177" s="42">
        <f t="shared" si="39"/>
        <v>0</v>
      </c>
      <c r="BD177" s="42">
        <v>0</v>
      </c>
      <c r="BF177" s="42">
        <v>0</v>
      </c>
      <c r="BH177" s="42">
        <v>0</v>
      </c>
      <c r="BJ177" s="42">
        <v>0</v>
      </c>
      <c r="BL177" s="42">
        <f t="shared" si="40"/>
        <v>0</v>
      </c>
      <c r="BN177" s="42">
        <f>+'Gen Fd Rev'!AM177-'Gen Fd Exp'!BL177</f>
        <v>0</v>
      </c>
      <c r="BP177" s="42">
        <v>0</v>
      </c>
      <c r="BR177" s="42">
        <v>0</v>
      </c>
      <c r="BT177" s="42">
        <v>0</v>
      </c>
      <c r="BV177" s="42">
        <f t="shared" si="38"/>
        <v>0</v>
      </c>
      <c r="BX177" s="5">
        <f>+BV177-'Gen Fd BS'!AI177+BT177</f>
        <v>0</v>
      </c>
    </row>
    <row r="178" spans="1:76">
      <c r="A178" s="9" t="s">
        <v>672</v>
      </c>
      <c r="B178" s="9"/>
      <c r="C178" s="9" t="s">
        <v>46</v>
      </c>
      <c r="D178" s="9"/>
      <c r="E178" s="23">
        <v>48413</v>
      </c>
      <c r="G178" s="42">
        <v>6484276</v>
      </c>
      <c r="I178" s="42">
        <v>1263956</v>
      </c>
      <c r="K178" s="42">
        <v>110175</v>
      </c>
      <c r="M178" s="42">
        <v>0</v>
      </c>
      <c r="O178" s="42">
        <v>0</v>
      </c>
      <c r="Q178" s="42">
        <v>430257</v>
      </c>
      <c r="S178" s="42">
        <v>245192</v>
      </c>
      <c r="U178" s="42">
        <v>29747</v>
      </c>
      <c r="W178" s="42">
        <v>1040592</v>
      </c>
      <c r="Y178" s="42">
        <v>405114</v>
      </c>
      <c r="AA178" s="42">
        <v>16309</v>
      </c>
      <c r="AC178" s="42">
        <v>777060</v>
      </c>
      <c r="AE178" s="42">
        <v>814131</v>
      </c>
      <c r="AG178" s="42">
        <v>121138</v>
      </c>
      <c r="AI178" s="42">
        <v>0</v>
      </c>
      <c r="AK178" s="42">
        <v>0</v>
      </c>
      <c r="AL178" s="9" t="s">
        <v>672</v>
      </c>
      <c r="AM178" s="9"/>
      <c r="AN178" s="9" t="s">
        <v>46</v>
      </c>
      <c r="AP178" s="42">
        <v>261411</v>
      </c>
      <c r="AR178" s="42">
        <v>12550</v>
      </c>
      <c r="AV178" s="42">
        <v>16857</v>
      </c>
      <c r="AX178" s="42">
        <v>2357</v>
      </c>
      <c r="AZ178" s="42">
        <v>0</v>
      </c>
      <c r="BB178" s="42">
        <f t="shared" si="39"/>
        <v>12031122</v>
      </c>
      <c r="BD178" s="42">
        <v>0</v>
      </c>
      <c r="BF178" s="42">
        <v>0</v>
      </c>
      <c r="BH178" s="42">
        <v>0</v>
      </c>
      <c r="BJ178" s="42">
        <v>0</v>
      </c>
      <c r="BL178" s="42">
        <f t="shared" si="40"/>
        <v>12031122</v>
      </c>
      <c r="BN178" s="42">
        <f>+'Gen Fd Rev'!AM178-'Gen Fd Exp'!BL178</f>
        <v>704428</v>
      </c>
      <c r="BP178" s="42">
        <v>4650035</v>
      </c>
      <c r="BR178" s="42">
        <v>0</v>
      </c>
      <c r="BT178" s="42">
        <v>0</v>
      </c>
      <c r="BV178" s="42">
        <f t="shared" si="38"/>
        <v>5354463</v>
      </c>
      <c r="BX178" s="5">
        <f>+BV178-'Gen Fd BS'!AI178+BT178</f>
        <v>0</v>
      </c>
    </row>
    <row r="179" spans="1:76" hidden="1">
      <c r="A179" s="9" t="s">
        <v>658</v>
      </c>
      <c r="B179" s="9"/>
      <c r="C179" s="9" t="s">
        <v>10</v>
      </c>
      <c r="D179" s="9"/>
      <c r="E179" s="23">
        <v>45773</v>
      </c>
      <c r="G179" s="42">
        <v>0</v>
      </c>
      <c r="I179" s="42">
        <v>0</v>
      </c>
      <c r="K179" s="42">
        <v>0</v>
      </c>
      <c r="M179" s="42">
        <v>0</v>
      </c>
      <c r="O179" s="42">
        <v>0</v>
      </c>
      <c r="Q179" s="42">
        <v>0</v>
      </c>
      <c r="S179" s="42">
        <v>0</v>
      </c>
      <c r="U179" s="42">
        <v>0</v>
      </c>
      <c r="W179" s="42">
        <v>0</v>
      </c>
      <c r="Y179" s="42">
        <v>0</v>
      </c>
      <c r="AA179" s="42">
        <v>0</v>
      </c>
      <c r="AC179" s="42">
        <v>0</v>
      </c>
      <c r="AE179" s="42">
        <v>0</v>
      </c>
      <c r="AG179" s="42">
        <v>0</v>
      </c>
      <c r="AI179" s="42">
        <v>0</v>
      </c>
      <c r="AK179" s="42">
        <v>0</v>
      </c>
      <c r="AL179" s="9" t="s">
        <v>658</v>
      </c>
      <c r="AM179" s="9"/>
      <c r="AN179" s="9" t="s">
        <v>10</v>
      </c>
      <c r="AP179" s="42">
        <v>0</v>
      </c>
      <c r="AR179" s="42">
        <v>0</v>
      </c>
      <c r="AV179" s="42">
        <v>0</v>
      </c>
      <c r="AX179" s="42">
        <v>0</v>
      </c>
      <c r="AZ179" s="42">
        <v>0</v>
      </c>
      <c r="BB179" s="42">
        <f t="shared" si="39"/>
        <v>0</v>
      </c>
      <c r="BD179" s="42">
        <v>0</v>
      </c>
      <c r="BF179" s="42">
        <v>0</v>
      </c>
      <c r="BH179" s="42">
        <v>0</v>
      </c>
      <c r="BJ179" s="42">
        <v>0</v>
      </c>
      <c r="BL179" s="42">
        <f t="shared" si="40"/>
        <v>0</v>
      </c>
      <c r="BN179" s="42">
        <f>+'Gen Fd Rev'!AM179-'Gen Fd Exp'!BL179</f>
        <v>0</v>
      </c>
      <c r="BP179" s="42">
        <v>0</v>
      </c>
      <c r="BR179" s="42">
        <v>0</v>
      </c>
      <c r="BT179" s="42">
        <v>0</v>
      </c>
      <c r="BV179" s="42">
        <f t="shared" si="38"/>
        <v>0</v>
      </c>
      <c r="BX179" s="5">
        <f>+BV179-'Gen Fd BS'!AI179+BT179</f>
        <v>0</v>
      </c>
    </row>
    <row r="180" spans="1:76" hidden="1">
      <c r="A180" s="9" t="s">
        <v>687</v>
      </c>
      <c r="B180" s="9"/>
      <c r="C180" s="9" t="s">
        <v>72</v>
      </c>
      <c r="D180" s="9"/>
      <c r="E180" s="23">
        <v>50682</v>
      </c>
      <c r="G180" s="42">
        <v>0</v>
      </c>
      <c r="I180" s="42">
        <v>0</v>
      </c>
      <c r="K180" s="42">
        <v>0</v>
      </c>
      <c r="M180" s="42">
        <v>0</v>
      </c>
      <c r="O180" s="42">
        <v>0</v>
      </c>
      <c r="Q180" s="42">
        <v>0</v>
      </c>
      <c r="S180" s="42">
        <v>0</v>
      </c>
      <c r="U180" s="42">
        <v>0</v>
      </c>
      <c r="W180" s="42">
        <v>0</v>
      </c>
      <c r="Y180" s="42">
        <v>0</v>
      </c>
      <c r="AA180" s="42">
        <v>0</v>
      </c>
      <c r="AC180" s="42">
        <v>0</v>
      </c>
      <c r="AE180" s="42">
        <v>0</v>
      </c>
      <c r="AG180" s="42">
        <v>0</v>
      </c>
      <c r="AI180" s="42">
        <v>0</v>
      </c>
      <c r="AK180" s="42">
        <v>0</v>
      </c>
      <c r="AL180" s="9" t="s">
        <v>687</v>
      </c>
      <c r="AM180" s="9"/>
      <c r="AN180" s="9" t="s">
        <v>72</v>
      </c>
      <c r="AP180" s="42">
        <v>0</v>
      </c>
      <c r="AR180" s="42">
        <v>0</v>
      </c>
      <c r="AV180" s="42">
        <v>0</v>
      </c>
      <c r="AX180" s="42">
        <v>0</v>
      </c>
      <c r="AZ180" s="42">
        <v>0</v>
      </c>
      <c r="BB180" s="42">
        <f t="shared" ref="BB180" si="44">SUM(G180:AZ180)</f>
        <v>0</v>
      </c>
      <c r="BD180" s="42">
        <v>0</v>
      </c>
      <c r="BF180" s="42">
        <v>0</v>
      </c>
      <c r="BH180" s="42">
        <v>0</v>
      </c>
      <c r="BJ180" s="42">
        <v>0</v>
      </c>
      <c r="BL180" s="42">
        <f t="shared" ref="BL180" si="45">+BB180+BD180+BF180+BJ180</f>
        <v>0</v>
      </c>
      <c r="BN180" s="42">
        <f>+'Gen Fd Rev'!AM180-'Gen Fd Exp'!BL180</f>
        <v>0</v>
      </c>
      <c r="BP180" s="42">
        <v>0</v>
      </c>
      <c r="BR180" s="42">
        <v>0</v>
      </c>
      <c r="BT180" s="42">
        <v>0</v>
      </c>
      <c r="BV180" s="42">
        <f t="shared" ref="BV180" si="46">+BP180+BN180-BR180</f>
        <v>0</v>
      </c>
      <c r="BX180" s="5">
        <f>+BV180-'Gen Fd BS'!AI180+BT180</f>
        <v>0</v>
      </c>
    </row>
    <row r="181" spans="1:76">
      <c r="A181" s="9" t="s">
        <v>381</v>
      </c>
      <c r="B181" s="9"/>
      <c r="C181" s="9" t="s">
        <v>44</v>
      </c>
      <c r="D181" s="9"/>
      <c r="E181" s="23">
        <v>43943</v>
      </c>
      <c r="G181" s="42">
        <v>28791185</v>
      </c>
      <c r="I181" s="42">
        <v>8163220</v>
      </c>
      <c r="K181" s="42">
        <v>212032</v>
      </c>
      <c r="M181" s="42">
        <v>0</v>
      </c>
      <c r="O181" s="42">
        <f>29255+10681921</f>
        <v>10711176</v>
      </c>
      <c r="Q181" s="42">
        <v>3566825</v>
      </c>
      <c r="S181" s="42">
        <v>2014570</v>
      </c>
      <c r="U181" s="42">
        <v>49142</v>
      </c>
      <c r="W181" s="42">
        <v>4184331</v>
      </c>
      <c r="Y181" s="42">
        <v>1501249</v>
      </c>
      <c r="AA181" s="42">
        <v>618019</v>
      </c>
      <c r="AC181" s="42">
        <v>5660790</v>
      </c>
      <c r="AE181" s="42">
        <v>3401445</v>
      </c>
      <c r="AG181" s="42">
        <v>1482383</v>
      </c>
      <c r="AI181" s="42">
        <v>0</v>
      </c>
      <c r="AK181" s="42">
        <v>631384</v>
      </c>
      <c r="AL181" s="9" t="s">
        <v>381</v>
      </c>
      <c r="AM181" s="9"/>
      <c r="AN181" s="9" t="s">
        <v>44</v>
      </c>
      <c r="AP181" s="42">
        <v>1136540</v>
      </c>
      <c r="AR181" s="42">
        <v>17252</v>
      </c>
      <c r="AV181" s="42">
        <v>475153</v>
      </c>
      <c r="AX181" s="42">
        <v>154784</v>
      </c>
      <c r="AZ181" s="42">
        <v>0</v>
      </c>
      <c r="BB181" s="42">
        <f t="shared" si="39"/>
        <v>72771480</v>
      </c>
      <c r="BD181" s="42">
        <v>1145619</v>
      </c>
      <c r="BF181" s="42">
        <v>0</v>
      </c>
      <c r="BH181" s="42">
        <v>0</v>
      </c>
      <c r="BJ181" s="42">
        <v>0</v>
      </c>
      <c r="BL181" s="42">
        <f t="shared" si="40"/>
        <v>73917099</v>
      </c>
      <c r="BN181" s="42">
        <f>+'Gen Fd Rev'!AM181-'Gen Fd Exp'!BL181</f>
        <v>-2283117</v>
      </c>
      <c r="BP181" s="42">
        <v>4060033</v>
      </c>
      <c r="BR181" s="42">
        <v>0</v>
      </c>
      <c r="BT181" s="42">
        <v>0</v>
      </c>
      <c r="BV181" s="42">
        <f t="shared" si="38"/>
        <v>1776916</v>
      </c>
      <c r="BX181" s="5">
        <f>+BV181-'Gen Fd BS'!AI181+BT181</f>
        <v>0</v>
      </c>
    </row>
    <row r="182" spans="1:76">
      <c r="A182" s="9" t="s">
        <v>265</v>
      </c>
      <c r="B182" s="9"/>
      <c r="C182" s="9" t="s">
        <v>20</v>
      </c>
      <c r="D182" s="9"/>
      <c r="E182" s="23">
        <v>43950</v>
      </c>
      <c r="G182" s="42">
        <v>24202674</v>
      </c>
      <c r="I182" s="42">
        <v>13857848</v>
      </c>
      <c r="K182" s="42">
        <v>1218513</v>
      </c>
      <c r="M182" s="42">
        <v>0</v>
      </c>
      <c r="O182" s="42">
        <v>30310</v>
      </c>
      <c r="Q182" s="42">
        <v>4470765</v>
      </c>
      <c r="S182" s="42">
        <v>3808859</v>
      </c>
      <c r="U182" s="42">
        <v>100594</v>
      </c>
      <c r="W182" s="42">
        <v>4788157</v>
      </c>
      <c r="Y182" s="42">
        <v>1801092</v>
      </c>
      <c r="AA182" s="42">
        <v>546327</v>
      </c>
      <c r="AC182" s="42">
        <v>6791096</v>
      </c>
      <c r="AE182" s="42">
        <v>4145582</v>
      </c>
      <c r="AG182" s="42">
        <v>1508941</v>
      </c>
      <c r="AI182" s="42">
        <v>0</v>
      </c>
      <c r="AK182" s="42">
        <v>14944</v>
      </c>
      <c r="AL182" s="9" t="s">
        <v>265</v>
      </c>
      <c r="AM182" s="9"/>
      <c r="AN182" s="9" t="s">
        <v>20</v>
      </c>
      <c r="AP182" s="42">
        <v>842065</v>
      </c>
      <c r="AR182" s="42">
        <v>0</v>
      </c>
      <c r="AV182" s="42">
        <v>0</v>
      </c>
      <c r="AX182" s="42">
        <v>0</v>
      </c>
      <c r="AZ182" s="42">
        <v>0</v>
      </c>
      <c r="BB182" s="42">
        <f t="shared" si="39"/>
        <v>68127767</v>
      </c>
      <c r="BD182" s="42">
        <v>648749</v>
      </c>
      <c r="BF182" s="42">
        <v>0</v>
      </c>
      <c r="BH182" s="42">
        <v>0</v>
      </c>
      <c r="BJ182" s="42">
        <v>0</v>
      </c>
      <c r="BL182" s="42">
        <f t="shared" si="40"/>
        <v>68776516</v>
      </c>
      <c r="BN182" s="42">
        <f>+'Gen Fd Rev'!AM182-'Gen Fd Exp'!BL182</f>
        <v>-1715412</v>
      </c>
      <c r="BP182" s="42">
        <v>1201135</v>
      </c>
      <c r="BR182" s="42">
        <v>0</v>
      </c>
      <c r="BT182" s="42">
        <v>0</v>
      </c>
      <c r="BV182" s="42">
        <f t="shared" si="38"/>
        <v>-514277</v>
      </c>
      <c r="BX182" s="5">
        <f>+BV182-'Gen Fd BS'!AI182+BT182</f>
        <v>0</v>
      </c>
    </row>
    <row r="183" spans="1:76" hidden="1">
      <c r="A183" s="9" t="s">
        <v>614</v>
      </c>
      <c r="B183" s="9"/>
      <c r="C183" s="9" t="s">
        <v>28</v>
      </c>
      <c r="D183" s="9"/>
      <c r="E183" s="23">
        <v>47050</v>
      </c>
      <c r="G183" s="42">
        <v>0</v>
      </c>
      <c r="I183" s="42">
        <v>0</v>
      </c>
      <c r="K183" s="42">
        <v>0</v>
      </c>
      <c r="M183" s="42">
        <v>0</v>
      </c>
      <c r="O183" s="42">
        <v>0</v>
      </c>
      <c r="Q183" s="42">
        <v>0</v>
      </c>
      <c r="S183" s="42">
        <v>0</v>
      </c>
      <c r="U183" s="42">
        <v>0</v>
      </c>
      <c r="W183" s="42">
        <v>0</v>
      </c>
      <c r="Y183" s="42">
        <v>0</v>
      </c>
      <c r="AA183" s="42">
        <v>0</v>
      </c>
      <c r="AC183" s="42">
        <v>0</v>
      </c>
      <c r="AE183" s="42">
        <v>0</v>
      </c>
      <c r="AG183" s="42">
        <v>0</v>
      </c>
      <c r="AI183" s="42">
        <v>0</v>
      </c>
      <c r="AK183" s="42">
        <v>0</v>
      </c>
      <c r="AL183" s="9" t="s">
        <v>614</v>
      </c>
      <c r="AM183" s="9"/>
      <c r="AN183" s="9" t="s">
        <v>28</v>
      </c>
      <c r="AP183" s="42">
        <v>0</v>
      </c>
      <c r="AR183" s="42">
        <v>0</v>
      </c>
      <c r="AV183" s="42">
        <v>0</v>
      </c>
      <c r="AX183" s="42">
        <v>0</v>
      </c>
      <c r="AZ183" s="42">
        <v>0</v>
      </c>
      <c r="BB183" s="42">
        <f t="shared" si="39"/>
        <v>0</v>
      </c>
      <c r="BD183" s="42">
        <v>0</v>
      </c>
      <c r="BF183" s="42">
        <v>0</v>
      </c>
      <c r="BH183" s="42">
        <v>0</v>
      </c>
      <c r="BJ183" s="42">
        <v>0</v>
      </c>
      <c r="BL183" s="42">
        <f t="shared" si="40"/>
        <v>0</v>
      </c>
      <c r="BN183" s="42">
        <f>+'Gen Fd Rev'!AM183-'Gen Fd Exp'!BL183</f>
        <v>0</v>
      </c>
      <c r="BP183" s="42">
        <v>0</v>
      </c>
      <c r="BR183" s="42">
        <v>0</v>
      </c>
      <c r="BT183" s="42">
        <v>0</v>
      </c>
      <c r="BV183" s="42">
        <f t="shared" si="38"/>
        <v>0</v>
      </c>
      <c r="BX183" s="5">
        <f>+BV183-'Gen Fd BS'!AI183+BT183</f>
        <v>0</v>
      </c>
    </row>
    <row r="184" spans="1:76">
      <c r="A184" s="9" t="s">
        <v>535</v>
      </c>
      <c r="B184" s="9"/>
      <c r="C184" s="9" t="s">
        <v>66</v>
      </c>
      <c r="D184" s="9"/>
      <c r="E184" s="23">
        <v>50328</v>
      </c>
      <c r="G184" s="42">
        <v>4401973</v>
      </c>
      <c r="I184" s="42">
        <v>820536</v>
      </c>
      <c r="K184" s="42">
        <v>16389</v>
      </c>
      <c r="M184" s="42">
        <v>0</v>
      </c>
      <c r="O184" s="42">
        <v>80514</v>
      </c>
      <c r="Q184" s="42">
        <v>639181</v>
      </c>
      <c r="S184" s="42">
        <v>338192</v>
      </c>
      <c r="U184" s="42">
        <v>47317</v>
      </c>
      <c r="W184" s="42">
        <v>723233</v>
      </c>
      <c r="Y184" s="42">
        <v>400190</v>
      </c>
      <c r="AA184" s="42">
        <v>0</v>
      </c>
      <c r="AC184" s="42">
        <v>972483</v>
      </c>
      <c r="AE184" s="42">
        <v>703584</v>
      </c>
      <c r="AG184" s="42">
        <v>0</v>
      </c>
      <c r="AI184" s="42">
        <v>0</v>
      </c>
      <c r="AK184" s="42">
        <v>296</v>
      </c>
      <c r="AL184" s="9" t="s">
        <v>535</v>
      </c>
      <c r="AM184" s="9"/>
      <c r="AN184" s="9" t="s">
        <v>66</v>
      </c>
      <c r="AP184" s="42">
        <v>198222</v>
      </c>
      <c r="AR184" s="42">
        <v>0</v>
      </c>
      <c r="AV184" s="42">
        <v>35000</v>
      </c>
      <c r="AX184" s="42">
        <v>14350</v>
      </c>
      <c r="AZ184" s="42">
        <v>0</v>
      </c>
      <c r="BB184" s="42">
        <f t="shared" si="39"/>
        <v>9391460</v>
      </c>
      <c r="BD184" s="42">
        <v>39789</v>
      </c>
      <c r="BF184" s="42">
        <v>0</v>
      </c>
      <c r="BH184" s="42">
        <v>0</v>
      </c>
      <c r="BJ184" s="42">
        <v>0</v>
      </c>
      <c r="BL184" s="42">
        <f t="shared" si="40"/>
        <v>9431249</v>
      </c>
      <c r="BN184" s="42">
        <f>+'Gen Fd Rev'!AM184-'Gen Fd Exp'!BL184</f>
        <v>881173</v>
      </c>
      <c r="BP184" s="42">
        <v>2656044</v>
      </c>
      <c r="BR184" s="42">
        <v>0</v>
      </c>
      <c r="BT184" s="42">
        <v>0</v>
      </c>
      <c r="BV184" s="42">
        <f t="shared" si="38"/>
        <v>3537217</v>
      </c>
      <c r="BX184" s="5">
        <f>+BV184-'Gen Fd BS'!AI184+BT184</f>
        <v>0</v>
      </c>
    </row>
    <row r="185" spans="1:76">
      <c r="A185" s="9" t="s">
        <v>621</v>
      </c>
      <c r="B185" s="9"/>
      <c r="C185" s="9" t="s">
        <v>113</v>
      </c>
      <c r="D185" s="9"/>
      <c r="E185" s="23">
        <v>43968</v>
      </c>
      <c r="F185" s="7"/>
      <c r="G185" s="42">
        <v>17207041</v>
      </c>
      <c r="I185" s="42">
        <v>5577553</v>
      </c>
      <c r="K185" s="42">
        <v>0</v>
      </c>
      <c r="M185" s="42">
        <v>0</v>
      </c>
      <c r="O185" s="42">
        <v>3072401</v>
      </c>
      <c r="Q185" s="42">
        <v>2510447</v>
      </c>
      <c r="S185" s="42">
        <v>1231115</v>
      </c>
      <c r="U185" s="42">
        <v>0</v>
      </c>
      <c r="W185" s="42">
        <f>48278+2937967</f>
        <v>2986245</v>
      </c>
      <c r="Y185" s="42">
        <v>747572</v>
      </c>
      <c r="AA185" s="42">
        <v>260435</v>
      </c>
      <c r="AC185" s="42">
        <v>3575540</v>
      </c>
      <c r="AE185" s="42">
        <v>2864754</v>
      </c>
      <c r="AG185" s="42">
        <v>377380</v>
      </c>
      <c r="AI185" s="42">
        <v>0</v>
      </c>
      <c r="AK185" s="42">
        <v>0</v>
      </c>
      <c r="AL185" s="9" t="s">
        <v>621</v>
      </c>
      <c r="AM185" s="9"/>
      <c r="AN185" s="9" t="s">
        <v>113</v>
      </c>
      <c r="AP185" s="42">
        <v>595241</v>
      </c>
      <c r="AR185" s="42">
        <v>0</v>
      </c>
      <c r="AV185" s="42">
        <v>0</v>
      </c>
      <c r="AX185" s="42">
        <v>0</v>
      </c>
      <c r="AZ185" s="42">
        <v>0</v>
      </c>
      <c r="BB185" s="42">
        <f>SUM(G185:AZ185)</f>
        <v>41005724</v>
      </c>
      <c r="BD185" s="42">
        <v>0</v>
      </c>
      <c r="BF185" s="42">
        <v>0</v>
      </c>
      <c r="BH185" s="42">
        <v>0</v>
      </c>
      <c r="BJ185" s="42">
        <v>0</v>
      </c>
      <c r="BL185" s="42">
        <f>+BB185+BD185+BF185+BJ185</f>
        <v>41005724</v>
      </c>
      <c r="BN185" s="42">
        <f>+'Gen Fd Rev'!AM185-'Gen Fd Exp'!BL185</f>
        <v>49713</v>
      </c>
      <c r="BP185" s="42">
        <v>3778411</v>
      </c>
      <c r="BR185" s="42">
        <v>0</v>
      </c>
      <c r="BT185" s="42">
        <v>0</v>
      </c>
      <c r="BV185" s="42">
        <f>+BP185+BN185-BR185</f>
        <v>3828124</v>
      </c>
      <c r="BX185" s="5">
        <f>+BV185-'Gen Fd BS'!AI185+BT185</f>
        <v>0</v>
      </c>
    </row>
    <row r="186" spans="1:76">
      <c r="A186" s="9" t="s">
        <v>221</v>
      </c>
      <c r="B186" s="9"/>
      <c r="C186" s="9" t="s">
        <v>220</v>
      </c>
      <c r="D186" s="9"/>
      <c r="E186" s="23">
        <v>46102</v>
      </c>
      <c r="F186" s="7"/>
      <c r="G186" s="42">
        <v>32382162</v>
      </c>
      <c r="I186" s="42">
        <v>8005195</v>
      </c>
      <c r="K186" s="42">
        <v>0</v>
      </c>
      <c r="M186" s="42">
        <v>0</v>
      </c>
      <c r="O186" s="42">
        <v>3010092</v>
      </c>
      <c r="Q186" s="42">
        <v>3739546</v>
      </c>
      <c r="S186" s="42">
        <v>4928308</v>
      </c>
      <c r="U186" s="42">
        <v>0</v>
      </c>
      <c r="W186" s="42">
        <f>8649+6109226</f>
        <v>6117875</v>
      </c>
      <c r="Y186" s="42">
        <v>1309850</v>
      </c>
      <c r="AA186" s="42">
        <v>262218</v>
      </c>
      <c r="AC186" s="42">
        <v>5713801</v>
      </c>
      <c r="AE186" s="42">
        <v>5626951</v>
      </c>
      <c r="AG186" s="42">
        <v>113051</v>
      </c>
      <c r="AI186" s="42">
        <v>0</v>
      </c>
      <c r="AK186" s="42">
        <v>546762</v>
      </c>
      <c r="AL186" s="9" t="s">
        <v>221</v>
      </c>
      <c r="AM186" s="9"/>
      <c r="AN186" s="9" t="s">
        <v>220</v>
      </c>
      <c r="AP186" s="42">
        <v>1189147</v>
      </c>
      <c r="AR186" s="42">
        <v>0</v>
      </c>
      <c r="AV186" s="42">
        <v>80904</v>
      </c>
      <c r="AX186" s="42">
        <v>0</v>
      </c>
      <c r="AZ186" s="42">
        <v>0</v>
      </c>
      <c r="BB186" s="42">
        <f t="shared" si="39"/>
        <v>73025862</v>
      </c>
      <c r="BD186" s="42">
        <v>92899</v>
      </c>
      <c r="BF186" s="42">
        <v>0</v>
      </c>
      <c r="BH186" s="42">
        <v>0</v>
      </c>
      <c r="BJ186" s="42">
        <v>0</v>
      </c>
      <c r="BL186" s="42">
        <f t="shared" si="40"/>
        <v>73118761</v>
      </c>
      <c r="BN186" s="42">
        <f>+'Gen Fd Rev'!AM186-'Gen Fd Exp'!BL186</f>
        <v>10057576</v>
      </c>
      <c r="BP186" s="42">
        <v>7890705</v>
      </c>
      <c r="BR186" s="42">
        <v>0</v>
      </c>
      <c r="BT186" s="42">
        <v>0</v>
      </c>
      <c r="BV186" s="42">
        <f t="shared" si="38"/>
        <v>17948281</v>
      </c>
      <c r="BX186" s="5">
        <f>+BV186-'Gen Fd BS'!AI186+BT186</f>
        <v>0</v>
      </c>
    </row>
    <row r="187" spans="1:76">
      <c r="A187" s="9" t="s">
        <v>347</v>
      </c>
      <c r="B187" s="9"/>
      <c r="C187" s="9" t="s">
        <v>346</v>
      </c>
      <c r="D187" s="9"/>
      <c r="E187" s="23">
        <v>47621</v>
      </c>
      <c r="G187" s="42">
        <v>3801911</v>
      </c>
      <c r="I187" s="42">
        <v>497994</v>
      </c>
      <c r="K187" s="42">
        <v>149395</v>
      </c>
      <c r="M187" s="42">
        <v>0</v>
      </c>
      <c r="O187" s="42">
        <v>4840</v>
      </c>
      <c r="Q187" s="42">
        <v>274887</v>
      </c>
      <c r="S187" s="42">
        <v>359064</v>
      </c>
      <c r="U187" s="42">
        <v>50736</v>
      </c>
      <c r="W187" s="42">
        <v>609801</v>
      </c>
      <c r="Y187" s="42">
        <v>329326</v>
      </c>
      <c r="AA187" s="42">
        <v>50410</v>
      </c>
      <c r="AC187" s="42">
        <v>530179</v>
      </c>
      <c r="AE187" s="42">
        <v>446096</v>
      </c>
      <c r="AG187" s="42">
        <v>100365</v>
      </c>
      <c r="AI187" s="42">
        <v>0</v>
      </c>
      <c r="AK187" s="42">
        <v>3658</v>
      </c>
      <c r="AL187" s="9" t="s">
        <v>347</v>
      </c>
      <c r="AM187" s="9"/>
      <c r="AN187" s="9" t="s">
        <v>346</v>
      </c>
      <c r="AP187" s="42">
        <v>82005</v>
      </c>
      <c r="AR187" s="42">
        <v>0</v>
      </c>
      <c r="AV187" s="42">
        <v>0</v>
      </c>
      <c r="AX187" s="42">
        <v>0</v>
      </c>
      <c r="AZ187" s="42">
        <v>0</v>
      </c>
      <c r="BB187" s="42">
        <f t="shared" si="39"/>
        <v>7290667</v>
      </c>
      <c r="BD187" s="42">
        <v>0</v>
      </c>
      <c r="BF187" s="42">
        <v>0</v>
      </c>
      <c r="BH187" s="42">
        <v>0</v>
      </c>
      <c r="BJ187" s="42">
        <v>0</v>
      </c>
      <c r="BL187" s="42">
        <f t="shared" si="40"/>
        <v>7290667</v>
      </c>
      <c r="BN187" s="42">
        <f>+'Gen Fd Rev'!AM187-'Gen Fd Exp'!BL187</f>
        <v>64328</v>
      </c>
      <c r="BP187" s="42">
        <v>1490072</v>
      </c>
      <c r="BR187" s="42">
        <v>0</v>
      </c>
      <c r="BT187" s="42">
        <v>0</v>
      </c>
      <c r="BV187" s="42">
        <f t="shared" si="38"/>
        <v>1554400</v>
      </c>
      <c r="BX187" s="5">
        <f>+BV187-'Gen Fd BS'!AI187+BT187</f>
        <v>0</v>
      </c>
    </row>
    <row r="188" spans="1:76">
      <c r="A188" s="9" t="s">
        <v>292</v>
      </c>
      <c r="B188" s="9"/>
      <c r="C188" s="9" t="s">
        <v>25</v>
      </c>
      <c r="D188" s="9"/>
      <c r="E188" s="23">
        <v>46870</v>
      </c>
      <c r="G188" s="42">
        <v>8118520</v>
      </c>
      <c r="I188" s="42">
        <v>1788157</v>
      </c>
      <c r="K188" s="42">
        <v>425399</v>
      </c>
      <c r="M188" s="42">
        <v>0</v>
      </c>
      <c r="O188" s="42">
        <v>243815</v>
      </c>
      <c r="Q188" s="42">
        <v>951006</v>
      </c>
      <c r="S188" s="42">
        <v>775108</v>
      </c>
      <c r="U188" s="42">
        <v>36950</v>
      </c>
      <c r="W188" s="42">
        <v>1382167</v>
      </c>
      <c r="Y188" s="42">
        <v>562480</v>
      </c>
      <c r="AA188" s="42">
        <v>0</v>
      </c>
      <c r="AC188" s="42">
        <v>1586960</v>
      </c>
      <c r="AE188" s="42">
        <v>1437547</v>
      </c>
      <c r="AG188" s="42">
        <v>127921</v>
      </c>
      <c r="AI188" s="42">
        <v>0</v>
      </c>
      <c r="AK188" s="42">
        <v>0</v>
      </c>
      <c r="AL188" s="9" t="s">
        <v>292</v>
      </c>
      <c r="AM188" s="9"/>
      <c r="AN188" s="9" t="s">
        <v>25</v>
      </c>
      <c r="AP188" s="42">
        <v>421227</v>
      </c>
      <c r="AR188" s="42">
        <v>0</v>
      </c>
      <c r="AV188" s="42">
        <v>73559</v>
      </c>
      <c r="AX188" s="42">
        <v>10647</v>
      </c>
      <c r="AZ188" s="42">
        <v>0</v>
      </c>
      <c r="BB188" s="42">
        <f t="shared" si="39"/>
        <v>17941463</v>
      </c>
      <c r="BD188" s="42">
        <v>1707604</v>
      </c>
      <c r="BF188" s="42">
        <v>0</v>
      </c>
      <c r="BH188" s="42">
        <v>0</v>
      </c>
      <c r="BJ188" s="42">
        <v>0</v>
      </c>
      <c r="BL188" s="42">
        <f t="shared" si="40"/>
        <v>19649067</v>
      </c>
      <c r="BN188" s="42">
        <f>+'Gen Fd Rev'!AM188-'Gen Fd Exp'!BL188</f>
        <v>648733</v>
      </c>
      <c r="BP188" s="42">
        <v>5551250</v>
      </c>
      <c r="BR188" s="42">
        <v>0</v>
      </c>
      <c r="BT188" s="42">
        <v>0</v>
      </c>
      <c r="BV188" s="42">
        <f t="shared" si="38"/>
        <v>6199983</v>
      </c>
      <c r="BX188" s="5">
        <f>+BV188-'Gen Fd BS'!AI188+BT188</f>
        <v>0</v>
      </c>
    </row>
    <row r="189" spans="1:76" s="24" customFormat="1">
      <c r="A189" s="51" t="s">
        <v>366</v>
      </c>
      <c r="B189" s="51"/>
      <c r="C189" s="51" t="s">
        <v>364</v>
      </c>
      <c r="D189" s="51"/>
      <c r="E189" s="23">
        <v>47936</v>
      </c>
      <c r="G189" s="42">
        <v>6699817</v>
      </c>
      <c r="H189" s="42"/>
      <c r="I189" s="42">
        <v>1735236</v>
      </c>
      <c r="J189" s="42"/>
      <c r="K189" s="42">
        <v>87496</v>
      </c>
      <c r="L189" s="42"/>
      <c r="M189" s="42">
        <v>0</v>
      </c>
      <c r="N189" s="42"/>
      <c r="O189" s="42">
        <f>4064+71218</f>
        <v>75282</v>
      </c>
      <c r="P189" s="42"/>
      <c r="Q189" s="42">
        <v>415736</v>
      </c>
      <c r="R189" s="42"/>
      <c r="S189" s="42">
        <v>569642</v>
      </c>
      <c r="T189" s="42"/>
      <c r="U189" s="42">
        <v>102280</v>
      </c>
      <c r="V189" s="42"/>
      <c r="W189" s="42">
        <v>1245224</v>
      </c>
      <c r="X189" s="42"/>
      <c r="Y189" s="42">
        <v>399591</v>
      </c>
      <c r="Z189" s="42"/>
      <c r="AA189" s="42">
        <v>45314</v>
      </c>
      <c r="AB189" s="42"/>
      <c r="AC189" s="42">
        <v>2234858</v>
      </c>
      <c r="AD189" s="42"/>
      <c r="AE189" s="42">
        <v>829414</v>
      </c>
      <c r="AF189" s="42"/>
      <c r="AG189" s="42">
        <v>8683</v>
      </c>
      <c r="AH189" s="42"/>
      <c r="AI189" s="42">
        <v>0</v>
      </c>
      <c r="AJ189" s="42"/>
      <c r="AK189" s="42">
        <v>25628</v>
      </c>
      <c r="AL189" s="51" t="s">
        <v>366</v>
      </c>
      <c r="AM189" s="51"/>
      <c r="AN189" s="51" t="s">
        <v>364</v>
      </c>
      <c r="AP189" s="42">
        <v>206047</v>
      </c>
      <c r="AQ189" s="42"/>
      <c r="AR189" s="42">
        <v>0</v>
      </c>
      <c r="AS189" s="42"/>
      <c r="AT189" s="42"/>
      <c r="AU189" s="42"/>
      <c r="AV189" s="42">
        <v>0</v>
      </c>
      <c r="AW189" s="42"/>
      <c r="AX189" s="42">
        <v>0</v>
      </c>
      <c r="AY189" s="42"/>
      <c r="AZ189" s="42">
        <v>0</v>
      </c>
      <c r="BA189" s="42"/>
      <c r="BB189" s="42">
        <f t="shared" si="39"/>
        <v>14680248</v>
      </c>
      <c r="BC189" s="42"/>
      <c r="BD189" s="42">
        <v>24620</v>
      </c>
      <c r="BE189" s="42"/>
      <c r="BF189" s="42">
        <v>0</v>
      </c>
      <c r="BG189" s="42"/>
      <c r="BH189" s="42">
        <v>0</v>
      </c>
      <c r="BI189" s="42"/>
      <c r="BJ189" s="42">
        <v>0</v>
      </c>
      <c r="BK189" s="42"/>
      <c r="BL189" s="42">
        <f t="shared" si="40"/>
        <v>14704868</v>
      </c>
      <c r="BM189" s="42"/>
      <c r="BN189" s="42">
        <f>+'Gen Fd Rev'!AM189-'Gen Fd Exp'!BL189</f>
        <v>-1466144</v>
      </c>
      <c r="BO189" s="42"/>
      <c r="BP189" s="42">
        <v>4408851</v>
      </c>
      <c r="BQ189" s="42"/>
      <c r="BR189" s="42">
        <v>0</v>
      </c>
      <c r="BS189" s="42"/>
      <c r="BT189" s="42">
        <v>0</v>
      </c>
      <c r="BU189" s="42"/>
      <c r="BV189" s="42">
        <f t="shared" si="38"/>
        <v>2942707</v>
      </c>
      <c r="BW189" s="42"/>
      <c r="BX189" s="5">
        <f>+BV189-'Gen Fd BS'!AI189+BT189</f>
        <v>0</v>
      </c>
    </row>
    <row r="190" spans="1:76" hidden="1">
      <c r="A190" s="9" t="s">
        <v>615</v>
      </c>
      <c r="B190" s="9"/>
      <c r="C190" s="9" t="s">
        <v>61</v>
      </c>
      <c r="D190" s="9"/>
      <c r="E190" s="23">
        <v>49775</v>
      </c>
      <c r="G190" s="42">
        <v>0</v>
      </c>
      <c r="I190" s="42">
        <v>0</v>
      </c>
      <c r="K190" s="42">
        <v>0</v>
      </c>
      <c r="M190" s="42">
        <v>0</v>
      </c>
      <c r="O190" s="42">
        <v>0</v>
      </c>
      <c r="Q190" s="42">
        <v>0</v>
      </c>
      <c r="S190" s="42">
        <v>0</v>
      </c>
      <c r="U190" s="42">
        <v>0</v>
      </c>
      <c r="W190" s="42">
        <v>0</v>
      </c>
      <c r="Y190" s="42">
        <v>0</v>
      </c>
      <c r="AA190" s="42">
        <v>0</v>
      </c>
      <c r="AC190" s="42">
        <v>0</v>
      </c>
      <c r="AE190" s="42">
        <v>0</v>
      </c>
      <c r="AG190" s="42">
        <v>0</v>
      </c>
      <c r="AI190" s="42">
        <v>0</v>
      </c>
      <c r="AK190" s="42">
        <v>0</v>
      </c>
      <c r="AL190" s="9" t="s">
        <v>615</v>
      </c>
      <c r="AM190" s="9"/>
      <c r="AN190" s="9" t="s">
        <v>61</v>
      </c>
      <c r="AP190" s="42">
        <v>0</v>
      </c>
      <c r="AR190" s="42">
        <v>0</v>
      </c>
      <c r="AV190" s="42">
        <v>0</v>
      </c>
      <c r="AX190" s="42">
        <v>0</v>
      </c>
      <c r="AZ190" s="42">
        <v>0</v>
      </c>
      <c r="BB190" s="42">
        <f t="shared" si="39"/>
        <v>0</v>
      </c>
      <c r="BD190" s="42">
        <v>0</v>
      </c>
      <c r="BF190" s="42">
        <v>0</v>
      </c>
      <c r="BH190" s="42">
        <v>0</v>
      </c>
      <c r="BJ190" s="42">
        <v>0</v>
      </c>
      <c r="BL190" s="42">
        <f t="shared" si="40"/>
        <v>0</v>
      </c>
      <c r="BN190" s="42">
        <f>+'Gen Fd Rev'!AM190-'Gen Fd Exp'!BL190</f>
        <v>0</v>
      </c>
      <c r="BP190" s="42">
        <v>0</v>
      </c>
      <c r="BR190" s="42">
        <v>0</v>
      </c>
      <c r="BT190" s="42">
        <v>0</v>
      </c>
      <c r="BV190" s="42">
        <f t="shared" si="38"/>
        <v>0</v>
      </c>
      <c r="BX190" s="5">
        <f>+BV190-'Gen Fd BS'!AI190+BT190</f>
        <v>0</v>
      </c>
    </row>
    <row r="191" spans="1:76">
      <c r="A191" s="9" t="s">
        <v>492</v>
      </c>
      <c r="B191" s="9"/>
      <c r="C191" s="9" t="s">
        <v>62</v>
      </c>
      <c r="D191" s="9"/>
      <c r="E191" s="23">
        <v>49841</v>
      </c>
      <c r="G191" s="42">
        <v>6904178</v>
      </c>
      <c r="I191" s="42">
        <v>2034597</v>
      </c>
      <c r="K191" s="42">
        <v>157429</v>
      </c>
      <c r="M191" s="42">
        <v>0</v>
      </c>
      <c r="O191" s="42">
        <v>383997</v>
      </c>
      <c r="Q191" s="42">
        <v>1054135</v>
      </c>
      <c r="S191" s="42">
        <v>316260</v>
      </c>
      <c r="U191" s="42">
        <v>18048</v>
      </c>
      <c r="W191" s="42">
        <v>1652364</v>
      </c>
      <c r="Y191" s="42">
        <v>403181</v>
      </c>
      <c r="AA191" s="42">
        <v>910</v>
      </c>
      <c r="AC191" s="42">
        <v>1230624</v>
      </c>
      <c r="AE191" s="42">
        <v>1073489</v>
      </c>
      <c r="AG191" s="42">
        <v>15120</v>
      </c>
      <c r="AI191" s="42">
        <v>0</v>
      </c>
      <c r="AK191" s="42">
        <v>26501</v>
      </c>
      <c r="AL191" s="9" t="s">
        <v>492</v>
      </c>
      <c r="AM191" s="9"/>
      <c r="AN191" s="9" t="s">
        <v>62</v>
      </c>
      <c r="AP191" s="42">
        <v>400441</v>
      </c>
      <c r="AR191" s="42">
        <v>39141</v>
      </c>
      <c r="AV191" s="42">
        <v>0</v>
      </c>
      <c r="AX191" s="42">
        <v>0</v>
      </c>
      <c r="AZ191" s="42">
        <v>0</v>
      </c>
      <c r="BB191" s="42">
        <f t="shared" si="39"/>
        <v>15710415</v>
      </c>
      <c r="BD191" s="42">
        <v>0</v>
      </c>
      <c r="BF191" s="42">
        <v>0</v>
      </c>
      <c r="BH191" s="42">
        <v>0</v>
      </c>
      <c r="BJ191" s="42">
        <v>0</v>
      </c>
      <c r="BL191" s="42">
        <f t="shared" si="40"/>
        <v>15710415</v>
      </c>
      <c r="BN191" s="42">
        <f>+'Gen Fd Rev'!AM191-'Gen Fd Exp'!BL191</f>
        <v>-1437080</v>
      </c>
      <c r="BP191" s="42">
        <v>2510784</v>
      </c>
      <c r="BR191" s="42">
        <v>0</v>
      </c>
      <c r="BT191" s="42">
        <v>0</v>
      </c>
      <c r="BV191" s="42">
        <f t="shared" si="38"/>
        <v>1073704</v>
      </c>
      <c r="BX191" s="5">
        <f>+BV191-'Gen Fd BS'!AI191+BT191</f>
        <v>0</v>
      </c>
    </row>
    <row r="192" spans="1:76" hidden="1">
      <c r="A192" s="8" t="s">
        <v>878</v>
      </c>
      <c r="B192" s="9"/>
      <c r="C192" s="9" t="s">
        <v>41</v>
      </c>
      <c r="D192" s="9"/>
      <c r="E192" s="23">
        <v>45369</v>
      </c>
      <c r="G192" s="42">
        <v>0</v>
      </c>
      <c r="I192" s="42">
        <v>0</v>
      </c>
      <c r="K192" s="42">
        <v>0</v>
      </c>
      <c r="M192" s="42">
        <v>0</v>
      </c>
      <c r="O192" s="42">
        <v>0</v>
      </c>
      <c r="Q192" s="42">
        <v>0</v>
      </c>
      <c r="S192" s="42">
        <v>0</v>
      </c>
      <c r="U192" s="42">
        <v>0</v>
      </c>
      <c r="W192" s="42">
        <v>0</v>
      </c>
      <c r="Y192" s="42">
        <v>0</v>
      </c>
      <c r="AA192" s="42">
        <v>0</v>
      </c>
      <c r="AC192" s="42">
        <v>0</v>
      </c>
      <c r="AE192" s="42">
        <v>0</v>
      </c>
      <c r="AG192" s="42">
        <v>0</v>
      </c>
      <c r="AI192" s="42">
        <v>0</v>
      </c>
      <c r="AK192" s="42">
        <v>0</v>
      </c>
      <c r="AL192" s="8" t="s">
        <v>878</v>
      </c>
      <c r="AM192" s="9"/>
      <c r="AN192" s="9" t="s">
        <v>41</v>
      </c>
      <c r="AP192" s="42">
        <v>0</v>
      </c>
      <c r="AR192" s="42">
        <v>0</v>
      </c>
      <c r="AV192" s="42">
        <v>0</v>
      </c>
      <c r="AX192" s="42">
        <v>0</v>
      </c>
      <c r="AZ192" s="42">
        <v>0</v>
      </c>
      <c r="BB192" s="42">
        <f t="shared" si="39"/>
        <v>0</v>
      </c>
      <c r="BD192" s="42">
        <v>0</v>
      </c>
      <c r="BF192" s="42">
        <v>0</v>
      </c>
      <c r="BH192" s="42">
        <v>0</v>
      </c>
      <c r="BJ192" s="42">
        <v>0</v>
      </c>
      <c r="BL192" s="42">
        <f t="shared" si="40"/>
        <v>0</v>
      </c>
      <c r="BN192" s="42">
        <f>+'Gen Fd Rev'!AM192-'Gen Fd Exp'!BL192</f>
        <v>0</v>
      </c>
      <c r="BP192" s="42">
        <v>0</v>
      </c>
      <c r="BR192" s="42">
        <v>0</v>
      </c>
      <c r="BT192" s="42">
        <v>0</v>
      </c>
      <c r="BV192" s="42">
        <f t="shared" si="38"/>
        <v>0</v>
      </c>
      <c r="BX192" s="5">
        <f>+BV192-'Gen Fd BS'!AI192+BT192</f>
        <v>0</v>
      </c>
    </row>
    <row r="193" spans="1:76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v>8755270</v>
      </c>
      <c r="I193" s="24">
        <v>2276207</v>
      </c>
      <c r="K193" s="24">
        <v>97885</v>
      </c>
      <c r="M193" s="24">
        <v>0</v>
      </c>
      <c r="O193" s="24">
        <v>13634</v>
      </c>
      <c r="Q193" s="24">
        <v>1244406</v>
      </c>
      <c r="S193" s="24">
        <v>491867</v>
      </c>
      <c r="U193" s="24">
        <v>33499</v>
      </c>
      <c r="W193" s="24">
        <v>1439666</v>
      </c>
      <c r="Y193" s="24">
        <v>633923</v>
      </c>
      <c r="AA193" s="24">
        <v>33442</v>
      </c>
      <c r="AC193" s="24">
        <v>1658461</v>
      </c>
      <c r="AE193" s="24">
        <v>567183</v>
      </c>
      <c r="AG193" s="24">
        <v>257085</v>
      </c>
      <c r="AI193" s="24">
        <v>0</v>
      </c>
      <c r="AK193" s="24">
        <v>10959</v>
      </c>
      <c r="AL193" s="51" t="s">
        <v>266</v>
      </c>
      <c r="AM193" s="51"/>
      <c r="AN193" s="51" t="s">
        <v>20</v>
      </c>
      <c r="AP193" s="24">
        <v>394743</v>
      </c>
      <c r="AR193" s="24">
        <v>0</v>
      </c>
      <c r="AV193" s="24">
        <v>0</v>
      </c>
      <c r="AX193" s="24">
        <v>0</v>
      </c>
      <c r="AZ193" s="24">
        <v>0</v>
      </c>
      <c r="BB193" s="24">
        <f t="shared" si="39"/>
        <v>17908230</v>
      </c>
      <c r="BD193" s="24">
        <v>1064010</v>
      </c>
      <c r="BF193" s="24">
        <v>0</v>
      </c>
      <c r="BH193" s="24">
        <v>0</v>
      </c>
      <c r="BJ193" s="24">
        <v>0</v>
      </c>
      <c r="BL193" s="24">
        <f t="shared" si="40"/>
        <v>18972240</v>
      </c>
      <c r="BN193" s="24">
        <f>+'Gen Fd Rev'!AM193-'Gen Fd Exp'!BL193</f>
        <v>1530388</v>
      </c>
      <c r="BP193" s="24">
        <v>14045271</v>
      </c>
      <c r="BR193" s="24">
        <v>0</v>
      </c>
      <c r="BT193" s="24">
        <v>0</v>
      </c>
      <c r="BV193" s="24">
        <f t="shared" si="38"/>
        <v>15575659</v>
      </c>
      <c r="BX193" s="64">
        <f>+BV193-'Gen Fd BS'!AI193+BT193</f>
        <v>0</v>
      </c>
    </row>
    <row r="194" spans="1:76" hidden="1">
      <c r="A194" s="9" t="s">
        <v>739</v>
      </c>
      <c r="B194" s="9"/>
      <c r="C194" s="9" t="s">
        <v>28</v>
      </c>
      <c r="D194" s="9"/>
      <c r="E194" s="23">
        <v>47068</v>
      </c>
      <c r="G194" s="42">
        <v>0</v>
      </c>
      <c r="I194" s="42">
        <v>0</v>
      </c>
      <c r="K194" s="42">
        <v>0</v>
      </c>
      <c r="M194" s="42">
        <v>0</v>
      </c>
      <c r="O194" s="42">
        <v>0</v>
      </c>
      <c r="Q194" s="42">
        <v>0</v>
      </c>
      <c r="S194" s="42">
        <v>0</v>
      </c>
      <c r="U194" s="42">
        <v>0</v>
      </c>
      <c r="W194" s="42">
        <v>0</v>
      </c>
      <c r="Y194" s="42">
        <v>0</v>
      </c>
      <c r="AA194" s="42">
        <v>0</v>
      </c>
      <c r="AC194" s="42">
        <v>0</v>
      </c>
      <c r="AE194" s="42">
        <v>0</v>
      </c>
      <c r="AG194" s="42">
        <v>0</v>
      </c>
      <c r="AI194" s="42">
        <v>0</v>
      </c>
      <c r="AK194" s="42">
        <v>0</v>
      </c>
      <c r="AL194" s="9" t="s">
        <v>739</v>
      </c>
      <c r="AM194" s="9"/>
      <c r="AN194" s="9" t="s">
        <v>28</v>
      </c>
      <c r="AP194" s="42">
        <v>0</v>
      </c>
      <c r="AR194" s="42">
        <v>0</v>
      </c>
      <c r="AV194" s="42">
        <v>0</v>
      </c>
      <c r="AX194" s="42">
        <v>0</v>
      </c>
      <c r="AZ194" s="42">
        <v>0</v>
      </c>
      <c r="BB194" s="42">
        <f t="shared" si="39"/>
        <v>0</v>
      </c>
      <c r="BD194" s="42">
        <v>0</v>
      </c>
      <c r="BF194" s="42">
        <v>0</v>
      </c>
      <c r="BH194" s="42">
        <v>0</v>
      </c>
      <c r="BJ194" s="42">
        <v>0</v>
      </c>
      <c r="BL194" s="42">
        <f t="shared" si="40"/>
        <v>0</v>
      </c>
      <c r="BN194" s="42">
        <f>+'Gen Fd Rev'!AM194-'Gen Fd Exp'!BL194</f>
        <v>0</v>
      </c>
      <c r="BP194" s="42">
        <v>0</v>
      </c>
      <c r="BR194" s="42">
        <v>0</v>
      </c>
      <c r="BT194" s="42">
        <v>0</v>
      </c>
      <c r="BV194" s="42">
        <f t="shared" si="38"/>
        <v>0</v>
      </c>
      <c r="BX194" s="5">
        <f>+BV194-'Gen Fd BS'!AI194+BT194</f>
        <v>0</v>
      </c>
    </row>
    <row r="195" spans="1:76">
      <c r="A195" s="9" t="s">
        <v>218</v>
      </c>
      <c r="B195" s="9"/>
      <c r="C195" s="9" t="s">
        <v>77</v>
      </c>
      <c r="D195" s="9"/>
      <c r="E195" s="23">
        <v>46045</v>
      </c>
      <c r="F195" s="7"/>
      <c r="G195" s="42">
        <v>3222729</v>
      </c>
      <c r="I195" s="42">
        <v>620452</v>
      </c>
      <c r="K195" s="42">
        <v>197193</v>
      </c>
      <c r="M195" s="42">
        <v>0</v>
      </c>
      <c r="O195" s="42">
        <v>311487</v>
      </c>
      <c r="Q195" s="42">
        <v>408136</v>
      </c>
      <c r="S195" s="42">
        <v>572029</v>
      </c>
      <c r="U195" s="42">
        <v>51085</v>
      </c>
      <c r="W195" s="42">
        <v>579080</v>
      </c>
      <c r="Y195" s="42">
        <v>271487</v>
      </c>
      <c r="AA195" s="42">
        <v>0</v>
      </c>
      <c r="AC195" s="42">
        <v>784302</v>
      </c>
      <c r="AE195" s="42">
        <v>469925</v>
      </c>
      <c r="AG195" s="42">
        <v>9058</v>
      </c>
      <c r="AI195" s="42">
        <v>0</v>
      </c>
      <c r="AK195" s="42">
        <v>134026</v>
      </c>
      <c r="AL195" s="9" t="s">
        <v>218</v>
      </c>
      <c r="AM195" s="9"/>
      <c r="AN195" s="9" t="s">
        <v>77</v>
      </c>
      <c r="AP195" s="42">
        <v>106895</v>
      </c>
      <c r="AR195" s="42">
        <v>0</v>
      </c>
      <c r="AV195" s="42">
        <v>0</v>
      </c>
      <c r="AX195" s="42">
        <v>0</v>
      </c>
      <c r="AZ195" s="42">
        <v>0</v>
      </c>
      <c r="BB195" s="42">
        <f t="shared" si="39"/>
        <v>7737884</v>
      </c>
      <c r="BD195" s="42">
        <v>0</v>
      </c>
      <c r="BF195" s="42">
        <v>0</v>
      </c>
      <c r="BH195" s="42">
        <v>0</v>
      </c>
      <c r="BJ195" s="42">
        <v>0</v>
      </c>
      <c r="BL195" s="42">
        <f t="shared" si="40"/>
        <v>7737884</v>
      </c>
      <c r="BN195" s="42">
        <f>+'Gen Fd Rev'!AM195-'Gen Fd Exp'!BL195</f>
        <v>-201409</v>
      </c>
      <c r="BP195" s="42">
        <v>1219213</v>
      </c>
      <c r="BR195" s="42">
        <v>0</v>
      </c>
      <c r="BT195" s="42">
        <v>0</v>
      </c>
      <c r="BV195" s="42">
        <f t="shared" si="38"/>
        <v>1017804</v>
      </c>
      <c r="BX195" s="5">
        <f>+BV195-'Gen Fd BS'!AI195+BT195</f>
        <v>0</v>
      </c>
    </row>
    <row r="196" spans="1:76">
      <c r="A196" s="9" t="s">
        <v>737</v>
      </c>
      <c r="B196" s="9"/>
      <c r="C196" s="9" t="s">
        <v>13</v>
      </c>
      <c r="D196" s="9"/>
      <c r="E196" s="23">
        <v>45914</v>
      </c>
      <c r="F196" s="7"/>
      <c r="G196" s="42">
        <v>5923159</v>
      </c>
      <c r="I196" s="42">
        <v>985370</v>
      </c>
      <c r="K196" s="42">
        <v>226850</v>
      </c>
      <c r="M196" s="42">
        <v>0</v>
      </c>
      <c r="O196" s="42">
        <v>1100</v>
      </c>
      <c r="Q196" s="42">
        <v>191187</v>
      </c>
      <c r="S196" s="42">
        <v>269660</v>
      </c>
      <c r="U196" s="42">
        <v>42946</v>
      </c>
      <c r="W196" s="42">
        <v>770306</v>
      </c>
      <c r="Y196" s="42">
        <v>355793</v>
      </c>
      <c r="AA196" s="42">
        <v>0</v>
      </c>
      <c r="AC196" s="42">
        <v>825181</v>
      </c>
      <c r="AE196" s="42">
        <v>1014835</v>
      </c>
      <c r="AG196" s="42">
        <v>59979</v>
      </c>
      <c r="AI196" s="42">
        <v>0</v>
      </c>
      <c r="AK196" s="42">
        <v>1005</v>
      </c>
      <c r="AL196" s="9" t="s">
        <v>737</v>
      </c>
      <c r="AM196" s="9"/>
      <c r="AN196" s="9" t="s">
        <v>13</v>
      </c>
      <c r="AP196" s="42">
        <v>65135</v>
      </c>
      <c r="AR196" s="42">
        <v>0</v>
      </c>
      <c r="AV196" s="42">
        <v>0</v>
      </c>
      <c r="AX196" s="42">
        <v>0</v>
      </c>
      <c r="AZ196" s="42">
        <v>0</v>
      </c>
      <c r="BB196" s="42">
        <f t="shared" si="39"/>
        <v>10732506</v>
      </c>
      <c r="BD196" s="42">
        <v>4854</v>
      </c>
      <c r="BF196" s="42">
        <v>0</v>
      </c>
      <c r="BH196" s="42">
        <v>0</v>
      </c>
      <c r="BJ196" s="42">
        <v>0</v>
      </c>
      <c r="BL196" s="42">
        <f t="shared" si="40"/>
        <v>10737360</v>
      </c>
      <c r="BN196" s="42">
        <f>+'Gen Fd Rev'!AM196-'Gen Fd Exp'!BL196</f>
        <v>700633</v>
      </c>
      <c r="BP196" s="42">
        <v>2395853</v>
      </c>
      <c r="BR196" s="42">
        <v>0</v>
      </c>
      <c r="BT196" s="42">
        <v>0</v>
      </c>
      <c r="BV196" s="42">
        <f t="shared" si="38"/>
        <v>3096486</v>
      </c>
      <c r="BX196" s="5">
        <f>+BV196-'Gen Fd BS'!AI196+BT196</f>
        <v>0</v>
      </c>
    </row>
    <row r="197" spans="1:76">
      <c r="A197" s="9" t="s">
        <v>237</v>
      </c>
      <c r="B197" s="9"/>
      <c r="C197" s="9" t="s">
        <v>112</v>
      </c>
      <c r="D197" s="9"/>
      <c r="E197" s="23">
        <v>46334</v>
      </c>
      <c r="F197" s="7"/>
      <c r="G197" s="42">
        <v>3996267</v>
      </c>
      <c r="I197" s="42">
        <v>1975198</v>
      </c>
      <c r="K197" s="42">
        <v>0</v>
      </c>
      <c r="M197" s="42">
        <v>0</v>
      </c>
      <c r="O197" s="42">
        <v>117795</v>
      </c>
      <c r="Q197" s="42">
        <v>300857</v>
      </c>
      <c r="S197" s="42">
        <v>249500</v>
      </c>
      <c r="U197" s="42">
        <v>16533</v>
      </c>
      <c r="W197" s="42">
        <v>626072</v>
      </c>
      <c r="Y197" s="42">
        <v>359715</v>
      </c>
      <c r="AA197" s="42">
        <v>0</v>
      </c>
      <c r="AC197" s="42">
        <v>754042</v>
      </c>
      <c r="AE197" s="42">
        <v>596088</v>
      </c>
      <c r="AG197" s="42">
        <v>0</v>
      </c>
      <c r="AI197" s="42">
        <v>0</v>
      </c>
      <c r="AK197" s="42">
        <v>0</v>
      </c>
      <c r="AL197" s="9" t="s">
        <v>237</v>
      </c>
      <c r="AM197" s="9"/>
      <c r="AN197" s="9" t="s">
        <v>112</v>
      </c>
      <c r="AP197" s="42">
        <v>23216</v>
      </c>
      <c r="AR197" s="42">
        <v>0</v>
      </c>
      <c r="AV197" s="42">
        <v>61852</v>
      </c>
      <c r="AX197" s="42">
        <v>26125</v>
      </c>
      <c r="AZ197" s="42">
        <v>0</v>
      </c>
      <c r="BB197" s="42">
        <f t="shared" si="39"/>
        <v>9103260</v>
      </c>
      <c r="BD197" s="42">
        <v>51509</v>
      </c>
      <c r="BF197" s="42">
        <v>0</v>
      </c>
      <c r="BH197" s="42">
        <v>0</v>
      </c>
      <c r="BJ197" s="42">
        <v>0</v>
      </c>
      <c r="BL197" s="42">
        <f t="shared" si="40"/>
        <v>9154769</v>
      </c>
      <c r="BN197" s="42">
        <f>+'Gen Fd Rev'!AM197-'Gen Fd Exp'!BL197</f>
        <v>145711</v>
      </c>
      <c r="BP197" s="42">
        <v>1304468</v>
      </c>
      <c r="BR197" s="42">
        <v>0</v>
      </c>
      <c r="BT197" s="42">
        <v>0</v>
      </c>
      <c r="BV197" s="42">
        <f t="shared" si="38"/>
        <v>1450179</v>
      </c>
      <c r="BX197" s="5">
        <f>+BV197-'Gen Fd BS'!AI197+BT197</f>
        <v>0</v>
      </c>
    </row>
    <row r="198" spans="1:76">
      <c r="A198" s="9" t="s">
        <v>714</v>
      </c>
      <c r="B198" s="9"/>
      <c r="C198" s="9" t="s">
        <v>56</v>
      </c>
      <c r="D198" s="9"/>
      <c r="E198" s="23">
        <v>49197</v>
      </c>
      <c r="G198" s="42">
        <v>9634742</v>
      </c>
      <c r="I198" s="42">
        <v>1187537</v>
      </c>
      <c r="K198" s="42">
        <v>52573</v>
      </c>
      <c r="M198" s="42">
        <v>30799</v>
      </c>
      <c r="O198" s="42">
        <v>1522</v>
      </c>
      <c r="Q198" s="42">
        <v>819412</v>
      </c>
      <c r="S198" s="42">
        <v>328634</v>
      </c>
      <c r="U198" s="42">
        <v>52446</v>
      </c>
      <c r="W198" s="42">
        <v>2020049</v>
      </c>
      <c r="Y198" s="42">
        <v>550457</v>
      </c>
      <c r="AA198" s="42">
        <v>159039</v>
      </c>
      <c r="AC198" s="42">
        <v>1358521</v>
      </c>
      <c r="AE198" s="42">
        <v>796529</v>
      </c>
      <c r="AG198" s="42">
        <v>71965</v>
      </c>
      <c r="AI198" s="42">
        <v>0</v>
      </c>
      <c r="AK198" s="42">
        <v>0</v>
      </c>
      <c r="AL198" s="9" t="s">
        <v>714</v>
      </c>
      <c r="AM198" s="9"/>
      <c r="AN198" s="9" t="s">
        <v>56</v>
      </c>
      <c r="AP198" s="42">
        <v>294320</v>
      </c>
      <c r="AR198" s="42">
        <v>0</v>
      </c>
      <c r="AV198" s="42">
        <v>49563</v>
      </c>
      <c r="AX198" s="42">
        <v>2732</v>
      </c>
      <c r="AZ198" s="42">
        <v>0</v>
      </c>
      <c r="BB198" s="42">
        <f t="shared" si="39"/>
        <v>17410840</v>
      </c>
      <c r="BD198" s="42">
        <v>0</v>
      </c>
      <c r="BF198" s="42">
        <v>0</v>
      </c>
      <c r="BH198" s="42">
        <v>0</v>
      </c>
      <c r="BJ198" s="42">
        <v>0</v>
      </c>
      <c r="BL198" s="42">
        <f t="shared" si="40"/>
        <v>17410840</v>
      </c>
      <c r="BN198" s="42">
        <f>+'Gen Fd Rev'!AM198-'Gen Fd Exp'!BL198</f>
        <v>334263</v>
      </c>
      <c r="BP198" s="42">
        <v>804709</v>
      </c>
      <c r="BR198" s="42">
        <v>0</v>
      </c>
      <c r="BT198" s="42">
        <v>0</v>
      </c>
      <c r="BV198" s="42">
        <f t="shared" si="38"/>
        <v>1138972</v>
      </c>
      <c r="BX198" s="5">
        <f>+BV198-'Gen Fd BS'!AI198+BT198</f>
        <v>0</v>
      </c>
    </row>
    <row r="199" spans="1:76">
      <c r="A199" s="9" t="s">
        <v>335</v>
      </c>
      <c r="B199" s="9"/>
      <c r="C199" s="9" t="s">
        <v>33</v>
      </c>
      <c r="D199" s="9"/>
      <c r="E199" s="23">
        <v>43984</v>
      </c>
      <c r="G199" s="42">
        <v>22051845</v>
      </c>
      <c r="I199" s="42">
        <v>5242745</v>
      </c>
      <c r="K199" s="42">
        <v>2535969</v>
      </c>
      <c r="M199" s="42">
        <v>96140</v>
      </c>
      <c r="O199" s="42">
        <v>5527315</v>
      </c>
      <c r="Q199" s="42">
        <v>2153083</v>
      </c>
      <c r="S199" s="42">
        <v>3380915</v>
      </c>
      <c r="U199" s="42">
        <v>132684</v>
      </c>
      <c r="W199" s="42">
        <v>3828700</v>
      </c>
      <c r="Y199" s="42">
        <v>1406882</v>
      </c>
      <c r="AA199" s="42">
        <v>0</v>
      </c>
      <c r="AC199" s="42">
        <v>5010082</v>
      </c>
      <c r="AE199" s="42">
        <v>2067872</v>
      </c>
      <c r="AG199" s="42">
        <v>119384</v>
      </c>
      <c r="AI199" s="42">
        <v>0</v>
      </c>
      <c r="AK199" s="42">
        <v>131934</v>
      </c>
      <c r="AL199" s="9" t="s">
        <v>335</v>
      </c>
      <c r="AM199" s="9"/>
      <c r="AN199" s="9" t="s">
        <v>33</v>
      </c>
      <c r="AP199" s="42">
        <v>806482</v>
      </c>
      <c r="AR199" s="42">
        <v>0</v>
      </c>
      <c r="AV199" s="42">
        <v>338871</v>
      </c>
      <c r="AX199" s="42">
        <v>29436</v>
      </c>
      <c r="AZ199" s="42">
        <v>0</v>
      </c>
      <c r="BB199" s="42">
        <f t="shared" si="39"/>
        <v>54860339</v>
      </c>
      <c r="BD199" s="42">
        <v>0</v>
      </c>
      <c r="BF199" s="42">
        <v>0</v>
      </c>
      <c r="BH199" s="42">
        <v>0</v>
      </c>
      <c r="BJ199" s="42">
        <v>0</v>
      </c>
      <c r="BL199" s="42">
        <f t="shared" si="40"/>
        <v>54860339</v>
      </c>
      <c r="BN199" s="42">
        <f>+'Gen Fd Rev'!AM199-'Gen Fd Exp'!BL199</f>
        <v>-611244</v>
      </c>
      <c r="BP199" s="42">
        <v>10016165</v>
      </c>
      <c r="BR199" s="42">
        <v>-5224</v>
      </c>
      <c r="BT199" s="42">
        <v>0</v>
      </c>
      <c r="BV199" s="42">
        <f t="shared" si="38"/>
        <v>9410145</v>
      </c>
      <c r="BX199" s="5">
        <f>+BV199-'Gen Fd BS'!AI199+BT199</f>
        <v>0</v>
      </c>
    </row>
    <row r="200" spans="1:76">
      <c r="A200" s="9" t="s">
        <v>320</v>
      </c>
      <c r="B200" s="9"/>
      <c r="C200" s="9" t="s">
        <v>32</v>
      </c>
      <c r="D200" s="9"/>
      <c r="E200" s="23">
        <v>47332</v>
      </c>
      <c r="G200" s="42">
        <v>6606690</v>
      </c>
      <c r="I200" s="42">
        <v>3176626</v>
      </c>
      <c r="K200" s="42">
        <v>17351</v>
      </c>
      <c r="M200" s="42">
        <v>0</v>
      </c>
      <c r="O200" s="42">
        <v>822370</v>
      </c>
      <c r="Q200" s="42">
        <v>966504</v>
      </c>
      <c r="S200" s="42">
        <v>254753</v>
      </c>
      <c r="U200" s="42">
        <v>0</v>
      </c>
      <c r="W200" s="42">
        <f>36433+1252708</f>
        <v>1289141</v>
      </c>
      <c r="Y200" s="42">
        <v>480293</v>
      </c>
      <c r="AA200" s="42">
        <v>400339</v>
      </c>
      <c r="AC200" s="42">
        <v>1529767</v>
      </c>
      <c r="AE200" s="42">
        <v>850854</v>
      </c>
      <c r="AG200" s="42">
        <v>233100</v>
      </c>
      <c r="AI200" s="42">
        <v>0</v>
      </c>
      <c r="AK200" s="42">
        <v>119186</v>
      </c>
      <c r="AL200" s="9" t="s">
        <v>320</v>
      </c>
      <c r="AM200" s="9"/>
      <c r="AN200" s="9" t="s">
        <v>32</v>
      </c>
      <c r="AP200" s="42">
        <v>361255</v>
      </c>
      <c r="AR200" s="42">
        <v>258567</v>
      </c>
      <c r="AV200" s="42">
        <v>0</v>
      </c>
      <c r="AX200" s="42">
        <v>47517</v>
      </c>
      <c r="AZ200" s="42">
        <v>0</v>
      </c>
      <c r="BB200" s="42">
        <f t="shared" si="39"/>
        <v>17414313</v>
      </c>
      <c r="BD200" s="42">
        <v>2000</v>
      </c>
      <c r="BF200" s="42">
        <v>0</v>
      </c>
      <c r="BH200" s="42">
        <v>0</v>
      </c>
      <c r="BJ200" s="42">
        <v>0</v>
      </c>
      <c r="BL200" s="42">
        <f t="shared" si="40"/>
        <v>17416313</v>
      </c>
      <c r="BN200" s="42">
        <f>+'Gen Fd Rev'!AM200-'Gen Fd Exp'!BL200</f>
        <v>155147</v>
      </c>
      <c r="BP200" s="42">
        <v>3812298</v>
      </c>
      <c r="BR200" s="42">
        <v>0</v>
      </c>
      <c r="BT200" s="42">
        <v>0</v>
      </c>
      <c r="BV200" s="42">
        <f t="shared" si="38"/>
        <v>3967445</v>
      </c>
      <c r="BX200" s="5">
        <f>+BV200-'Gen Fd BS'!AI200+BT200</f>
        <v>0</v>
      </c>
    </row>
    <row r="201" spans="1:76">
      <c r="A201" s="9" t="s">
        <v>382</v>
      </c>
      <c r="B201" s="9"/>
      <c r="C201" s="9" t="s">
        <v>44</v>
      </c>
      <c r="D201" s="9"/>
      <c r="E201" s="23">
        <v>48157</v>
      </c>
      <c r="G201" s="42">
        <v>7091278</v>
      </c>
      <c r="I201" s="42">
        <v>1446306</v>
      </c>
      <c r="K201" s="42">
        <v>254055</v>
      </c>
      <c r="M201" s="42">
        <v>0</v>
      </c>
      <c r="O201" s="42">
        <v>1634909</v>
      </c>
      <c r="Q201" s="42">
        <v>1079391</v>
      </c>
      <c r="S201" s="42">
        <v>467937</v>
      </c>
      <c r="U201" s="42">
        <v>24645</v>
      </c>
      <c r="W201" s="42">
        <v>1421376</v>
      </c>
      <c r="Y201" s="42">
        <v>449409</v>
      </c>
      <c r="AA201" s="42">
        <v>0</v>
      </c>
      <c r="AC201" s="42">
        <v>1065613</v>
      </c>
      <c r="AE201" s="42">
        <v>1288282</v>
      </c>
      <c r="AG201" s="42">
        <v>351596</v>
      </c>
      <c r="AI201" s="42">
        <v>0</v>
      </c>
      <c r="AK201" s="42">
        <v>0</v>
      </c>
      <c r="AL201" s="9" t="s">
        <v>382</v>
      </c>
      <c r="AM201" s="9"/>
      <c r="AN201" s="9" t="s">
        <v>44</v>
      </c>
      <c r="AP201" s="42">
        <v>405397</v>
      </c>
      <c r="AR201" s="42">
        <v>0</v>
      </c>
      <c r="AV201" s="42">
        <v>65000</v>
      </c>
      <c r="AX201" s="42">
        <v>48360</v>
      </c>
      <c r="AZ201" s="42">
        <v>0</v>
      </c>
      <c r="BB201" s="42">
        <f t="shared" si="39"/>
        <v>17093554</v>
      </c>
      <c r="BD201" s="42">
        <v>8000</v>
      </c>
      <c r="BF201" s="42">
        <v>0</v>
      </c>
      <c r="BH201" s="42">
        <v>0</v>
      </c>
      <c r="BJ201" s="42">
        <v>0</v>
      </c>
      <c r="BL201" s="42">
        <f t="shared" si="40"/>
        <v>17101554</v>
      </c>
      <c r="BN201" s="42">
        <f>+'Gen Fd Rev'!AM201-'Gen Fd Exp'!BL201</f>
        <v>884062</v>
      </c>
      <c r="BP201" s="42">
        <v>1393117</v>
      </c>
      <c r="BR201" s="42">
        <v>0</v>
      </c>
      <c r="BT201" s="42">
        <v>0</v>
      </c>
      <c r="BV201" s="42">
        <f t="shared" si="38"/>
        <v>2277179</v>
      </c>
      <c r="BX201" s="5">
        <f>+BV201-'Gen Fd BS'!AI201+BT201</f>
        <v>0</v>
      </c>
    </row>
    <row r="202" spans="1:76">
      <c r="A202" s="9" t="s">
        <v>321</v>
      </c>
      <c r="B202" s="9"/>
      <c r="C202" s="9" t="s">
        <v>32</v>
      </c>
      <c r="D202" s="9"/>
      <c r="E202" s="23">
        <v>47340</v>
      </c>
      <c r="G202" s="42">
        <v>33603676</v>
      </c>
      <c r="I202" s="42">
        <v>8634293</v>
      </c>
      <c r="K202" s="42">
        <v>0</v>
      </c>
      <c r="M202" s="42">
        <v>0</v>
      </c>
      <c r="O202" s="42">
        <v>1347684</v>
      </c>
      <c r="Q202" s="42">
        <v>4876996</v>
      </c>
      <c r="S202" s="42">
        <v>3936734</v>
      </c>
      <c r="U202" s="42">
        <v>37757</v>
      </c>
      <c r="W202" s="42">
        <v>4795174</v>
      </c>
      <c r="Y202" s="42">
        <v>1326267</v>
      </c>
      <c r="AA202" s="42">
        <v>215204</v>
      </c>
      <c r="AC202" s="42">
        <v>5319341</v>
      </c>
      <c r="AE202" s="42">
        <v>4757731</v>
      </c>
      <c r="AG202" s="42">
        <v>499437</v>
      </c>
      <c r="AI202" s="42">
        <v>0</v>
      </c>
      <c r="AK202" s="42">
        <v>56604</v>
      </c>
      <c r="AL202" s="9" t="s">
        <v>321</v>
      </c>
      <c r="AM202" s="9"/>
      <c r="AN202" s="9" t="s">
        <v>32</v>
      </c>
      <c r="AP202" s="42">
        <v>1450485</v>
      </c>
      <c r="AR202" s="42">
        <v>10084</v>
      </c>
      <c r="AV202" s="42">
        <v>0</v>
      </c>
      <c r="AX202" s="42">
        <v>0</v>
      </c>
      <c r="AZ202" s="42">
        <v>0</v>
      </c>
      <c r="BB202" s="42">
        <f t="shared" si="39"/>
        <v>70867467</v>
      </c>
      <c r="BD202" s="42">
        <v>1234685</v>
      </c>
      <c r="BF202" s="42">
        <v>0</v>
      </c>
      <c r="BH202" s="42">
        <v>0</v>
      </c>
      <c r="BJ202" s="42">
        <v>0</v>
      </c>
      <c r="BL202" s="42">
        <f t="shared" si="40"/>
        <v>72102152</v>
      </c>
      <c r="BN202" s="42">
        <f>+'Gen Fd Rev'!AM202-'Gen Fd Exp'!BL202</f>
        <v>817790</v>
      </c>
      <c r="BP202" s="42">
        <v>17154925</v>
      </c>
      <c r="BR202" s="42">
        <v>0</v>
      </c>
      <c r="BT202" s="42">
        <v>0</v>
      </c>
      <c r="BV202" s="42">
        <f t="shared" si="38"/>
        <v>17972715</v>
      </c>
      <c r="BX202" s="5">
        <f>+BV202-'Gen Fd BS'!AI202+BT202</f>
        <v>0</v>
      </c>
    </row>
    <row r="203" spans="1:76" hidden="1">
      <c r="A203" s="9" t="s">
        <v>611</v>
      </c>
      <c r="B203" s="9"/>
      <c r="C203" s="9" t="s">
        <v>70</v>
      </c>
      <c r="D203" s="9"/>
      <c r="E203" s="23">
        <v>50484</v>
      </c>
      <c r="G203" s="42">
        <v>0</v>
      </c>
      <c r="I203" s="42">
        <v>0</v>
      </c>
      <c r="K203" s="42">
        <v>0</v>
      </c>
      <c r="M203" s="42">
        <v>0</v>
      </c>
      <c r="O203" s="42">
        <v>0</v>
      </c>
      <c r="Q203" s="42">
        <v>0</v>
      </c>
      <c r="S203" s="42">
        <v>0</v>
      </c>
      <c r="U203" s="42">
        <v>0</v>
      </c>
      <c r="W203" s="42">
        <v>0</v>
      </c>
      <c r="Y203" s="42">
        <v>0</v>
      </c>
      <c r="AA203" s="42">
        <v>0</v>
      </c>
      <c r="AC203" s="42">
        <v>0</v>
      </c>
      <c r="AE203" s="42">
        <v>0</v>
      </c>
      <c r="AG203" s="42">
        <v>0</v>
      </c>
      <c r="AI203" s="42">
        <v>0</v>
      </c>
      <c r="AK203" s="42">
        <v>0</v>
      </c>
      <c r="AL203" s="9" t="s">
        <v>611</v>
      </c>
      <c r="AM203" s="9"/>
      <c r="AN203" s="9" t="s">
        <v>70</v>
      </c>
      <c r="AP203" s="42">
        <v>0</v>
      </c>
      <c r="AR203" s="42">
        <v>0</v>
      </c>
      <c r="AV203" s="42">
        <v>0</v>
      </c>
      <c r="AX203" s="42">
        <v>0</v>
      </c>
      <c r="AZ203" s="42">
        <v>0</v>
      </c>
      <c r="BB203" s="42">
        <f t="shared" si="39"/>
        <v>0</v>
      </c>
      <c r="BD203" s="42">
        <v>0</v>
      </c>
      <c r="BF203" s="42">
        <v>0</v>
      </c>
      <c r="BH203" s="42">
        <v>0</v>
      </c>
      <c r="BJ203" s="42">
        <v>0</v>
      </c>
      <c r="BL203" s="42">
        <f t="shared" si="40"/>
        <v>0</v>
      </c>
      <c r="BN203" s="42">
        <f>+'Gen Fd Rev'!AM203-'Gen Fd Exp'!BL203</f>
        <v>0</v>
      </c>
      <c r="BP203" s="42">
        <v>0</v>
      </c>
      <c r="BR203" s="42">
        <v>0</v>
      </c>
      <c r="BT203" s="42">
        <v>0</v>
      </c>
      <c r="BV203" s="42">
        <f t="shared" si="38"/>
        <v>0</v>
      </c>
      <c r="BX203" s="5">
        <f>+BV203-'Gen Fd BS'!AI203+BT203</f>
        <v>0</v>
      </c>
    </row>
    <row r="204" spans="1:76">
      <c r="A204" s="9" t="s">
        <v>486</v>
      </c>
      <c r="B204" s="9"/>
      <c r="C204" s="9" t="s">
        <v>61</v>
      </c>
      <c r="D204" s="9"/>
      <c r="E204" s="23">
        <v>49783</v>
      </c>
      <c r="G204" s="42">
        <v>3666455</v>
      </c>
      <c r="I204" s="42">
        <v>611803</v>
      </c>
      <c r="K204" s="42">
        <v>0</v>
      </c>
      <c r="M204" s="42">
        <v>0</v>
      </c>
      <c r="O204" s="42">
        <v>0</v>
      </c>
      <c r="Q204" s="42">
        <v>516344</v>
      </c>
      <c r="S204" s="42">
        <v>69747</v>
      </c>
      <c r="U204" s="42">
        <v>22573</v>
      </c>
      <c r="W204" s="42">
        <v>526325</v>
      </c>
      <c r="Y204" s="42">
        <v>229134</v>
      </c>
      <c r="AA204" s="42">
        <v>742</v>
      </c>
      <c r="AC204" s="42">
        <v>932610</v>
      </c>
      <c r="AE204" s="42">
        <v>302304</v>
      </c>
      <c r="AG204" s="42">
        <v>70977</v>
      </c>
      <c r="AI204" s="42">
        <v>0</v>
      </c>
      <c r="AK204" s="42">
        <v>0</v>
      </c>
      <c r="AL204" s="9" t="s">
        <v>486</v>
      </c>
      <c r="AM204" s="9"/>
      <c r="AN204" s="9" t="s">
        <v>61</v>
      </c>
      <c r="AP204" s="42">
        <v>284886</v>
      </c>
      <c r="AR204" s="42">
        <v>0</v>
      </c>
      <c r="AV204" s="42">
        <v>0</v>
      </c>
      <c r="AX204" s="42">
        <v>0</v>
      </c>
      <c r="AZ204" s="42">
        <v>0</v>
      </c>
      <c r="BB204" s="42">
        <f t="shared" si="39"/>
        <v>7233900</v>
      </c>
      <c r="BD204" s="42">
        <v>111203</v>
      </c>
      <c r="BF204" s="42">
        <v>0</v>
      </c>
      <c r="BH204" s="42">
        <v>0</v>
      </c>
      <c r="BJ204" s="42">
        <v>0</v>
      </c>
      <c r="BL204" s="42">
        <f t="shared" si="40"/>
        <v>7345103</v>
      </c>
      <c r="BN204" s="42">
        <f>+'Gen Fd Rev'!AM204-'Gen Fd Exp'!BL204</f>
        <v>54204</v>
      </c>
      <c r="BP204" s="42">
        <v>3205290</v>
      </c>
      <c r="BR204" s="42">
        <v>0</v>
      </c>
      <c r="BT204" s="42">
        <v>0</v>
      </c>
      <c r="BV204" s="42">
        <f t="shared" si="38"/>
        <v>3259494</v>
      </c>
      <c r="BX204" s="5">
        <f>+BV204-'Gen Fd BS'!AI204+BT204</f>
        <v>0</v>
      </c>
    </row>
    <row r="205" spans="1:76" hidden="1">
      <c r="A205" s="9" t="s">
        <v>758</v>
      </c>
      <c r="B205" s="9"/>
      <c r="C205" s="9" t="s">
        <v>419</v>
      </c>
      <c r="D205" s="9"/>
      <c r="E205" s="23">
        <v>48595</v>
      </c>
      <c r="G205" s="42">
        <v>0</v>
      </c>
      <c r="I205" s="42">
        <v>0</v>
      </c>
      <c r="K205" s="42">
        <v>0</v>
      </c>
      <c r="M205" s="42">
        <v>0</v>
      </c>
      <c r="O205" s="42">
        <v>0</v>
      </c>
      <c r="Q205" s="42">
        <v>0</v>
      </c>
      <c r="S205" s="42">
        <v>0</v>
      </c>
      <c r="U205" s="42">
        <v>0</v>
      </c>
      <c r="W205" s="42">
        <v>0</v>
      </c>
      <c r="Y205" s="42">
        <v>0</v>
      </c>
      <c r="AA205" s="42">
        <v>0</v>
      </c>
      <c r="AC205" s="42">
        <v>0</v>
      </c>
      <c r="AE205" s="42">
        <v>0</v>
      </c>
      <c r="AG205" s="42">
        <v>0</v>
      </c>
      <c r="AI205" s="42">
        <v>0</v>
      </c>
      <c r="AK205" s="42">
        <v>0</v>
      </c>
      <c r="AL205" s="9" t="s">
        <v>758</v>
      </c>
      <c r="AM205" s="9"/>
      <c r="AN205" s="9" t="s">
        <v>419</v>
      </c>
      <c r="AP205" s="42">
        <v>0</v>
      </c>
      <c r="AR205" s="42">
        <v>0</v>
      </c>
      <c r="AV205" s="42">
        <v>0</v>
      </c>
      <c r="AX205" s="42">
        <v>0</v>
      </c>
      <c r="AZ205" s="42">
        <v>0</v>
      </c>
      <c r="BB205" s="42">
        <f t="shared" si="39"/>
        <v>0</v>
      </c>
      <c r="BD205" s="42">
        <v>0</v>
      </c>
      <c r="BF205" s="42">
        <v>0</v>
      </c>
      <c r="BH205" s="42">
        <v>0</v>
      </c>
      <c r="BJ205" s="42">
        <v>0</v>
      </c>
      <c r="BL205" s="42">
        <f t="shared" si="40"/>
        <v>0</v>
      </c>
      <c r="BN205" s="42">
        <f>+'Gen Fd Rev'!AM205-'Gen Fd Exp'!BL205</f>
        <v>0</v>
      </c>
      <c r="BP205" s="42">
        <v>0</v>
      </c>
      <c r="BR205" s="42">
        <v>0</v>
      </c>
      <c r="BT205" s="42">
        <v>0</v>
      </c>
      <c r="BV205" s="42">
        <f t="shared" si="38"/>
        <v>0</v>
      </c>
      <c r="BX205" s="5">
        <f>+BV205-'Gen Fd BS'!AI205+BT205</f>
        <v>0</v>
      </c>
    </row>
    <row r="206" spans="1:76" hidden="1">
      <c r="A206" s="9" t="s">
        <v>741</v>
      </c>
      <c r="B206" s="9"/>
      <c r="C206" s="9" t="s">
        <v>60</v>
      </c>
      <c r="D206" s="9"/>
      <c r="E206" s="23">
        <v>43992</v>
      </c>
      <c r="G206" s="42">
        <v>0</v>
      </c>
      <c r="I206" s="42">
        <v>0</v>
      </c>
      <c r="K206" s="42">
        <v>0</v>
      </c>
      <c r="M206" s="42">
        <v>0</v>
      </c>
      <c r="O206" s="42">
        <v>0</v>
      </c>
      <c r="Q206" s="42">
        <v>0</v>
      </c>
      <c r="S206" s="42">
        <v>0</v>
      </c>
      <c r="U206" s="42">
        <v>0</v>
      </c>
      <c r="W206" s="42">
        <v>0</v>
      </c>
      <c r="Y206" s="42">
        <v>0</v>
      </c>
      <c r="AA206" s="42">
        <v>0</v>
      </c>
      <c r="AC206" s="42">
        <v>0</v>
      </c>
      <c r="AE206" s="42">
        <v>0</v>
      </c>
      <c r="AG206" s="42">
        <v>0</v>
      </c>
      <c r="AI206" s="42">
        <v>0</v>
      </c>
      <c r="AK206" s="42">
        <v>0</v>
      </c>
      <c r="AL206" s="9" t="s">
        <v>741</v>
      </c>
      <c r="AM206" s="9"/>
      <c r="AN206" s="9" t="s">
        <v>60</v>
      </c>
      <c r="AP206" s="42">
        <v>0</v>
      </c>
      <c r="AR206" s="42">
        <v>0</v>
      </c>
      <c r="AV206" s="42">
        <v>0</v>
      </c>
      <c r="AX206" s="42">
        <v>0</v>
      </c>
      <c r="AZ206" s="42">
        <v>0</v>
      </c>
      <c r="BB206" s="42">
        <f t="shared" si="39"/>
        <v>0</v>
      </c>
      <c r="BD206" s="42">
        <v>0</v>
      </c>
      <c r="BF206" s="42">
        <v>0</v>
      </c>
      <c r="BH206" s="42">
        <v>0</v>
      </c>
      <c r="BJ206" s="42">
        <v>0</v>
      </c>
      <c r="BL206" s="42">
        <f t="shared" si="40"/>
        <v>0</v>
      </c>
      <c r="BN206" s="42">
        <f>+'Gen Fd Rev'!AM206-'Gen Fd Exp'!BL206</f>
        <v>0</v>
      </c>
      <c r="BP206" s="42">
        <v>0</v>
      </c>
      <c r="BR206" s="42">
        <v>0</v>
      </c>
      <c r="BT206" s="42">
        <v>0</v>
      </c>
      <c r="BV206" s="42">
        <f t="shared" ref="BV206:BV227" si="47">+BP206+BN206-BR206</f>
        <v>0</v>
      </c>
      <c r="BX206" s="5">
        <f>+BV206-'Gen Fd BS'!AI206+BT206</f>
        <v>0</v>
      </c>
    </row>
    <row r="207" spans="1:76">
      <c r="A207" s="9" t="s">
        <v>540</v>
      </c>
      <c r="B207" s="9"/>
      <c r="C207" s="9" t="s">
        <v>69</v>
      </c>
      <c r="D207" s="9"/>
      <c r="E207" s="23">
        <v>44008</v>
      </c>
      <c r="G207" s="42">
        <v>14543245</v>
      </c>
      <c r="I207" s="42">
        <v>3373451</v>
      </c>
      <c r="K207" s="42">
        <v>282101</v>
      </c>
      <c r="M207" s="42">
        <v>0</v>
      </c>
      <c r="O207" s="42">
        <f>318+70833</f>
        <v>71151</v>
      </c>
      <c r="Q207" s="42">
        <v>1291704</v>
      </c>
      <c r="S207" s="42">
        <v>1388734</v>
      </c>
      <c r="U207" s="42">
        <v>34560</v>
      </c>
      <c r="W207" s="42">
        <v>1986283</v>
      </c>
      <c r="Y207" s="42">
        <v>567489</v>
      </c>
      <c r="AA207" s="42">
        <v>168863</v>
      </c>
      <c r="AC207" s="42">
        <v>2228397</v>
      </c>
      <c r="AE207" s="42">
        <v>1199573</v>
      </c>
      <c r="AG207" s="42">
        <v>400122</v>
      </c>
      <c r="AI207" s="42">
        <v>0</v>
      </c>
      <c r="AK207" s="42">
        <v>14854</v>
      </c>
      <c r="AL207" s="9" t="s">
        <v>540</v>
      </c>
      <c r="AM207" s="9"/>
      <c r="AN207" s="9" t="s">
        <v>69</v>
      </c>
      <c r="AP207" s="42">
        <v>666655</v>
      </c>
      <c r="AR207" s="42">
        <v>0</v>
      </c>
      <c r="AV207" s="42">
        <v>0</v>
      </c>
      <c r="AX207" s="42">
        <v>4404</v>
      </c>
      <c r="AZ207" s="42">
        <v>0</v>
      </c>
      <c r="BB207" s="42">
        <f t="shared" si="39"/>
        <v>28221586</v>
      </c>
      <c r="BD207" s="42">
        <v>0</v>
      </c>
      <c r="BF207" s="42">
        <v>0</v>
      </c>
      <c r="BH207" s="42">
        <v>0</v>
      </c>
      <c r="BJ207" s="42">
        <v>0</v>
      </c>
      <c r="BL207" s="42">
        <f t="shared" si="40"/>
        <v>28221586</v>
      </c>
      <c r="BN207" s="42">
        <f>+'Gen Fd Rev'!AM207-'Gen Fd Exp'!BL207</f>
        <v>-21673</v>
      </c>
      <c r="BP207" s="42">
        <v>2685307</v>
      </c>
      <c r="BR207" s="42">
        <v>0</v>
      </c>
      <c r="BT207" s="42">
        <v>0</v>
      </c>
      <c r="BV207" s="42">
        <f t="shared" si="47"/>
        <v>2663634</v>
      </c>
      <c r="BX207" s="5">
        <f>+BV207-'Gen Fd BS'!AI207+BT207</f>
        <v>0</v>
      </c>
    </row>
    <row r="208" spans="1:76">
      <c r="A208" s="9" t="s">
        <v>441</v>
      </c>
      <c r="B208" s="9"/>
      <c r="C208" s="9" t="s">
        <v>51</v>
      </c>
      <c r="D208" s="9"/>
      <c r="E208" s="23">
        <v>48843</v>
      </c>
      <c r="G208" s="42">
        <v>11126852</v>
      </c>
      <c r="I208" s="42">
        <v>1354255</v>
      </c>
      <c r="K208" s="42">
        <v>116169</v>
      </c>
      <c r="M208" s="42">
        <v>0</v>
      </c>
      <c r="O208" s="42">
        <v>209580</v>
      </c>
      <c r="Q208" s="42">
        <v>721444</v>
      </c>
      <c r="S208" s="42">
        <v>110505</v>
      </c>
      <c r="U208" s="42">
        <v>109326</v>
      </c>
      <c r="W208" s="42">
        <v>1420061</v>
      </c>
      <c r="Y208" s="42">
        <v>427282</v>
      </c>
      <c r="AA208" s="42">
        <v>0</v>
      </c>
      <c r="AC208" s="42">
        <v>1848828</v>
      </c>
      <c r="AE208" s="42">
        <v>1588982</v>
      </c>
      <c r="AG208" s="42">
        <v>181580</v>
      </c>
      <c r="AI208" s="42">
        <v>2273</v>
      </c>
      <c r="AK208" s="42">
        <v>0</v>
      </c>
      <c r="AL208" s="9" t="s">
        <v>441</v>
      </c>
      <c r="AM208" s="9"/>
      <c r="AN208" s="9" t="s">
        <v>51</v>
      </c>
      <c r="AP208" s="42">
        <v>368726</v>
      </c>
      <c r="AR208" s="42">
        <v>597565</v>
      </c>
      <c r="AV208" s="42">
        <v>41497</v>
      </c>
      <c r="AX208" s="42">
        <v>7525</v>
      </c>
      <c r="AZ208" s="42">
        <v>0</v>
      </c>
      <c r="BB208" s="42">
        <f t="shared" si="39"/>
        <v>20232450</v>
      </c>
      <c r="BD208" s="42">
        <v>1575000</v>
      </c>
      <c r="BF208" s="42">
        <v>0</v>
      </c>
      <c r="BH208" s="42">
        <v>0</v>
      </c>
      <c r="BJ208" s="42">
        <v>0</v>
      </c>
      <c r="BL208" s="42">
        <f t="shared" si="40"/>
        <v>21807450</v>
      </c>
      <c r="BN208" s="42">
        <f>+'Gen Fd Rev'!AM208-'Gen Fd Exp'!BL208</f>
        <v>-680254</v>
      </c>
      <c r="BP208" s="42">
        <v>7559514</v>
      </c>
      <c r="BR208" s="42">
        <v>0</v>
      </c>
      <c r="BT208" s="42">
        <v>0</v>
      </c>
      <c r="BV208" s="42">
        <f t="shared" si="47"/>
        <v>6879260</v>
      </c>
      <c r="BX208" s="5">
        <f>+BV208-'Gen Fd BS'!AI208+BT208</f>
        <v>0</v>
      </c>
    </row>
    <row r="209" spans="1:76" hidden="1">
      <c r="A209" s="9" t="s">
        <v>610</v>
      </c>
      <c r="B209" s="9"/>
      <c r="C209" s="9" t="s">
        <v>21</v>
      </c>
      <c r="D209" s="9"/>
      <c r="E209" s="23">
        <v>46649</v>
      </c>
      <c r="G209" s="42">
        <v>0</v>
      </c>
      <c r="I209" s="42">
        <v>0</v>
      </c>
      <c r="K209" s="42">
        <v>0</v>
      </c>
      <c r="M209" s="42">
        <v>0</v>
      </c>
      <c r="O209" s="42">
        <v>0</v>
      </c>
      <c r="Q209" s="42">
        <v>0</v>
      </c>
      <c r="S209" s="42">
        <v>0</v>
      </c>
      <c r="U209" s="42">
        <v>0</v>
      </c>
      <c r="W209" s="42">
        <v>0</v>
      </c>
      <c r="Y209" s="42">
        <v>0</v>
      </c>
      <c r="AA209" s="42">
        <v>0</v>
      </c>
      <c r="AC209" s="42">
        <v>0</v>
      </c>
      <c r="AE209" s="42">
        <v>0</v>
      </c>
      <c r="AG209" s="42">
        <v>0</v>
      </c>
      <c r="AI209" s="42">
        <v>0</v>
      </c>
      <c r="AK209" s="42">
        <v>0</v>
      </c>
      <c r="AL209" s="9" t="s">
        <v>610</v>
      </c>
      <c r="AM209" s="9"/>
      <c r="AN209" s="9" t="s">
        <v>21</v>
      </c>
      <c r="AP209" s="42">
        <v>0</v>
      </c>
      <c r="AR209" s="42">
        <v>0</v>
      </c>
      <c r="AV209" s="42">
        <v>0</v>
      </c>
      <c r="AX209" s="42">
        <v>0</v>
      </c>
      <c r="AZ209" s="42">
        <v>0</v>
      </c>
      <c r="BB209" s="42">
        <f t="shared" ref="BB209:BB212" si="48">SUM(G209:AZ209)</f>
        <v>0</v>
      </c>
      <c r="BD209" s="42">
        <v>0</v>
      </c>
      <c r="BF209" s="42">
        <v>0</v>
      </c>
      <c r="BH209" s="42">
        <v>0</v>
      </c>
      <c r="BJ209" s="42">
        <v>0</v>
      </c>
      <c r="BL209" s="42">
        <f t="shared" ref="BL209:BL227" si="49">+BB209+BD209+BF209+BJ209</f>
        <v>0</v>
      </c>
      <c r="BN209" s="42">
        <f>+'Gen Fd Rev'!AM209-'Gen Fd Exp'!BL209</f>
        <v>0</v>
      </c>
      <c r="BP209" s="42">
        <v>0</v>
      </c>
      <c r="BR209" s="42">
        <v>0</v>
      </c>
      <c r="BT209" s="42">
        <v>0</v>
      </c>
      <c r="BV209" s="42">
        <f t="shared" si="47"/>
        <v>0</v>
      </c>
      <c r="BX209" s="5">
        <f>+BV209-'Gen Fd BS'!AI209+BT209</f>
        <v>0</v>
      </c>
    </row>
    <row r="210" spans="1:76" hidden="1">
      <c r="A210" s="9" t="s">
        <v>659</v>
      </c>
      <c r="B210" s="9"/>
      <c r="C210" s="9" t="s">
        <v>40</v>
      </c>
      <c r="D210" s="9"/>
      <c r="E210" s="23">
        <v>47852</v>
      </c>
      <c r="G210" s="42">
        <v>0</v>
      </c>
      <c r="I210" s="42">
        <v>0</v>
      </c>
      <c r="K210" s="42">
        <v>0</v>
      </c>
      <c r="M210" s="42">
        <v>0</v>
      </c>
      <c r="O210" s="42">
        <v>0</v>
      </c>
      <c r="Q210" s="42">
        <v>0</v>
      </c>
      <c r="S210" s="42">
        <v>0</v>
      </c>
      <c r="U210" s="42">
        <v>0</v>
      </c>
      <c r="W210" s="42">
        <v>0</v>
      </c>
      <c r="Y210" s="42">
        <v>0</v>
      </c>
      <c r="AA210" s="42">
        <v>0</v>
      </c>
      <c r="AC210" s="42">
        <v>0</v>
      </c>
      <c r="AE210" s="42">
        <v>0</v>
      </c>
      <c r="AG210" s="42">
        <v>0</v>
      </c>
      <c r="AI210" s="42">
        <v>0</v>
      </c>
      <c r="AK210" s="42">
        <v>0</v>
      </c>
      <c r="AL210" s="9" t="s">
        <v>659</v>
      </c>
      <c r="AM210" s="9"/>
      <c r="AN210" s="9" t="s">
        <v>40</v>
      </c>
      <c r="AP210" s="42">
        <v>0</v>
      </c>
      <c r="AR210" s="42">
        <v>0</v>
      </c>
      <c r="AV210" s="42">
        <v>0</v>
      </c>
      <c r="AX210" s="42">
        <v>0</v>
      </c>
      <c r="AZ210" s="42">
        <v>0</v>
      </c>
      <c r="BB210" s="42">
        <f t="shared" si="48"/>
        <v>0</v>
      </c>
      <c r="BD210" s="42">
        <v>0</v>
      </c>
      <c r="BF210" s="42">
        <v>0</v>
      </c>
      <c r="BH210" s="42">
        <v>0</v>
      </c>
      <c r="BJ210" s="42">
        <v>0</v>
      </c>
      <c r="BL210" s="42">
        <f t="shared" si="49"/>
        <v>0</v>
      </c>
      <c r="BN210" s="42">
        <f>+'Gen Fd Rev'!AM210-'Gen Fd Exp'!BL210</f>
        <v>0</v>
      </c>
      <c r="BP210" s="42">
        <v>0</v>
      </c>
      <c r="BR210" s="42">
        <v>0</v>
      </c>
      <c r="BT210" s="42">
        <v>0</v>
      </c>
      <c r="BV210" s="42">
        <f t="shared" si="47"/>
        <v>0</v>
      </c>
      <c r="BX210" s="5">
        <f>+BV210-'Gen Fd BS'!AI210+BT210</f>
        <v>0</v>
      </c>
    </row>
    <row r="211" spans="1:76">
      <c r="A211" s="9" t="s">
        <v>639</v>
      </c>
      <c r="B211" s="9"/>
      <c r="C211" s="9" t="s">
        <v>79</v>
      </c>
      <c r="D211" s="9"/>
      <c r="E211" s="23">
        <v>44016</v>
      </c>
      <c r="G211" s="42">
        <v>18326977</v>
      </c>
      <c r="I211" s="42">
        <v>4789738</v>
      </c>
      <c r="K211" s="42">
        <v>129647</v>
      </c>
      <c r="M211" s="42">
        <v>0</v>
      </c>
      <c r="O211" s="42">
        <v>71870</v>
      </c>
      <c r="Q211" s="42">
        <v>2355524</v>
      </c>
      <c r="S211" s="42">
        <v>1047490</v>
      </c>
      <c r="U211" s="42">
        <v>67830</v>
      </c>
      <c r="W211" s="42">
        <v>3089685</v>
      </c>
      <c r="Y211" s="42">
        <v>698298</v>
      </c>
      <c r="AA211" s="42">
        <v>152614</v>
      </c>
      <c r="AC211" s="42">
        <v>3538429</v>
      </c>
      <c r="AE211" s="42">
        <v>1480798</v>
      </c>
      <c r="AG211" s="42">
        <v>527681</v>
      </c>
      <c r="AI211" s="42">
        <v>0</v>
      </c>
      <c r="AK211" s="42">
        <v>2245</v>
      </c>
      <c r="AL211" s="9" t="s">
        <v>639</v>
      </c>
      <c r="AM211" s="9"/>
      <c r="AN211" s="9" t="s">
        <v>79</v>
      </c>
      <c r="AP211" s="42">
        <v>681192</v>
      </c>
      <c r="AR211" s="42">
        <v>367050</v>
      </c>
      <c r="AV211" s="42">
        <v>3568</v>
      </c>
      <c r="AX211" s="42">
        <v>115</v>
      </c>
      <c r="AZ211" s="42">
        <v>0</v>
      </c>
      <c r="BB211" s="42">
        <f t="shared" si="48"/>
        <v>37330751</v>
      </c>
      <c r="BD211" s="42">
        <v>3240</v>
      </c>
      <c r="BF211" s="42">
        <v>0</v>
      </c>
      <c r="BH211" s="42">
        <v>0</v>
      </c>
      <c r="BJ211" s="42">
        <v>0</v>
      </c>
      <c r="BL211" s="42">
        <f t="shared" si="49"/>
        <v>37333991</v>
      </c>
      <c r="BN211" s="42">
        <f>+'Gen Fd Rev'!AM211-'Gen Fd Exp'!BL211</f>
        <v>-2062883</v>
      </c>
      <c r="BP211" s="42">
        <v>13709980</v>
      </c>
      <c r="BR211" s="42">
        <v>0</v>
      </c>
      <c r="BT211" s="42">
        <v>0</v>
      </c>
      <c r="BV211" s="42">
        <f t="shared" si="47"/>
        <v>11647097</v>
      </c>
      <c r="BX211" s="5">
        <f>+BV211-'Gen Fd BS'!AI211+BT211</f>
        <v>0</v>
      </c>
    </row>
    <row r="212" spans="1:76">
      <c r="A212" s="9" t="s">
        <v>544</v>
      </c>
      <c r="B212" s="9"/>
      <c r="C212" s="9" t="s">
        <v>70</v>
      </c>
      <c r="D212" s="9"/>
      <c r="E212" s="23">
        <v>50492</v>
      </c>
      <c r="G212" s="42">
        <v>2987306</v>
      </c>
      <c r="I212" s="42">
        <v>791516</v>
      </c>
      <c r="K212" s="42">
        <v>214071</v>
      </c>
      <c r="M212" s="42">
        <v>250</v>
      </c>
      <c r="O212" s="42">
        <v>0</v>
      </c>
      <c r="Q212" s="42">
        <v>248694</v>
      </c>
      <c r="S212" s="42">
        <v>105942</v>
      </c>
      <c r="U212" s="42">
        <v>28200</v>
      </c>
      <c r="W212" s="42">
        <v>880581</v>
      </c>
      <c r="Y212" s="42">
        <v>277014</v>
      </c>
      <c r="AA212" s="42">
        <v>19</v>
      </c>
      <c r="AC212" s="42">
        <v>1017384</v>
      </c>
      <c r="AE212" s="42">
        <v>619160</v>
      </c>
      <c r="AG212" s="42">
        <v>13386</v>
      </c>
      <c r="AI212" s="42">
        <v>0</v>
      </c>
      <c r="AK212" s="42">
        <v>0</v>
      </c>
      <c r="AL212" s="9" t="s">
        <v>544</v>
      </c>
      <c r="AM212" s="9"/>
      <c r="AN212" s="9" t="s">
        <v>70</v>
      </c>
      <c r="AP212" s="42">
        <v>83966</v>
      </c>
      <c r="AR212" s="42">
        <f>1699+173894</f>
        <v>175593</v>
      </c>
      <c r="AV212" s="42">
        <v>5377</v>
      </c>
      <c r="AX212" s="42">
        <v>63</v>
      </c>
      <c r="AZ212" s="42">
        <v>0</v>
      </c>
      <c r="BB212" s="42">
        <f t="shared" si="48"/>
        <v>7448522</v>
      </c>
      <c r="BD212" s="42">
        <v>58385</v>
      </c>
      <c r="BF212" s="42">
        <v>0</v>
      </c>
      <c r="BH212" s="42">
        <v>0</v>
      </c>
      <c r="BJ212" s="42">
        <v>0</v>
      </c>
      <c r="BL212" s="42">
        <f t="shared" si="49"/>
        <v>7506907</v>
      </c>
      <c r="BN212" s="42">
        <f>+'Gen Fd Rev'!AM212-'Gen Fd Exp'!BL212</f>
        <v>-471300</v>
      </c>
      <c r="BP212" s="42">
        <v>868316</v>
      </c>
      <c r="BR212" s="42">
        <v>0</v>
      </c>
      <c r="BT212" s="42">
        <v>0</v>
      </c>
      <c r="BV212" s="42">
        <f t="shared" si="47"/>
        <v>397016</v>
      </c>
      <c r="BX212" s="5">
        <f>+BV212-'Gen Fd BS'!AI212+BT212</f>
        <v>0</v>
      </c>
    </row>
    <row r="213" spans="1:76">
      <c r="A213" s="9" t="s">
        <v>636</v>
      </c>
      <c r="B213" s="9"/>
      <c r="C213" s="9" t="s">
        <v>27</v>
      </c>
      <c r="D213" s="9"/>
      <c r="E213" s="23">
        <v>46961</v>
      </c>
      <c r="G213" s="42">
        <v>39854384</v>
      </c>
      <c r="I213" s="42">
        <v>10962036</v>
      </c>
      <c r="K213" s="42">
        <v>818692</v>
      </c>
      <c r="M213" s="42">
        <v>0</v>
      </c>
      <c r="O213" s="42">
        <v>0</v>
      </c>
      <c r="Q213" s="42">
        <v>3700199</v>
      </c>
      <c r="S213" s="42">
        <v>2366044</v>
      </c>
      <c r="U213" s="42">
        <v>483327</v>
      </c>
      <c r="W213" s="42">
        <v>6529336</v>
      </c>
      <c r="Y213" s="42">
        <v>1809023</v>
      </c>
      <c r="AA213" s="42">
        <v>0</v>
      </c>
      <c r="AC213" s="42">
        <v>5895886</v>
      </c>
      <c r="AE213" s="42">
        <v>3255254</v>
      </c>
      <c r="AG213" s="42">
        <v>454967</v>
      </c>
      <c r="AI213" s="42">
        <v>0</v>
      </c>
      <c r="AK213" s="42">
        <v>3018</v>
      </c>
      <c r="AL213" s="9" t="s">
        <v>636</v>
      </c>
      <c r="AM213" s="9"/>
      <c r="AN213" s="9" t="s">
        <v>27</v>
      </c>
      <c r="AP213" s="42">
        <v>931471</v>
      </c>
      <c r="AR213" s="42">
        <v>0</v>
      </c>
      <c r="AV213" s="42">
        <v>531222</v>
      </c>
      <c r="AX213" s="42">
        <v>47442</v>
      </c>
      <c r="AZ213" s="42">
        <v>0</v>
      </c>
      <c r="BB213" s="42">
        <f t="shared" ref="BB213:BB227" si="50">SUM(G213:AZ213)</f>
        <v>77642301</v>
      </c>
      <c r="BD213" s="42">
        <v>1554187</v>
      </c>
      <c r="BF213" s="42">
        <v>0</v>
      </c>
      <c r="BH213" s="42">
        <v>0</v>
      </c>
      <c r="BJ213" s="42">
        <v>0</v>
      </c>
      <c r="BL213" s="42">
        <f t="shared" si="49"/>
        <v>79196488</v>
      </c>
      <c r="BN213" s="42">
        <f>+'Gen Fd Rev'!AM213-'Gen Fd Exp'!BL213</f>
        <v>-3184645</v>
      </c>
      <c r="BP213" s="42">
        <v>21523184</v>
      </c>
      <c r="BR213" s="42">
        <v>0</v>
      </c>
      <c r="BT213" s="42">
        <v>0</v>
      </c>
      <c r="BV213" s="42">
        <f t="shared" si="47"/>
        <v>18338539</v>
      </c>
      <c r="BX213" s="5">
        <f>+BV213-'Gen Fd BS'!AI213+BT213</f>
        <v>0</v>
      </c>
    </row>
    <row r="214" spans="1:76">
      <c r="A214" s="9" t="s">
        <v>257</v>
      </c>
      <c r="B214" s="9"/>
      <c r="C214" s="9" t="s">
        <v>110</v>
      </c>
      <c r="D214" s="9"/>
      <c r="E214" s="23">
        <v>44024</v>
      </c>
      <c r="G214" s="42">
        <v>7626570</v>
      </c>
      <c r="I214" s="42">
        <v>1997639</v>
      </c>
      <c r="K214" s="42">
        <v>80708</v>
      </c>
      <c r="M214" s="42">
        <v>0</v>
      </c>
      <c r="O214" s="42">
        <v>0</v>
      </c>
      <c r="Q214" s="42">
        <v>832710</v>
      </c>
      <c r="S214" s="42">
        <v>565904</v>
      </c>
      <c r="U214" s="42">
        <v>80166</v>
      </c>
      <c r="W214" s="42">
        <v>1281445</v>
      </c>
      <c r="Y214" s="42">
        <v>414382</v>
      </c>
      <c r="AA214" s="42">
        <v>0</v>
      </c>
      <c r="AC214" s="42">
        <v>1317615</v>
      </c>
      <c r="AE214" s="42">
        <v>689621</v>
      </c>
      <c r="AG214" s="42">
        <v>181191</v>
      </c>
      <c r="AI214" s="42">
        <v>0</v>
      </c>
      <c r="AK214" s="42">
        <v>3558</v>
      </c>
      <c r="AL214" s="9" t="s">
        <v>257</v>
      </c>
      <c r="AM214" s="9"/>
      <c r="AN214" s="9" t="s">
        <v>110</v>
      </c>
      <c r="AP214" s="42">
        <v>430717</v>
      </c>
      <c r="AR214" s="42">
        <v>0</v>
      </c>
      <c r="AV214" s="42">
        <v>0</v>
      </c>
      <c r="AX214" s="42">
        <v>0</v>
      </c>
      <c r="AZ214" s="42">
        <v>0</v>
      </c>
      <c r="BB214" s="42">
        <f t="shared" si="50"/>
        <v>15502226</v>
      </c>
      <c r="BD214" s="42">
        <v>41406</v>
      </c>
      <c r="BF214" s="42">
        <v>0</v>
      </c>
      <c r="BH214" s="42">
        <v>0</v>
      </c>
      <c r="BJ214" s="42">
        <v>0</v>
      </c>
      <c r="BL214" s="42">
        <f t="shared" si="49"/>
        <v>15543632</v>
      </c>
      <c r="BN214" s="42">
        <f>+'Gen Fd Rev'!AM214-'Gen Fd Exp'!BL214</f>
        <v>296714</v>
      </c>
      <c r="BP214" s="42">
        <v>1104955</v>
      </c>
      <c r="BR214" s="42">
        <v>0</v>
      </c>
      <c r="BT214" s="42">
        <v>0</v>
      </c>
      <c r="BV214" s="42">
        <f t="shared" si="47"/>
        <v>1401669</v>
      </c>
      <c r="BX214" s="5">
        <f>+BV214-'Gen Fd BS'!AI214+BT214</f>
        <v>0</v>
      </c>
    </row>
    <row r="215" spans="1:76">
      <c r="A215" s="9" t="s">
        <v>637</v>
      </c>
      <c r="B215" s="9"/>
      <c r="C215" s="9" t="s">
        <v>29</v>
      </c>
      <c r="D215" s="9"/>
      <c r="E215" s="23">
        <v>65680</v>
      </c>
      <c r="G215" s="42">
        <v>8164443</v>
      </c>
      <c r="I215" s="42">
        <v>1833062</v>
      </c>
      <c r="K215" s="42">
        <v>455363</v>
      </c>
      <c r="M215" s="42">
        <v>0</v>
      </c>
      <c r="O215" s="42">
        <v>2018128</v>
      </c>
      <c r="Q215" s="42">
        <v>555422</v>
      </c>
      <c r="S215" s="42">
        <v>549152</v>
      </c>
      <c r="U215" s="42">
        <v>160175</v>
      </c>
      <c r="W215" s="42">
        <v>1585720</v>
      </c>
      <c r="Y215" s="42">
        <v>610202</v>
      </c>
      <c r="AA215" s="42">
        <v>30976</v>
      </c>
      <c r="AC215" s="42">
        <v>2411335</v>
      </c>
      <c r="AE215" s="42">
        <v>1871068</v>
      </c>
      <c r="AG215" s="42">
        <v>264295</v>
      </c>
      <c r="AI215" s="42">
        <v>0</v>
      </c>
      <c r="AK215" s="42">
        <v>0</v>
      </c>
      <c r="AL215" s="9" t="s">
        <v>637</v>
      </c>
      <c r="AM215" s="9"/>
      <c r="AN215" s="9" t="s">
        <v>29</v>
      </c>
      <c r="AP215" s="42">
        <v>380105</v>
      </c>
      <c r="AR215" s="42">
        <v>0</v>
      </c>
      <c r="AV215" s="42">
        <v>0</v>
      </c>
      <c r="AX215" s="42">
        <v>0</v>
      </c>
      <c r="AZ215" s="42">
        <v>0</v>
      </c>
      <c r="BB215" s="42">
        <f t="shared" si="50"/>
        <v>20889446</v>
      </c>
      <c r="BD215" s="42">
        <v>0</v>
      </c>
      <c r="BF215" s="42">
        <v>0</v>
      </c>
      <c r="BH215" s="42">
        <v>0</v>
      </c>
      <c r="BJ215" s="42">
        <v>0</v>
      </c>
      <c r="BL215" s="42">
        <f t="shared" ref="BL215" si="51">+BB215+BD215+BF215+BJ215</f>
        <v>20889446</v>
      </c>
      <c r="BN215" s="42">
        <f>+'Gen Fd Rev'!AM215-'Gen Fd Exp'!BL215</f>
        <v>815595</v>
      </c>
      <c r="BP215" s="42">
        <v>4309569</v>
      </c>
      <c r="BR215" s="42">
        <v>0</v>
      </c>
      <c r="BT215" s="42">
        <v>0</v>
      </c>
      <c r="BV215" s="42">
        <f t="shared" si="47"/>
        <v>5125164</v>
      </c>
      <c r="BX215" s="5">
        <f>+BV215-'Gen Fd BS'!AI215+BT215</f>
        <v>0</v>
      </c>
    </row>
    <row r="216" spans="1:76">
      <c r="A216" s="9" t="s">
        <v>311</v>
      </c>
      <c r="B216" s="9"/>
      <c r="C216" s="9" t="s">
        <v>29</v>
      </c>
      <c r="D216" s="9"/>
      <c r="E216" s="23">
        <v>44032</v>
      </c>
      <c r="G216" s="42">
        <v>8461473</v>
      </c>
      <c r="I216" s="42">
        <v>2246557</v>
      </c>
      <c r="K216" s="42">
        <v>93661</v>
      </c>
      <c r="M216" s="42">
        <v>0</v>
      </c>
      <c r="O216" s="42">
        <v>0</v>
      </c>
      <c r="Q216" s="42">
        <v>1042296</v>
      </c>
      <c r="S216" s="42">
        <v>557020</v>
      </c>
      <c r="U216" s="42">
        <v>49946</v>
      </c>
      <c r="W216" s="42">
        <v>2020331</v>
      </c>
      <c r="Y216" s="42">
        <v>344341</v>
      </c>
      <c r="AA216" s="42">
        <v>0</v>
      </c>
      <c r="AC216" s="42">
        <v>2215811</v>
      </c>
      <c r="AE216" s="42">
        <v>1388086</v>
      </c>
      <c r="AG216" s="42">
        <v>156497</v>
      </c>
      <c r="AI216" s="42">
        <v>0</v>
      </c>
      <c r="AK216" s="42">
        <v>0</v>
      </c>
      <c r="AL216" s="9" t="s">
        <v>311</v>
      </c>
      <c r="AM216" s="9"/>
      <c r="AN216" s="9" t="s">
        <v>29</v>
      </c>
      <c r="AP216" s="42">
        <v>301510</v>
      </c>
      <c r="AR216" s="42">
        <v>5100</v>
      </c>
      <c r="AV216" s="42">
        <v>0</v>
      </c>
      <c r="AX216" s="42">
        <v>0</v>
      </c>
      <c r="AZ216" s="42">
        <v>0</v>
      </c>
      <c r="BB216" s="42">
        <f t="shared" si="50"/>
        <v>18882629</v>
      </c>
      <c r="BD216" s="42">
        <v>44</v>
      </c>
      <c r="BF216" s="42">
        <v>0</v>
      </c>
      <c r="BH216" s="42">
        <v>0</v>
      </c>
      <c r="BJ216" s="42">
        <v>0</v>
      </c>
      <c r="BL216" s="42">
        <f t="shared" si="49"/>
        <v>18882673</v>
      </c>
      <c r="BN216" s="42">
        <f>+'Gen Fd Rev'!AM216-'Gen Fd Exp'!BL216</f>
        <v>-197349</v>
      </c>
      <c r="BP216" s="42">
        <v>428138</v>
      </c>
      <c r="BR216" s="42">
        <v>14748</v>
      </c>
      <c r="BT216" s="42">
        <v>0</v>
      </c>
      <c r="BV216" s="42">
        <f t="shared" si="47"/>
        <v>216041</v>
      </c>
      <c r="BX216" s="5">
        <f>+BV216-'Gen Fd BS'!AI216+BT216</f>
        <v>0</v>
      </c>
    </row>
    <row r="217" spans="1:76">
      <c r="A217" s="9" t="s">
        <v>531</v>
      </c>
      <c r="B217" s="9"/>
      <c r="C217" s="9" t="s">
        <v>65</v>
      </c>
      <c r="D217" s="9"/>
      <c r="E217" s="23">
        <v>50278</v>
      </c>
      <c r="G217" s="42">
        <v>5539949</v>
      </c>
      <c r="I217" s="42">
        <v>831036</v>
      </c>
      <c r="K217" s="42">
        <v>1131</v>
      </c>
      <c r="M217" s="42">
        <v>0</v>
      </c>
      <c r="O217" s="42">
        <v>87396</v>
      </c>
      <c r="Q217" s="42">
        <v>329357</v>
      </c>
      <c r="S217" s="42">
        <v>531528</v>
      </c>
      <c r="U217" s="42">
        <v>15109</v>
      </c>
      <c r="W217" s="42">
        <v>1033295</v>
      </c>
      <c r="Y217" s="42">
        <v>373178</v>
      </c>
      <c r="AA217" s="42">
        <v>0</v>
      </c>
      <c r="AC217" s="42">
        <v>878176</v>
      </c>
      <c r="AE217" s="42">
        <v>796777</v>
      </c>
      <c r="AG217" s="42">
        <v>40359</v>
      </c>
      <c r="AI217" s="42">
        <v>0</v>
      </c>
      <c r="AK217" s="42">
        <v>0</v>
      </c>
      <c r="AL217" s="9" t="s">
        <v>531</v>
      </c>
      <c r="AM217" s="9"/>
      <c r="AN217" s="9" t="s">
        <v>65</v>
      </c>
      <c r="AP217" s="42">
        <v>207722</v>
      </c>
      <c r="AR217" s="42">
        <v>16430</v>
      </c>
      <c r="AV217" s="42">
        <v>0</v>
      </c>
      <c r="AX217" s="42">
        <v>0</v>
      </c>
      <c r="AZ217" s="42">
        <v>0</v>
      </c>
      <c r="BB217" s="42">
        <f t="shared" si="50"/>
        <v>10681443</v>
      </c>
      <c r="BD217" s="42">
        <v>20000</v>
      </c>
      <c r="BF217" s="42">
        <v>0</v>
      </c>
      <c r="BH217" s="42">
        <v>0</v>
      </c>
      <c r="BJ217" s="42">
        <v>0</v>
      </c>
      <c r="BL217" s="42">
        <f t="shared" si="49"/>
        <v>10701443</v>
      </c>
      <c r="BN217" s="42">
        <f>+'Gen Fd Rev'!AM217-'Gen Fd Exp'!BL217</f>
        <v>-686638</v>
      </c>
      <c r="BP217" s="42">
        <v>2020100</v>
      </c>
      <c r="BR217" s="42">
        <v>0</v>
      </c>
      <c r="BT217" s="42">
        <v>0</v>
      </c>
      <c r="BV217" s="42">
        <f t="shared" si="47"/>
        <v>1333462</v>
      </c>
      <c r="BX217" s="5">
        <f>+BV217-'Gen Fd BS'!AI217+BT217</f>
        <v>0</v>
      </c>
    </row>
    <row r="218" spans="1:76">
      <c r="A218" s="9" t="s">
        <v>673</v>
      </c>
      <c r="B218" s="9"/>
      <c r="C218" s="9" t="s">
        <v>20</v>
      </c>
      <c r="D218" s="9"/>
      <c r="E218" s="23">
        <v>44040</v>
      </c>
      <c r="G218" s="42">
        <v>14869710</v>
      </c>
      <c r="I218" s="42">
        <v>2413762</v>
      </c>
      <c r="K218" s="42">
        <v>98165</v>
      </c>
      <c r="M218" s="42">
        <v>0</v>
      </c>
      <c r="O218" s="42">
        <v>3964117</v>
      </c>
      <c r="Q218" s="42">
        <v>2206405</v>
      </c>
      <c r="S218" s="42">
        <v>1485409</v>
      </c>
      <c r="U218" s="42">
        <v>53745</v>
      </c>
      <c r="W218" s="42">
        <v>3435928</v>
      </c>
      <c r="Y218" s="42">
        <v>906368</v>
      </c>
      <c r="AA218" s="42">
        <v>613343</v>
      </c>
      <c r="AC218" s="42">
        <v>2961228</v>
      </c>
      <c r="AE218" s="42">
        <v>865772</v>
      </c>
      <c r="AG218" s="42">
        <v>391754</v>
      </c>
      <c r="AI218" s="42">
        <v>0</v>
      </c>
      <c r="AK218" s="42">
        <v>5</v>
      </c>
      <c r="AL218" s="9" t="s">
        <v>673</v>
      </c>
      <c r="AM218" s="9"/>
      <c r="AN218" s="9" t="s">
        <v>20</v>
      </c>
      <c r="AP218" s="42">
        <v>347371</v>
      </c>
      <c r="AR218" s="42">
        <v>0</v>
      </c>
      <c r="AV218" s="42">
        <v>266014</v>
      </c>
      <c r="AX218" s="42">
        <v>16800</v>
      </c>
      <c r="AZ218" s="42">
        <v>0</v>
      </c>
      <c r="BB218" s="42">
        <f t="shared" si="50"/>
        <v>34895896</v>
      </c>
      <c r="BD218" s="42">
        <v>174671</v>
      </c>
      <c r="BF218" s="42">
        <v>0</v>
      </c>
      <c r="BH218" s="42">
        <v>0</v>
      </c>
      <c r="BJ218" s="42">
        <v>0</v>
      </c>
      <c r="BL218" s="42">
        <f t="shared" si="49"/>
        <v>35070567</v>
      </c>
      <c r="BN218" s="42">
        <f>+'Gen Fd Rev'!AM218-'Gen Fd Exp'!BL218</f>
        <v>-393255</v>
      </c>
      <c r="BP218" s="42">
        <v>1410090</v>
      </c>
      <c r="BR218" s="42">
        <v>0</v>
      </c>
      <c r="BT218" s="42">
        <v>0</v>
      </c>
      <c r="BV218" s="42">
        <f t="shared" si="47"/>
        <v>1016835</v>
      </c>
      <c r="BX218" s="5">
        <f>+BV218-'Gen Fd BS'!AI218+BT218</f>
        <v>0</v>
      </c>
    </row>
    <row r="219" spans="1:76">
      <c r="A219" s="9" t="s">
        <v>638</v>
      </c>
      <c r="B219" s="9"/>
      <c r="C219" s="9" t="s">
        <v>12</v>
      </c>
      <c r="D219" s="9"/>
      <c r="E219" s="23">
        <v>44057</v>
      </c>
      <c r="F219" s="7"/>
      <c r="G219" s="42">
        <v>8978845</v>
      </c>
      <c r="I219" s="42">
        <v>2393882</v>
      </c>
      <c r="K219" s="42">
        <v>159587</v>
      </c>
      <c r="M219" s="42">
        <v>0</v>
      </c>
      <c r="O219" s="42">
        <v>1240993</v>
      </c>
      <c r="Q219" s="42">
        <v>1043105</v>
      </c>
      <c r="S219" s="42">
        <v>283356</v>
      </c>
      <c r="U219" s="42">
        <v>16980</v>
      </c>
      <c r="W219" s="42">
        <v>1768612</v>
      </c>
      <c r="Y219" s="42">
        <v>499562</v>
      </c>
      <c r="AA219" s="42">
        <v>29104</v>
      </c>
      <c r="AC219" s="42">
        <v>1756413</v>
      </c>
      <c r="AE219" s="42">
        <v>1138064</v>
      </c>
      <c r="AG219" s="42">
        <v>31046</v>
      </c>
      <c r="AI219" s="42">
        <v>0</v>
      </c>
      <c r="AK219" s="42">
        <v>31548</v>
      </c>
      <c r="AL219" s="9" t="s">
        <v>638</v>
      </c>
      <c r="AM219" s="9"/>
      <c r="AN219" s="9" t="s">
        <v>12</v>
      </c>
      <c r="AP219" s="42">
        <v>416113</v>
      </c>
      <c r="AR219" s="42">
        <v>125594</v>
      </c>
      <c r="AV219" s="42">
        <v>0</v>
      </c>
      <c r="AX219" s="42">
        <v>0</v>
      </c>
      <c r="AZ219" s="42">
        <v>0</v>
      </c>
      <c r="BB219" s="42">
        <f t="shared" si="50"/>
        <v>19912804</v>
      </c>
      <c r="BD219" s="42">
        <v>63397</v>
      </c>
      <c r="BF219" s="42">
        <v>0</v>
      </c>
      <c r="BH219" s="42">
        <v>0</v>
      </c>
      <c r="BJ219" s="42">
        <v>0</v>
      </c>
      <c r="BL219" s="42">
        <f t="shared" si="49"/>
        <v>19976201</v>
      </c>
      <c r="BN219" s="42">
        <f>+'Gen Fd Rev'!AM219-'Gen Fd Exp'!BL219</f>
        <v>-486223</v>
      </c>
      <c r="BP219" s="42">
        <v>2395150</v>
      </c>
      <c r="BR219" s="42">
        <v>0</v>
      </c>
      <c r="BT219" s="42">
        <v>0</v>
      </c>
      <c r="BV219" s="42">
        <f t="shared" si="47"/>
        <v>1908927</v>
      </c>
      <c r="BX219" s="5">
        <f>+BV219-'Gen Fd BS'!AI219+BT219</f>
        <v>0</v>
      </c>
    </row>
    <row r="220" spans="1:76" hidden="1">
      <c r="A220" s="9" t="s">
        <v>826</v>
      </c>
      <c r="B220" s="9"/>
      <c r="C220" s="9" t="s">
        <v>53</v>
      </c>
      <c r="D220" s="9"/>
      <c r="E220" s="23">
        <v>48942</v>
      </c>
      <c r="G220" s="42">
        <v>0</v>
      </c>
      <c r="I220" s="42">
        <v>0</v>
      </c>
      <c r="K220" s="42">
        <v>0</v>
      </c>
      <c r="M220" s="42">
        <v>0</v>
      </c>
      <c r="O220" s="42">
        <v>0</v>
      </c>
      <c r="Q220" s="42">
        <v>0</v>
      </c>
      <c r="S220" s="42">
        <v>0</v>
      </c>
      <c r="U220" s="42">
        <v>0</v>
      </c>
      <c r="W220" s="42">
        <v>0</v>
      </c>
      <c r="Y220" s="42">
        <v>0</v>
      </c>
      <c r="AA220" s="42">
        <v>0</v>
      </c>
      <c r="AC220" s="42">
        <v>0</v>
      </c>
      <c r="AE220" s="42">
        <v>0</v>
      </c>
      <c r="AG220" s="42">
        <v>0</v>
      </c>
      <c r="AI220" s="42">
        <v>0</v>
      </c>
      <c r="AK220" s="42">
        <v>0</v>
      </c>
      <c r="AL220" s="9" t="s">
        <v>826</v>
      </c>
      <c r="AM220" s="9"/>
      <c r="AN220" s="9" t="s">
        <v>53</v>
      </c>
      <c r="AP220" s="42">
        <v>0</v>
      </c>
      <c r="AR220" s="42">
        <v>0</v>
      </c>
      <c r="AV220" s="42">
        <v>0</v>
      </c>
      <c r="AX220" s="42">
        <v>0</v>
      </c>
      <c r="AZ220" s="42">
        <v>0</v>
      </c>
      <c r="BB220" s="42">
        <f t="shared" si="50"/>
        <v>0</v>
      </c>
      <c r="BD220" s="42">
        <v>0</v>
      </c>
      <c r="BF220" s="42">
        <v>0</v>
      </c>
      <c r="BH220" s="42">
        <v>0</v>
      </c>
      <c r="BJ220" s="42">
        <v>0</v>
      </c>
      <c r="BL220" s="42">
        <f t="shared" si="49"/>
        <v>0</v>
      </c>
      <c r="BN220" s="42">
        <f>+'Gen Fd Rev'!AM220-'Gen Fd Exp'!BL220</f>
        <v>0</v>
      </c>
      <c r="BP220" s="42">
        <v>0</v>
      </c>
      <c r="BR220" s="42">
        <v>0</v>
      </c>
      <c r="BT220" s="42">
        <v>0</v>
      </c>
      <c r="BV220" s="42">
        <f t="shared" si="47"/>
        <v>0</v>
      </c>
      <c r="BX220" s="5">
        <f>+BV220-'Gen Fd BS'!AI220+BT220</f>
        <v>0</v>
      </c>
    </row>
    <row r="221" spans="1:76" hidden="1">
      <c r="A221" s="9" t="s">
        <v>660</v>
      </c>
      <c r="B221" s="9"/>
      <c r="C221" s="9" t="s">
        <v>77</v>
      </c>
      <c r="D221" s="9"/>
      <c r="E221" s="23">
        <v>45377</v>
      </c>
      <c r="G221" s="42">
        <v>0</v>
      </c>
      <c r="I221" s="42">
        <v>0</v>
      </c>
      <c r="K221" s="42">
        <v>0</v>
      </c>
      <c r="M221" s="42">
        <v>0</v>
      </c>
      <c r="O221" s="42">
        <v>0</v>
      </c>
      <c r="Q221" s="42">
        <v>0</v>
      </c>
      <c r="S221" s="42">
        <v>0</v>
      </c>
      <c r="U221" s="42">
        <v>0</v>
      </c>
      <c r="W221" s="42">
        <v>0</v>
      </c>
      <c r="Y221" s="42">
        <v>0</v>
      </c>
      <c r="AA221" s="42">
        <v>0</v>
      </c>
      <c r="AC221" s="42">
        <v>0</v>
      </c>
      <c r="AE221" s="42">
        <v>0</v>
      </c>
      <c r="AG221" s="42">
        <v>0</v>
      </c>
      <c r="AI221" s="42">
        <v>0</v>
      </c>
      <c r="AK221" s="42">
        <v>0</v>
      </c>
      <c r="AL221" s="9" t="s">
        <v>660</v>
      </c>
      <c r="AM221" s="9"/>
      <c r="AN221" s="9" t="s">
        <v>77</v>
      </c>
      <c r="AP221" s="42">
        <v>0</v>
      </c>
      <c r="AR221" s="42">
        <v>0</v>
      </c>
      <c r="AV221" s="42">
        <v>0</v>
      </c>
      <c r="AX221" s="42">
        <v>0</v>
      </c>
      <c r="AZ221" s="42">
        <v>0</v>
      </c>
      <c r="BB221" s="42">
        <f t="shared" si="50"/>
        <v>0</v>
      </c>
      <c r="BD221" s="42">
        <v>0</v>
      </c>
      <c r="BF221" s="42">
        <v>0</v>
      </c>
      <c r="BH221" s="42">
        <v>0</v>
      </c>
      <c r="BJ221" s="42">
        <v>0</v>
      </c>
      <c r="BL221" s="42">
        <f t="shared" si="49"/>
        <v>0</v>
      </c>
      <c r="BN221" s="42">
        <f>+'Gen Fd Rev'!AM221-'Gen Fd Exp'!BL221</f>
        <v>0</v>
      </c>
      <c r="BP221" s="42">
        <v>0</v>
      </c>
      <c r="BR221" s="42">
        <v>0</v>
      </c>
      <c r="BT221" s="42">
        <v>0</v>
      </c>
      <c r="BV221" s="42">
        <f t="shared" si="47"/>
        <v>0</v>
      </c>
      <c r="BX221" s="5">
        <f>+BV221-'Gen Fd BS'!AI221+BT221</f>
        <v>0</v>
      </c>
    </row>
    <row r="222" spans="1:76">
      <c r="A222" s="9" t="s">
        <v>742</v>
      </c>
      <c r="B222" s="9"/>
      <c r="C222" s="9" t="s">
        <v>79</v>
      </c>
      <c r="D222" s="9"/>
      <c r="E222" s="23">
        <v>45385</v>
      </c>
      <c r="G222" s="42">
        <v>4735020</v>
      </c>
      <c r="I222" s="42">
        <v>544046</v>
      </c>
      <c r="K222" s="42">
        <v>195820</v>
      </c>
      <c r="M222" s="42">
        <v>0</v>
      </c>
      <c r="O222" s="42">
        <v>0</v>
      </c>
      <c r="Q222" s="42">
        <v>400791</v>
      </c>
      <c r="S222" s="42">
        <v>12486</v>
      </c>
      <c r="U222" s="42">
        <v>50055</v>
      </c>
      <c r="W222" s="42">
        <v>905958</v>
      </c>
      <c r="Y222" s="42">
        <v>422390</v>
      </c>
      <c r="AA222" s="42">
        <v>6335</v>
      </c>
      <c r="AC222" s="42">
        <v>1087001</v>
      </c>
      <c r="AE222" s="42">
        <v>381650</v>
      </c>
      <c r="AG222" s="42">
        <v>1565</v>
      </c>
      <c r="AI222" s="42">
        <v>0</v>
      </c>
      <c r="AK222" s="42">
        <v>140549</v>
      </c>
      <c r="AL222" s="9" t="s">
        <v>742</v>
      </c>
      <c r="AM222" s="9"/>
      <c r="AN222" s="9" t="s">
        <v>79</v>
      </c>
      <c r="AP222" s="42">
        <v>240143</v>
      </c>
      <c r="AR222" s="42">
        <v>0</v>
      </c>
      <c r="AV222" s="42">
        <v>10288</v>
      </c>
      <c r="AX222" s="42">
        <v>1031</v>
      </c>
      <c r="AZ222" s="42">
        <v>0</v>
      </c>
      <c r="BB222" s="42">
        <f t="shared" si="50"/>
        <v>9135128</v>
      </c>
      <c r="BD222" s="42">
        <v>0</v>
      </c>
      <c r="BF222" s="42">
        <v>0</v>
      </c>
      <c r="BH222" s="42">
        <v>0</v>
      </c>
      <c r="BJ222" s="42">
        <v>0</v>
      </c>
      <c r="BL222" s="42">
        <f t="shared" si="49"/>
        <v>9135128</v>
      </c>
      <c r="BN222" s="42">
        <f>+'Gen Fd Rev'!AM222-'Gen Fd Exp'!BL222</f>
        <v>-779629</v>
      </c>
      <c r="BP222" s="42">
        <v>1054582</v>
      </c>
      <c r="BR222" s="42">
        <v>0</v>
      </c>
      <c r="BT222" s="42">
        <v>0</v>
      </c>
      <c r="BV222" s="42">
        <f t="shared" si="47"/>
        <v>274953</v>
      </c>
      <c r="BX222" s="5">
        <f>+BV222-'Gen Fd BS'!AI222+BT222</f>
        <v>0</v>
      </c>
    </row>
    <row r="223" spans="1:76">
      <c r="A223" s="9" t="s">
        <v>517</v>
      </c>
      <c r="B223" s="9"/>
      <c r="C223" s="9" t="s">
        <v>64</v>
      </c>
      <c r="D223" s="9"/>
      <c r="E223" s="23">
        <v>44065</v>
      </c>
      <c r="G223" s="42">
        <v>6752443</v>
      </c>
      <c r="I223" s="42">
        <v>1266940</v>
      </c>
      <c r="K223" s="42">
        <v>229846</v>
      </c>
      <c r="M223" s="42">
        <v>0</v>
      </c>
      <c r="O223" s="42">
        <v>910740</v>
      </c>
      <c r="Q223" s="42">
        <v>733996</v>
      </c>
      <c r="S223" s="42">
        <v>167000</v>
      </c>
      <c r="U223" s="42">
        <v>30647</v>
      </c>
      <c r="W223" s="42">
        <v>1385972</v>
      </c>
      <c r="Y223" s="42">
        <v>847713</v>
      </c>
      <c r="AA223" s="42">
        <v>0</v>
      </c>
      <c r="AC223" s="42">
        <v>1408626</v>
      </c>
      <c r="AE223" s="42">
        <v>529808</v>
      </c>
      <c r="AG223" s="42">
        <v>0</v>
      </c>
      <c r="AI223" s="42">
        <v>0</v>
      </c>
      <c r="AK223" s="42">
        <v>0</v>
      </c>
      <c r="AL223" s="9" t="s">
        <v>517</v>
      </c>
      <c r="AM223" s="9"/>
      <c r="AN223" s="9" t="s">
        <v>64</v>
      </c>
      <c r="AP223" s="42">
        <v>377630</v>
      </c>
      <c r="AR223" s="42">
        <v>0</v>
      </c>
      <c r="AV223" s="42">
        <v>100000</v>
      </c>
      <c r="AX223" s="42">
        <v>31500</v>
      </c>
      <c r="AZ223" s="42">
        <v>0</v>
      </c>
      <c r="BB223" s="42">
        <f t="shared" si="50"/>
        <v>14772861</v>
      </c>
      <c r="BD223" s="42">
        <v>93280</v>
      </c>
      <c r="BF223" s="42">
        <v>0</v>
      </c>
      <c r="BH223" s="42">
        <v>0</v>
      </c>
      <c r="BJ223" s="42">
        <v>0</v>
      </c>
      <c r="BL223" s="42">
        <f t="shared" si="49"/>
        <v>14866141</v>
      </c>
      <c r="BN223" s="42">
        <f>+'Gen Fd Rev'!AM223-'Gen Fd Exp'!BL223</f>
        <v>-1069168</v>
      </c>
      <c r="BP223" s="42">
        <v>5407252</v>
      </c>
      <c r="BR223" s="42">
        <v>0</v>
      </c>
      <c r="BT223" s="42">
        <v>0</v>
      </c>
      <c r="BV223" s="42">
        <f t="shared" si="47"/>
        <v>4338084</v>
      </c>
      <c r="BX223" s="5">
        <f>+BV223-'Gen Fd BS'!AI223+BT223</f>
        <v>0</v>
      </c>
    </row>
    <row r="224" spans="1:76" hidden="1">
      <c r="A224" s="9" t="s">
        <v>784</v>
      </c>
      <c r="B224" s="9"/>
      <c r="C224" s="9" t="s">
        <v>28</v>
      </c>
      <c r="D224" s="9"/>
      <c r="E224" s="23">
        <v>47068</v>
      </c>
      <c r="F224" s="7"/>
      <c r="G224" s="42">
        <v>0</v>
      </c>
      <c r="I224" s="42">
        <v>0</v>
      </c>
      <c r="K224" s="42">
        <v>0</v>
      </c>
      <c r="M224" s="42">
        <v>0</v>
      </c>
      <c r="O224" s="42">
        <v>0</v>
      </c>
      <c r="Q224" s="42">
        <v>0</v>
      </c>
      <c r="S224" s="42">
        <v>0</v>
      </c>
      <c r="U224" s="42">
        <v>0</v>
      </c>
      <c r="W224" s="42">
        <v>0</v>
      </c>
      <c r="Y224" s="42">
        <v>0</v>
      </c>
      <c r="AA224" s="42">
        <v>0</v>
      </c>
      <c r="AC224" s="42">
        <v>0</v>
      </c>
      <c r="AE224" s="42">
        <v>0</v>
      </c>
      <c r="AG224" s="42">
        <v>0</v>
      </c>
      <c r="AI224" s="42">
        <v>0</v>
      </c>
      <c r="AK224" s="42">
        <v>0</v>
      </c>
      <c r="AL224" s="9" t="s">
        <v>784</v>
      </c>
      <c r="AM224" s="9"/>
      <c r="AN224" s="9" t="s">
        <v>28</v>
      </c>
      <c r="AP224" s="42">
        <v>0</v>
      </c>
      <c r="AR224" s="42">
        <v>0</v>
      </c>
      <c r="AV224" s="42">
        <v>0</v>
      </c>
      <c r="AX224" s="42">
        <v>0</v>
      </c>
      <c r="AZ224" s="42">
        <v>0</v>
      </c>
      <c r="BB224" s="42">
        <f t="shared" si="50"/>
        <v>0</v>
      </c>
      <c r="BD224" s="42">
        <v>0</v>
      </c>
      <c r="BF224" s="42">
        <v>0</v>
      </c>
      <c r="BH224" s="42">
        <v>0</v>
      </c>
      <c r="BJ224" s="42">
        <v>0</v>
      </c>
      <c r="BL224" s="42">
        <f t="shared" si="49"/>
        <v>0</v>
      </c>
      <c r="BN224" s="42">
        <f>+'Gen Fd Rev'!AM224-'Gen Fd Exp'!BL224</f>
        <v>0</v>
      </c>
      <c r="BP224" s="42">
        <v>0</v>
      </c>
      <c r="BR224" s="42">
        <v>0</v>
      </c>
      <c r="BT224" s="42">
        <v>0</v>
      </c>
      <c r="BV224" s="42">
        <f t="shared" si="47"/>
        <v>0</v>
      </c>
      <c r="BX224" s="5">
        <f>+BV224-'Gen Fd BS'!AI224+BT224</f>
        <v>0</v>
      </c>
    </row>
    <row r="225" spans="1:76">
      <c r="A225" s="9" t="s">
        <v>238</v>
      </c>
      <c r="B225" s="9"/>
      <c r="C225" s="9" t="s">
        <v>112</v>
      </c>
      <c r="D225" s="9"/>
      <c r="E225" s="23">
        <v>46342</v>
      </c>
      <c r="F225" s="7"/>
      <c r="G225" s="42">
        <v>10187732</v>
      </c>
      <c r="I225" s="42">
        <v>3769008</v>
      </c>
      <c r="K225" s="42">
        <v>376738</v>
      </c>
      <c r="M225" s="42">
        <v>0</v>
      </c>
      <c r="O225" s="42">
        <v>0</v>
      </c>
      <c r="Q225" s="42">
        <v>1632766</v>
      </c>
      <c r="S225" s="42">
        <v>922975</v>
      </c>
      <c r="U225" s="42">
        <v>23747</v>
      </c>
      <c r="W225" s="42">
        <v>1547994</v>
      </c>
      <c r="Y225" s="42">
        <v>471775</v>
      </c>
      <c r="AA225" s="42">
        <v>12131</v>
      </c>
      <c r="AC225" s="42">
        <v>1380621</v>
      </c>
      <c r="AE225" s="42">
        <v>2591002</v>
      </c>
      <c r="AG225" s="42">
        <v>0</v>
      </c>
      <c r="AI225" s="42">
        <v>0</v>
      </c>
      <c r="AK225" s="42">
        <v>165</v>
      </c>
      <c r="AL225" s="9" t="s">
        <v>238</v>
      </c>
      <c r="AM225" s="9"/>
      <c r="AN225" s="9" t="s">
        <v>112</v>
      </c>
      <c r="AP225" s="42">
        <v>264964</v>
      </c>
      <c r="AR225" s="42">
        <v>0</v>
      </c>
      <c r="AV225" s="42">
        <v>0</v>
      </c>
      <c r="AX225" s="42">
        <v>0</v>
      </c>
      <c r="AZ225" s="42">
        <v>0</v>
      </c>
      <c r="BB225" s="42">
        <f t="shared" si="50"/>
        <v>23181618</v>
      </c>
      <c r="BD225" s="42">
        <v>50844</v>
      </c>
      <c r="BF225" s="42">
        <v>0</v>
      </c>
      <c r="BH225" s="42">
        <v>0</v>
      </c>
      <c r="BJ225" s="42">
        <v>0</v>
      </c>
      <c r="BL225" s="42">
        <f t="shared" si="49"/>
        <v>23232462</v>
      </c>
      <c r="BN225" s="42">
        <f>+'Gen Fd Rev'!AM225-'Gen Fd Exp'!BL225</f>
        <v>362321</v>
      </c>
      <c r="BP225" s="42">
        <v>2825974</v>
      </c>
      <c r="BR225" s="42">
        <v>0</v>
      </c>
      <c r="BT225" s="42">
        <v>0</v>
      </c>
      <c r="BV225" s="42">
        <f t="shared" si="47"/>
        <v>3188295</v>
      </c>
      <c r="BX225" s="5">
        <f>+BV225-'Gen Fd BS'!AI225+BT225</f>
        <v>0</v>
      </c>
    </row>
    <row r="226" spans="1:76" hidden="1">
      <c r="A226" s="9" t="s">
        <v>785</v>
      </c>
      <c r="B226" s="9"/>
      <c r="C226" s="9" t="s">
        <v>227</v>
      </c>
      <c r="D226" s="9"/>
      <c r="E226" s="23">
        <v>46193</v>
      </c>
      <c r="F226" s="7"/>
      <c r="G226" s="42">
        <v>0</v>
      </c>
      <c r="I226" s="42">
        <v>0</v>
      </c>
      <c r="K226" s="42">
        <v>0</v>
      </c>
      <c r="M226" s="42">
        <v>0</v>
      </c>
      <c r="O226" s="42">
        <v>0</v>
      </c>
      <c r="Q226" s="42">
        <v>0</v>
      </c>
      <c r="S226" s="42">
        <v>0</v>
      </c>
      <c r="U226" s="42">
        <v>0</v>
      </c>
      <c r="W226" s="42">
        <v>0</v>
      </c>
      <c r="Y226" s="42">
        <v>0</v>
      </c>
      <c r="AA226" s="42">
        <v>0</v>
      </c>
      <c r="AC226" s="42">
        <v>0</v>
      </c>
      <c r="AE226" s="42">
        <v>0</v>
      </c>
      <c r="AG226" s="42">
        <v>0</v>
      </c>
      <c r="AI226" s="42">
        <v>0</v>
      </c>
      <c r="AK226" s="42">
        <v>0</v>
      </c>
      <c r="AL226" s="9" t="s">
        <v>785</v>
      </c>
      <c r="AM226" s="9"/>
      <c r="AN226" s="9" t="s">
        <v>227</v>
      </c>
      <c r="AP226" s="42">
        <v>0</v>
      </c>
      <c r="AR226" s="42">
        <v>0</v>
      </c>
      <c r="AV226" s="42">
        <v>0</v>
      </c>
      <c r="AX226" s="42">
        <v>0</v>
      </c>
      <c r="AZ226" s="42">
        <v>0</v>
      </c>
      <c r="BB226" s="42">
        <f t="shared" si="50"/>
        <v>0</v>
      </c>
      <c r="BD226" s="42">
        <v>0</v>
      </c>
      <c r="BF226" s="42">
        <v>0</v>
      </c>
      <c r="BH226" s="42">
        <v>0</v>
      </c>
      <c r="BJ226" s="42">
        <v>0</v>
      </c>
      <c r="BL226" s="42">
        <f t="shared" si="49"/>
        <v>0</v>
      </c>
      <c r="BN226" s="42">
        <f>+'Gen Fd Rev'!AM226-'Gen Fd Exp'!BL226</f>
        <v>0</v>
      </c>
      <c r="BP226" s="42">
        <v>0</v>
      </c>
      <c r="BR226" s="42">
        <v>0</v>
      </c>
      <c r="BT226" s="42">
        <v>0</v>
      </c>
      <c r="BV226" s="42">
        <f t="shared" si="47"/>
        <v>0</v>
      </c>
      <c r="BX226" s="5">
        <f>+BV226-'Gen Fd BS'!AI226+BT226</f>
        <v>0</v>
      </c>
    </row>
    <row r="227" spans="1:76">
      <c r="A227" s="9" t="s">
        <v>207</v>
      </c>
      <c r="B227" s="9"/>
      <c r="C227" s="9" t="s">
        <v>12</v>
      </c>
      <c r="D227" s="9"/>
      <c r="E227" s="23">
        <v>45864</v>
      </c>
      <c r="G227" s="42">
        <v>5146161</v>
      </c>
      <c r="I227" s="42">
        <v>531029</v>
      </c>
      <c r="K227" s="42">
        <v>188529</v>
      </c>
      <c r="M227" s="42">
        <v>0</v>
      </c>
      <c r="O227" s="42">
        <v>0</v>
      </c>
      <c r="Q227" s="42">
        <v>468883</v>
      </c>
      <c r="S227" s="42">
        <v>203621</v>
      </c>
      <c r="U227" s="42">
        <v>18436</v>
      </c>
      <c r="W227" s="42">
        <v>1032800</v>
      </c>
      <c r="Y227" s="42">
        <v>269058</v>
      </c>
      <c r="AA227" s="42">
        <v>23970</v>
      </c>
      <c r="AC227" s="42">
        <v>1010725</v>
      </c>
      <c r="AE227" s="42">
        <v>992129</v>
      </c>
      <c r="AG227" s="42">
        <v>19589</v>
      </c>
      <c r="AI227" s="42">
        <v>0</v>
      </c>
      <c r="AK227" s="42">
        <v>0</v>
      </c>
      <c r="AL227" s="9" t="s">
        <v>207</v>
      </c>
      <c r="AM227" s="9"/>
      <c r="AN227" s="9" t="s">
        <v>12</v>
      </c>
      <c r="AP227" s="42">
        <v>289686</v>
      </c>
      <c r="AR227" s="42">
        <v>0</v>
      </c>
      <c r="AV227" s="42">
        <v>0</v>
      </c>
      <c r="AX227" s="42">
        <v>0</v>
      </c>
      <c r="AZ227" s="42">
        <v>0</v>
      </c>
      <c r="BB227" s="42">
        <f t="shared" si="50"/>
        <v>10194616</v>
      </c>
      <c r="BD227" s="42">
        <v>4000</v>
      </c>
      <c r="BF227" s="42">
        <v>0</v>
      </c>
      <c r="BH227" s="42">
        <v>0</v>
      </c>
      <c r="BJ227" s="42">
        <v>0</v>
      </c>
      <c r="BL227" s="42">
        <f t="shared" si="49"/>
        <v>10198616</v>
      </c>
      <c r="BN227" s="42">
        <f>+'Gen Fd Rev'!AM227-'Gen Fd Exp'!BL227</f>
        <v>-473797</v>
      </c>
      <c r="BP227" s="42">
        <v>1582999</v>
      </c>
      <c r="BR227" s="42">
        <v>0</v>
      </c>
      <c r="BT227" s="42">
        <v>0</v>
      </c>
      <c r="BV227" s="42">
        <f t="shared" si="47"/>
        <v>1109202</v>
      </c>
      <c r="BX227" s="5">
        <f>+BV227-'Gen Fd BS'!AI227+BT227</f>
        <v>0</v>
      </c>
    </row>
    <row r="228" spans="1:76">
      <c r="A228" s="9" t="s">
        <v>301</v>
      </c>
      <c r="B228" s="9"/>
      <c r="C228" s="9" t="s">
        <v>27</v>
      </c>
      <c r="D228" s="9"/>
      <c r="E228" s="23">
        <v>44073</v>
      </c>
      <c r="G228" s="42">
        <v>7062753</v>
      </c>
      <c r="I228" s="42">
        <v>1958476</v>
      </c>
      <c r="K228" s="42">
        <v>117695</v>
      </c>
      <c r="M228" s="42">
        <v>0</v>
      </c>
      <c r="O228" s="42">
        <v>0</v>
      </c>
      <c r="Q228" s="42">
        <v>1603034</v>
      </c>
      <c r="S228" s="42">
        <v>880818</v>
      </c>
      <c r="U228" s="42">
        <v>18962</v>
      </c>
      <c r="W228" s="42">
        <v>1101194</v>
      </c>
      <c r="Y228" s="42">
        <v>566604</v>
      </c>
      <c r="AA228" s="42">
        <v>166171</v>
      </c>
      <c r="AC228" s="42">
        <v>1237236</v>
      </c>
      <c r="AE228" s="42">
        <v>9853</v>
      </c>
      <c r="AG228" s="42">
        <v>62444</v>
      </c>
      <c r="AI228" s="42">
        <v>0</v>
      </c>
      <c r="AK228" s="42">
        <v>45551</v>
      </c>
      <c r="AL228" s="9" t="s">
        <v>301</v>
      </c>
      <c r="AM228" s="9"/>
      <c r="AN228" s="9" t="s">
        <v>27</v>
      </c>
      <c r="AP228" s="42">
        <v>712946</v>
      </c>
      <c r="AR228" s="42">
        <v>193203</v>
      </c>
      <c r="AV228" s="42">
        <v>172214</v>
      </c>
      <c r="AX228" s="42">
        <v>4601</v>
      </c>
      <c r="AZ228" s="42">
        <v>0</v>
      </c>
      <c r="BB228" s="42">
        <f t="shared" ref="BB228:BB293" si="52">SUM(G228:AZ228)</f>
        <v>15913755</v>
      </c>
      <c r="BD228" s="42">
        <v>70830</v>
      </c>
      <c r="BF228" s="42">
        <v>0</v>
      </c>
      <c r="BH228" s="42">
        <v>0</v>
      </c>
      <c r="BJ228" s="42">
        <v>0</v>
      </c>
      <c r="BL228" s="42">
        <f t="shared" ref="BL228:BL293" si="53">+BB228+BD228+BF228+BJ228</f>
        <v>15984585</v>
      </c>
      <c r="BN228" s="42">
        <f>+'Gen Fd Rev'!AM228-'Gen Fd Exp'!BL228</f>
        <v>-123482</v>
      </c>
      <c r="BP228" s="42">
        <v>7694450</v>
      </c>
      <c r="BR228" s="42">
        <v>0</v>
      </c>
      <c r="BT228" s="42">
        <v>0</v>
      </c>
      <c r="BV228" s="42">
        <f t="shared" ref="BV228:BV274" si="54">+BP228+BN228-BR228</f>
        <v>7570968</v>
      </c>
      <c r="BX228" s="5">
        <f>+BV228-'Gen Fd BS'!AI228+BT228</f>
        <v>0</v>
      </c>
    </row>
    <row r="229" spans="1:76">
      <c r="A229" s="9" t="s">
        <v>661</v>
      </c>
      <c r="B229" s="9"/>
      <c r="C229" s="9" t="s">
        <v>42</v>
      </c>
      <c r="D229" s="9"/>
      <c r="E229" s="23">
        <v>45393</v>
      </c>
      <c r="G229" s="42">
        <v>11251048</v>
      </c>
      <c r="I229" s="42">
        <v>1987186</v>
      </c>
      <c r="K229" s="42">
        <v>122242</v>
      </c>
      <c r="M229" s="42">
        <v>0</v>
      </c>
      <c r="O229" s="42">
        <v>0</v>
      </c>
      <c r="Q229" s="42">
        <v>1417668</v>
      </c>
      <c r="S229" s="42">
        <v>1312513</v>
      </c>
      <c r="U229" s="42">
        <v>999</v>
      </c>
      <c r="W229" s="42">
        <v>1448550</v>
      </c>
      <c r="Y229" s="42">
        <v>749771</v>
      </c>
      <c r="AA229" s="42">
        <v>39222</v>
      </c>
      <c r="AC229" s="42">
        <v>1738344</v>
      </c>
      <c r="AE229" s="42">
        <v>1389703</v>
      </c>
      <c r="AG229" s="42">
        <v>482683</v>
      </c>
      <c r="AI229" s="42">
        <v>0</v>
      </c>
      <c r="AK229" s="42">
        <v>27351</v>
      </c>
      <c r="AL229" s="9" t="s">
        <v>661</v>
      </c>
      <c r="AM229" s="9"/>
      <c r="AN229" s="9" t="s">
        <v>42</v>
      </c>
      <c r="AP229" s="42">
        <v>734942</v>
      </c>
      <c r="AR229" s="42">
        <v>0</v>
      </c>
      <c r="AV229" s="42">
        <v>0</v>
      </c>
      <c r="AX229" s="42">
        <v>0</v>
      </c>
      <c r="AZ229" s="42">
        <v>0</v>
      </c>
      <c r="BB229" s="42">
        <f t="shared" si="52"/>
        <v>22702222</v>
      </c>
      <c r="BD229" s="42">
        <v>0</v>
      </c>
      <c r="BF229" s="42">
        <v>0</v>
      </c>
      <c r="BH229" s="42">
        <v>0</v>
      </c>
      <c r="BJ229" s="42">
        <v>0</v>
      </c>
      <c r="BL229" s="42">
        <f t="shared" si="53"/>
        <v>22702222</v>
      </c>
      <c r="BN229" s="42">
        <f>+'Gen Fd Rev'!AM229-'Gen Fd Exp'!BL229</f>
        <v>477573</v>
      </c>
      <c r="BP229" s="42">
        <v>-154997</v>
      </c>
      <c r="BR229" s="42">
        <v>0</v>
      </c>
      <c r="BT229" s="42">
        <v>0</v>
      </c>
      <c r="BV229" s="42">
        <f t="shared" si="54"/>
        <v>322576</v>
      </c>
      <c r="BX229" s="5">
        <f>+BV229-'Gen Fd BS'!AI229+BT229</f>
        <v>0</v>
      </c>
    </row>
    <row r="230" spans="1:76">
      <c r="A230" s="9" t="s">
        <v>478</v>
      </c>
      <c r="B230" s="9"/>
      <c r="C230" s="9" t="s">
        <v>59</v>
      </c>
      <c r="D230" s="9"/>
      <c r="E230" s="23">
        <v>49619</v>
      </c>
      <c r="G230" s="42">
        <v>2185382</v>
      </c>
      <c r="I230" s="42">
        <v>307715</v>
      </c>
      <c r="K230" s="42">
        <v>27219</v>
      </c>
      <c r="M230" s="42">
        <v>0</v>
      </c>
      <c r="O230" s="42">
        <v>945751</v>
      </c>
      <c r="Q230" s="42">
        <v>351674</v>
      </c>
      <c r="S230" s="42">
        <v>303975</v>
      </c>
      <c r="U230" s="42">
        <v>186933</v>
      </c>
      <c r="W230" s="42">
        <v>463543</v>
      </c>
      <c r="Y230" s="42">
        <v>252577</v>
      </c>
      <c r="AA230" s="42">
        <v>0</v>
      </c>
      <c r="AC230" s="42">
        <v>563059</v>
      </c>
      <c r="AE230" s="42">
        <v>447846</v>
      </c>
      <c r="AG230" s="42">
        <v>0</v>
      </c>
      <c r="AI230" s="42">
        <v>0</v>
      </c>
      <c r="AK230" s="42">
        <v>4069</v>
      </c>
      <c r="AL230" s="9" t="s">
        <v>478</v>
      </c>
      <c r="AM230" s="9"/>
      <c r="AN230" s="9" t="s">
        <v>59</v>
      </c>
      <c r="AP230" s="42">
        <v>88557</v>
      </c>
      <c r="AR230" s="42">
        <v>71649</v>
      </c>
      <c r="AV230" s="42">
        <v>74103</v>
      </c>
      <c r="AX230" s="42">
        <v>5850</v>
      </c>
      <c r="AZ230" s="42">
        <v>0</v>
      </c>
      <c r="BB230" s="42">
        <f t="shared" si="52"/>
        <v>6279902</v>
      </c>
      <c r="BD230" s="42">
        <v>0</v>
      </c>
      <c r="BF230" s="42">
        <v>0</v>
      </c>
      <c r="BH230" s="42">
        <v>0</v>
      </c>
      <c r="BJ230" s="42">
        <v>0</v>
      </c>
      <c r="BL230" s="42">
        <f t="shared" si="53"/>
        <v>6279902</v>
      </c>
      <c r="BN230" s="42">
        <f>+'Gen Fd Rev'!AM230-'Gen Fd Exp'!BL230</f>
        <v>-101018</v>
      </c>
      <c r="BP230" s="42">
        <v>985673</v>
      </c>
      <c r="BR230" s="42">
        <v>0</v>
      </c>
      <c r="BT230" s="42">
        <v>0</v>
      </c>
      <c r="BV230" s="42">
        <f t="shared" si="54"/>
        <v>884655</v>
      </c>
      <c r="BX230" s="5">
        <f>+BV230-'Gen Fd BS'!AI230+BT230</f>
        <v>0</v>
      </c>
    </row>
    <row r="231" spans="1:76">
      <c r="A231" s="9" t="s">
        <v>478</v>
      </c>
      <c r="B231" s="9"/>
      <c r="C231" s="9" t="s">
        <v>63</v>
      </c>
      <c r="D231" s="9"/>
      <c r="E231" s="23">
        <v>50013</v>
      </c>
      <c r="G231" s="42">
        <v>15508283</v>
      </c>
      <c r="I231" s="42">
        <v>5401150</v>
      </c>
      <c r="K231" s="42">
        <v>148839</v>
      </c>
      <c r="M231" s="42">
        <v>0</v>
      </c>
      <c r="O231" s="42">
        <f>70492+1447974</f>
        <v>1518466</v>
      </c>
      <c r="Q231" s="42">
        <v>2034036</v>
      </c>
      <c r="S231" s="42">
        <v>1304113</v>
      </c>
      <c r="U231" s="42">
        <v>27003</v>
      </c>
      <c r="W231" s="42">
        <v>2560591</v>
      </c>
      <c r="Y231" s="42">
        <v>1160534</v>
      </c>
      <c r="AA231" s="42">
        <v>201716</v>
      </c>
      <c r="AC231" s="42">
        <v>2538615</v>
      </c>
      <c r="AE231" s="42">
        <v>1912150</v>
      </c>
      <c r="AG231" s="42">
        <v>8546</v>
      </c>
      <c r="AI231" s="42">
        <v>0</v>
      </c>
      <c r="AK231" s="42">
        <v>0</v>
      </c>
      <c r="AL231" s="9" t="s">
        <v>478</v>
      </c>
      <c r="AM231" s="9"/>
      <c r="AN231" s="9" t="s">
        <v>63</v>
      </c>
      <c r="AP231" s="42">
        <v>857913</v>
      </c>
      <c r="AR231" s="42">
        <v>0</v>
      </c>
      <c r="AV231" s="42">
        <v>0</v>
      </c>
      <c r="AX231" s="42">
        <v>81333</v>
      </c>
      <c r="AZ231" s="42">
        <v>0</v>
      </c>
      <c r="BB231" s="42">
        <f t="shared" si="52"/>
        <v>35263288</v>
      </c>
      <c r="BD231" s="42">
        <v>55000</v>
      </c>
      <c r="BF231" s="42">
        <v>0</v>
      </c>
      <c r="BH231" s="42">
        <v>0</v>
      </c>
      <c r="BJ231" s="42">
        <v>0</v>
      </c>
      <c r="BL231" s="42">
        <f t="shared" si="53"/>
        <v>35318288</v>
      </c>
      <c r="BN231" s="42">
        <f>+'Gen Fd Rev'!AM231-'Gen Fd Exp'!BL231</f>
        <v>-467047</v>
      </c>
      <c r="BP231" s="42">
        <v>-4797711</v>
      </c>
      <c r="BR231" s="42">
        <v>0</v>
      </c>
      <c r="BT231" s="42">
        <v>0</v>
      </c>
      <c r="BV231" s="42">
        <f t="shared" si="54"/>
        <v>-5264758</v>
      </c>
      <c r="BX231" s="5">
        <f>+BV231-'Gen Fd BS'!AI231+BT231</f>
        <v>0</v>
      </c>
    </row>
    <row r="232" spans="1:76" hidden="1">
      <c r="A232" s="8" t="s">
        <v>845</v>
      </c>
      <c r="B232" s="9"/>
      <c r="C232" s="9" t="s">
        <v>71</v>
      </c>
      <c r="D232" s="9"/>
      <c r="E232" s="23">
        <v>50559</v>
      </c>
      <c r="G232" s="42">
        <v>0</v>
      </c>
      <c r="I232" s="42">
        <v>0</v>
      </c>
      <c r="K232" s="42">
        <v>0</v>
      </c>
      <c r="M232" s="42">
        <v>0</v>
      </c>
      <c r="O232" s="42">
        <v>0</v>
      </c>
      <c r="Q232" s="42">
        <v>0</v>
      </c>
      <c r="S232" s="42">
        <v>0</v>
      </c>
      <c r="U232" s="42">
        <v>0</v>
      </c>
      <c r="W232" s="42">
        <v>0</v>
      </c>
      <c r="Y232" s="42">
        <v>0</v>
      </c>
      <c r="AA232" s="42">
        <v>0</v>
      </c>
      <c r="AC232" s="42">
        <v>0</v>
      </c>
      <c r="AE232" s="42">
        <v>0</v>
      </c>
      <c r="AG232" s="42">
        <v>0</v>
      </c>
      <c r="AI232" s="42">
        <v>0</v>
      </c>
      <c r="AK232" s="42">
        <v>0</v>
      </c>
      <c r="AL232" s="8" t="s">
        <v>845</v>
      </c>
      <c r="AM232" s="9"/>
      <c r="AN232" s="9" t="s">
        <v>71</v>
      </c>
      <c r="AP232" s="42">
        <v>0</v>
      </c>
      <c r="AR232" s="42">
        <v>0</v>
      </c>
      <c r="AV232" s="42">
        <v>0</v>
      </c>
      <c r="AX232" s="42">
        <v>0</v>
      </c>
      <c r="AZ232" s="42">
        <v>0</v>
      </c>
      <c r="BB232" s="42">
        <f t="shared" si="52"/>
        <v>0</v>
      </c>
      <c r="BD232" s="42">
        <v>0</v>
      </c>
      <c r="BF232" s="42">
        <v>0</v>
      </c>
      <c r="BH232" s="42">
        <v>0</v>
      </c>
      <c r="BJ232" s="42">
        <v>0</v>
      </c>
      <c r="BL232" s="42">
        <f t="shared" si="53"/>
        <v>0</v>
      </c>
      <c r="BN232" s="42">
        <f>+'Gen Fd Rev'!AM232-'Gen Fd Exp'!BL232</f>
        <v>0</v>
      </c>
      <c r="BP232" s="42">
        <v>0</v>
      </c>
      <c r="BR232" s="42">
        <v>0</v>
      </c>
      <c r="BT232" s="42">
        <v>0</v>
      </c>
      <c r="BV232" s="42">
        <f t="shared" si="54"/>
        <v>0</v>
      </c>
      <c r="BX232" s="5">
        <f>+BV232-'Gen Fd BS'!AI232+BT232</f>
        <v>0</v>
      </c>
    </row>
    <row r="233" spans="1:76">
      <c r="A233" s="9" t="s">
        <v>316</v>
      </c>
      <c r="B233" s="9"/>
      <c r="C233" s="9" t="s">
        <v>113</v>
      </c>
      <c r="D233" s="9"/>
      <c r="E233" s="23">
        <v>47266</v>
      </c>
      <c r="G233" s="42">
        <v>5388250</v>
      </c>
      <c r="I233" s="42">
        <v>1482523</v>
      </c>
      <c r="K233" s="42">
        <v>0</v>
      </c>
      <c r="M233" s="42">
        <v>0</v>
      </c>
      <c r="O233" s="42">
        <v>12537</v>
      </c>
      <c r="Q233" s="42">
        <v>715503</v>
      </c>
      <c r="S233" s="42">
        <v>273561</v>
      </c>
      <c r="U233" s="42">
        <v>78452</v>
      </c>
      <c r="W233" s="42">
        <v>1328727</v>
      </c>
      <c r="Y233" s="42">
        <v>342848</v>
      </c>
      <c r="AA233" s="42">
        <v>0</v>
      </c>
      <c r="AC233" s="42">
        <v>1074953</v>
      </c>
      <c r="AE233" s="42">
        <v>1158221</v>
      </c>
      <c r="AG233" s="42">
        <v>1745</v>
      </c>
      <c r="AI233" s="42">
        <v>0</v>
      </c>
      <c r="AK233" s="42">
        <v>5698</v>
      </c>
      <c r="AL233" s="9" t="s">
        <v>316</v>
      </c>
      <c r="AM233" s="9"/>
      <c r="AN233" s="9" t="s">
        <v>113</v>
      </c>
      <c r="AP233" s="42">
        <v>280920</v>
      </c>
      <c r="AR233" s="42">
        <v>0</v>
      </c>
      <c r="AV233" s="42">
        <v>0</v>
      </c>
      <c r="AX233" s="42">
        <v>0</v>
      </c>
      <c r="AZ233" s="42">
        <v>0</v>
      </c>
      <c r="BB233" s="42">
        <f t="shared" si="52"/>
        <v>12143938</v>
      </c>
      <c r="BD233" s="42">
        <v>148980</v>
      </c>
      <c r="BF233" s="42">
        <v>0</v>
      </c>
      <c r="BH233" s="42">
        <v>0</v>
      </c>
      <c r="BJ233" s="42">
        <v>0</v>
      </c>
      <c r="BL233" s="42">
        <f t="shared" si="53"/>
        <v>12292918</v>
      </c>
      <c r="BN233" s="42">
        <f>+'Gen Fd Rev'!AM233-'Gen Fd Exp'!BL233</f>
        <v>252644</v>
      </c>
      <c r="BP233" s="42">
        <v>6809971</v>
      </c>
      <c r="BR233" s="42">
        <v>0</v>
      </c>
      <c r="BT233" s="42">
        <v>0</v>
      </c>
      <c r="BV233" s="42">
        <f t="shared" si="54"/>
        <v>7062615</v>
      </c>
      <c r="BX233" s="5">
        <f>+BV233-'Gen Fd BS'!AI233+BT233</f>
        <v>0</v>
      </c>
    </row>
    <row r="234" spans="1:76">
      <c r="A234" s="9" t="s">
        <v>754</v>
      </c>
      <c r="B234" s="9"/>
      <c r="C234" s="9" t="s">
        <v>346</v>
      </c>
      <c r="D234" s="9"/>
      <c r="E234" s="23">
        <v>45401</v>
      </c>
      <c r="F234" s="7"/>
      <c r="G234" s="42">
        <v>8087681</v>
      </c>
      <c r="I234" s="42">
        <v>1743146</v>
      </c>
      <c r="K234" s="42">
        <v>449634</v>
      </c>
      <c r="M234" s="42">
        <v>0</v>
      </c>
      <c r="O234" s="42">
        <v>1296245</v>
      </c>
      <c r="Q234" s="42">
        <v>726795</v>
      </c>
      <c r="S234" s="42">
        <v>260138</v>
      </c>
      <c r="U234" s="42">
        <v>67254</v>
      </c>
      <c r="W234" s="42">
        <v>1729729</v>
      </c>
      <c r="Y234" s="42">
        <v>392495</v>
      </c>
      <c r="AA234" s="42">
        <v>0</v>
      </c>
      <c r="AC234" s="42">
        <v>1741378</v>
      </c>
      <c r="AE234" s="42">
        <v>1075636</v>
      </c>
      <c r="AG234" s="42">
        <v>60604</v>
      </c>
      <c r="AI234" s="42">
        <v>0</v>
      </c>
      <c r="AK234" s="42">
        <v>0</v>
      </c>
      <c r="AL234" s="9" t="s">
        <v>754</v>
      </c>
      <c r="AM234" s="9"/>
      <c r="AN234" s="9" t="s">
        <v>346</v>
      </c>
      <c r="AP234" s="42">
        <v>263811</v>
      </c>
      <c r="AR234" s="42">
        <v>1115</v>
      </c>
      <c r="AV234" s="42">
        <v>0</v>
      </c>
      <c r="AX234" s="42">
        <v>0</v>
      </c>
      <c r="AZ234" s="42">
        <v>0</v>
      </c>
      <c r="BB234" s="42">
        <f t="shared" si="52"/>
        <v>17895661</v>
      </c>
      <c r="BD234" s="42">
        <v>290000</v>
      </c>
      <c r="BF234" s="42">
        <v>0</v>
      </c>
      <c r="BH234" s="42">
        <v>0</v>
      </c>
      <c r="BJ234" s="42">
        <v>0</v>
      </c>
      <c r="BL234" s="42">
        <f t="shared" si="53"/>
        <v>18185661</v>
      </c>
      <c r="BN234" s="42">
        <f>+'Gen Fd Rev'!AM234-'Gen Fd Exp'!BL234</f>
        <v>553643</v>
      </c>
      <c r="BP234" s="42">
        <v>8813345</v>
      </c>
      <c r="BR234" s="42">
        <v>0</v>
      </c>
      <c r="BT234" s="42">
        <v>0</v>
      </c>
      <c r="BV234" s="42">
        <f t="shared" si="54"/>
        <v>9366988</v>
      </c>
      <c r="BX234" s="5">
        <f>+BV234-'Gen Fd BS'!AI234+BT234</f>
        <v>0</v>
      </c>
    </row>
    <row r="235" spans="1:76">
      <c r="A235" s="9" t="s">
        <v>230</v>
      </c>
      <c r="B235" s="9"/>
      <c r="C235" s="9" t="s">
        <v>17</v>
      </c>
      <c r="D235" s="9"/>
      <c r="E235" s="23">
        <v>46235</v>
      </c>
      <c r="G235" s="42">
        <v>7260356</v>
      </c>
      <c r="I235" s="42">
        <v>1175196</v>
      </c>
      <c r="K235" s="42">
        <v>323099</v>
      </c>
      <c r="M235" s="42">
        <v>0</v>
      </c>
      <c r="O235" s="42">
        <v>435127</v>
      </c>
      <c r="Q235" s="42">
        <v>850735</v>
      </c>
      <c r="S235" s="42">
        <v>405718</v>
      </c>
      <c r="U235" s="42">
        <v>137805</v>
      </c>
      <c r="W235" s="42">
        <v>1273666</v>
      </c>
      <c r="Y235" s="42">
        <v>476770</v>
      </c>
      <c r="AA235" s="42">
        <v>112774</v>
      </c>
      <c r="AC235" s="42">
        <v>1190178</v>
      </c>
      <c r="AE235" s="42">
        <v>1016254</v>
      </c>
      <c r="AG235" s="42">
        <v>111304</v>
      </c>
      <c r="AI235" s="42">
        <v>0</v>
      </c>
      <c r="AK235" s="42">
        <v>0</v>
      </c>
      <c r="AL235" s="9" t="s">
        <v>230</v>
      </c>
      <c r="AM235" s="9"/>
      <c r="AN235" s="9" t="s">
        <v>17</v>
      </c>
      <c r="AP235" s="42">
        <v>349410</v>
      </c>
      <c r="AR235" s="42">
        <v>0</v>
      </c>
      <c r="AV235" s="42">
        <v>0</v>
      </c>
      <c r="AX235" s="42">
        <v>0</v>
      </c>
      <c r="AZ235" s="42">
        <v>0</v>
      </c>
      <c r="BB235" s="42">
        <f t="shared" si="52"/>
        <v>15118392</v>
      </c>
      <c r="BD235" s="42">
        <v>0</v>
      </c>
      <c r="BF235" s="42">
        <v>0</v>
      </c>
      <c r="BH235" s="42">
        <v>0</v>
      </c>
      <c r="BJ235" s="42">
        <v>0</v>
      </c>
      <c r="BL235" s="42">
        <f t="shared" si="53"/>
        <v>15118392</v>
      </c>
      <c r="BN235" s="42">
        <f>+'Gen Fd Rev'!AM235-'Gen Fd Exp'!BL235</f>
        <v>-464842</v>
      </c>
      <c r="BP235" s="42">
        <v>2123707</v>
      </c>
      <c r="BR235" s="42">
        <v>0</v>
      </c>
      <c r="BT235" s="42">
        <v>0</v>
      </c>
      <c r="BV235" s="42">
        <f t="shared" si="54"/>
        <v>1658865</v>
      </c>
      <c r="BX235" s="5">
        <f>+BV235-'Gen Fd BS'!AI235+BT235</f>
        <v>0</v>
      </c>
    </row>
    <row r="236" spans="1:76">
      <c r="A236" s="9" t="s">
        <v>280</v>
      </c>
      <c r="B236" s="9"/>
      <c r="C236" s="9" t="s">
        <v>21</v>
      </c>
      <c r="D236" s="9"/>
      <c r="E236" s="23">
        <v>44099</v>
      </c>
      <c r="G236" s="42">
        <v>12280764</v>
      </c>
      <c r="I236" s="42">
        <v>3389102</v>
      </c>
      <c r="K236" s="42">
        <v>1620386</v>
      </c>
      <c r="M236" s="42">
        <v>11474</v>
      </c>
      <c r="O236" s="42">
        <v>5929</v>
      </c>
      <c r="Q236" s="42">
        <v>1298747</v>
      </c>
      <c r="S236" s="42">
        <v>818144</v>
      </c>
      <c r="U236" s="42">
        <v>79175</v>
      </c>
      <c r="W236" s="42">
        <v>2041793</v>
      </c>
      <c r="Y236" s="42">
        <v>764124</v>
      </c>
      <c r="AA236" s="42">
        <v>12339</v>
      </c>
      <c r="AC236" s="42">
        <v>1519145</v>
      </c>
      <c r="AE236" s="42">
        <v>926624</v>
      </c>
      <c r="AG236" s="42">
        <v>3735</v>
      </c>
      <c r="AI236" s="42">
        <v>0</v>
      </c>
      <c r="AK236" s="42">
        <v>14224</v>
      </c>
      <c r="AL236" s="9" t="s">
        <v>280</v>
      </c>
      <c r="AM236" s="9"/>
      <c r="AN236" s="9" t="s">
        <v>21</v>
      </c>
      <c r="AP236" s="42">
        <v>349265</v>
      </c>
      <c r="AR236" s="42">
        <v>800</v>
      </c>
      <c r="AV236" s="42">
        <v>0</v>
      </c>
      <c r="AX236" s="42">
        <v>0</v>
      </c>
      <c r="AZ236" s="42">
        <v>0</v>
      </c>
      <c r="BB236" s="42">
        <f t="shared" si="52"/>
        <v>25135770</v>
      </c>
      <c r="BD236" s="42">
        <v>272277</v>
      </c>
      <c r="BF236" s="42">
        <v>0</v>
      </c>
      <c r="BH236" s="42">
        <v>0</v>
      </c>
      <c r="BJ236" s="42">
        <v>0</v>
      </c>
      <c r="BL236" s="42">
        <f t="shared" si="53"/>
        <v>25408047</v>
      </c>
      <c r="BN236" s="42">
        <f>+'Gen Fd Rev'!AM236-'Gen Fd Exp'!BL236</f>
        <v>62676</v>
      </c>
      <c r="BP236" s="42">
        <v>7167314</v>
      </c>
      <c r="BR236" s="42">
        <v>0</v>
      </c>
      <c r="BT236" s="42">
        <v>0</v>
      </c>
      <c r="BV236" s="42">
        <f t="shared" si="54"/>
        <v>7229990</v>
      </c>
      <c r="BX236" s="5">
        <f>+BV236-'Gen Fd BS'!AI236+BT236</f>
        <v>0</v>
      </c>
    </row>
    <row r="237" spans="1:76">
      <c r="A237" s="9" t="s">
        <v>302</v>
      </c>
      <c r="B237" s="9"/>
      <c r="C237" s="9" t="s">
        <v>27</v>
      </c>
      <c r="D237" s="9"/>
      <c r="E237" s="23">
        <v>46979</v>
      </c>
      <c r="G237" s="42">
        <v>32132132</v>
      </c>
      <c r="I237" s="42">
        <v>7821018</v>
      </c>
      <c r="K237" s="42">
        <v>543</v>
      </c>
      <c r="M237" s="42">
        <v>0</v>
      </c>
      <c r="O237" s="42">
        <v>42206</v>
      </c>
      <c r="Q237" s="42">
        <v>3093671</v>
      </c>
      <c r="S237" s="42">
        <v>3292791</v>
      </c>
      <c r="U237" s="42">
        <v>802317</v>
      </c>
      <c r="W237" s="42">
        <v>4156062</v>
      </c>
      <c r="Y237" s="42">
        <v>1459287</v>
      </c>
      <c r="AA237" s="42">
        <v>89016</v>
      </c>
      <c r="AC237" s="42">
        <v>3765321</v>
      </c>
      <c r="AE237" s="42">
        <v>4999808</v>
      </c>
      <c r="AG237" s="42">
        <v>466830</v>
      </c>
      <c r="AI237" s="42">
        <v>0</v>
      </c>
      <c r="AK237" s="42">
        <v>154976</v>
      </c>
      <c r="AL237" s="9" t="s">
        <v>302</v>
      </c>
      <c r="AM237" s="9"/>
      <c r="AN237" s="9" t="s">
        <v>27</v>
      </c>
      <c r="AP237" s="42">
        <v>604514</v>
      </c>
      <c r="AR237" s="42">
        <v>0</v>
      </c>
      <c r="AV237" s="42">
        <v>0</v>
      </c>
      <c r="AX237" s="42">
        <v>30188</v>
      </c>
      <c r="AZ237" s="42">
        <v>0</v>
      </c>
      <c r="BB237" s="42">
        <f t="shared" si="52"/>
        <v>62910680</v>
      </c>
      <c r="BD237" s="42">
        <v>0</v>
      </c>
      <c r="BF237" s="42">
        <v>0</v>
      </c>
      <c r="BH237" s="42">
        <v>0</v>
      </c>
      <c r="BJ237" s="42">
        <v>0</v>
      </c>
      <c r="BL237" s="42">
        <f t="shared" si="53"/>
        <v>62910680</v>
      </c>
      <c r="BN237" s="42">
        <f>+'Gen Fd Rev'!AM237-'Gen Fd Exp'!BL237</f>
        <v>-3038135</v>
      </c>
      <c r="BP237" s="42">
        <v>1426380</v>
      </c>
      <c r="BR237" s="42">
        <v>0</v>
      </c>
      <c r="BT237" s="42">
        <v>0</v>
      </c>
      <c r="BV237" s="42">
        <f t="shared" si="54"/>
        <v>-1611755</v>
      </c>
      <c r="BX237" s="5">
        <f>+BV237-'Gen Fd BS'!AI237+BT237</f>
        <v>0</v>
      </c>
    </row>
    <row r="238" spans="1:76" hidden="1">
      <c r="A238" s="8" t="s">
        <v>846</v>
      </c>
      <c r="B238" s="9"/>
      <c r="C238" s="9" t="s">
        <v>220</v>
      </c>
      <c r="D238" s="9"/>
      <c r="E238" s="23">
        <v>44107</v>
      </c>
      <c r="G238" s="42">
        <v>0</v>
      </c>
      <c r="I238" s="42">
        <v>0</v>
      </c>
      <c r="K238" s="42">
        <v>0</v>
      </c>
      <c r="M238" s="42">
        <v>0</v>
      </c>
      <c r="O238" s="42">
        <v>0</v>
      </c>
      <c r="Q238" s="42">
        <v>0</v>
      </c>
      <c r="S238" s="42">
        <v>0</v>
      </c>
      <c r="U238" s="42">
        <v>0</v>
      </c>
      <c r="W238" s="42">
        <v>0</v>
      </c>
      <c r="Y238" s="42">
        <v>0</v>
      </c>
      <c r="AA238" s="42">
        <v>0</v>
      </c>
      <c r="AC238" s="42">
        <v>0</v>
      </c>
      <c r="AE238" s="42">
        <v>0</v>
      </c>
      <c r="AG238" s="42">
        <v>0</v>
      </c>
      <c r="AI238" s="42">
        <v>0</v>
      </c>
      <c r="AK238" s="42">
        <v>0</v>
      </c>
      <c r="AL238" s="8" t="s">
        <v>846</v>
      </c>
      <c r="AM238" s="9"/>
      <c r="AN238" s="9" t="s">
        <v>220</v>
      </c>
      <c r="AP238" s="42">
        <v>0</v>
      </c>
      <c r="AR238" s="42">
        <v>0</v>
      </c>
      <c r="AV238" s="42">
        <v>0</v>
      </c>
      <c r="AX238" s="42">
        <v>0</v>
      </c>
      <c r="AZ238" s="42">
        <v>0</v>
      </c>
      <c r="BB238" s="42">
        <f t="shared" si="52"/>
        <v>0</v>
      </c>
      <c r="BD238" s="42">
        <v>0</v>
      </c>
      <c r="BF238" s="42">
        <v>0</v>
      </c>
      <c r="BH238" s="42">
        <v>0</v>
      </c>
      <c r="BJ238" s="42">
        <v>0</v>
      </c>
      <c r="BL238" s="42">
        <f t="shared" si="53"/>
        <v>0</v>
      </c>
      <c r="BN238" s="42">
        <f>+'Gen Fd Rev'!AM238-'Gen Fd Exp'!BL238</f>
        <v>0</v>
      </c>
      <c r="BP238" s="42">
        <v>0</v>
      </c>
      <c r="BR238" s="42">
        <v>0</v>
      </c>
      <c r="BT238" s="42">
        <v>0</v>
      </c>
      <c r="BV238" s="42">
        <f t="shared" si="54"/>
        <v>0</v>
      </c>
      <c r="BX238" s="5">
        <f>+BV238-'Gen Fd BS'!AI238+BT238</f>
        <v>0</v>
      </c>
    </row>
    <row r="239" spans="1:76">
      <c r="A239" s="8" t="s">
        <v>796</v>
      </c>
      <c r="B239" s="9"/>
      <c r="C239" s="9" t="s">
        <v>27</v>
      </c>
      <c r="D239" s="9"/>
      <c r="E239" s="23">
        <v>46953</v>
      </c>
      <c r="G239" s="42">
        <v>11113016</v>
      </c>
      <c r="I239" s="42">
        <v>1582659</v>
      </c>
      <c r="K239" s="42">
        <v>203543</v>
      </c>
      <c r="M239" s="42">
        <v>0</v>
      </c>
      <c r="O239" s="42">
        <v>1750364</v>
      </c>
      <c r="Q239" s="42">
        <v>637928</v>
      </c>
      <c r="S239" s="42">
        <v>339851</v>
      </c>
      <c r="U239" s="42">
        <v>11392</v>
      </c>
      <c r="W239" s="42">
        <v>2072943</v>
      </c>
      <c r="Y239" s="42">
        <v>1365872</v>
      </c>
      <c r="AA239" s="42">
        <v>0</v>
      </c>
      <c r="AC239" s="42">
        <v>2611406</v>
      </c>
      <c r="AE239" s="42">
        <v>869435</v>
      </c>
      <c r="AG239" s="42">
        <v>46558</v>
      </c>
      <c r="AI239" s="42">
        <v>0</v>
      </c>
      <c r="AK239" s="42">
        <v>0</v>
      </c>
      <c r="AL239" s="8" t="s">
        <v>796</v>
      </c>
      <c r="AM239" s="9"/>
      <c r="AN239" s="9" t="s">
        <v>27</v>
      </c>
      <c r="AP239" s="42">
        <v>629054</v>
      </c>
      <c r="AR239" s="42">
        <v>0</v>
      </c>
      <c r="AV239" s="42">
        <v>0</v>
      </c>
      <c r="AX239" s="42">
        <v>0</v>
      </c>
      <c r="AZ239" s="42">
        <v>0</v>
      </c>
      <c r="BB239" s="42">
        <f t="shared" si="52"/>
        <v>23234021</v>
      </c>
      <c r="BD239" s="42">
        <v>66052</v>
      </c>
      <c r="BF239" s="42">
        <v>0</v>
      </c>
      <c r="BH239" s="42">
        <v>0</v>
      </c>
      <c r="BJ239" s="42">
        <v>0</v>
      </c>
      <c r="BL239" s="42">
        <f t="shared" si="53"/>
        <v>23300073</v>
      </c>
      <c r="BN239" s="42">
        <f>+'Gen Fd Rev'!AM239-'Gen Fd Exp'!BL239</f>
        <v>469946</v>
      </c>
      <c r="BP239" s="42">
        <v>9006841</v>
      </c>
      <c r="BR239" s="42">
        <v>0</v>
      </c>
      <c r="BT239" s="42">
        <v>0</v>
      </c>
      <c r="BV239" s="42">
        <f t="shared" si="54"/>
        <v>9476787</v>
      </c>
      <c r="BX239" s="5">
        <f>+BV239-'Gen Fd BS'!AI239+BT239</f>
        <v>0</v>
      </c>
    </row>
    <row r="240" spans="1:76" hidden="1">
      <c r="A240" s="8" t="s">
        <v>338</v>
      </c>
      <c r="B240" s="9"/>
      <c r="C240" s="9" t="s">
        <v>337</v>
      </c>
      <c r="D240" s="9"/>
      <c r="E240" s="23">
        <v>47498</v>
      </c>
      <c r="G240" s="42">
        <v>0</v>
      </c>
      <c r="I240" s="42">
        <v>0</v>
      </c>
      <c r="K240" s="42">
        <v>0</v>
      </c>
      <c r="M240" s="42">
        <v>0</v>
      </c>
      <c r="O240" s="42">
        <v>0</v>
      </c>
      <c r="Q240" s="42">
        <v>0</v>
      </c>
      <c r="S240" s="42">
        <v>0</v>
      </c>
      <c r="U240" s="42">
        <v>0</v>
      </c>
      <c r="W240" s="42">
        <v>0</v>
      </c>
      <c r="Y240" s="42">
        <v>0</v>
      </c>
      <c r="AA240" s="42">
        <v>0</v>
      </c>
      <c r="AC240" s="42">
        <v>0</v>
      </c>
      <c r="AE240" s="42">
        <v>0</v>
      </c>
      <c r="AG240" s="42">
        <v>0</v>
      </c>
      <c r="AI240" s="42">
        <v>0</v>
      </c>
      <c r="AK240" s="42">
        <v>0</v>
      </c>
      <c r="AL240" s="8" t="s">
        <v>338</v>
      </c>
      <c r="AM240" s="9"/>
      <c r="AN240" s="9" t="s">
        <v>337</v>
      </c>
      <c r="AP240" s="42">
        <v>0</v>
      </c>
      <c r="AR240" s="42">
        <v>0</v>
      </c>
      <c r="AV240" s="42">
        <v>0</v>
      </c>
      <c r="AX240" s="42">
        <v>0</v>
      </c>
      <c r="AZ240" s="42">
        <v>0</v>
      </c>
      <c r="BB240" s="42">
        <f t="shared" si="52"/>
        <v>0</v>
      </c>
      <c r="BD240" s="42">
        <v>0</v>
      </c>
      <c r="BF240" s="42">
        <v>0</v>
      </c>
      <c r="BH240" s="42">
        <v>0</v>
      </c>
      <c r="BJ240" s="42">
        <v>0</v>
      </c>
      <c r="BL240" s="42">
        <f t="shared" si="53"/>
        <v>0</v>
      </c>
      <c r="BN240" s="42">
        <f>+'Gen Fd Rev'!AM240-'Gen Fd Exp'!BL240</f>
        <v>0</v>
      </c>
      <c r="BP240" s="42">
        <v>0</v>
      </c>
      <c r="BR240" s="42">
        <v>0</v>
      </c>
      <c r="BT240" s="42">
        <v>0</v>
      </c>
      <c r="BV240" s="42">
        <f t="shared" si="54"/>
        <v>0</v>
      </c>
      <c r="BX240" s="5">
        <f>+BV240-'Gen Fd BS'!AI240+BT240</f>
        <v>0</v>
      </c>
    </row>
    <row r="241" spans="1:76">
      <c r="A241" s="8" t="s">
        <v>487</v>
      </c>
      <c r="B241" s="9"/>
      <c r="C241" s="9" t="s">
        <v>61</v>
      </c>
      <c r="D241" s="9"/>
      <c r="E241" s="23">
        <v>49791</v>
      </c>
      <c r="G241" s="42">
        <v>3915812</v>
      </c>
      <c r="I241" s="42">
        <v>493012</v>
      </c>
      <c r="K241" s="42">
        <v>92899</v>
      </c>
      <c r="M241" s="42">
        <v>0</v>
      </c>
      <c r="O241" s="42">
        <f>1056+105849</f>
        <v>106905</v>
      </c>
      <c r="Q241" s="42">
        <v>451735</v>
      </c>
      <c r="S241" s="42">
        <v>293596</v>
      </c>
      <c r="U241" s="42">
        <v>7169</v>
      </c>
      <c r="W241" s="42">
        <v>551947</v>
      </c>
      <c r="Y241" s="42">
        <v>237210</v>
      </c>
      <c r="AA241" s="42">
        <v>1323</v>
      </c>
      <c r="AC241" s="42">
        <v>597771</v>
      </c>
      <c r="AE241" s="42">
        <v>471362</v>
      </c>
      <c r="AG241" s="42">
        <v>21330</v>
      </c>
      <c r="AI241" s="42">
        <v>0</v>
      </c>
      <c r="AK241" s="42">
        <v>0</v>
      </c>
      <c r="AL241" s="8" t="s">
        <v>487</v>
      </c>
      <c r="AM241" s="9"/>
      <c r="AN241" s="9" t="s">
        <v>61</v>
      </c>
      <c r="AP241" s="42">
        <v>145998</v>
      </c>
      <c r="AR241" s="42">
        <v>1013</v>
      </c>
      <c r="AV241" s="42">
        <v>19597</v>
      </c>
      <c r="AX241" s="42">
        <v>646</v>
      </c>
      <c r="AZ241" s="42">
        <v>0</v>
      </c>
      <c r="BB241" s="42">
        <f t="shared" si="52"/>
        <v>7409325</v>
      </c>
      <c r="BD241" s="42">
        <v>0</v>
      </c>
      <c r="BF241" s="42">
        <v>0</v>
      </c>
      <c r="BH241" s="42">
        <v>0</v>
      </c>
      <c r="BJ241" s="42">
        <v>0</v>
      </c>
      <c r="BL241" s="42">
        <f t="shared" si="53"/>
        <v>7409325</v>
      </c>
      <c r="BN241" s="42">
        <f>+'Gen Fd Rev'!AM241-'Gen Fd Exp'!BL241</f>
        <v>251429</v>
      </c>
      <c r="BP241" s="42">
        <v>1549706</v>
      </c>
      <c r="BR241" s="42">
        <v>0</v>
      </c>
      <c r="BT241" s="42">
        <v>0</v>
      </c>
      <c r="BV241" s="42">
        <f t="shared" si="54"/>
        <v>1801135</v>
      </c>
      <c r="BX241" s="5">
        <f>+BV241-'Gen Fd BS'!AI241+BT241</f>
        <v>0</v>
      </c>
    </row>
    <row r="242" spans="1:76" hidden="1">
      <c r="A242" s="8" t="s">
        <v>847</v>
      </c>
      <c r="B242" s="9"/>
      <c r="C242" s="9" t="s">
        <v>341</v>
      </c>
      <c r="D242" s="9"/>
      <c r="E242" s="23">
        <v>45245</v>
      </c>
      <c r="G242" s="42">
        <v>0</v>
      </c>
      <c r="I242" s="42">
        <v>0</v>
      </c>
      <c r="K242" s="42">
        <v>0</v>
      </c>
      <c r="M242" s="42">
        <v>0</v>
      </c>
      <c r="O242" s="42">
        <v>0</v>
      </c>
      <c r="Q242" s="42">
        <v>0</v>
      </c>
      <c r="S242" s="42">
        <v>0</v>
      </c>
      <c r="U242" s="42">
        <v>0</v>
      </c>
      <c r="W242" s="42">
        <v>0</v>
      </c>
      <c r="Y242" s="42">
        <v>0</v>
      </c>
      <c r="AA242" s="42">
        <v>0</v>
      </c>
      <c r="AC242" s="42">
        <v>0</v>
      </c>
      <c r="AE242" s="42">
        <v>0</v>
      </c>
      <c r="AG242" s="42">
        <v>0</v>
      </c>
      <c r="AI242" s="42">
        <v>0</v>
      </c>
      <c r="AK242" s="42">
        <v>0</v>
      </c>
      <c r="AL242" s="8" t="s">
        <v>847</v>
      </c>
      <c r="AM242" s="9"/>
      <c r="AN242" s="9" t="s">
        <v>341</v>
      </c>
      <c r="AP242" s="42">
        <v>0</v>
      </c>
      <c r="AR242" s="42">
        <v>0</v>
      </c>
      <c r="AV242" s="42">
        <v>0</v>
      </c>
      <c r="AX242" s="42">
        <v>0</v>
      </c>
      <c r="AZ242" s="42">
        <v>0</v>
      </c>
      <c r="BB242" s="42">
        <f t="shared" si="52"/>
        <v>0</v>
      </c>
      <c r="BD242" s="42">
        <v>0</v>
      </c>
      <c r="BF242" s="42">
        <v>0</v>
      </c>
      <c r="BH242" s="42">
        <v>0</v>
      </c>
      <c r="BJ242" s="42">
        <v>0</v>
      </c>
      <c r="BL242" s="42">
        <f t="shared" si="53"/>
        <v>0</v>
      </c>
      <c r="BN242" s="42">
        <f>+'Gen Fd Rev'!AM242-'Gen Fd Exp'!BL242</f>
        <v>0</v>
      </c>
      <c r="BP242" s="42">
        <v>0</v>
      </c>
      <c r="BR242" s="42">
        <v>0</v>
      </c>
      <c r="BT242" s="42">
        <v>0</v>
      </c>
      <c r="BV242" s="42">
        <f t="shared" si="54"/>
        <v>0</v>
      </c>
      <c r="BX242" s="5">
        <f>+BV242-'Gen Fd BS'!AI242+BT242</f>
        <v>0</v>
      </c>
    </row>
    <row r="243" spans="1:76">
      <c r="A243" s="9" t="s">
        <v>371</v>
      </c>
      <c r="B243" s="9"/>
      <c r="C243" s="9" t="s">
        <v>42</v>
      </c>
      <c r="D243" s="9"/>
      <c r="E243" s="23">
        <v>44115</v>
      </c>
      <c r="G243" s="42">
        <v>9224212</v>
      </c>
      <c r="I243" s="42">
        <v>0</v>
      </c>
      <c r="K243" s="42">
        <v>0</v>
      </c>
      <c r="M243" s="42">
        <v>0</v>
      </c>
      <c r="O243" s="42">
        <v>0</v>
      </c>
      <c r="Q243" s="42">
        <v>609970</v>
      </c>
      <c r="S243" s="42">
        <v>236210</v>
      </c>
      <c r="U243" s="42">
        <v>79588</v>
      </c>
      <c r="W243" s="42">
        <v>1372454</v>
      </c>
      <c r="Y243" s="42">
        <v>479499</v>
      </c>
      <c r="AA243" s="42">
        <v>29284</v>
      </c>
      <c r="AC243" s="42">
        <v>1208877</v>
      </c>
      <c r="AE243" s="42">
        <v>613996</v>
      </c>
      <c r="AG243" s="42">
        <v>267041</v>
      </c>
      <c r="AI243" s="42">
        <v>11831</v>
      </c>
      <c r="AK243" s="42">
        <v>0</v>
      </c>
      <c r="AL243" s="9" t="s">
        <v>371</v>
      </c>
      <c r="AM243" s="9"/>
      <c r="AN243" s="9" t="s">
        <v>42</v>
      </c>
      <c r="AP243" s="42">
        <v>325728</v>
      </c>
      <c r="AR243" s="42">
        <v>146486</v>
      </c>
      <c r="AV243" s="42">
        <v>78849</v>
      </c>
      <c r="AX243" s="42">
        <v>6144</v>
      </c>
      <c r="AZ243" s="42">
        <v>0</v>
      </c>
      <c r="BB243" s="42">
        <f t="shared" si="52"/>
        <v>14690169</v>
      </c>
      <c r="BD243" s="42">
        <v>0</v>
      </c>
      <c r="BF243" s="42">
        <v>0</v>
      </c>
      <c r="BH243" s="42">
        <v>0</v>
      </c>
      <c r="BJ243" s="42">
        <v>0</v>
      </c>
      <c r="BL243" s="42">
        <f t="shared" si="53"/>
        <v>14690169</v>
      </c>
      <c r="BN243" s="42">
        <f>+'Gen Fd Rev'!AM243-'Gen Fd Exp'!BL243</f>
        <v>-1379806</v>
      </c>
      <c r="BP243" s="42">
        <v>1568925</v>
      </c>
      <c r="BR243" s="42">
        <v>0</v>
      </c>
      <c r="BT243" s="42">
        <v>0</v>
      </c>
      <c r="BV243" s="42">
        <f t="shared" si="54"/>
        <v>189119</v>
      </c>
      <c r="BX243" s="5">
        <f>+BV243-'Gen Fd BS'!AI243+BT243</f>
        <v>0</v>
      </c>
    </row>
    <row r="244" spans="1:76" hidden="1">
      <c r="A244" s="9" t="s">
        <v>662</v>
      </c>
      <c r="B244" s="9"/>
      <c r="C244" s="9" t="s">
        <v>22</v>
      </c>
      <c r="D244" s="9"/>
      <c r="E244" s="23">
        <v>45419</v>
      </c>
      <c r="G244" s="42">
        <v>0</v>
      </c>
      <c r="I244" s="42">
        <v>0</v>
      </c>
      <c r="K244" s="42">
        <v>0</v>
      </c>
      <c r="M244" s="42">
        <v>0</v>
      </c>
      <c r="O244" s="42">
        <v>0</v>
      </c>
      <c r="Q244" s="42">
        <v>0</v>
      </c>
      <c r="S244" s="42">
        <v>0</v>
      </c>
      <c r="U244" s="42">
        <v>0</v>
      </c>
      <c r="W244" s="42">
        <v>0</v>
      </c>
      <c r="Y244" s="42">
        <v>0</v>
      </c>
      <c r="AA244" s="42">
        <v>0</v>
      </c>
      <c r="AC244" s="42">
        <v>0</v>
      </c>
      <c r="AE244" s="42">
        <v>0</v>
      </c>
      <c r="AG244" s="42">
        <v>0</v>
      </c>
      <c r="AI244" s="42">
        <v>0</v>
      </c>
      <c r="AK244" s="42">
        <v>0</v>
      </c>
      <c r="AL244" s="9" t="s">
        <v>662</v>
      </c>
      <c r="AM244" s="9"/>
      <c r="AN244" s="9" t="s">
        <v>22</v>
      </c>
      <c r="AP244" s="42">
        <v>0</v>
      </c>
      <c r="AR244" s="42">
        <v>0</v>
      </c>
      <c r="AV244" s="42">
        <v>0</v>
      </c>
      <c r="AX244" s="42">
        <v>0</v>
      </c>
      <c r="AZ244" s="42">
        <v>0</v>
      </c>
      <c r="BB244" s="42">
        <f t="shared" si="52"/>
        <v>0</v>
      </c>
      <c r="BD244" s="42">
        <v>0</v>
      </c>
      <c r="BF244" s="42">
        <v>0</v>
      </c>
      <c r="BH244" s="42">
        <v>0</v>
      </c>
      <c r="BJ244" s="42">
        <v>0</v>
      </c>
      <c r="BL244" s="42">
        <f t="shared" si="53"/>
        <v>0</v>
      </c>
      <c r="BN244" s="42">
        <f>+'Gen Fd Rev'!AM244-'Gen Fd Exp'!BL244</f>
        <v>0</v>
      </c>
      <c r="BP244" s="42">
        <v>0</v>
      </c>
      <c r="BR244" s="42">
        <v>0</v>
      </c>
      <c r="BT244" s="42">
        <v>0</v>
      </c>
      <c r="BV244" s="42">
        <f t="shared" si="54"/>
        <v>0</v>
      </c>
      <c r="BX244" s="5">
        <f>+BV244-'Gen Fd BS'!AI244+BT244</f>
        <v>0</v>
      </c>
    </row>
    <row r="245" spans="1:76">
      <c r="A245" s="9" t="s">
        <v>414</v>
      </c>
      <c r="B245" s="9"/>
      <c r="C245" s="9" t="s">
        <v>47</v>
      </c>
      <c r="D245" s="9"/>
      <c r="E245" s="23">
        <v>48496</v>
      </c>
      <c r="G245" s="42">
        <v>11736626</v>
      </c>
      <c r="I245" s="42">
        <v>2665510</v>
      </c>
      <c r="K245" s="42">
        <v>113217</v>
      </c>
      <c r="M245" s="42">
        <v>0</v>
      </c>
      <c r="O245" s="42">
        <v>148582</v>
      </c>
      <c r="Q245" s="42">
        <v>1454603</v>
      </c>
      <c r="S245" s="42">
        <v>1323975</v>
      </c>
      <c r="U245" s="42">
        <v>26183</v>
      </c>
      <c r="W245" s="42">
        <v>1955165</v>
      </c>
      <c r="Y245" s="42">
        <v>812066</v>
      </c>
      <c r="AA245" s="42">
        <v>28754</v>
      </c>
      <c r="AC245" s="42">
        <v>2374329</v>
      </c>
      <c r="AE245" s="42">
        <v>1770872</v>
      </c>
      <c r="AG245" s="42">
        <v>211165</v>
      </c>
      <c r="AI245" s="42">
        <v>0</v>
      </c>
      <c r="AK245" s="42">
        <v>194263</v>
      </c>
      <c r="AL245" s="9" t="s">
        <v>414</v>
      </c>
      <c r="AM245" s="9"/>
      <c r="AN245" s="9" t="s">
        <v>47</v>
      </c>
      <c r="AP245" s="42">
        <v>949679</v>
      </c>
      <c r="AR245" s="42">
        <v>15420</v>
      </c>
      <c r="AV245" s="42">
        <v>3707</v>
      </c>
      <c r="AX245" s="42">
        <v>16</v>
      </c>
      <c r="AZ245" s="42">
        <v>0</v>
      </c>
      <c r="BB245" s="42">
        <f t="shared" si="52"/>
        <v>25784132</v>
      </c>
      <c r="BD245" s="42">
        <v>0</v>
      </c>
      <c r="BF245" s="42">
        <v>0</v>
      </c>
      <c r="BH245" s="42">
        <v>0</v>
      </c>
      <c r="BJ245" s="42">
        <v>0</v>
      </c>
      <c r="BL245" s="42">
        <f t="shared" si="53"/>
        <v>25784132</v>
      </c>
      <c r="BN245" s="42">
        <f>+'Gen Fd Rev'!AM245-'Gen Fd Exp'!BL245</f>
        <v>3060087</v>
      </c>
      <c r="BP245" s="42">
        <v>6008909</v>
      </c>
      <c r="BR245" s="42">
        <v>0</v>
      </c>
      <c r="BT245" s="42">
        <v>0</v>
      </c>
      <c r="BV245" s="42">
        <f t="shared" si="54"/>
        <v>9068996</v>
      </c>
      <c r="BX245" s="5">
        <f>+BV245-'Gen Fd BS'!AI245+BT245</f>
        <v>0</v>
      </c>
    </row>
    <row r="246" spans="1:76">
      <c r="A246" s="9" t="s">
        <v>414</v>
      </c>
      <c r="B246" s="9"/>
      <c r="C246" s="9" t="s">
        <v>78</v>
      </c>
      <c r="D246" s="9"/>
      <c r="E246" s="23">
        <v>48801</v>
      </c>
      <c r="G246" s="42">
        <v>6596165</v>
      </c>
      <c r="I246" s="42">
        <v>1812846</v>
      </c>
      <c r="K246" s="42">
        <v>178045</v>
      </c>
      <c r="M246" s="42">
        <v>0</v>
      </c>
      <c r="O246" s="42">
        <v>0</v>
      </c>
      <c r="Q246" s="42">
        <v>483715</v>
      </c>
      <c r="S246" s="42">
        <v>606600</v>
      </c>
      <c r="U246" s="42">
        <v>193779</v>
      </c>
      <c r="W246" s="42">
        <v>1099138</v>
      </c>
      <c r="Y246" s="42">
        <v>412715</v>
      </c>
      <c r="AA246" s="42">
        <v>0</v>
      </c>
      <c r="AC246" s="42">
        <v>1528582</v>
      </c>
      <c r="AE246" s="42">
        <v>1308121</v>
      </c>
      <c r="AG246" s="42">
        <v>0</v>
      </c>
      <c r="AI246" s="42">
        <v>0</v>
      </c>
      <c r="AK246" s="42">
        <v>0</v>
      </c>
      <c r="AL246" s="9" t="s">
        <v>414</v>
      </c>
      <c r="AM246" s="9"/>
      <c r="AN246" s="9" t="s">
        <v>78</v>
      </c>
      <c r="AP246" s="42">
        <v>182112</v>
      </c>
      <c r="AR246" s="42">
        <v>0</v>
      </c>
      <c r="AV246" s="42">
        <v>17584</v>
      </c>
      <c r="AX246" s="42">
        <v>526</v>
      </c>
      <c r="AZ246" s="42">
        <v>0</v>
      </c>
      <c r="BB246" s="42">
        <f t="shared" si="52"/>
        <v>14419928</v>
      </c>
      <c r="BD246" s="42">
        <v>0</v>
      </c>
      <c r="BF246" s="42">
        <v>0</v>
      </c>
      <c r="BH246" s="42">
        <v>0</v>
      </c>
      <c r="BJ246" s="42">
        <v>0</v>
      </c>
      <c r="BL246" s="42">
        <f t="shared" si="53"/>
        <v>14419928</v>
      </c>
      <c r="BN246" s="42">
        <f>+'Gen Fd Rev'!AM246-'Gen Fd Exp'!BL246</f>
        <v>428942</v>
      </c>
      <c r="BP246" s="42">
        <v>3151645</v>
      </c>
      <c r="BR246" s="42">
        <v>0</v>
      </c>
      <c r="BT246" s="42">
        <v>0</v>
      </c>
      <c r="BV246" s="42">
        <f t="shared" si="54"/>
        <v>3580587</v>
      </c>
      <c r="BX246" s="5">
        <f>+BV246-'Gen Fd BS'!AI246+BT246</f>
        <v>0</v>
      </c>
    </row>
    <row r="247" spans="1:76">
      <c r="A247" s="9" t="s">
        <v>303</v>
      </c>
      <c r="B247" s="9"/>
      <c r="C247" s="9" t="s">
        <v>27</v>
      </c>
      <c r="D247" s="9"/>
      <c r="E247" s="23">
        <v>47019</v>
      </c>
      <c r="F247" s="7"/>
      <c r="G247" s="42">
        <v>79265676</v>
      </c>
      <c r="I247" s="42">
        <v>13178790</v>
      </c>
      <c r="K247" s="42">
        <v>6513919</v>
      </c>
      <c r="M247" s="42">
        <v>0</v>
      </c>
      <c r="O247" s="42">
        <v>0</v>
      </c>
      <c r="Q247" s="42">
        <v>12243588</v>
      </c>
      <c r="S247" s="42">
        <v>7990801</v>
      </c>
      <c r="U247" s="42">
        <v>392731</v>
      </c>
      <c r="W247" s="42">
        <v>8384587</v>
      </c>
      <c r="Y247" s="42">
        <v>5310550</v>
      </c>
      <c r="AA247" s="42">
        <v>757218</v>
      </c>
      <c r="AC247" s="42">
        <v>13593457</v>
      </c>
      <c r="AE247" s="42">
        <v>7328457</v>
      </c>
      <c r="AG247" s="42">
        <v>1404640</v>
      </c>
      <c r="AI247" s="42">
        <v>0</v>
      </c>
      <c r="AK247" s="42">
        <v>33438</v>
      </c>
      <c r="AL247" s="9" t="s">
        <v>303</v>
      </c>
      <c r="AM247" s="9"/>
      <c r="AN247" s="9" t="s">
        <v>27</v>
      </c>
      <c r="AP247" s="42">
        <v>3742280</v>
      </c>
      <c r="AR247" s="42">
        <v>185217</v>
      </c>
      <c r="AV247" s="42">
        <v>0</v>
      </c>
      <c r="AX247" s="42">
        <v>277500</v>
      </c>
      <c r="AZ247" s="42">
        <v>0</v>
      </c>
      <c r="BB247" s="42">
        <f t="shared" si="52"/>
        <v>160602849</v>
      </c>
      <c r="BD247" s="42">
        <v>332252</v>
      </c>
      <c r="BF247" s="42">
        <v>0</v>
      </c>
      <c r="BH247" s="42">
        <v>0</v>
      </c>
      <c r="BJ247" s="42">
        <v>0</v>
      </c>
      <c r="BL247" s="42">
        <f t="shared" si="53"/>
        <v>160935101</v>
      </c>
      <c r="BN247" s="42">
        <f>+'Gen Fd Rev'!AM247-'Gen Fd Exp'!BL247</f>
        <v>874338</v>
      </c>
      <c r="BP247" s="42">
        <v>46192961</v>
      </c>
      <c r="BR247" s="42">
        <v>0</v>
      </c>
      <c r="BT247" s="42">
        <v>0</v>
      </c>
      <c r="BV247" s="42">
        <f t="shared" si="54"/>
        <v>47067299</v>
      </c>
      <c r="BX247" s="5">
        <f>+BV247-'Gen Fd BS'!AI247+BT247</f>
        <v>0</v>
      </c>
    </row>
    <row r="248" spans="1:76">
      <c r="A248" s="9" t="s">
        <v>348</v>
      </c>
      <c r="B248" s="9"/>
      <c r="C248" s="9" t="s">
        <v>346</v>
      </c>
      <c r="D248" s="9"/>
      <c r="E248" s="23">
        <v>44123</v>
      </c>
      <c r="G248" s="42">
        <v>10710443</v>
      </c>
      <c r="I248" s="42">
        <v>1899507</v>
      </c>
      <c r="K248" s="42">
        <v>830197</v>
      </c>
      <c r="M248" s="42">
        <v>0</v>
      </c>
      <c r="O248" s="42">
        <v>2212</v>
      </c>
      <c r="Q248" s="42">
        <v>1004792</v>
      </c>
      <c r="S248" s="42">
        <v>1659275</v>
      </c>
      <c r="U248" s="42">
        <v>22751</v>
      </c>
      <c r="W248" s="42">
        <v>1924682</v>
      </c>
      <c r="Y248" s="42">
        <v>52312</v>
      </c>
      <c r="AA248" s="42">
        <v>9858</v>
      </c>
      <c r="AC248" s="42">
        <v>1640155</v>
      </c>
      <c r="AE248" s="42">
        <v>1745297</v>
      </c>
      <c r="AG248" s="42">
        <v>31578</v>
      </c>
      <c r="AI248" s="42">
        <v>0</v>
      </c>
      <c r="AK248" s="42">
        <v>17248</v>
      </c>
      <c r="AL248" s="9" t="s">
        <v>348</v>
      </c>
      <c r="AM248" s="9"/>
      <c r="AN248" s="9" t="s">
        <v>346</v>
      </c>
      <c r="AP248" s="42">
        <v>448306</v>
      </c>
      <c r="AR248" s="42">
        <v>0</v>
      </c>
      <c r="AV248" s="42">
        <v>0</v>
      </c>
      <c r="AX248" s="42">
        <v>0</v>
      </c>
      <c r="AZ248" s="42">
        <v>0</v>
      </c>
      <c r="BB248" s="42">
        <f t="shared" si="52"/>
        <v>21998613</v>
      </c>
      <c r="BD248" s="42">
        <v>357136</v>
      </c>
      <c r="BF248" s="42">
        <v>0</v>
      </c>
      <c r="BH248" s="42">
        <v>0</v>
      </c>
      <c r="BJ248" s="42">
        <v>0</v>
      </c>
      <c r="BL248" s="42">
        <f t="shared" si="53"/>
        <v>22355749</v>
      </c>
      <c r="BN248" s="42">
        <f>+'Gen Fd Rev'!AM248-'Gen Fd Exp'!BL248</f>
        <v>172624</v>
      </c>
      <c r="BP248" s="42">
        <v>4580052</v>
      </c>
      <c r="BR248" s="42">
        <v>0</v>
      </c>
      <c r="BT248" s="42">
        <v>0</v>
      </c>
      <c r="BV248" s="42">
        <f t="shared" si="54"/>
        <v>4752676</v>
      </c>
      <c r="BX248" s="5">
        <f>+BV248-'Gen Fd BS'!AI248+BT248</f>
        <v>0</v>
      </c>
    </row>
    <row r="249" spans="1:76">
      <c r="A249" s="9" t="s">
        <v>203</v>
      </c>
      <c r="B249" s="9"/>
      <c r="C249" s="9" t="s">
        <v>11</v>
      </c>
      <c r="D249" s="9"/>
      <c r="E249" s="23">
        <v>45823</v>
      </c>
      <c r="G249" s="42">
        <v>4696710</v>
      </c>
      <c r="I249" s="42">
        <v>560618</v>
      </c>
      <c r="K249" s="42">
        <v>310263</v>
      </c>
      <c r="M249" s="42">
        <v>0</v>
      </c>
      <c r="O249" s="42">
        <v>252075</v>
      </c>
      <c r="Q249" s="42">
        <v>513936</v>
      </c>
      <c r="S249" s="42">
        <v>269578</v>
      </c>
      <c r="U249" s="42">
        <v>48709</v>
      </c>
      <c r="W249" s="42">
        <v>814073</v>
      </c>
      <c r="Y249" s="42">
        <v>342981</v>
      </c>
      <c r="AA249" s="42">
        <v>0</v>
      </c>
      <c r="AC249" s="42">
        <v>589651</v>
      </c>
      <c r="AE249" s="42">
        <v>725223</v>
      </c>
      <c r="AG249" s="42">
        <v>0</v>
      </c>
      <c r="AI249" s="42">
        <v>0</v>
      </c>
      <c r="AK249" s="42">
        <v>1234</v>
      </c>
      <c r="AL249" s="9" t="s">
        <v>203</v>
      </c>
      <c r="AM249" s="9"/>
      <c r="AN249" s="9" t="s">
        <v>11</v>
      </c>
      <c r="AP249" s="42">
        <v>218965</v>
      </c>
      <c r="AR249" s="42">
        <v>0</v>
      </c>
      <c r="AV249" s="42">
        <v>0</v>
      </c>
      <c r="AX249" s="42">
        <v>0</v>
      </c>
      <c r="AZ249" s="42">
        <v>0</v>
      </c>
      <c r="BB249" s="42">
        <f t="shared" si="52"/>
        <v>9344016</v>
      </c>
      <c r="BD249" s="42">
        <v>4086</v>
      </c>
      <c r="BF249" s="42">
        <v>0</v>
      </c>
      <c r="BH249" s="42">
        <v>0</v>
      </c>
      <c r="BJ249" s="42">
        <v>0</v>
      </c>
      <c r="BL249" s="42">
        <f t="shared" si="53"/>
        <v>9348102</v>
      </c>
      <c r="BN249" s="42">
        <f>+'Gen Fd Rev'!AM249-'Gen Fd Exp'!BL249</f>
        <v>-191624</v>
      </c>
      <c r="BP249" s="42">
        <v>447294</v>
      </c>
      <c r="BR249" s="42">
        <v>0</v>
      </c>
      <c r="BT249" s="42">
        <v>0</v>
      </c>
      <c r="BV249" s="42">
        <f t="shared" si="54"/>
        <v>255670</v>
      </c>
      <c r="BX249" s="5">
        <f>+BV249-'Gen Fd BS'!AI249+BT249</f>
        <v>0</v>
      </c>
    </row>
    <row r="250" spans="1:76">
      <c r="A250" s="9" t="s">
        <v>342</v>
      </c>
      <c r="B250" s="9"/>
      <c r="C250" s="9" t="s">
        <v>34</v>
      </c>
      <c r="D250" s="9"/>
      <c r="E250" s="23">
        <v>47571</v>
      </c>
      <c r="G250" s="42">
        <v>2562193</v>
      </c>
      <c r="I250" s="42">
        <v>342438</v>
      </c>
      <c r="K250" s="42">
        <v>93566</v>
      </c>
      <c r="M250" s="42">
        <v>0</v>
      </c>
      <c r="O250" s="42">
        <v>0</v>
      </c>
      <c r="Q250" s="42">
        <v>265579</v>
      </c>
      <c r="S250" s="42">
        <v>231036</v>
      </c>
      <c r="U250" s="42">
        <v>11740</v>
      </c>
      <c r="W250" s="42">
        <v>469681</v>
      </c>
      <c r="Y250" s="42">
        <v>192938</v>
      </c>
      <c r="AA250" s="42">
        <v>8065</v>
      </c>
      <c r="AC250" s="42">
        <v>350621</v>
      </c>
      <c r="AE250" s="42">
        <v>249609</v>
      </c>
      <c r="AG250" s="42">
        <v>81904</v>
      </c>
      <c r="AI250" s="42">
        <v>0</v>
      </c>
      <c r="AK250" s="42">
        <v>945</v>
      </c>
      <c r="AL250" s="9" t="s">
        <v>342</v>
      </c>
      <c r="AM250" s="9"/>
      <c r="AN250" s="9" t="s">
        <v>34</v>
      </c>
      <c r="AP250" s="42">
        <v>153866</v>
      </c>
      <c r="AR250" s="42">
        <v>0</v>
      </c>
      <c r="AV250" s="42">
        <v>0</v>
      </c>
      <c r="AX250" s="42">
        <v>0</v>
      </c>
      <c r="AZ250" s="42">
        <v>0</v>
      </c>
      <c r="BB250" s="42">
        <f t="shared" si="52"/>
        <v>5014181</v>
      </c>
      <c r="BD250" s="42">
        <v>20323</v>
      </c>
      <c r="BF250" s="42">
        <v>0</v>
      </c>
      <c r="BH250" s="42">
        <v>0</v>
      </c>
      <c r="BJ250" s="42">
        <v>0</v>
      </c>
      <c r="BL250" s="42">
        <f t="shared" si="53"/>
        <v>5034504</v>
      </c>
      <c r="BN250" s="42">
        <f>+'Gen Fd Rev'!AM250-'Gen Fd Exp'!BL250</f>
        <v>56966</v>
      </c>
      <c r="BP250" s="42">
        <v>1986477</v>
      </c>
      <c r="BR250" s="42">
        <v>0</v>
      </c>
      <c r="BT250" s="42">
        <v>0</v>
      </c>
      <c r="BV250" s="42">
        <f t="shared" si="54"/>
        <v>2043443</v>
      </c>
      <c r="BX250" s="5">
        <f>+BV250-'Gen Fd BS'!AI250+BT250</f>
        <v>0</v>
      </c>
    </row>
    <row r="251" spans="1:76" hidden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42">
        <v>0</v>
      </c>
      <c r="M251" s="42">
        <v>0</v>
      </c>
      <c r="O251" s="42">
        <v>0</v>
      </c>
      <c r="Q251" s="42">
        <v>0</v>
      </c>
      <c r="S251" s="42">
        <v>0</v>
      </c>
      <c r="U251" s="42">
        <v>0</v>
      </c>
      <c r="W251" s="42">
        <v>0</v>
      </c>
      <c r="Y251" s="42">
        <v>0</v>
      </c>
      <c r="AA251" s="42">
        <v>0</v>
      </c>
      <c r="AC251" s="42">
        <v>0</v>
      </c>
      <c r="AE251" s="42">
        <v>0</v>
      </c>
      <c r="AG251" s="42">
        <v>0</v>
      </c>
      <c r="AI251" s="42">
        <v>0</v>
      </c>
      <c r="AK251" s="42">
        <v>0</v>
      </c>
      <c r="AL251" s="8" t="s">
        <v>879</v>
      </c>
      <c r="AM251" s="8"/>
      <c r="AN251" s="8" t="s">
        <v>60</v>
      </c>
      <c r="AP251" s="42">
        <v>0</v>
      </c>
      <c r="AR251" s="42">
        <v>0</v>
      </c>
      <c r="AV251" s="42">
        <v>0</v>
      </c>
      <c r="AX251" s="42">
        <v>0</v>
      </c>
      <c r="AZ251" s="42">
        <v>0</v>
      </c>
      <c r="BB251" s="42">
        <f t="shared" ref="BB251" si="55">SUM(G251:AZ251)</f>
        <v>0</v>
      </c>
      <c r="BD251" s="42">
        <v>0</v>
      </c>
      <c r="BF251" s="42">
        <v>0</v>
      </c>
      <c r="BH251" s="42">
        <v>0</v>
      </c>
      <c r="BJ251" s="42">
        <v>0</v>
      </c>
      <c r="BL251" s="42">
        <f t="shared" ref="BL251" si="56">+BB251+BD251+BF251+BJ251</f>
        <v>0</v>
      </c>
      <c r="BN251" s="42">
        <f>+'Gen Fd Rev'!AM251-'Gen Fd Exp'!BL251</f>
        <v>0</v>
      </c>
      <c r="BP251" s="42">
        <v>0</v>
      </c>
      <c r="BR251" s="42">
        <v>0</v>
      </c>
      <c r="BT251" s="42">
        <v>0</v>
      </c>
      <c r="BV251" s="42">
        <f t="shared" ref="BV251" si="57">+BP251+BN251-BR251</f>
        <v>0</v>
      </c>
      <c r="BX251" s="5">
        <f>+BV251-'Gen Fd BS'!AI251+BT251</f>
        <v>0</v>
      </c>
    </row>
    <row r="252" spans="1:76">
      <c r="A252" s="9" t="s">
        <v>518</v>
      </c>
      <c r="B252" s="9"/>
      <c r="C252" s="9" t="s">
        <v>64</v>
      </c>
      <c r="D252" s="9"/>
      <c r="E252" s="23">
        <v>50161</v>
      </c>
      <c r="G252" s="42">
        <v>14475476</v>
      </c>
      <c r="I252" s="42">
        <v>2389571</v>
      </c>
      <c r="K252" s="42">
        <v>434305</v>
      </c>
      <c r="M252" s="42">
        <v>0</v>
      </c>
      <c r="O252" s="42">
        <v>9751</v>
      </c>
      <c r="Q252" s="42">
        <v>1571627</v>
      </c>
      <c r="S252" s="42">
        <v>511495</v>
      </c>
      <c r="U252" s="42">
        <v>349618</v>
      </c>
      <c r="W252" s="42">
        <v>2251362</v>
      </c>
      <c r="Y252" s="42">
        <v>653788</v>
      </c>
      <c r="AA252" s="42">
        <v>100528</v>
      </c>
      <c r="AC252" s="42">
        <v>2533736</v>
      </c>
      <c r="AE252" s="42">
        <v>1562344</v>
      </c>
      <c r="AG252" s="42">
        <v>4491</v>
      </c>
      <c r="AI252" s="42">
        <v>0</v>
      </c>
      <c r="AK252" s="42">
        <v>792</v>
      </c>
      <c r="AL252" s="9" t="s">
        <v>518</v>
      </c>
      <c r="AM252" s="9"/>
      <c r="AN252" s="9" t="s">
        <v>64</v>
      </c>
      <c r="AP252" s="42">
        <v>488123</v>
      </c>
      <c r="AR252" s="42">
        <v>0</v>
      </c>
      <c r="AV252" s="42">
        <v>0</v>
      </c>
      <c r="AX252" s="42">
        <v>0</v>
      </c>
      <c r="AZ252" s="42">
        <v>0</v>
      </c>
      <c r="BB252" s="42">
        <f t="shared" si="52"/>
        <v>27337007</v>
      </c>
      <c r="BD252" s="42">
        <v>0</v>
      </c>
      <c r="BF252" s="42">
        <v>0</v>
      </c>
      <c r="BH252" s="42">
        <v>0</v>
      </c>
      <c r="BJ252" s="42">
        <v>0</v>
      </c>
      <c r="BL252" s="42">
        <f t="shared" si="53"/>
        <v>27337007</v>
      </c>
      <c r="BN252" s="42">
        <f>+'Gen Fd Rev'!AM252-'Gen Fd Exp'!BL252</f>
        <v>-42384</v>
      </c>
      <c r="BP252" s="42">
        <v>-2155735</v>
      </c>
      <c r="BR252" s="42">
        <v>0</v>
      </c>
      <c r="BT252" s="42">
        <v>0</v>
      </c>
      <c r="BV252" s="42">
        <f t="shared" si="54"/>
        <v>-2198119</v>
      </c>
      <c r="BX252" s="5">
        <f>+BV252-'Gen Fd BS'!AI252+BT252</f>
        <v>0</v>
      </c>
    </row>
    <row r="253" spans="1:76">
      <c r="A253" s="9" t="s">
        <v>755</v>
      </c>
      <c r="B253" s="9"/>
      <c r="C253" s="9" t="s">
        <v>64</v>
      </c>
      <c r="D253" s="9"/>
      <c r="E253" s="23">
        <v>45427</v>
      </c>
      <c r="G253" s="42">
        <v>8921796</v>
      </c>
      <c r="I253" s="42">
        <v>1323854</v>
      </c>
      <c r="K253" s="42">
        <v>228810</v>
      </c>
      <c r="M253" s="42">
        <v>0</v>
      </c>
      <c r="O253" s="42">
        <v>658000</v>
      </c>
      <c r="Q253" s="42">
        <v>945254</v>
      </c>
      <c r="S253" s="42">
        <v>882342</v>
      </c>
      <c r="U253" s="42">
        <v>13123</v>
      </c>
      <c r="W253" s="42">
        <v>1412921</v>
      </c>
      <c r="Y253" s="42">
        <v>507164</v>
      </c>
      <c r="AA253" s="42">
        <v>12610</v>
      </c>
      <c r="AC253" s="42">
        <v>1959724</v>
      </c>
      <c r="AE253" s="42">
        <v>1019316</v>
      </c>
      <c r="AG253" s="42">
        <v>290991</v>
      </c>
      <c r="AI253" s="42">
        <v>0</v>
      </c>
      <c r="AK253" s="42">
        <v>289518</v>
      </c>
      <c r="AL253" s="9" t="s">
        <v>755</v>
      </c>
      <c r="AM253" s="9"/>
      <c r="AN253" s="9" t="s">
        <v>64</v>
      </c>
      <c r="AP253" s="42">
        <v>382300</v>
      </c>
      <c r="AR253" s="42">
        <v>75594</v>
      </c>
      <c r="AV253" s="42">
        <v>0</v>
      </c>
      <c r="AX253" s="42">
        <v>0</v>
      </c>
      <c r="AZ253" s="42">
        <v>0</v>
      </c>
      <c r="BB253" s="42">
        <f t="shared" si="52"/>
        <v>18923317</v>
      </c>
      <c r="BD253" s="42">
        <v>12705</v>
      </c>
      <c r="BF253" s="42">
        <v>0</v>
      </c>
      <c r="BH253" s="42">
        <v>0</v>
      </c>
      <c r="BJ253" s="42">
        <v>0</v>
      </c>
      <c r="BL253" s="42">
        <f t="shared" si="53"/>
        <v>18936022</v>
      </c>
      <c r="BN253" s="42">
        <f>+'Gen Fd Rev'!AM253-'Gen Fd Exp'!BL253</f>
        <v>-1600048</v>
      </c>
      <c r="BP253" s="42">
        <v>3005555</v>
      </c>
      <c r="BR253" s="42">
        <v>0</v>
      </c>
      <c r="BT253" s="42">
        <v>0</v>
      </c>
      <c r="BV253" s="42">
        <f t="shared" si="54"/>
        <v>1405507</v>
      </c>
      <c r="BX253" s="5">
        <f>+BV253-'Gen Fd BS'!AI253+BT253</f>
        <v>0</v>
      </c>
    </row>
    <row r="254" spans="1:76">
      <c r="A254" s="9" t="s">
        <v>427</v>
      </c>
      <c r="B254" s="9"/>
      <c r="C254" s="9" t="s">
        <v>50</v>
      </c>
      <c r="D254" s="9"/>
      <c r="E254" s="23">
        <v>48751</v>
      </c>
      <c r="G254" s="42">
        <v>43002380</v>
      </c>
      <c r="I254" s="42">
        <v>0</v>
      </c>
      <c r="K254" s="42">
        <v>0</v>
      </c>
      <c r="M254" s="42">
        <v>0</v>
      </c>
      <c r="O254" s="42">
        <v>0</v>
      </c>
      <c r="Q254" s="42">
        <v>2635295</v>
      </c>
      <c r="S254" s="42">
        <v>3412440</v>
      </c>
      <c r="U254" s="42">
        <v>25428</v>
      </c>
      <c r="W254" s="42">
        <v>3672019</v>
      </c>
      <c r="Y254" s="42">
        <v>921419</v>
      </c>
      <c r="AA254" s="42">
        <v>356732</v>
      </c>
      <c r="AC254" s="42">
        <v>4213922</v>
      </c>
      <c r="AE254" s="42">
        <v>2746356</v>
      </c>
      <c r="AG254" s="42">
        <v>469094</v>
      </c>
      <c r="AI254" s="42">
        <v>0</v>
      </c>
      <c r="AK254" s="42">
        <v>0</v>
      </c>
      <c r="AL254" s="9" t="s">
        <v>427</v>
      </c>
      <c r="AM254" s="9"/>
      <c r="AN254" s="9" t="s">
        <v>50</v>
      </c>
      <c r="AP254" s="42">
        <v>596825</v>
      </c>
      <c r="AR254" s="42">
        <v>0</v>
      </c>
      <c r="AV254" s="42">
        <v>0</v>
      </c>
      <c r="AX254" s="42">
        <v>19399</v>
      </c>
      <c r="AZ254" s="42">
        <v>0</v>
      </c>
      <c r="BB254" s="42">
        <f t="shared" si="52"/>
        <v>62071309</v>
      </c>
      <c r="BD254" s="42">
        <v>0</v>
      </c>
      <c r="BF254" s="42">
        <v>0</v>
      </c>
      <c r="BH254" s="42">
        <v>0</v>
      </c>
      <c r="BJ254" s="42">
        <v>0</v>
      </c>
      <c r="BL254" s="42">
        <f t="shared" si="53"/>
        <v>62071309</v>
      </c>
      <c r="BN254" s="42">
        <f>+'Gen Fd Rev'!AM254-'Gen Fd Exp'!BL254</f>
        <v>-4184239</v>
      </c>
      <c r="BP254" s="42">
        <v>5744917</v>
      </c>
      <c r="BR254" s="42">
        <v>-7399</v>
      </c>
      <c r="BT254" s="42">
        <v>0</v>
      </c>
      <c r="BV254" s="42">
        <f t="shared" si="54"/>
        <v>1568077</v>
      </c>
      <c r="BX254" s="5">
        <f>+BV254-'Gen Fd BS'!AI254+BT254</f>
        <v>0</v>
      </c>
    </row>
    <row r="255" spans="1:76">
      <c r="A255" s="9" t="s">
        <v>505</v>
      </c>
      <c r="B255" s="9"/>
      <c r="C255" s="9" t="s">
        <v>63</v>
      </c>
      <c r="D255" s="9"/>
      <c r="E255" s="23">
        <v>50021</v>
      </c>
      <c r="G255" s="42">
        <v>24293536</v>
      </c>
      <c r="I255" s="42">
        <v>5839726</v>
      </c>
      <c r="K255" s="42">
        <v>241724</v>
      </c>
      <c r="M255" s="42">
        <v>0</v>
      </c>
      <c r="O255" s="42">
        <v>1201010</v>
      </c>
      <c r="Q255" s="42">
        <v>4179113</v>
      </c>
      <c r="S255" s="42">
        <v>4015254</v>
      </c>
      <c r="U255" s="42">
        <v>44201</v>
      </c>
      <c r="W255" s="42">
        <v>4022108</v>
      </c>
      <c r="Y255" s="42">
        <v>1848303</v>
      </c>
      <c r="AA255" s="42">
        <v>593078</v>
      </c>
      <c r="AC255" s="42">
        <v>4769062</v>
      </c>
      <c r="AE255" s="42">
        <v>3625183</v>
      </c>
      <c r="AG255" s="42">
        <v>499551</v>
      </c>
      <c r="AI255" s="42">
        <v>0</v>
      </c>
      <c r="AK255" s="42">
        <v>11316</v>
      </c>
      <c r="AL255" s="9" t="s">
        <v>505</v>
      </c>
      <c r="AM255" s="9"/>
      <c r="AN255" s="9" t="s">
        <v>63</v>
      </c>
      <c r="AP255" s="42">
        <v>879053</v>
      </c>
      <c r="AR255" s="42">
        <v>0</v>
      </c>
      <c r="AV255" s="42">
        <v>551932</v>
      </c>
      <c r="AX255" s="42">
        <v>122941</v>
      </c>
      <c r="AZ255" s="42">
        <v>0</v>
      </c>
      <c r="BB255" s="42">
        <f t="shared" si="52"/>
        <v>56737091</v>
      </c>
      <c r="BD255" s="42">
        <v>26000</v>
      </c>
      <c r="BF255" s="42">
        <v>0</v>
      </c>
      <c r="BH255" s="42">
        <v>0</v>
      </c>
      <c r="BJ255" s="42">
        <v>0</v>
      </c>
      <c r="BL255" s="42">
        <f t="shared" si="53"/>
        <v>56763091</v>
      </c>
      <c r="BN255" s="42">
        <f>+'Gen Fd Rev'!AM255-'Gen Fd Exp'!BL255</f>
        <v>1838646</v>
      </c>
      <c r="BP255" s="42">
        <v>8404356</v>
      </c>
      <c r="BR255" s="42">
        <v>0</v>
      </c>
      <c r="BT255" s="42">
        <v>0</v>
      </c>
      <c r="BV255" s="42">
        <f t="shared" si="54"/>
        <v>10243002</v>
      </c>
      <c r="BX255" s="5">
        <f>+BV255-'Gen Fd BS'!AI255+BT255</f>
        <v>0</v>
      </c>
    </row>
    <row r="256" spans="1:76">
      <c r="A256" s="9" t="s">
        <v>471</v>
      </c>
      <c r="B256" s="9"/>
      <c r="C256" s="9" t="s">
        <v>58</v>
      </c>
      <c r="D256" s="9"/>
      <c r="E256" s="23">
        <v>49502</v>
      </c>
      <c r="G256" s="42">
        <v>5970797</v>
      </c>
      <c r="I256" s="42">
        <v>1080317</v>
      </c>
      <c r="K256" s="42">
        <v>0</v>
      </c>
      <c r="M256" s="42">
        <v>0</v>
      </c>
      <c r="O256" s="42">
        <v>827940</v>
      </c>
      <c r="Q256" s="42">
        <v>535676</v>
      </c>
      <c r="S256" s="42">
        <v>207745</v>
      </c>
      <c r="U256" s="42">
        <v>28198</v>
      </c>
      <c r="W256" s="42">
        <v>974863</v>
      </c>
      <c r="Y256" s="42">
        <v>264326</v>
      </c>
      <c r="AA256" s="42">
        <v>0</v>
      </c>
      <c r="AC256" s="42">
        <v>1058696</v>
      </c>
      <c r="AE256" s="42">
        <v>841662</v>
      </c>
      <c r="AG256" s="42">
        <v>2538</v>
      </c>
      <c r="AI256" s="42">
        <v>0</v>
      </c>
      <c r="AK256" s="42">
        <v>0</v>
      </c>
      <c r="AL256" s="9" t="s">
        <v>471</v>
      </c>
      <c r="AM256" s="9"/>
      <c r="AN256" s="9" t="s">
        <v>58</v>
      </c>
      <c r="AP256" s="42">
        <v>174547</v>
      </c>
      <c r="AR256" s="42">
        <v>622572</v>
      </c>
      <c r="AV256" s="42">
        <v>33316</v>
      </c>
      <c r="AX256" s="42">
        <v>3780</v>
      </c>
      <c r="AZ256" s="42">
        <v>0</v>
      </c>
      <c r="BB256" s="5">
        <f t="shared" si="52"/>
        <v>12626973</v>
      </c>
      <c r="BD256" s="42">
        <v>0</v>
      </c>
      <c r="BF256" s="42">
        <v>0</v>
      </c>
      <c r="BH256" s="42">
        <v>0</v>
      </c>
      <c r="BJ256" s="42">
        <v>0</v>
      </c>
      <c r="BL256" s="42">
        <f t="shared" si="53"/>
        <v>12626973</v>
      </c>
      <c r="BN256" s="42">
        <f>+'Gen Fd Rev'!AM256-'Gen Fd Exp'!BL256</f>
        <v>-890090</v>
      </c>
      <c r="BP256" s="42">
        <v>3894814</v>
      </c>
      <c r="BR256" s="42">
        <v>0</v>
      </c>
      <c r="BT256" s="42">
        <v>0</v>
      </c>
      <c r="BV256" s="42">
        <f t="shared" si="54"/>
        <v>3004724</v>
      </c>
      <c r="BX256" s="5">
        <f>+BV256-'Gen Fd BS'!AI256+BT256</f>
        <v>0</v>
      </c>
    </row>
    <row r="257" spans="1:76">
      <c r="A257" s="9" t="s">
        <v>284</v>
      </c>
      <c r="B257" s="9"/>
      <c r="C257" s="9" t="s">
        <v>24</v>
      </c>
      <c r="D257" s="9"/>
      <c r="E257" s="23">
        <v>44131</v>
      </c>
      <c r="G257" s="42">
        <v>7593685</v>
      </c>
      <c r="I257" s="42">
        <v>1823421</v>
      </c>
      <c r="K257" s="42">
        <v>0</v>
      </c>
      <c r="M257" s="42">
        <v>0</v>
      </c>
      <c r="O257" s="42">
        <v>40996</v>
      </c>
      <c r="Q257" s="42">
        <v>578729</v>
      </c>
      <c r="S257" s="42">
        <v>646024</v>
      </c>
      <c r="U257" s="42">
        <v>83017</v>
      </c>
      <c r="W257" s="42">
        <v>1661959</v>
      </c>
      <c r="Y257" s="42">
        <v>545169</v>
      </c>
      <c r="AA257" s="42">
        <v>0</v>
      </c>
      <c r="AC257" s="42">
        <v>1198433</v>
      </c>
      <c r="AE257" s="42">
        <v>825598</v>
      </c>
      <c r="AG257" s="42">
        <v>0</v>
      </c>
      <c r="AI257" s="42">
        <v>0</v>
      </c>
      <c r="AK257" s="42">
        <v>116835</v>
      </c>
      <c r="AL257" s="9" t="s">
        <v>284</v>
      </c>
      <c r="AM257" s="9"/>
      <c r="AN257" s="9" t="s">
        <v>24</v>
      </c>
      <c r="AP257" s="42">
        <v>446986</v>
      </c>
      <c r="AR257" s="42">
        <v>0</v>
      </c>
      <c r="AV257" s="42">
        <v>218213</v>
      </c>
      <c r="AX257" s="42">
        <v>87207</v>
      </c>
      <c r="AZ257" s="42">
        <v>0</v>
      </c>
      <c r="BB257" s="42">
        <f t="shared" si="52"/>
        <v>15866272</v>
      </c>
      <c r="BD257" s="42">
        <v>0</v>
      </c>
      <c r="BF257" s="42">
        <v>0</v>
      </c>
      <c r="BH257" s="42">
        <v>0</v>
      </c>
      <c r="BJ257" s="42">
        <v>0</v>
      </c>
      <c r="BL257" s="42">
        <f t="shared" si="53"/>
        <v>15866272</v>
      </c>
      <c r="BN257" s="42">
        <f>+'Gen Fd Rev'!AM257-'Gen Fd Exp'!BL257</f>
        <v>-780129</v>
      </c>
      <c r="BP257" s="42">
        <v>7267695</v>
      </c>
      <c r="BR257" s="42">
        <v>0</v>
      </c>
      <c r="BT257" s="42">
        <v>0</v>
      </c>
      <c r="BV257" s="42">
        <f t="shared" si="54"/>
        <v>6487566</v>
      </c>
      <c r="BX257" s="5">
        <f>+BV257-'Gen Fd BS'!AI257+BT257</f>
        <v>0</v>
      </c>
    </row>
    <row r="258" spans="1:76">
      <c r="A258" s="9" t="s">
        <v>267</v>
      </c>
      <c r="B258" s="9"/>
      <c r="C258" s="9" t="s">
        <v>20</v>
      </c>
      <c r="D258" s="9"/>
      <c r="E258" s="23">
        <v>46565</v>
      </c>
      <c r="G258" s="42">
        <v>6924476</v>
      </c>
      <c r="I258" s="42">
        <v>830075</v>
      </c>
      <c r="K258" s="42">
        <v>0</v>
      </c>
      <c r="M258" s="42">
        <v>0</v>
      </c>
      <c r="O258" s="42">
        <f>27726+162297</f>
        <v>190023</v>
      </c>
      <c r="Q258" s="42">
        <v>902251</v>
      </c>
      <c r="S258" s="42">
        <v>1219974</v>
      </c>
      <c r="U258" s="42">
        <v>172677</v>
      </c>
      <c r="W258" s="42">
        <v>1100531</v>
      </c>
      <c r="Y258" s="42">
        <v>480298</v>
      </c>
      <c r="AA258" s="42">
        <v>189642</v>
      </c>
      <c r="AC258" s="42">
        <v>1482845</v>
      </c>
      <c r="AE258" s="42">
        <v>837756</v>
      </c>
      <c r="AG258" s="42">
        <v>0</v>
      </c>
      <c r="AI258" s="42">
        <v>200</v>
      </c>
      <c r="AK258" s="42">
        <v>0</v>
      </c>
      <c r="AL258" s="9" t="s">
        <v>267</v>
      </c>
      <c r="AM258" s="9"/>
      <c r="AN258" s="9" t="s">
        <v>20</v>
      </c>
      <c r="AP258" s="42">
        <v>463428</v>
      </c>
      <c r="AR258" s="42">
        <v>0</v>
      </c>
      <c r="AV258" s="42">
        <v>22361</v>
      </c>
      <c r="AX258" s="42">
        <v>2937</v>
      </c>
      <c r="AZ258" s="42">
        <v>0</v>
      </c>
      <c r="BB258" s="42">
        <f t="shared" si="52"/>
        <v>14819474</v>
      </c>
      <c r="BD258" s="42">
        <v>152470</v>
      </c>
      <c r="BF258" s="42">
        <v>0</v>
      </c>
      <c r="BH258" s="42">
        <v>0</v>
      </c>
      <c r="BJ258" s="42">
        <v>0</v>
      </c>
      <c r="BL258" s="42">
        <f t="shared" si="53"/>
        <v>14971944</v>
      </c>
      <c r="BN258" s="42">
        <f>+'Gen Fd Rev'!AM258-'Gen Fd Exp'!BL258</f>
        <v>2588007</v>
      </c>
      <c r="BP258" s="42">
        <v>2781520</v>
      </c>
      <c r="BR258" s="42">
        <v>0</v>
      </c>
      <c r="BT258" s="42">
        <v>0</v>
      </c>
      <c r="BV258" s="42">
        <f t="shared" si="54"/>
        <v>5369527</v>
      </c>
      <c r="BX258" s="5">
        <f>+BV258-'Gen Fd BS'!AI258+BT258</f>
        <v>0</v>
      </c>
    </row>
    <row r="259" spans="1:76">
      <c r="A259" s="9" t="s">
        <v>361</v>
      </c>
      <c r="B259" s="9"/>
      <c r="C259" s="9" t="s">
        <v>39</v>
      </c>
      <c r="D259" s="9"/>
      <c r="E259" s="23">
        <v>47803</v>
      </c>
      <c r="G259" s="42">
        <v>9676988</v>
      </c>
      <c r="I259" s="42">
        <v>1799777</v>
      </c>
      <c r="K259" s="42">
        <v>212595</v>
      </c>
      <c r="M259" s="42">
        <v>1600</v>
      </c>
      <c r="O259" s="42">
        <v>187457</v>
      </c>
      <c r="Q259" s="42">
        <v>730891</v>
      </c>
      <c r="S259" s="42">
        <v>600414</v>
      </c>
      <c r="U259" s="42">
        <v>14856</v>
      </c>
      <c r="W259" s="42">
        <v>1640643</v>
      </c>
      <c r="Y259" s="42">
        <v>428021</v>
      </c>
      <c r="AA259" s="42">
        <v>0</v>
      </c>
      <c r="AC259" s="42">
        <v>1914451</v>
      </c>
      <c r="AE259" s="42">
        <v>966465</v>
      </c>
      <c r="AG259" s="42">
        <v>238734</v>
      </c>
      <c r="AI259" s="42">
        <v>0</v>
      </c>
      <c r="AK259" s="42">
        <v>986</v>
      </c>
      <c r="AL259" s="9" t="s">
        <v>361</v>
      </c>
      <c r="AM259" s="9"/>
      <c r="AN259" s="9" t="s">
        <v>39</v>
      </c>
      <c r="AP259" s="42">
        <v>237643</v>
      </c>
      <c r="AR259" s="42">
        <v>14878</v>
      </c>
      <c r="AV259" s="42">
        <v>96504</v>
      </c>
      <c r="AX259" s="42">
        <v>8586</v>
      </c>
      <c r="AZ259" s="42">
        <v>0</v>
      </c>
      <c r="BB259" s="42">
        <f t="shared" si="52"/>
        <v>18771489</v>
      </c>
      <c r="BD259" s="42">
        <v>0</v>
      </c>
      <c r="BF259" s="42">
        <v>0</v>
      </c>
      <c r="BH259" s="42">
        <v>0</v>
      </c>
      <c r="BJ259" s="42">
        <v>0</v>
      </c>
      <c r="BL259" s="42">
        <f t="shared" si="53"/>
        <v>18771489</v>
      </c>
      <c r="BN259" s="42">
        <f>+'Gen Fd Rev'!AM259-'Gen Fd Exp'!BL259</f>
        <v>-43867</v>
      </c>
      <c r="BP259" s="42">
        <v>-770274</v>
      </c>
      <c r="BR259" s="42">
        <v>0</v>
      </c>
      <c r="BT259" s="42">
        <v>0</v>
      </c>
      <c r="BV259" s="42">
        <f t="shared" si="54"/>
        <v>-814141</v>
      </c>
      <c r="BX259" s="5">
        <f>+BV259-'Gen Fd BS'!AI259+BT259</f>
        <v>0</v>
      </c>
    </row>
    <row r="260" spans="1:76">
      <c r="A260" s="9" t="s">
        <v>756</v>
      </c>
      <c r="B260" s="9"/>
      <c r="C260" s="9" t="s">
        <v>32</v>
      </c>
      <c r="D260" s="9"/>
      <c r="E260" s="23">
        <v>45435</v>
      </c>
      <c r="G260" s="42">
        <v>13578118</v>
      </c>
      <c r="I260" s="42">
        <v>2650885</v>
      </c>
      <c r="K260" s="42">
        <v>0</v>
      </c>
      <c r="M260" s="42">
        <v>0</v>
      </c>
      <c r="O260" s="42">
        <v>387084</v>
      </c>
      <c r="Q260" s="42">
        <v>2377916</v>
      </c>
      <c r="S260" s="42">
        <v>1874786</v>
      </c>
      <c r="U260" s="42">
        <v>17050</v>
      </c>
      <c r="W260" s="42">
        <v>2261365</v>
      </c>
      <c r="Y260" s="42">
        <v>726304</v>
      </c>
      <c r="AA260" s="42">
        <v>81723</v>
      </c>
      <c r="AC260" s="42">
        <v>4059091</v>
      </c>
      <c r="AE260" s="42">
        <v>1728382</v>
      </c>
      <c r="AG260" s="42">
        <v>48945</v>
      </c>
      <c r="AI260" s="42">
        <v>0</v>
      </c>
      <c r="AK260" s="42">
        <v>43003</v>
      </c>
      <c r="AL260" s="9" t="s">
        <v>756</v>
      </c>
      <c r="AM260" s="9"/>
      <c r="AN260" s="9" t="s">
        <v>32</v>
      </c>
      <c r="AP260" s="42">
        <v>638132</v>
      </c>
      <c r="AR260" s="42">
        <v>0</v>
      </c>
      <c r="AV260" s="42">
        <v>301000</v>
      </c>
      <c r="AX260" s="42">
        <v>23695</v>
      </c>
      <c r="AZ260" s="42">
        <v>0</v>
      </c>
      <c r="BB260" s="42">
        <f t="shared" si="52"/>
        <v>30797479</v>
      </c>
      <c r="BD260" s="42">
        <v>0</v>
      </c>
      <c r="BF260" s="42">
        <v>0</v>
      </c>
      <c r="BH260" s="42">
        <v>0</v>
      </c>
      <c r="BJ260" s="42">
        <v>0</v>
      </c>
      <c r="BL260" s="42">
        <f t="shared" si="53"/>
        <v>30797479</v>
      </c>
      <c r="BN260" s="42">
        <f>+'Gen Fd Rev'!AM260-'Gen Fd Exp'!BL260</f>
        <v>1128963</v>
      </c>
      <c r="BP260" s="42">
        <v>36576105</v>
      </c>
      <c r="BR260" s="42">
        <v>0</v>
      </c>
      <c r="BT260" s="42">
        <v>0</v>
      </c>
      <c r="BV260" s="42">
        <f t="shared" si="54"/>
        <v>37705068</v>
      </c>
      <c r="BX260" s="5">
        <f>+BV260-'Gen Fd BS'!AI260+BT260</f>
        <v>0</v>
      </c>
    </row>
    <row r="261" spans="1:76" hidden="1">
      <c r="A261" s="9" t="s">
        <v>789</v>
      </c>
      <c r="B261" s="9"/>
      <c r="C261" s="9" t="s">
        <v>43</v>
      </c>
      <c r="D261" s="9"/>
      <c r="E261" s="23">
        <v>48082</v>
      </c>
      <c r="G261" s="42">
        <v>0</v>
      </c>
      <c r="I261" s="42">
        <v>0</v>
      </c>
      <c r="K261" s="42">
        <v>0</v>
      </c>
      <c r="M261" s="42">
        <v>0</v>
      </c>
      <c r="O261" s="42">
        <v>0</v>
      </c>
      <c r="Q261" s="42">
        <v>0</v>
      </c>
      <c r="S261" s="42">
        <v>0</v>
      </c>
      <c r="U261" s="42">
        <v>0</v>
      </c>
      <c r="W261" s="42">
        <v>0</v>
      </c>
      <c r="Y261" s="42">
        <v>0</v>
      </c>
      <c r="AA261" s="42">
        <v>0</v>
      </c>
      <c r="AC261" s="42">
        <v>0</v>
      </c>
      <c r="AE261" s="42">
        <v>0</v>
      </c>
      <c r="AG261" s="42">
        <v>0</v>
      </c>
      <c r="AI261" s="42">
        <v>0</v>
      </c>
      <c r="AK261" s="42">
        <v>0</v>
      </c>
      <c r="AL261" s="9" t="s">
        <v>789</v>
      </c>
      <c r="AM261" s="9"/>
      <c r="AN261" s="9" t="s">
        <v>43</v>
      </c>
      <c r="AP261" s="42">
        <v>0</v>
      </c>
      <c r="AR261" s="42">
        <v>0</v>
      </c>
      <c r="AV261" s="42">
        <v>0</v>
      </c>
      <c r="AX261" s="42">
        <v>0</v>
      </c>
      <c r="AZ261" s="42">
        <v>0</v>
      </c>
      <c r="BB261" s="42">
        <f t="shared" si="52"/>
        <v>0</v>
      </c>
      <c r="BD261" s="42">
        <v>0</v>
      </c>
      <c r="BF261" s="42">
        <v>0</v>
      </c>
      <c r="BH261" s="42">
        <v>0</v>
      </c>
      <c r="BJ261" s="42">
        <v>0</v>
      </c>
      <c r="BL261" s="42">
        <f t="shared" si="53"/>
        <v>0</v>
      </c>
      <c r="BN261" s="42">
        <f>+'Gen Fd Rev'!AM261-'Gen Fd Exp'!BL261</f>
        <v>0</v>
      </c>
      <c r="BP261" s="42">
        <v>0</v>
      </c>
      <c r="BR261" s="42">
        <v>0</v>
      </c>
      <c r="BT261" s="42">
        <v>0</v>
      </c>
      <c r="BV261" s="42">
        <f t="shared" si="54"/>
        <v>0</v>
      </c>
      <c r="BX261" s="5">
        <f>+BV261-'Gen Fd BS'!AI261+BT261</f>
        <v>0</v>
      </c>
    </row>
    <row r="262" spans="1:76">
      <c r="A262" s="9" t="s">
        <v>532</v>
      </c>
      <c r="B262" s="9"/>
      <c r="C262" s="9" t="s">
        <v>65</v>
      </c>
      <c r="D262" s="9"/>
      <c r="E262" s="23">
        <v>50286</v>
      </c>
      <c r="G262" s="42">
        <v>6542112</v>
      </c>
      <c r="I262" s="42">
        <v>779755</v>
      </c>
      <c r="K262" s="42">
        <v>211940</v>
      </c>
      <c r="M262" s="42">
        <v>0</v>
      </c>
      <c r="O262" s="42">
        <v>1733044</v>
      </c>
      <c r="Q262" s="42">
        <v>480752</v>
      </c>
      <c r="S262" s="42">
        <v>438857</v>
      </c>
      <c r="U262" s="42">
        <v>48662</v>
      </c>
      <c r="W262" s="42">
        <v>1110725</v>
      </c>
      <c r="Y262" s="42">
        <v>377888</v>
      </c>
      <c r="AA262" s="42">
        <v>121827</v>
      </c>
      <c r="AC262" s="42">
        <v>1566642</v>
      </c>
      <c r="AE262" s="42">
        <v>1137975</v>
      </c>
      <c r="AG262" s="42">
        <v>1045</v>
      </c>
      <c r="AI262" s="42">
        <v>0</v>
      </c>
      <c r="AK262" s="42">
        <v>0</v>
      </c>
      <c r="AL262" s="9" t="s">
        <v>532</v>
      </c>
      <c r="AM262" s="9"/>
      <c r="AN262" s="9" t="s">
        <v>65</v>
      </c>
      <c r="AP262" s="42">
        <v>438970</v>
      </c>
      <c r="AR262" s="42">
        <v>0</v>
      </c>
      <c r="AV262" s="42">
        <v>48355</v>
      </c>
      <c r="AX262" s="42">
        <v>5483</v>
      </c>
      <c r="AZ262" s="42">
        <v>0</v>
      </c>
      <c r="BB262" s="42">
        <f t="shared" si="52"/>
        <v>15044032</v>
      </c>
      <c r="BD262" s="42">
        <v>0</v>
      </c>
      <c r="BF262" s="42">
        <v>0</v>
      </c>
      <c r="BH262" s="42">
        <v>0</v>
      </c>
      <c r="BJ262" s="42">
        <v>0</v>
      </c>
      <c r="BL262" s="42">
        <f t="shared" si="53"/>
        <v>15044032</v>
      </c>
      <c r="BN262" s="42">
        <f>+'Gen Fd Rev'!AM262-'Gen Fd Exp'!BL262</f>
        <v>-197979</v>
      </c>
      <c r="BP262" s="42">
        <v>2213896</v>
      </c>
      <c r="BR262" s="42">
        <v>0</v>
      </c>
      <c r="BT262" s="42">
        <v>0</v>
      </c>
      <c r="BV262" s="42">
        <f t="shared" si="54"/>
        <v>2015917</v>
      </c>
      <c r="BX262" s="5">
        <f>+BV262-'Gen Fd BS'!AI262+BT262</f>
        <v>0</v>
      </c>
    </row>
    <row r="263" spans="1:76">
      <c r="A263" s="9" t="s">
        <v>367</v>
      </c>
      <c r="B263" s="9"/>
      <c r="C263" s="9" t="s">
        <v>364</v>
      </c>
      <c r="D263" s="9"/>
      <c r="E263" s="23">
        <v>44149</v>
      </c>
      <c r="G263" s="42">
        <v>5774232</v>
      </c>
      <c r="I263" s="42">
        <v>884575</v>
      </c>
      <c r="K263" s="42">
        <v>102063</v>
      </c>
      <c r="M263" s="42">
        <v>0</v>
      </c>
      <c r="O263" s="42">
        <v>205683</v>
      </c>
      <c r="Q263" s="42">
        <v>570123</v>
      </c>
      <c r="S263" s="42">
        <v>301634</v>
      </c>
      <c r="U263" s="42">
        <v>250576</v>
      </c>
      <c r="W263" s="42">
        <v>958939</v>
      </c>
      <c r="Y263" s="42">
        <v>561778</v>
      </c>
      <c r="AA263" s="42">
        <v>0</v>
      </c>
      <c r="AC263" s="42">
        <v>1642682</v>
      </c>
      <c r="AE263" s="42">
        <v>630711</v>
      </c>
      <c r="AG263" s="42">
        <v>110547</v>
      </c>
      <c r="AI263" s="42">
        <v>0</v>
      </c>
      <c r="AK263" s="42">
        <v>0</v>
      </c>
      <c r="AL263" s="9" t="s">
        <v>367</v>
      </c>
      <c r="AM263" s="9"/>
      <c r="AN263" s="9" t="s">
        <v>364</v>
      </c>
      <c r="AP263" s="42">
        <v>369488</v>
      </c>
      <c r="AR263" s="42">
        <v>0</v>
      </c>
      <c r="AV263" s="42">
        <v>0</v>
      </c>
      <c r="AX263" s="42">
        <v>0</v>
      </c>
      <c r="AZ263" s="42">
        <v>0</v>
      </c>
      <c r="BB263" s="42">
        <f t="shared" si="52"/>
        <v>12363031</v>
      </c>
      <c r="BD263" s="42">
        <v>0</v>
      </c>
      <c r="BF263" s="42">
        <v>0</v>
      </c>
      <c r="BH263" s="42">
        <v>0</v>
      </c>
      <c r="BJ263" s="42">
        <v>0</v>
      </c>
      <c r="BL263" s="42">
        <f t="shared" si="53"/>
        <v>12363031</v>
      </c>
      <c r="BN263" s="42">
        <f>+'Gen Fd Rev'!AM263-'Gen Fd Exp'!BL263</f>
        <v>44086</v>
      </c>
      <c r="BP263" s="42">
        <v>1325120</v>
      </c>
      <c r="BR263" s="42">
        <v>0</v>
      </c>
      <c r="BT263" s="42">
        <v>0</v>
      </c>
      <c r="BV263" s="42">
        <f t="shared" si="54"/>
        <v>1369206</v>
      </c>
      <c r="BX263" s="5">
        <f>+BV263-'Gen Fd BS'!AI263+BT263</f>
        <v>0</v>
      </c>
    </row>
    <row r="264" spans="1:76" hidden="1">
      <c r="A264" s="9" t="s">
        <v>663</v>
      </c>
      <c r="B264" s="9"/>
      <c r="C264" s="9" t="s">
        <v>61</v>
      </c>
      <c r="D264" s="9"/>
      <c r="E264" s="23">
        <v>49809</v>
      </c>
      <c r="G264" s="42">
        <v>0</v>
      </c>
      <c r="I264" s="42">
        <v>0</v>
      </c>
      <c r="K264" s="42">
        <v>0</v>
      </c>
      <c r="M264" s="42">
        <v>0</v>
      </c>
      <c r="O264" s="42">
        <v>0</v>
      </c>
      <c r="Q264" s="42">
        <v>0</v>
      </c>
      <c r="S264" s="42">
        <v>0</v>
      </c>
      <c r="U264" s="42">
        <v>0</v>
      </c>
      <c r="W264" s="42">
        <v>0</v>
      </c>
      <c r="Y264" s="42">
        <v>0</v>
      </c>
      <c r="AA264" s="42">
        <v>0</v>
      </c>
      <c r="AC264" s="42">
        <v>0</v>
      </c>
      <c r="AE264" s="42">
        <v>0</v>
      </c>
      <c r="AG264" s="42">
        <v>0</v>
      </c>
      <c r="AI264" s="42">
        <v>0</v>
      </c>
      <c r="AK264" s="42">
        <v>0</v>
      </c>
      <c r="AL264" s="9" t="s">
        <v>663</v>
      </c>
      <c r="AM264" s="9"/>
      <c r="AN264" s="9" t="s">
        <v>61</v>
      </c>
      <c r="AP264" s="42">
        <v>0</v>
      </c>
      <c r="AR264" s="42">
        <v>0</v>
      </c>
      <c r="AV264" s="42">
        <v>0</v>
      </c>
      <c r="AX264" s="42">
        <v>0</v>
      </c>
      <c r="AZ264" s="42">
        <v>0</v>
      </c>
      <c r="BB264" s="42">
        <f t="shared" si="52"/>
        <v>0</v>
      </c>
      <c r="BD264" s="42">
        <v>0</v>
      </c>
      <c r="BF264" s="42">
        <v>0</v>
      </c>
      <c r="BH264" s="42">
        <v>0</v>
      </c>
      <c r="BJ264" s="42">
        <v>0</v>
      </c>
      <c r="BL264" s="42">
        <f t="shared" si="53"/>
        <v>0</v>
      </c>
      <c r="BN264" s="42">
        <f>+'Gen Fd Rev'!AM264-'Gen Fd Exp'!BL264</f>
        <v>0</v>
      </c>
      <c r="BP264" s="42">
        <v>0</v>
      </c>
      <c r="BR264" s="42">
        <v>0</v>
      </c>
      <c r="BT264" s="42">
        <v>0</v>
      </c>
      <c r="BV264" s="42">
        <f t="shared" si="54"/>
        <v>0</v>
      </c>
      <c r="BX264" s="5">
        <f>+BV264-'Gen Fd BS'!AI264+BT264</f>
        <v>0</v>
      </c>
    </row>
    <row r="265" spans="1:76" hidden="1">
      <c r="A265" s="9" t="s">
        <v>674</v>
      </c>
      <c r="B265" s="9"/>
      <c r="C265" s="9" t="s">
        <v>38</v>
      </c>
      <c r="D265" s="9"/>
      <c r="E265" s="23">
        <v>44156</v>
      </c>
      <c r="G265" s="42">
        <v>0</v>
      </c>
      <c r="I265" s="42">
        <v>0</v>
      </c>
      <c r="K265" s="42">
        <v>0</v>
      </c>
      <c r="M265" s="42">
        <v>0</v>
      </c>
      <c r="O265" s="42">
        <v>0</v>
      </c>
      <c r="Q265" s="42">
        <v>0</v>
      </c>
      <c r="S265" s="42">
        <v>0</v>
      </c>
      <c r="U265" s="42">
        <v>0</v>
      </c>
      <c r="W265" s="42">
        <v>0</v>
      </c>
      <c r="Y265" s="42">
        <v>0</v>
      </c>
      <c r="AA265" s="42">
        <v>0</v>
      </c>
      <c r="AC265" s="42">
        <v>0</v>
      </c>
      <c r="AE265" s="42">
        <v>0</v>
      </c>
      <c r="AG265" s="42">
        <v>0</v>
      </c>
      <c r="AI265" s="42">
        <v>0</v>
      </c>
      <c r="AK265" s="42">
        <v>0</v>
      </c>
      <c r="AL265" s="9" t="s">
        <v>674</v>
      </c>
      <c r="AM265" s="9"/>
      <c r="AN265" s="9" t="s">
        <v>38</v>
      </c>
      <c r="AP265" s="42">
        <v>0</v>
      </c>
      <c r="AR265" s="42">
        <v>0</v>
      </c>
      <c r="AV265" s="42">
        <v>0</v>
      </c>
      <c r="AX265" s="42">
        <v>0</v>
      </c>
      <c r="AZ265" s="42">
        <v>0</v>
      </c>
      <c r="BB265" s="42">
        <f t="shared" si="52"/>
        <v>0</v>
      </c>
      <c r="BD265" s="42">
        <v>0</v>
      </c>
      <c r="BF265" s="42">
        <v>0</v>
      </c>
      <c r="BH265" s="42">
        <v>0</v>
      </c>
      <c r="BJ265" s="42">
        <v>0</v>
      </c>
      <c r="BL265" s="42">
        <f t="shared" si="53"/>
        <v>0</v>
      </c>
      <c r="BN265" s="42">
        <f>+'Gen Fd Rev'!AM265-'Gen Fd Exp'!BL265</f>
        <v>0</v>
      </c>
      <c r="BP265" s="42">
        <v>0</v>
      </c>
      <c r="BR265" s="42">
        <v>0</v>
      </c>
      <c r="BT265" s="42">
        <v>0</v>
      </c>
      <c r="BV265" s="42">
        <f t="shared" si="54"/>
        <v>0</v>
      </c>
      <c r="BX265" s="5">
        <f>+BV265-'Gen Fd BS'!AI265+BT265</f>
        <v>0</v>
      </c>
    </row>
    <row r="266" spans="1:76">
      <c r="A266" s="9" t="s">
        <v>493</v>
      </c>
      <c r="B266" s="9"/>
      <c r="C266" s="9" t="s">
        <v>62</v>
      </c>
      <c r="D266" s="9"/>
      <c r="E266" s="23">
        <v>49858</v>
      </c>
      <c r="G266" s="42">
        <v>22370801</v>
      </c>
      <c r="I266" s="42">
        <v>3528769</v>
      </c>
      <c r="K266" s="42">
        <v>979005</v>
      </c>
      <c r="M266" s="42">
        <v>52488</v>
      </c>
      <c r="O266" s="42">
        <v>1462828</v>
      </c>
      <c r="Q266" s="42">
        <v>3309023</v>
      </c>
      <c r="S266" s="42">
        <v>2049633</v>
      </c>
      <c r="U266" s="42">
        <v>20443</v>
      </c>
      <c r="W266" s="42">
        <v>2949718</v>
      </c>
      <c r="Y266" s="42">
        <v>1078553</v>
      </c>
      <c r="AA266" s="42">
        <v>383096</v>
      </c>
      <c r="AC266" s="42">
        <v>4567698</v>
      </c>
      <c r="AE266" s="42">
        <v>2950818</v>
      </c>
      <c r="AG266" s="42">
        <v>952690</v>
      </c>
      <c r="AI266" s="42">
        <v>0</v>
      </c>
      <c r="AK266" s="42">
        <v>3604</v>
      </c>
      <c r="AL266" s="9" t="s">
        <v>493</v>
      </c>
      <c r="AM266" s="9"/>
      <c r="AN266" s="9" t="s">
        <v>62</v>
      </c>
      <c r="AP266" s="42">
        <v>1356734</v>
      </c>
      <c r="AR266" s="42">
        <v>190276</v>
      </c>
      <c r="AV266" s="42">
        <v>0</v>
      </c>
      <c r="AX266" s="42">
        <v>0</v>
      </c>
      <c r="AZ266" s="42">
        <v>0</v>
      </c>
      <c r="BB266" s="42">
        <f t="shared" si="52"/>
        <v>48206177</v>
      </c>
      <c r="BD266" s="42">
        <v>11415</v>
      </c>
      <c r="BF266" s="42">
        <v>0</v>
      </c>
      <c r="BH266" s="42">
        <v>0</v>
      </c>
      <c r="BJ266" s="42">
        <v>0</v>
      </c>
      <c r="BL266" s="42">
        <f t="shared" si="53"/>
        <v>48217592</v>
      </c>
      <c r="BN266" s="42">
        <f>+'Gen Fd Rev'!AM266-'Gen Fd Exp'!BL266</f>
        <v>572481</v>
      </c>
      <c r="BP266" s="42">
        <v>14077688</v>
      </c>
      <c r="BR266" s="42">
        <v>19696</v>
      </c>
      <c r="BT266" s="42">
        <v>0</v>
      </c>
      <c r="BV266" s="42">
        <f t="shared" si="54"/>
        <v>14630473</v>
      </c>
      <c r="BX266" s="5">
        <f>+BV266-'Gen Fd BS'!AI266+BT266</f>
        <v>0</v>
      </c>
    </row>
    <row r="267" spans="1:76">
      <c r="A267" s="9" t="s">
        <v>401</v>
      </c>
      <c r="B267" s="9"/>
      <c r="C267" s="9" t="s">
        <v>45</v>
      </c>
      <c r="D267" s="9"/>
      <c r="E267" s="23">
        <v>48322</v>
      </c>
      <c r="F267" s="7"/>
      <c r="G267" s="42">
        <v>2947806</v>
      </c>
      <c r="I267" s="42">
        <v>1026989</v>
      </c>
      <c r="K267" s="42">
        <v>89723</v>
      </c>
      <c r="M267" s="42">
        <v>0</v>
      </c>
      <c r="O267" s="42">
        <v>0</v>
      </c>
      <c r="Q267" s="42">
        <v>543546</v>
      </c>
      <c r="S267" s="42">
        <v>111692</v>
      </c>
      <c r="U267" s="42">
        <v>85346</v>
      </c>
      <c r="W267" s="42">
        <v>597817</v>
      </c>
      <c r="Y267" s="42">
        <v>377924</v>
      </c>
      <c r="AA267" s="42">
        <v>0</v>
      </c>
      <c r="AC267" s="42">
        <v>656820</v>
      </c>
      <c r="AE267" s="42">
        <v>574207</v>
      </c>
      <c r="AG267" s="42">
        <v>0</v>
      </c>
      <c r="AI267" s="42">
        <v>0</v>
      </c>
      <c r="AK267" s="42">
        <v>0</v>
      </c>
      <c r="AL267" s="9" t="s">
        <v>401</v>
      </c>
      <c r="AM267" s="9"/>
      <c r="AN267" s="9" t="s">
        <v>45</v>
      </c>
      <c r="AP267" s="42">
        <v>358346</v>
      </c>
      <c r="AR267" s="42">
        <v>0</v>
      </c>
      <c r="AV267" s="42">
        <v>0</v>
      </c>
      <c r="AX267" s="42">
        <v>0</v>
      </c>
      <c r="AZ267" s="42">
        <v>0</v>
      </c>
      <c r="BB267" s="42">
        <f t="shared" si="52"/>
        <v>7370216</v>
      </c>
      <c r="BD267" s="42">
        <v>71429</v>
      </c>
      <c r="BF267" s="42">
        <v>0</v>
      </c>
      <c r="BH267" s="42">
        <v>0</v>
      </c>
      <c r="BJ267" s="42">
        <v>0</v>
      </c>
      <c r="BL267" s="42">
        <f t="shared" si="53"/>
        <v>7441645</v>
      </c>
      <c r="BN267" s="42">
        <f>+'Gen Fd Rev'!AM267-'Gen Fd Exp'!BL267</f>
        <v>-415552</v>
      </c>
      <c r="BP267" s="42">
        <v>1694360</v>
      </c>
      <c r="BR267" s="42">
        <v>0</v>
      </c>
      <c r="BT267" s="42">
        <v>0</v>
      </c>
      <c r="BV267" s="42">
        <f t="shared" si="54"/>
        <v>1278808</v>
      </c>
      <c r="BX267" s="5">
        <f>+BV267-'Gen Fd BS'!AI267+BT267</f>
        <v>0</v>
      </c>
    </row>
    <row r="268" spans="1:76">
      <c r="A268" s="9" t="s">
        <v>457</v>
      </c>
      <c r="B268" s="9"/>
      <c r="C268" s="9" t="s">
        <v>56</v>
      </c>
      <c r="D268" s="9"/>
      <c r="E268" s="23">
        <v>49205</v>
      </c>
      <c r="G268" s="42">
        <v>6696795</v>
      </c>
      <c r="I268" s="42">
        <v>931121</v>
      </c>
      <c r="K268" s="42">
        <v>0</v>
      </c>
      <c r="M268" s="42">
        <v>0</v>
      </c>
      <c r="O268" s="42">
        <v>2656</v>
      </c>
      <c r="Q268" s="42">
        <v>602488</v>
      </c>
      <c r="S268" s="42">
        <v>560196</v>
      </c>
      <c r="U268" s="42">
        <v>36810</v>
      </c>
      <c r="W268" s="42">
        <v>907629</v>
      </c>
      <c r="Y268" s="42">
        <v>305350</v>
      </c>
      <c r="AA268" s="42">
        <v>0</v>
      </c>
      <c r="AC268" s="42">
        <v>1187808</v>
      </c>
      <c r="AE268" s="42">
        <v>848224</v>
      </c>
      <c r="AG268" s="42">
        <v>51597</v>
      </c>
      <c r="AI268" s="42">
        <v>0</v>
      </c>
      <c r="AK268" s="42">
        <v>0</v>
      </c>
      <c r="AL268" s="9" t="s">
        <v>457</v>
      </c>
      <c r="AM268" s="9"/>
      <c r="AN268" s="9" t="s">
        <v>56</v>
      </c>
      <c r="AP268" s="42">
        <v>389000</v>
      </c>
      <c r="AR268" s="42">
        <v>0</v>
      </c>
      <c r="AV268" s="42">
        <v>31803</v>
      </c>
      <c r="AX268" s="42">
        <v>10647</v>
      </c>
      <c r="AZ268" s="42">
        <v>0</v>
      </c>
      <c r="BB268" s="42">
        <f t="shared" si="52"/>
        <v>12562124</v>
      </c>
      <c r="BD268" s="42">
        <v>3740</v>
      </c>
      <c r="BF268" s="42">
        <v>0</v>
      </c>
      <c r="BH268" s="42">
        <v>0</v>
      </c>
      <c r="BJ268" s="42">
        <v>0</v>
      </c>
      <c r="BL268" s="42">
        <f t="shared" si="53"/>
        <v>12565864</v>
      </c>
      <c r="BN268" s="42">
        <f>+'Gen Fd Rev'!AM268-'Gen Fd Exp'!BL268</f>
        <v>-692391</v>
      </c>
      <c r="BP268" s="42">
        <v>1915034</v>
      </c>
      <c r="BR268" s="42">
        <v>0</v>
      </c>
      <c r="BT268" s="42">
        <v>0</v>
      </c>
      <c r="BV268" s="42">
        <f t="shared" si="54"/>
        <v>1222643</v>
      </c>
      <c r="BX268" s="5">
        <f>+BV268-'Gen Fd BS'!AI268+BT268</f>
        <v>0</v>
      </c>
    </row>
    <row r="269" spans="1:76">
      <c r="A269" s="9" t="s">
        <v>208</v>
      </c>
      <c r="B269" s="9"/>
      <c r="C269" s="9" t="s">
        <v>12</v>
      </c>
      <c r="D269" s="9"/>
      <c r="E269" s="23">
        <v>45872</v>
      </c>
      <c r="G269" s="42">
        <v>7010437</v>
      </c>
      <c r="I269" s="42">
        <v>1370550</v>
      </c>
      <c r="K269" s="42">
        <v>16451</v>
      </c>
      <c r="M269" s="42">
        <v>0</v>
      </c>
      <c r="O269" s="42">
        <v>0</v>
      </c>
      <c r="Q269" s="42">
        <v>1225758</v>
      </c>
      <c r="S269" s="42">
        <v>270728</v>
      </c>
      <c r="U269" s="42">
        <v>18165</v>
      </c>
      <c r="W269" s="42">
        <v>1223143</v>
      </c>
      <c r="Y269" s="42">
        <v>465558</v>
      </c>
      <c r="AA269" s="42">
        <v>5587</v>
      </c>
      <c r="AC269" s="42">
        <v>1304303</v>
      </c>
      <c r="AE269" s="42">
        <v>1158184</v>
      </c>
      <c r="AG269" s="42">
        <v>196369</v>
      </c>
      <c r="AI269" s="42">
        <v>0</v>
      </c>
      <c r="AK269" s="42">
        <v>93542</v>
      </c>
      <c r="AL269" s="9" t="s">
        <v>208</v>
      </c>
      <c r="AM269" s="9"/>
      <c r="AN269" s="9" t="s">
        <v>12</v>
      </c>
      <c r="AP269" s="42">
        <v>310588</v>
      </c>
      <c r="AR269" s="42">
        <v>0</v>
      </c>
      <c r="AV269" s="42">
        <v>55000</v>
      </c>
      <c r="AX269" s="42">
        <v>1409</v>
      </c>
      <c r="AZ269" s="42">
        <v>0</v>
      </c>
      <c r="BB269" s="42">
        <f t="shared" si="52"/>
        <v>14725772</v>
      </c>
      <c r="BD269" s="42">
        <v>50789</v>
      </c>
      <c r="BF269" s="42">
        <v>0</v>
      </c>
      <c r="BH269" s="42">
        <v>0</v>
      </c>
      <c r="BJ269" s="42">
        <v>0</v>
      </c>
      <c r="BL269" s="42">
        <f t="shared" si="53"/>
        <v>14776561</v>
      </c>
      <c r="BN269" s="42">
        <f>+'Gen Fd Rev'!AM269-'Gen Fd Exp'!BL269</f>
        <v>-1292836</v>
      </c>
      <c r="BP269" s="42">
        <v>3032638</v>
      </c>
      <c r="BR269" s="42">
        <v>0</v>
      </c>
      <c r="BT269" s="42">
        <v>0</v>
      </c>
      <c r="BV269" s="42">
        <f t="shared" si="54"/>
        <v>1739802</v>
      </c>
      <c r="BX269" s="5">
        <f>+BV269-'Gen Fd BS'!AI269+BT269</f>
        <v>0</v>
      </c>
    </row>
    <row r="270" spans="1:76">
      <c r="A270" s="9" t="s">
        <v>394</v>
      </c>
      <c r="B270" s="9"/>
      <c r="C270" s="9" t="s">
        <v>395</v>
      </c>
      <c r="D270" s="9"/>
      <c r="E270" s="23">
        <v>48256</v>
      </c>
      <c r="G270" s="42">
        <v>5310185</v>
      </c>
      <c r="I270" s="42">
        <v>1431828</v>
      </c>
      <c r="K270" s="42">
        <v>0</v>
      </c>
      <c r="M270" s="42">
        <v>0</v>
      </c>
      <c r="O270" s="42">
        <v>0</v>
      </c>
      <c r="Q270" s="42">
        <v>422094</v>
      </c>
      <c r="S270" s="42">
        <v>517334</v>
      </c>
      <c r="U270" s="42">
        <v>100262</v>
      </c>
      <c r="W270" s="42">
        <v>848374</v>
      </c>
      <c r="Y270" s="42">
        <v>443771</v>
      </c>
      <c r="AA270" s="42">
        <v>12335</v>
      </c>
      <c r="AC270" s="42">
        <v>1129558</v>
      </c>
      <c r="AE270" s="42">
        <v>676022</v>
      </c>
      <c r="AG270" s="42">
        <v>353002</v>
      </c>
      <c r="AI270" s="42">
        <v>0</v>
      </c>
      <c r="AK270" s="42">
        <v>293</v>
      </c>
      <c r="AL270" s="9" t="s">
        <v>394</v>
      </c>
      <c r="AM270" s="9"/>
      <c r="AN270" s="9" t="s">
        <v>395</v>
      </c>
      <c r="AP270" s="42">
        <v>424099</v>
      </c>
      <c r="AR270" s="42">
        <f>36932+111961</f>
        <v>148893</v>
      </c>
      <c r="AV270" s="42">
        <v>22284</v>
      </c>
      <c r="AX270" s="42">
        <v>4686</v>
      </c>
      <c r="AZ270" s="42">
        <v>0</v>
      </c>
      <c r="BB270" s="42">
        <f t="shared" si="52"/>
        <v>11845020</v>
      </c>
      <c r="BD270" s="42">
        <v>287293</v>
      </c>
      <c r="BF270" s="42">
        <v>0</v>
      </c>
      <c r="BH270" s="42">
        <v>0</v>
      </c>
      <c r="BJ270" s="42">
        <v>0</v>
      </c>
      <c r="BL270" s="42">
        <f t="shared" si="53"/>
        <v>12132313</v>
      </c>
      <c r="BN270" s="42">
        <f>+'Gen Fd Rev'!AM270-'Gen Fd Exp'!BL270</f>
        <v>-457834</v>
      </c>
      <c r="BP270" s="42">
        <v>6193860</v>
      </c>
      <c r="BR270" s="42">
        <v>0</v>
      </c>
      <c r="BT270" s="42">
        <v>0</v>
      </c>
      <c r="BV270" s="42">
        <f t="shared" si="54"/>
        <v>5736026</v>
      </c>
      <c r="BX270" s="5">
        <f>+BV270-'Gen Fd BS'!AI270+BT270</f>
        <v>0</v>
      </c>
    </row>
    <row r="271" spans="1:76">
      <c r="A271" s="9" t="s">
        <v>675</v>
      </c>
      <c r="B271" s="9"/>
      <c r="C271" s="9" t="s">
        <v>50</v>
      </c>
      <c r="D271" s="9"/>
      <c r="E271" s="23">
        <v>48686</v>
      </c>
      <c r="G271" s="42">
        <v>1666375</v>
      </c>
      <c r="I271" s="42">
        <v>699065</v>
      </c>
      <c r="K271" s="42">
        <v>0</v>
      </c>
      <c r="M271" s="42">
        <v>0</v>
      </c>
      <c r="O271" s="42">
        <v>1439916</v>
      </c>
      <c r="Q271" s="42">
        <v>182663</v>
      </c>
      <c r="S271" s="42">
        <v>166505</v>
      </c>
      <c r="U271" s="42">
        <v>30481</v>
      </c>
      <c r="W271" s="42">
        <v>778334</v>
      </c>
      <c r="Y271" s="42">
        <v>253171</v>
      </c>
      <c r="AA271" s="42">
        <v>484</v>
      </c>
      <c r="AC271" s="42">
        <v>570425</v>
      </c>
      <c r="AE271" s="42">
        <v>369190</v>
      </c>
      <c r="AG271" s="42">
        <v>55501</v>
      </c>
      <c r="AI271" s="42">
        <v>0</v>
      </c>
      <c r="AK271" s="42">
        <v>0</v>
      </c>
      <c r="AL271" s="9" t="s">
        <v>675</v>
      </c>
      <c r="AM271" s="9"/>
      <c r="AN271" s="9" t="s">
        <v>50</v>
      </c>
      <c r="AP271" s="42">
        <v>87208</v>
      </c>
      <c r="AR271" s="42">
        <v>235801</v>
      </c>
      <c r="AV271" s="42">
        <v>14235</v>
      </c>
      <c r="AX271" s="42">
        <v>3251</v>
      </c>
      <c r="AZ271" s="42">
        <v>0</v>
      </c>
      <c r="BB271" s="42">
        <f t="shared" si="52"/>
        <v>6552605</v>
      </c>
      <c r="BD271" s="42">
        <v>20000</v>
      </c>
      <c r="BF271" s="42">
        <v>0</v>
      </c>
      <c r="BH271" s="42">
        <v>0</v>
      </c>
      <c r="BJ271" s="42">
        <v>0</v>
      </c>
      <c r="BL271" s="42">
        <f t="shared" si="53"/>
        <v>6572605</v>
      </c>
      <c r="BN271" s="42">
        <f>+'Gen Fd Rev'!AM271-'Gen Fd Exp'!BL271</f>
        <v>839883</v>
      </c>
      <c r="BP271" s="42">
        <v>2721036</v>
      </c>
      <c r="BR271" s="42">
        <v>0</v>
      </c>
      <c r="BT271" s="42">
        <v>0</v>
      </c>
      <c r="BV271" s="42">
        <f t="shared" si="54"/>
        <v>3560919</v>
      </c>
      <c r="BX271" s="5">
        <f>+BV271-'Gen Fd BS'!AI271+BT271</f>
        <v>0</v>
      </c>
    </row>
    <row r="272" spans="1:76" hidden="1">
      <c r="A272" s="9" t="s">
        <v>860</v>
      </c>
      <c r="B272" s="9"/>
      <c r="C272" s="9" t="s">
        <v>464</v>
      </c>
      <c r="D272" s="9"/>
      <c r="E272" s="23">
        <v>49338</v>
      </c>
      <c r="G272" s="42">
        <v>0</v>
      </c>
      <c r="I272" s="42">
        <v>0</v>
      </c>
      <c r="K272" s="42">
        <v>0</v>
      </c>
      <c r="M272" s="42">
        <v>0</v>
      </c>
      <c r="O272" s="42">
        <v>0</v>
      </c>
      <c r="Q272" s="42">
        <v>0</v>
      </c>
      <c r="S272" s="42">
        <v>0</v>
      </c>
      <c r="U272" s="42">
        <v>0</v>
      </c>
      <c r="W272" s="42">
        <v>0</v>
      </c>
      <c r="Y272" s="42">
        <v>0</v>
      </c>
      <c r="AA272" s="42">
        <v>0</v>
      </c>
      <c r="AC272" s="42">
        <v>0</v>
      </c>
      <c r="AE272" s="42">
        <v>0</v>
      </c>
      <c r="AG272" s="42">
        <v>0</v>
      </c>
      <c r="AI272" s="42">
        <v>0</v>
      </c>
      <c r="AK272" s="42">
        <v>0</v>
      </c>
      <c r="AL272" s="9" t="s">
        <v>860</v>
      </c>
      <c r="AM272" s="9"/>
      <c r="AN272" s="9" t="s">
        <v>464</v>
      </c>
      <c r="AP272" s="42">
        <v>0</v>
      </c>
      <c r="AR272" s="42">
        <v>0</v>
      </c>
      <c r="AV272" s="42">
        <v>0</v>
      </c>
      <c r="AX272" s="42">
        <v>0</v>
      </c>
      <c r="AZ272" s="42">
        <v>0</v>
      </c>
      <c r="BB272" s="42">
        <f t="shared" si="52"/>
        <v>0</v>
      </c>
      <c r="BD272" s="42">
        <v>0</v>
      </c>
      <c r="BF272" s="42">
        <v>0</v>
      </c>
      <c r="BH272" s="42">
        <v>0</v>
      </c>
      <c r="BJ272" s="42">
        <v>0</v>
      </c>
      <c r="BL272" s="42">
        <f t="shared" si="53"/>
        <v>0</v>
      </c>
      <c r="BN272" s="42">
        <f>+'Gen Fd Rev'!AM272-'Gen Fd Exp'!BL272</f>
        <v>0</v>
      </c>
      <c r="BP272" s="42">
        <v>0</v>
      </c>
      <c r="BR272" s="42">
        <v>0</v>
      </c>
      <c r="BT272" s="42">
        <v>0</v>
      </c>
      <c r="BV272" s="42">
        <f t="shared" si="54"/>
        <v>0</v>
      </c>
      <c r="BX272" s="5">
        <f>+BV272-'Gen Fd BS'!AI272+BT272</f>
        <v>0</v>
      </c>
    </row>
    <row r="273" spans="1:76">
      <c r="A273" s="9" t="s">
        <v>372</v>
      </c>
      <c r="B273" s="9"/>
      <c r="C273" s="9" t="s">
        <v>42</v>
      </c>
      <c r="D273" s="9"/>
      <c r="E273" s="23">
        <v>47985</v>
      </c>
      <c r="G273" s="42">
        <v>6576750</v>
      </c>
      <c r="I273" s="42">
        <v>1434408</v>
      </c>
      <c r="K273" s="42">
        <v>163382</v>
      </c>
      <c r="M273" s="42">
        <v>0</v>
      </c>
      <c r="O273" s="42">
        <v>194278</v>
      </c>
      <c r="Q273" s="42">
        <v>340975</v>
      </c>
      <c r="S273" s="42">
        <v>299378</v>
      </c>
      <c r="U273" s="42">
        <v>88510</v>
      </c>
      <c r="W273" s="42">
        <v>1040080</v>
      </c>
      <c r="Y273" s="42">
        <v>450236</v>
      </c>
      <c r="AA273" s="42">
        <v>1510</v>
      </c>
      <c r="AC273" s="42">
        <v>1137869</v>
      </c>
      <c r="AE273" s="42">
        <v>839556</v>
      </c>
      <c r="AG273" s="42">
        <v>48214</v>
      </c>
      <c r="AI273" s="42">
        <v>0</v>
      </c>
      <c r="AK273" s="42">
        <v>0</v>
      </c>
      <c r="AL273" s="9" t="s">
        <v>372</v>
      </c>
      <c r="AM273" s="9"/>
      <c r="AN273" s="9" t="s">
        <v>42</v>
      </c>
      <c r="AP273" s="42">
        <v>277457</v>
      </c>
      <c r="AR273" s="42">
        <v>0</v>
      </c>
      <c r="AV273" s="42">
        <v>0</v>
      </c>
      <c r="AX273" s="42">
        <v>0</v>
      </c>
      <c r="AZ273" s="42">
        <v>0</v>
      </c>
      <c r="BB273" s="42">
        <f t="shared" si="52"/>
        <v>12892603</v>
      </c>
      <c r="BD273" s="42">
        <v>124161</v>
      </c>
      <c r="BF273" s="42">
        <v>0</v>
      </c>
      <c r="BH273" s="42">
        <v>0</v>
      </c>
      <c r="BJ273" s="42">
        <v>0</v>
      </c>
      <c r="BL273" s="42">
        <f t="shared" si="53"/>
        <v>13016764</v>
      </c>
      <c r="BN273" s="42">
        <f>+'Gen Fd Rev'!AM273-'Gen Fd Exp'!BL273</f>
        <v>2256783</v>
      </c>
      <c r="BP273" s="42">
        <v>11402874</v>
      </c>
      <c r="BR273" s="42">
        <v>0</v>
      </c>
      <c r="BT273" s="42">
        <v>0</v>
      </c>
      <c r="BV273" s="42">
        <f t="shared" si="54"/>
        <v>13659657</v>
      </c>
      <c r="BX273" s="5">
        <f>+BV273-'Gen Fd BS'!AI273+BT273</f>
        <v>0</v>
      </c>
    </row>
    <row r="274" spans="1:76">
      <c r="A274" s="9" t="s">
        <v>396</v>
      </c>
      <c r="B274" s="9"/>
      <c r="C274" s="9" t="s">
        <v>395</v>
      </c>
      <c r="D274" s="9"/>
      <c r="E274" s="23">
        <v>48264</v>
      </c>
      <c r="G274" s="42">
        <v>8277967</v>
      </c>
      <c r="I274" s="42">
        <v>1691886</v>
      </c>
      <c r="K274" s="42">
        <v>70162</v>
      </c>
      <c r="M274" s="42">
        <v>0</v>
      </c>
      <c r="O274" s="42">
        <v>87915</v>
      </c>
      <c r="Q274" s="42">
        <v>1381404</v>
      </c>
      <c r="S274" s="42">
        <v>514475</v>
      </c>
      <c r="U274" s="42">
        <v>129168</v>
      </c>
      <c r="W274" s="42">
        <v>1614488</v>
      </c>
      <c r="Y274" s="42">
        <v>712787</v>
      </c>
      <c r="AA274" s="42">
        <v>2672</v>
      </c>
      <c r="AC274" s="42">
        <v>1663016</v>
      </c>
      <c r="AE274" s="42">
        <v>1104900</v>
      </c>
      <c r="AG274" s="42">
        <v>0</v>
      </c>
      <c r="AI274" s="42">
        <v>0</v>
      </c>
      <c r="AK274" s="42">
        <v>0</v>
      </c>
      <c r="AL274" s="9" t="s">
        <v>396</v>
      </c>
      <c r="AM274" s="9"/>
      <c r="AN274" s="9" t="s">
        <v>395</v>
      </c>
      <c r="AP274" s="42">
        <v>287212</v>
      </c>
      <c r="AR274" s="42">
        <v>11052</v>
      </c>
      <c r="AV274" s="42">
        <v>0</v>
      </c>
      <c r="AX274" s="42">
        <v>0</v>
      </c>
      <c r="AZ274" s="42">
        <v>0</v>
      </c>
      <c r="BB274" s="42">
        <f t="shared" si="52"/>
        <v>17549104</v>
      </c>
      <c r="BD274" s="42">
        <v>681</v>
      </c>
      <c r="BF274" s="42">
        <v>0</v>
      </c>
      <c r="BH274" s="42">
        <v>0</v>
      </c>
      <c r="BJ274" s="42">
        <v>0</v>
      </c>
      <c r="BL274" s="42">
        <f t="shared" si="53"/>
        <v>17549785</v>
      </c>
      <c r="BN274" s="42">
        <f>+'Gen Fd Rev'!AM274-'Gen Fd Exp'!BL274</f>
        <v>-1077029</v>
      </c>
      <c r="BP274" s="42">
        <v>1707087</v>
      </c>
      <c r="BR274" s="42">
        <v>0</v>
      </c>
      <c r="BT274" s="42">
        <v>0</v>
      </c>
      <c r="BV274" s="42">
        <f t="shared" si="54"/>
        <v>630058</v>
      </c>
      <c r="BX274" s="5">
        <f>+BV274-'Gen Fd BS'!AI274+BT274</f>
        <v>0</v>
      </c>
    </row>
    <row r="275" spans="1:76">
      <c r="A275" s="9" t="s">
        <v>519</v>
      </c>
      <c r="B275" s="9"/>
      <c r="C275" s="9" t="s">
        <v>64</v>
      </c>
      <c r="D275" s="9"/>
      <c r="E275" s="23">
        <v>50179</v>
      </c>
      <c r="G275" s="42">
        <v>3150545</v>
      </c>
      <c r="I275" s="42">
        <v>428305</v>
      </c>
      <c r="K275" s="42">
        <v>48474</v>
      </c>
      <c r="M275" s="42">
        <v>0</v>
      </c>
      <c r="O275" s="42">
        <v>69934</v>
      </c>
      <c r="Q275" s="42">
        <v>303539</v>
      </c>
      <c r="S275" s="42">
        <v>87267</v>
      </c>
      <c r="U275" s="42">
        <v>43967</v>
      </c>
      <c r="W275" s="42">
        <v>674032</v>
      </c>
      <c r="Y275" s="42">
        <v>346094</v>
      </c>
      <c r="AA275" s="42">
        <v>0</v>
      </c>
      <c r="AC275" s="42">
        <v>628927</v>
      </c>
      <c r="AE275" s="42">
        <v>696045</v>
      </c>
      <c r="AG275" s="42">
        <v>110093</v>
      </c>
      <c r="AI275" s="42">
        <v>0</v>
      </c>
      <c r="AK275" s="42">
        <v>544370</v>
      </c>
      <c r="AL275" s="9" t="s">
        <v>519</v>
      </c>
      <c r="AM275" s="9"/>
      <c r="AN275" s="9" t="s">
        <v>64</v>
      </c>
      <c r="AP275" s="42">
        <v>171229</v>
      </c>
      <c r="AR275" s="42">
        <v>0</v>
      </c>
      <c r="AV275" s="42">
        <v>0</v>
      </c>
      <c r="AX275" s="42">
        <v>0</v>
      </c>
      <c r="AZ275" s="42">
        <v>0</v>
      </c>
      <c r="BB275" s="42">
        <f t="shared" si="52"/>
        <v>7302821</v>
      </c>
      <c r="BD275" s="42">
        <v>88379</v>
      </c>
      <c r="BF275" s="42">
        <v>0</v>
      </c>
      <c r="BH275" s="42">
        <v>0</v>
      </c>
      <c r="BJ275" s="42">
        <v>0</v>
      </c>
      <c r="BL275" s="42">
        <f t="shared" si="53"/>
        <v>7391200</v>
      </c>
      <c r="BN275" s="42">
        <f>+'Gen Fd Rev'!AM275-'Gen Fd Exp'!BL275</f>
        <v>295137</v>
      </c>
      <c r="BP275" s="42">
        <v>1680085</v>
      </c>
      <c r="BR275" s="42">
        <v>0</v>
      </c>
      <c r="BT275" s="42">
        <v>0</v>
      </c>
      <c r="BV275" s="42">
        <f t="shared" ref="BV275:BV302" si="58">+BP275+BN275-BR275</f>
        <v>1975222</v>
      </c>
      <c r="BX275" s="5">
        <f>+BV275-'Gen Fd BS'!AI275+BT275</f>
        <v>0</v>
      </c>
    </row>
    <row r="276" spans="1:76" hidden="1">
      <c r="A276" s="8" t="s">
        <v>861</v>
      </c>
      <c r="B276" s="8"/>
      <c r="C276" s="8" t="s">
        <v>464</v>
      </c>
      <c r="D276" s="9"/>
      <c r="E276" s="23">
        <v>49346</v>
      </c>
      <c r="G276" s="42">
        <v>0</v>
      </c>
      <c r="I276" s="42">
        <v>0</v>
      </c>
      <c r="K276" s="42">
        <v>0</v>
      </c>
      <c r="M276" s="42">
        <v>0</v>
      </c>
      <c r="O276" s="42">
        <v>0</v>
      </c>
      <c r="Q276" s="42">
        <v>0</v>
      </c>
      <c r="S276" s="42">
        <v>0</v>
      </c>
      <c r="U276" s="42">
        <v>0</v>
      </c>
      <c r="W276" s="42">
        <v>0</v>
      </c>
      <c r="Y276" s="42">
        <v>0</v>
      </c>
      <c r="AA276" s="42">
        <v>0</v>
      </c>
      <c r="AC276" s="42">
        <v>0</v>
      </c>
      <c r="AE276" s="42">
        <v>0</v>
      </c>
      <c r="AG276" s="42">
        <v>0</v>
      </c>
      <c r="AI276" s="42">
        <v>0</v>
      </c>
      <c r="AK276" s="42">
        <v>0</v>
      </c>
      <c r="AL276" s="8" t="s">
        <v>861</v>
      </c>
      <c r="AM276" s="8"/>
      <c r="AN276" s="8" t="s">
        <v>464</v>
      </c>
      <c r="AP276" s="42">
        <v>0</v>
      </c>
      <c r="AR276" s="42">
        <v>0</v>
      </c>
      <c r="AV276" s="42">
        <v>0</v>
      </c>
      <c r="AX276" s="42">
        <v>0</v>
      </c>
      <c r="AZ276" s="42">
        <v>0</v>
      </c>
      <c r="BB276" s="42">
        <f t="shared" ref="BB276" si="59">SUM(G276:AZ276)</f>
        <v>0</v>
      </c>
      <c r="BD276" s="42">
        <v>0</v>
      </c>
      <c r="BF276" s="42">
        <v>0</v>
      </c>
      <c r="BH276" s="42">
        <v>0</v>
      </c>
      <c r="BJ276" s="42">
        <v>0</v>
      </c>
      <c r="BL276" s="42">
        <f t="shared" ref="BL276" si="60">+BB276+BD276+BF276+BJ276</f>
        <v>0</v>
      </c>
      <c r="BN276" s="42">
        <f>+'Gen Fd Rev'!AM276-'Gen Fd Exp'!BL276</f>
        <v>0</v>
      </c>
      <c r="BP276" s="42">
        <v>0</v>
      </c>
      <c r="BR276" s="42">
        <v>0</v>
      </c>
      <c r="BT276" s="42">
        <v>0</v>
      </c>
      <c r="BV276" s="42">
        <f t="shared" ref="BV276" si="61">+BP276+BN276-BR276</f>
        <v>0</v>
      </c>
      <c r="BX276" s="5">
        <f>+BV276-'Gen Fd BS'!AI276+BT276</f>
        <v>0</v>
      </c>
    </row>
    <row r="277" spans="1:76">
      <c r="A277" s="9" t="s">
        <v>285</v>
      </c>
      <c r="B277" s="9"/>
      <c r="C277" s="9" t="s">
        <v>24</v>
      </c>
      <c r="D277" s="9"/>
      <c r="E277" s="23">
        <v>46797</v>
      </c>
      <c r="G277" s="42">
        <v>97194</v>
      </c>
      <c r="I277" s="42">
        <v>0</v>
      </c>
      <c r="K277" s="42">
        <v>0</v>
      </c>
      <c r="M277" s="42">
        <v>14200</v>
      </c>
      <c r="O277" s="42">
        <v>0</v>
      </c>
      <c r="Q277" s="42">
        <v>178</v>
      </c>
      <c r="S277" s="42">
        <v>21299</v>
      </c>
      <c r="U277" s="42">
        <v>22917</v>
      </c>
      <c r="W277" s="42">
        <v>63449</v>
      </c>
      <c r="Y277" s="42">
        <v>34783</v>
      </c>
      <c r="AA277" s="42">
        <v>0</v>
      </c>
      <c r="AC277" s="42">
        <v>137061</v>
      </c>
      <c r="AE277" s="42">
        <v>0</v>
      </c>
      <c r="AG277" s="42">
        <v>0</v>
      </c>
      <c r="AI277" s="42">
        <v>0</v>
      </c>
      <c r="AK277" s="42">
        <v>0</v>
      </c>
      <c r="AL277" s="9" t="s">
        <v>285</v>
      </c>
      <c r="AM277" s="9"/>
      <c r="AN277" s="9" t="s">
        <v>24</v>
      </c>
      <c r="AP277" s="42">
        <v>0</v>
      </c>
      <c r="AR277" s="42">
        <v>0</v>
      </c>
      <c r="AV277" s="42">
        <v>0</v>
      </c>
      <c r="AX277" s="42">
        <v>0</v>
      </c>
      <c r="AZ277" s="42">
        <v>0</v>
      </c>
      <c r="BB277" s="42">
        <f t="shared" si="52"/>
        <v>391081</v>
      </c>
      <c r="BD277" s="42">
        <v>0</v>
      </c>
      <c r="BF277" s="42">
        <v>0</v>
      </c>
      <c r="BH277" s="42">
        <v>0</v>
      </c>
      <c r="BJ277" s="42">
        <v>0</v>
      </c>
      <c r="BL277" s="42">
        <f t="shared" si="53"/>
        <v>391081</v>
      </c>
      <c r="BN277" s="42">
        <f>+'Gen Fd Rev'!AM277-'Gen Fd Exp'!BL277</f>
        <v>103222</v>
      </c>
      <c r="BP277" s="42">
        <v>896976</v>
      </c>
      <c r="BR277" s="42">
        <v>0</v>
      </c>
      <c r="BT277" s="42">
        <v>0</v>
      </c>
      <c r="BV277" s="42">
        <f t="shared" si="58"/>
        <v>1000198</v>
      </c>
      <c r="BX277" s="5">
        <f>+BV277-'Gen Fd BS'!AI277+BT277</f>
        <v>0</v>
      </c>
    </row>
    <row r="278" spans="1:76">
      <c r="A278" s="9" t="s">
        <v>312</v>
      </c>
      <c r="B278" s="9"/>
      <c r="C278" s="9" t="s">
        <v>30</v>
      </c>
      <c r="D278" s="9"/>
      <c r="E278" s="23">
        <v>47191</v>
      </c>
      <c r="G278" s="42">
        <v>14844057</v>
      </c>
      <c r="I278" s="42">
        <v>3851081</v>
      </c>
      <c r="K278" s="42">
        <v>134025</v>
      </c>
      <c r="M278" s="42">
        <v>0</v>
      </c>
      <c r="O278" s="42">
        <v>567858</v>
      </c>
      <c r="Q278" s="42">
        <v>2269313</v>
      </c>
      <c r="S278" s="42">
        <v>1057950</v>
      </c>
      <c r="U278" s="42">
        <v>44847</v>
      </c>
      <c r="W278" s="42">
        <v>2571568</v>
      </c>
      <c r="Y278" s="42">
        <v>1031620</v>
      </c>
      <c r="AA278" s="42">
        <v>19016</v>
      </c>
      <c r="AC278" s="42">
        <v>3542643</v>
      </c>
      <c r="AE278" s="42">
        <v>2572869</v>
      </c>
      <c r="AG278" s="42">
        <v>443303</v>
      </c>
      <c r="AI278" s="42">
        <v>0</v>
      </c>
      <c r="AK278" s="42">
        <f>155998+23347</f>
        <v>179345</v>
      </c>
      <c r="AL278" s="9" t="s">
        <v>312</v>
      </c>
      <c r="AM278" s="9"/>
      <c r="AN278" s="9" t="s">
        <v>30</v>
      </c>
      <c r="AP278" s="42">
        <v>722558</v>
      </c>
      <c r="AR278" s="42">
        <v>963572</v>
      </c>
      <c r="AV278" s="42">
        <v>190415</v>
      </c>
      <c r="AX278" s="42">
        <v>15834</v>
      </c>
      <c r="AZ278" s="42">
        <v>0</v>
      </c>
      <c r="BB278" s="42">
        <f t="shared" si="52"/>
        <v>35021874</v>
      </c>
      <c r="BD278" s="42">
        <v>108808</v>
      </c>
      <c r="BF278" s="42">
        <v>0</v>
      </c>
      <c r="BH278" s="42">
        <v>0</v>
      </c>
      <c r="BJ278" s="42">
        <v>0</v>
      </c>
      <c r="BL278" s="42">
        <f t="shared" si="53"/>
        <v>35130682</v>
      </c>
      <c r="BN278" s="42">
        <f>+'Gen Fd Rev'!AM278-'Gen Fd Exp'!BL278</f>
        <v>-1562834</v>
      </c>
      <c r="BP278" s="42">
        <v>12679836</v>
      </c>
      <c r="BR278" s="42">
        <v>0</v>
      </c>
      <c r="BT278" s="42">
        <v>0</v>
      </c>
      <c r="BV278" s="42">
        <f t="shared" si="58"/>
        <v>11117002</v>
      </c>
      <c r="BX278" s="5">
        <f>+BV278-'Gen Fd BS'!AI278+BT278</f>
        <v>0</v>
      </c>
    </row>
    <row r="279" spans="1:76">
      <c r="A279" s="9" t="s">
        <v>458</v>
      </c>
      <c r="B279" s="9"/>
      <c r="C279" s="9" t="s">
        <v>56</v>
      </c>
      <c r="D279" s="9"/>
      <c r="E279" s="23">
        <v>44164</v>
      </c>
      <c r="G279" s="42">
        <v>19270061</v>
      </c>
      <c r="I279" s="42">
        <v>5453542</v>
      </c>
      <c r="K279" s="42">
        <v>1953222</v>
      </c>
      <c r="M279" s="42">
        <v>47016</v>
      </c>
      <c r="O279" s="42">
        <f>477037+555704</f>
        <v>1032741</v>
      </c>
      <c r="Q279" s="42">
        <v>2695105</v>
      </c>
      <c r="S279" s="42">
        <v>1179228</v>
      </c>
      <c r="U279" s="42">
        <v>155475</v>
      </c>
      <c r="W279" s="42">
        <v>3304721</v>
      </c>
      <c r="Y279" s="42">
        <v>1075257</v>
      </c>
      <c r="AA279" s="42">
        <v>316527</v>
      </c>
      <c r="AC279" s="42">
        <v>3269050</v>
      </c>
      <c r="AE279" s="42">
        <v>1674710</v>
      </c>
      <c r="AG279" s="42">
        <v>77059</v>
      </c>
      <c r="AI279" s="42">
        <v>0</v>
      </c>
      <c r="AK279" s="42">
        <f>137734+178055</f>
        <v>315789</v>
      </c>
      <c r="AL279" s="9" t="s">
        <v>458</v>
      </c>
      <c r="AM279" s="9"/>
      <c r="AN279" s="9" t="s">
        <v>56</v>
      </c>
      <c r="AP279" s="42">
        <v>938663</v>
      </c>
      <c r="AR279" s="42">
        <v>200512</v>
      </c>
      <c r="AV279" s="42">
        <v>112050</v>
      </c>
      <c r="AX279" s="42">
        <v>42955</v>
      </c>
      <c r="AZ279" s="42">
        <v>0</v>
      </c>
      <c r="BB279" s="42">
        <f t="shared" si="52"/>
        <v>43113683</v>
      </c>
      <c r="BD279" s="42">
        <v>1000000</v>
      </c>
      <c r="BF279" s="42">
        <v>0</v>
      </c>
      <c r="BH279" s="42">
        <v>0</v>
      </c>
      <c r="BJ279" s="42">
        <v>0</v>
      </c>
      <c r="BL279" s="42">
        <f t="shared" si="53"/>
        <v>44113683</v>
      </c>
      <c r="BN279" s="42">
        <f>+'Gen Fd Rev'!AM279-'Gen Fd Exp'!BL279</f>
        <v>-3805527</v>
      </c>
      <c r="BP279" s="42">
        <v>15376433</v>
      </c>
      <c r="BR279" s="42">
        <v>0</v>
      </c>
      <c r="BT279" s="42">
        <v>0</v>
      </c>
      <c r="BV279" s="42">
        <f t="shared" si="58"/>
        <v>11570906</v>
      </c>
      <c r="BX279" s="5">
        <f>+BV279-'Gen Fd BS'!AI279+BT279</f>
        <v>0</v>
      </c>
    </row>
    <row r="280" spans="1:76" hidden="1">
      <c r="A280" s="9" t="s">
        <v>902</v>
      </c>
      <c r="B280" s="9"/>
      <c r="C280" s="9" t="s">
        <v>337</v>
      </c>
      <c r="D280" s="9"/>
      <c r="E280" s="23">
        <v>44172</v>
      </c>
      <c r="G280" s="42">
        <v>0</v>
      </c>
      <c r="I280" s="42">
        <v>0</v>
      </c>
      <c r="K280" s="42">
        <v>0</v>
      </c>
      <c r="M280" s="42">
        <v>0</v>
      </c>
      <c r="O280" s="42">
        <v>0</v>
      </c>
      <c r="Q280" s="42">
        <v>0</v>
      </c>
      <c r="S280" s="42">
        <v>0</v>
      </c>
      <c r="U280" s="42">
        <v>0</v>
      </c>
      <c r="W280" s="42">
        <v>0</v>
      </c>
      <c r="Y280" s="42">
        <v>0</v>
      </c>
      <c r="AA280" s="42">
        <v>0</v>
      </c>
      <c r="AC280" s="42">
        <v>0</v>
      </c>
      <c r="AE280" s="42">
        <v>0</v>
      </c>
      <c r="AG280" s="42">
        <v>0</v>
      </c>
      <c r="AI280" s="42">
        <v>0</v>
      </c>
      <c r="AK280" s="42">
        <v>0</v>
      </c>
      <c r="AL280" s="9" t="s">
        <v>902</v>
      </c>
      <c r="AM280" s="9"/>
      <c r="AN280" s="9" t="s">
        <v>337</v>
      </c>
      <c r="AP280" s="42">
        <v>0</v>
      </c>
      <c r="AR280" s="42">
        <v>0</v>
      </c>
      <c r="AV280" s="42">
        <v>0</v>
      </c>
      <c r="AX280" s="42">
        <v>0</v>
      </c>
      <c r="AZ280" s="42">
        <v>0</v>
      </c>
      <c r="BB280" s="42">
        <f t="shared" si="52"/>
        <v>0</v>
      </c>
      <c r="BD280" s="42">
        <v>0</v>
      </c>
      <c r="BF280" s="42">
        <v>0</v>
      </c>
      <c r="BH280" s="42">
        <v>0</v>
      </c>
      <c r="BJ280" s="42">
        <v>0</v>
      </c>
      <c r="BL280" s="42">
        <f t="shared" si="53"/>
        <v>0</v>
      </c>
      <c r="BN280" s="42">
        <f>+'Gen Fd Rev'!AM280-'Gen Fd Exp'!BL280</f>
        <v>0</v>
      </c>
      <c r="BP280" s="42">
        <v>0</v>
      </c>
      <c r="BR280" s="42">
        <v>0</v>
      </c>
      <c r="BT280" s="42">
        <v>0</v>
      </c>
      <c r="BV280" s="42">
        <f t="shared" si="58"/>
        <v>0</v>
      </c>
      <c r="BX280" s="5">
        <f>+BV280-'Gen Fd BS'!AI280+BT280</f>
        <v>0</v>
      </c>
    </row>
    <row r="281" spans="1:76" s="24" customFormat="1">
      <c r="A281" s="51" t="s">
        <v>428</v>
      </c>
      <c r="B281" s="51"/>
      <c r="C281" s="51" t="s">
        <v>50</v>
      </c>
      <c r="D281" s="51"/>
      <c r="E281" s="23">
        <v>44180</v>
      </c>
      <c r="G281" s="42">
        <v>34519663</v>
      </c>
      <c r="H281" s="42"/>
      <c r="I281" s="42">
        <v>8107951</v>
      </c>
      <c r="J281" s="42"/>
      <c r="K281" s="42">
        <v>2618174</v>
      </c>
      <c r="L281" s="42"/>
      <c r="M281" s="42">
        <v>0</v>
      </c>
      <c r="N281" s="42"/>
      <c r="O281" s="42">
        <v>3893197</v>
      </c>
      <c r="P281" s="42"/>
      <c r="Q281" s="42">
        <v>6989518</v>
      </c>
      <c r="R281" s="42"/>
      <c r="S281" s="42">
        <v>5040042</v>
      </c>
      <c r="T281" s="42"/>
      <c r="U281" s="42">
        <v>53047</v>
      </c>
      <c r="V281" s="42"/>
      <c r="W281" s="42">
        <v>5145798</v>
      </c>
      <c r="X281" s="42"/>
      <c r="Y281" s="42">
        <v>1660128</v>
      </c>
      <c r="Z281" s="42"/>
      <c r="AA281" s="42">
        <v>519095</v>
      </c>
      <c r="AB281" s="42"/>
      <c r="AC281" s="42">
        <v>7815140</v>
      </c>
      <c r="AD281" s="42"/>
      <c r="AE281" s="42">
        <v>3571236</v>
      </c>
      <c r="AF281" s="42"/>
      <c r="AG281" s="42">
        <v>1671663</v>
      </c>
      <c r="AH281" s="42"/>
      <c r="AI281" s="42">
        <v>0</v>
      </c>
      <c r="AJ281" s="42"/>
      <c r="AK281" s="42">
        <v>478715</v>
      </c>
      <c r="AL281" s="51" t="s">
        <v>428</v>
      </c>
      <c r="AM281" s="51"/>
      <c r="AN281" s="51" t="s">
        <v>50</v>
      </c>
      <c r="AP281" s="42">
        <v>994153</v>
      </c>
      <c r="AQ281" s="42"/>
      <c r="AR281" s="42">
        <v>204874</v>
      </c>
      <c r="AS281" s="42"/>
      <c r="AT281" s="42"/>
      <c r="AU281" s="42"/>
      <c r="AV281" s="42">
        <v>0</v>
      </c>
      <c r="AW281" s="42"/>
      <c r="AX281" s="42">
        <v>0</v>
      </c>
      <c r="AY281" s="42"/>
      <c r="AZ281" s="42">
        <v>0</v>
      </c>
      <c r="BA281" s="42"/>
      <c r="BB281" s="42">
        <f t="shared" si="52"/>
        <v>83282394</v>
      </c>
      <c r="BC281" s="42"/>
      <c r="BD281" s="42">
        <v>13500</v>
      </c>
      <c r="BE281" s="42"/>
      <c r="BF281" s="42">
        <v>0</v>
      </c>
      <c r="BG281" s="42"/>
      <c r="BH281" s="42">
        <v>0</v>
      </c>
      <c r="BI281" s="42"/>
      <c r="BJ281" s="42">
        <v>0</v>
      </c>
      <c r="BK281" s="42"/>
      <c r="BL281" s="42">
        <f t="shared" si="53"/>
        <v>83295894</v>
      </c>
      <c r="BM281" s="42"/>
      <c r="BN281" s="42">
        <f>+'Gen Fd Rev'!AM281-'Gen Fd Exp'!BL281</f>
        <v>-4224866</v>
      </c>
      <c r="BO281" s="42"/>
      <c r="BP281" s="42">
        <v>7101139</v>
      </c>
      <c r="BQ281" s="42"/>
      <c r="BR281" s="42">
        <v>12410</v>
      </c>
      <c r="BS281" s="42"/>
      <c r="BT281" s="42">
        <v>0</v>
      </c>
      <c r="BU281" s="42"/>
      <c r="BV281" s="42">
        <f t="shared" si="58"/>
        <v>2863863</v>
      </c>
      <c r="BW281" s="42"/>
      <c r="BX281" s="5">
        <f>+BV281-'Gen Fd BS'!AI281+BT281</f>
        <v>0</v>
      </c>
    </row>
    <row r="282" spans="1:76">
      <c r="A282" s="9" t="s">
        <v>632</v>
      </c>
      <c r="B282" s="9"/>
      <c r="C282" s="9" t="s">
        <v>44</v>
      </c>
      <c r="D282" s="9"/>
      <c r="E282" s="23">
        <v>48165</v>
      </c>
      <c r="G282" s="42">
        <v>7392682</v>
      </c>
      <c r="I282" s="42">
        <v>1506763</v>
      </c>
      <c r="K282" s="42">
        <v>103756</v>
      </c>
      <c r="M282" s="42">
        <v>0</v>
      </c>
      <c r="O282" s="42">
        <v>78025</v>
      </c>
      <c r="Q282" s="42">
        <v>909696</v>
      </c>
      <c r="S282" s="42">
        <v>361157</v>
      </c>
      <c r="U282" s="42">
        <v>31246</v>
      </c>
      <c r="W282" s="42">
        <v>1315047</v>
      </c>
      <c r="Y282" s="42">
        <v>454443</v>
      </c>
      <c r="AA282" s="42">
        <v>0</v>
      </c>
      <c r="AC282" s="42">
        <v>1166899</v>
      </c>
      <c r="AE282" s="42">
        <v>854170</v>
      </c>
      <c r="AG282" s="42">
        <v>310882</v>
      </c>
      <c r="AI282" s="42">
        <v>0</v>
      </c>
      <c r="AK282" s="42">
        <f>61874+10592</f>
        <v>72466</v>
      </c>
      <c r="AL282" s="9" t="s">
        <v>632</v>
      </c>
      <c r="AM282" s="9"/>
      <c r="AN282" s="9" t="s">
        <v>44</v>
      </c>
      <c r="AP282" s="42">
        <v>275696</v>
      </c>
      <c r="AR282" s="42">
        <v>0</v>
      </c>
      <c r="AV282" s="42">
        <v>70825</v>
      </c>
      <c r="AX282" s="42">
        <v>19415</v>
      </c>
      <c r="AZ282" s="42">
        <v>0</v>
      </c>
      <c r="BB282" s="42">
        <f t="shared" si="52"/>
        <v>14923168</v>
      </c>
      <c r="BD282" s="42">
        <v>28100</v>
      </c>
      <c r="BF282" s="42">
        <v>0</v>
      </c>
      <c r="BH282" s="42">
        <v>0</v>
      </c>
      <c r="BJ282" s="42">
        <v>0</v>
      </c>
      <c r="BL282" s="42">
        <f t="shared" si="53"/>
        <v>14951268</v>
      </c>
      <c r="BN282" s="42">
        <f>+'Gen Fd Rev'!AM282-'Gen Fd Exp'!BL282</f>
        <v>-1243833</v>
      </c>
      <c r="BP282" s="42">
        <v>4148948</v>
      </c>
      <c r="BR282" s="42">
        <v>0</v>
      </c>
      <c r="BT282" s="42">
        <v>0</v>
      </c>
      <c r="BV282" s="42">
        <f t="shared" si="58"/>
        <v>2905115</v>
      </c>
      <c r="BX282" s="5">
        <f>+BV282-'Gen Fd BS'!AI282+BT282</f>
        <v>0</v>
      </c>
    </row>
    <row r="283" spans="1:76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v>17732915</v>
      </c>
      <c r="I283" s="24">
        <v>4391142</v>
      </c>
      <c r="K283" s="24">
        <v>0</v>
      </c>
      <c r="M283" s="24">
        <v>0</v>
      </c>
      <c r="O283" s="24">
        <v>945912</v>
      </c>
      <c r="Q283" s="24">
        <v>2345189</v>
      </c>
      <c r="S283" s="24">
        <v>1039532</v>
      </c>
      <c r="U283" s="24">
        <v>48959</v>
      </c>
      <c r="W283" s="24">
        <v>3185423</v>
      </c>
      <c r="Y283" s="24">
        <v>777483</v>
      </c>
      <c r="AA283" s="24">
        <v>240767</v>
      </c>
      <c r="AC283" s="24">
        <v>3760677</v>
      </c>
      <c r="AE283" s="24">
        <v>3180318</v>
      </c>
      <c r="AG283" s="24">
        <v>242747</v>
      </c>
      <c r="AI283" s="24">
        <v>0</v>
      </c>
      <c r="AK283" s="24">
        <v>5724</v>
      </c>
      <c r="AL283" s="51" t="s">
        <v>715</v>
      </c>
      <c r="AM283" s="51"/>
      <c r="AN283" s="51" t="s">
        <v>69</v>
      </c>
      <c r="AP283" s="24">
        <v>1048484</v>
      </c>
      <c r="AR283" s="24">
        <v>0</v>
      </c>
      <c r="AV283" s="24">
        <v>0</v>
      </c>
      <c r="AX283" s="24">
        <v>0</v>
      </c>
      <c r="AZ283" s="24">
        <v>0</v>
      </c>
      <c r="BB283" s="24">
        <f t="shared" si="52"/>
        <v>38945272</v>
      </c>
      <c r="BD283" s="24">
        <v>0</v>
      </c>
      <c r="BF283" s="24">
        <v>0</v>
      </c>
      <c r="BH283" s="24">
        <v>0</v>
      </c>
      <c r="BJ283" s="24">
        <v>0</v>
      </c>
      <c r="BL283" s="24">
        <f t="shared" si="53"/>
        <v>38945272</v>
      </c>
      <c r="BN283" s="24">
        <f>+'Gen Fd Rev'!AM283-'Gen Fd Exp'!BL283</f>
        <v>2508785</v>
      </c>
      <c r="BP283" s="24">
        <v>8375107</v>
      </c>
      <c r="BR283" s="24">
        <v>0</v>
      </c>
      <c r="BT283" s="24">
        <v>0</v>
      </c>
      <c r="BV283" s="24">
        <f t="shared" si="58"/>
        <v>10883892</v>
      </c>
      <c r="BX283" s="64">
        <f>+BV283-'Gen Fd BS'!AI283+BT283</f>
        <v>0</v>
      </c>
    </row>
    <row r="284" spans="1:76">
      <c r="A284" s="9" t="s">
        <v>903</v>
      </c>
      <c r="B284" s="9"/>
      <c r="C284" s="9" t="s">
        <v>41</v>
      </c>
      <c r="D284" s="9"/>
      <c r="E284" s="23">
        <v>47878</v>
      </c>
      <c r="G284" s="42">
        <v>6032853</v>
      </c>
      <c r="I284" s="42">
        <v>1098940</v>
      </c>
      <c r="K284" s="42">
        <v>93419</v>
      </c>
      <c r="M284" s="42">
        <v>0</v>
      </c>
      <c r="O284" s="42">
        <v>139246</v>
      </c>
      <c r="Q284" s="42">
        <v>950738</v>
      </c>
      <c r="S284" s="42">
        <v>375721</v>
      </c>
      <c r="U284" s="42">
        <v>199312</v>
      </c>
      <c r="W284" s="42">
        <v>1029254</v>
      </c>
      <c r="Y284" s="42">
        <v>472902</v>
      </c>
      <c r="AA284" s="42">
        <v>16679</v>
      </c>
      <c r="AC284" s="42">
        <v>1391275</v>
      </c>
      <c r="AE284" s="42">
        <v>1017906</v>
      </c>
      <c r="AG284" s="42">
        <v>143206</v>
      </c>
      <c r="AI284" s="42">
        <v>0</v>
      </c>
      <c r="AK284" s="42">
        <v>30935</v>
      </c>
      <c r="AL284" s="9" t="s">
        <v>903</v>
      </c>
      <c r="AM284" s="9"/>
      <c r="AN284" s="9" t="s">
        <v>41</v>
      </c>
      <c r="AP284" s="42">
        <v>459353</v>
      </c>
      <c r="AR284" s="42">
        <v>0</v>
      </c>
      <c r="AV284" s="42">
        <v>0</v>
      </c>
      <c r="AX284" s="42">
        <v>0</v>
      </c>
      <c r="AZ284" s="42">
        <v>0</v>
      </c>
      <c r="BB284" s="42">
        <v>13451739</v>
      </c>
      <c r="BD284" s="42">
        <v>43869</v>
      </c>
      <c r="BF284" s="42">
        <v>0</v>
      </c>
      <c r="BH284" s="42">
        <v>0</v>
      </c>
      <c r="BJ284" s="42">
        <v>0</v>
      </c>
      <c r="BL284" s="42">
        <v>13495608</v>
      </c>
      <c r="BN284" s="42">
        <v>215413</v>
      </c>
      <c r="BP284" s="42">
        <v>5149462</v>
      </c>
      <c r="BR284" s="42">
        <v>0</v>
      </c>
      <c r="BT284" s="42">
        <v>0</v>
      </c>
      <c r="BV284" s="42">
        <v>5364875</v>
      </c>
      <c r="BX284" s="5">
        <f>+BV284-'Gen Fd BS'!AI284+BT284</f>
        <v>0</v>
      </c>
    </row>
    <row r="285" spans="1:76">
      <c r="A285" s="9" t="s">
        <v>520</v>
      </c>
      <c r="B285" s="9"/>
      <c r="C285" s="9" t="s">
        <v>64</v>
      </c>
      <c r="D285" s="9"/>
      <c r="E285" s="23">
        <v>50245</v>
      </c>
      <c r="G285" s="42">
        <v>6463748</v>
      </c>
      <c r="I285" s="42">
        <v>1197948</v>
      </c>
      <c r="K285" s="42">
        <v>73595</v>
      </c>
      <c r="M285" s="42">
        <v>0</v>
      </c>
      <c r="O285" s="42">
        <v>362453</v>
      </c>
      <c r="Q285" s="42">
        <v>679873</v>
      </c>
      <c r="S285" s="42">
        <v>140133</v>
      </c>
      <c r="U285" s="42">
        <v>56989</v>
      </c>
      <c r="W285" s="42">
        <v>1041952</v>
      </c>
      <c r="Y285" s="42">
        <v>290418</v>
      </c>
      <c r="AA285" s="42">
        <v>0</v>
      </c>
      <c r="AC285" s="42">
        <v>1158623</v>
      </c>
      <c r="AE285" s="42">
        <v>497363</v>
      </c>
      <c r="AG285" s="42">
        <v>93648</v>
      </c>
      <c r="AI285" s="42">
        <v>0</v>
      </c>
      <c r="AK285" s="42">
        <v>2289</v>
      </c>
      <c r="AL285" s="9" t="s">
        <v>520</v>
      </c>
      <c r="AM285" s="9"/>
      <c r="AN285" s="9" t="s">
        <v>64</v>
      </c>
      <c r="AP285" s="42">
        <v>301347</v>
      </c>
      <c r="AR285" s="42">
        <v>9079</v>
      </c>
      <c r="AV285" s="42">
        <v>45000</v>
      </c>
      <c r="AX285" s="42">
        <v>98251</v>
      </c>
      <c r="AZ285" s="42">
        <v>0</v>
      </c>
      <c r="BB285" s="42">
        <v>12512709</v>
      </c>
      <c r="BD285" s="42">
        <v>0</v>
      </c>
      <c r="BF285" s="42">
        <v>0</v>
      </c>
      <c r="BH285" s="42">
        <v>0</v>
      </c>
      <c r="BJ285" s="42">
        <v>0</v>
      </c>
      <c r="BL285" s="42">
        <v>12512709</v>
      </c>
      <c r="BN285" s="42">
        <v>-698892</v>
      </c>
      <c r="BP285" s="42">
        <v>1869313</v>
      </c>
      <c r="BR285" s="42">
        <v>831</v>
      </c>
      <c r="BT285" s="42">
        <v>0</v>
      </c>
      <c r="BV285" s="42">
        <v>1169590</v>
      </c>
      <c r="BX285" s="5">
        <f>+BV285-'Gen Fd BS'!AI285+BT285</f>
        <v>0</v>
      </c>
    </row>
    <row r="286" spans="1:76">
      <c r="A286" s="9" t="s">
        <v>494</v>
      </c>
      <c r="B286" s="9"/>
      <c r="C286" s="9" t="s">
        <v>62</v>
      </c>
      <c r="D286" s="9"/>
      <c r="E286" s="23">
        <v>49866</v>
      </c>
      <c r="G286" s="42">
        <v>13180308</v>
      </c>
      <c r="I286" s="42">
        <v>2400706</v>
      </c>
      <c r="K286" s="42">
        <v>363957</v>
      </c>
      <c r="M286" s="42">
        <v>0</v>
      </c>
      <c r="O286" s="42">
        <v>1229525</v>
      </c>
      <c r="Q286" s="42">
        <v>898426</v>
      </c>
      <c r="S286" s="42">
        <v>1389284</v>
      </c>
      <c r="U286" s="42">
        <v>26227</v>
      </c>
      <c r="W286" s="42">
        <v>2829437</v>
      </c>
      <c r="Y286" s="42">
        <v>797633</v>
      </c>
      <c r="AA286" s="42">
        <v>92658</v>
      </c>
      <c r="AC286" s="42">
        <v>2807188</v>
      </c>
      <c r="AE286" s="42">
        <v>1816106</v>
      </c>
      <c r="AG286" s="42">
        <v>156713</v>
      </c>
      <c r="AI286" s="42">
        <v>0</v>
      </c>
      <c r="AK286" s="42">
        <v>44343</v>
      </c>
      <c r="AL286" s="9" t="s">
        <v>494</v>
      </c>
      <c r="AM286" s="9"/>
      <c r="AN286" s="9" t="s">
        <v>62</v>
      </c>
      <c r="AP286" s="42">
        <v>683021</v>
      </c>
      <c r="AR286" s="42">
        <v>122001</v>
      </c>
      <c r="AV286" s="42">
        <v>0</v>
      </c>
      <c r="AX286" s="42">
        <v>0</v>
      </c>
      <c r="AZ286" s="42">
        <v>0</v>
      </c>
      <c r="BB286" s="42">
        <v>28837533</v>
      </c>
      <c r="BD286" s="42">
        <v>4070</v>
      </c>
      <c r="BF286" s="42">
        <v>0</v>
      </c>
      <c r="BH286" s="42">
        <v>0</v>
      </c>
      <c r="BJ286" s="42">
        <v>0</v>
      </c>
      <c r="BL286" s="42">
        <v>28841603</v>
      </c>
      <c r="BN286" s="42">
        <v>-438710</v>
      </c>
      <c r="BP286" s="42">
        <v>1829785</v>
      </c>
      <c r="BR286" s="42">
        <v>0</v>
      </c>
      <c r="BT286" s="42">
        <v>0</v>
      </c>
      <c r="BV286" s="42">
        <v>1391075</v>
      </c>
      <c r="BX286" s="5">
        <f>+BV286-'Gen Fd BS'!AI286+BT286</f>
        <v>0</v>
      </c>
    </row>
    <row r="287" spans="1:76" hidden="1">
      <c r="A287" s="9" t="s">
        <v>790</v>
      </c>
      <c r="B287" s="9"/>
      <c r="C287" s="9" t="s">
        <v>72</v>
      </c>
      <c r="D287" s="9"/>
      <c r="E287" s="23">
        <v>50690</v>
      </c>
      <c r="G287" s="42">
        <v>0</v>
      </c>
      <c r="I287" s="42">
        <v>0</v>
      </c>
      <c r="K287" s="42">
        <v>0</v>
      </c>
      <c r="M287" s="42">
        <v>0</v>
      </c>
      <c r="O287" s="42">
        <v>0</v>
      </c>
      <c r="Q287" s="42">
        <v>0</v>
      </c>
      <c r="S287" s="42">
        <v>0</v>
      </c>
      <c r="U287" s="42">
        <v>0</v>
      </c>
      <c r="W287" s="42">
        <v>0</v>
      </c>
      <c r="Y287" s="42">
        <v>0</v>
      </c>
      <c r="AA287" s="42">
        <v>0</v>
      </c>
      <c r="AC287" s="42">
        <v>0</v>
      </c>
      <c r="AE287" s="42">
        <v>0</v>
      </c>
      <c r="AG287" s="42">
        <v>0</v>
      </c>
      <c r="AI287" s="42">
        <v>0</v>
      </c>
      <c r="AK287" s="42">
        <v>0</v>
      </c>
      <c r="AL287" s="9" t="s">
        <v>790</v>
      </c>
      <c r="AM287" s="9"/>
      <c r="AN287" s="9" t="s">
        <v>72</v>
      </c>
      <c r="AP287" s="42">
        <v>0</v>
      </c>
      <c r="AR287" s="42">
        <v>0</v>
      </c>
      <c r="AV287" s="42">
        <v>0</v>
      </c>
      <c r="AX287" s="42">
        <v>0</v>
      </c>
      <c r="AZ287" s="42">
        <v>0</v>
      </c>
      <c r="BB287" s="42">
        <f t="shared" si="52"/>
        <v>0</v>
      </c>
      <c r="BD287" s="42">
        <v>0</v>
      </c>
      <c r="BF287" s="42">
        <v>0</v>
      </c>
      <c r="BH287" s="42">
        <v>0</v>
      </c>
      <c r="BJ287" s="42">
        <v>0</v>
      </c>
      <c r="BL287" s="42">
        <f t="shared" si="53"/>
        <v>0</v>
      </c>
      <c r="BN287" s="42">
        <f>+'Gen Fd Rev'!AM287-'Gen Fd Exp'!BL287</f>
        <v>0</v>
      </c>
      <c r="BP287" s="42">
        <v>0</v>
      </c>
      <c r="BR287" s="42">
        <v>0</v>
      </c>
      <c r="BT287" s="42">
        <v>0</v>
      </c>
      <c r="BV287" s="42">
        <f t="shared" si="58"/>
        <v>0</v>
      </c>
      <c r="BX287" s="5">
        <f>+BV287-'Gen Fd BS'!AI287+BT287</f>
        <v>0</v>
      </c>
    </row>
    <row r="288" spans="1:76">
      <c r="A288" s="9" t="s">
        <v>521</v>
      </c>
      <c r="B288" s="9"/>
      <c r="C288" s="9" t="s">
        <v>64</v>
      </c>
      <c r="D288" s="9"/>
      <c r="E288" s="23">
        <v>50187</v>
      </c>
      <c r="G288" s="42">
        <v>7843689</v>
      </c>
      <c r="I288" s="42">
        <v>1603110</v>
      </c>
      <c r="K288" s="42">
        <v>0</v>
      </c>
      <c r="M288" s="42">
        <v>0</v>
      </c>
      <c r="O288" s="42">
        <v>0</v>
      </c>
      <c r="Q288" s="42">
        <v>942883</v>
      </c>
      <c r="S288" s="42">
        <v>765093</v>
      </c>
      <c r="U288" s="42">
        <v>26964</v>
      </c>
      <c r="W288" s="42">
        <v>1392688</v>
      </c>
      <c r="Y288" s="42">
        <v>457183</v>
      </c>
      <c r="AA288" s="42">
        <v>0</v>
      </c>
      <c r="AC288" s="42">
        <v>1506936</v>
      </c>
      <c r="AE288" s="42">
        <v>903471</v>
      </c>
      <c r="AG288" s="42">
        <v>20130</v>
      </c>
      <c r="AI288" s="42">
        <v>0</v>
      </c>
      <c r="AK288" s="42">
        <v>8685</v>
      </c>
      <c r="AL288" s="9" t="s">
        <v>521</v>
      </c>
      <c r="AM288" s="9"/>
      <c r="AN288" s="9" t="s">
        <v>64</v>
      </c>
      <c r="AP288" s="42">
        <v>292750</v>
      </c>
      <c r="AR288" s="42">
        <v>0</v>
      </c>
      <c r="AV288" s="42">
        <v>31443</v>
      </c>
      <c r="AX288" s="42">
        <v>1553</v>
      </c>
      <c r="AZ288" s="42">
        <v>0</v>
      </c>
      <c r="BB288" s="42">
        <f t="shared" si="52"/>
        <v>15796578</v>
      </c>
      <c r="BD288" s="42">
        <v>216</v>
      </c>
      <c r="BF288" s="42">
        <v>0</v>
      </c>
      <c r="BH288" s="42">
        <v>0</v>
      </c>
      <c r="BJ288" s="42">
        <v>0</v>
      </c>
      <c r="BL288" s="42">
        <f t="shared" si="53"/>
        <v>15796794</v>
      </c>
      <c r="BN288" s="42">
        <f>+'Gen Fd Rev'!AM288-'Gen Fd Exp'!BL288</f>
        <v>454531</v>
      </c>
      <c r="BP288" s="42">
        <v>588698</v>
      </c>
      <c r="BR288" s="42">
        <v>0</v>
      </c>
      <c r="BT288" s="42">
        <v>0</v>
      </c>
      <c r="BV288" s="42">
        <f t="shared" si="58"/>
        <v>1043229</v>
      </c>
      <c r="BX288" s="5">
        <f>+BV288-'Gen Fd BS'!AI288+BT288</f>
        <v>0</v>
      </c>
    </row>
    <row r="289" spans="1:76">
      <c r="A289" s="9" t="s">
        <v>268</v>
      </c>
      <c r="B289" s="9"/>
      <c r="C289" s="9" t="s">
        <v>20</v>
      </c>
      <c r="D289" s="9"/>
      <c r="E289" s="23">
        <v>44198</v>
      </c>
      <c r="F289" s="7"/>
      <c r="G289" s="42">
        <v>27144035</v>
      </c>
      <c r="I289" s="42">
        <v>10278237</v>
      </c>
      <c r="K289" s="42">
        <v>2169388</v>
      </c>
      <c r="M289" s="42">
        <v>299641</v>
      </c>
      <c r="O289" s="42">
        <v>4003414</v>
      </c>
      <c r="Q289" s="42">
        <v>3708952</v>
      </c>
      <c r="S289" s="42">
        <v>3038703</v>
      </c>
      <c r="U289" s="42">
        <v>93145</v>
      </c>
      <c r="W289" s="42">
        <v>3267803</v>
      </c>
      <c r="Y289" s="42">
        <v>1712929</v>
      </c>
      <c r="AA289" s="42">
        <v>705419</v>
      </c>
      <c r="AC289" s="42">
        <v>7396595</v>
      </c>
      <c r="AE289" s="42">
        <v>78279</v>
      </c>
      <c r="AG289" s="42">
        <v>402569</v>
      </c>
      <c r="AI289" s="42">
        <v>0</v>
      </c>
      <c r="AK289" s="42">
        <v>1241034</v>
      </c>
      <c r="AL289" s="9" t="s">
        <v>268</v>
      </c>
      <c r="AM289" s="9"/>
      <c r="AN289" s="9" t="s">
        <v>20</v>
      </c>
      <c r="AP289" s="42">
        <v>813272</v>
      </c>
      <c r="AR289" s="42">
        <v>0</v>
      </c>
      <c r="AV289" s="42">
        <v>445299</v>
      </c>
      <c r="AX289" s="42">
        <v>52988</v>
      </c>
      <c r="AZ289" s="42">
        <v>0</v>
      </c>
      <c r="BB289" s="42">
        <f t="shared" si="52"/>
        <v>66851702</v>
      </c>
      <c r="BD289" s="42">
        <v>20000</v>
      </c>
      <c r="BF289" s="42">
        <v>0</v>
      </c>
      <c r="BH289" s="42">
        <v>0</v>
      </c>
      <c r="BJ289" s="42">
        <v>0</v>
      </c>
      <c r="BL289" s="42">
        <f t="shared" si="53"/>
        <v>66871702</v>
      </c>
      <c r="BN289" s="42">
        <f>+'Gen Fd Rev'!AM289-'Gen Fd Exp'!BL289</f>
        <v>1311502</v>
      </c>
      <c r="BP289" s="42">
        <v>15938356</v>
      </c>
      <c r="BR289" s="42">
        <v>0</v>
      </c>
      <c r="BT289" s="42">
        <v>0</v>
      </c>
      <c r="BV289" s="42">
        <f t="shared" si="58"/>
        <v>17249858</v>
      </c>
      <c r="BX289" s="5">
        <f>+BV289-'Gen Fd BS'!AI289+BT289</f>
        <v>0</v>
      </c>
    </row>
    <row r="290" spans="1:76">
      <c r="A290" s="9" t="s">
        <v>625</v>
      </c>
      <c r="B290" s="9"/>
      <c r="C290" s="9" t="s">
        <v>42</v>
      </c>
      <c r="D290" s="9"/>
      <c r="E290" s="23">
        <v>47993</v>
      </c>
      <c r="G290" s="42">
        <v>11621973</v>
      </c>
      <c r="I290" s="42">
        <v>0</v>
      </c>
      <c r="K290" s="42">
        <v>0</v>
      </c>
      <c r="M290" s="42">
        <v>0</v>
      </c>
      <c r="O290" s="42">
        <v>0</v>
      </c>
      <c r="Q290" s="42">
        <v>1332471</v>
      </c>
      <c r="S290" s="42">
        <v>316062</v>
      </c>
      <c r="U290" s="42">
        <v>89155</v>
      </c>
      <c r="W290" s="42">
        <v>1850439</v>
      </c>
      <c r="Y290" s="42">
        <v>669549</v>
      </c>
      <c r="AA290" s="42">
        <v>22403</v>
      </c>
      <c r="AC290" s="42">
        <v>1795119</v>
      </c>
      <c r="AE290" s="42">
        <v>1618106</v>
      </c>
      <c r="AG290" s="42">
        <v>94657</v>
      </c>
      <c r="AI290" s="42">
        <v>0</v>
      </c>
      <c r="AK290" s="42">
        <v>13553</v>
      </c>
      <c r="AL290" s="9" t="s">
        <v>625</v>
      </c>
      <c r="AM290" s="9"/>
      <c r="AN290" s="9" t="s">
        <v>42</v>
      </c>
      <c r="AP290" s="42">
        <v>267011</v>
      </c>
      <c r="AR290" s="42">
        <v>0</v>
      </c>
      <c r="AV290" s="42">
        <v>40485</v>
      </c>
      <c r="AX290" s="42">
        <v>8135</v>
      </c>
      <c r="AZ290" s="42">
        <v>0</v>
      </c>
      <c r="BB290" s="42">
        <f t="shared" si="52"/>
        <v>19739118</v>
      </c>
      <c r="BD290" s="42">
        <v>0</v>
      </c>
      <c r="BF290" s="42">
        <v>0</v>
      </c>
      <c r="BH290" s="42">
        <v>0</v>
      </c>
      <c r="BJ290" s="42">
        <v>0</v>
      </c>
      <c r="BL290" s="42">
        <f t="shared" si="53"/>
        <v>19739118</v>
      </c>
      <c r="BN290" s="42">
        <f>+'Gen Fd Rev'!AM290-'Gen Fd Exp'!BL290</f>
        <v>1676175</v>
      </c>
      <c r="BP290" s="42">
        <v>6048542</v>
      </c>
      <c r="BR290" s="42">
        <v>-18151</v>
      </c>
      <c r="BT290" s="42">
        <v>0</v>
      </c>
      <c r="BV290" s="42">
        <f t="shared" si="58"/>
        <v>7742868</v>
      </c>
      <c r="BX290" s="5">
        <f>+BV290-'Gen Fd BS'!AI290+BT290</f>
        <v>0</v>
      </c>
    </row>
    <row r="291" spans="1:76">
      <c r="A291" s="9" t="s">
        <v>222</v>
      </c>
      <c r="B291" s="9"/>
      <c r="C291" s="9" t="s">
        <v>220</v>
      </c>
      <c r="D291" s="9"/>
      <c r="E291" s="23">
        <v>46110</v>
      </c>
      <c r="G291" s="42">
        <v>64735897</v>
      </c>
      <c r="I291" s="42">
        <v>13114911</v>
      </c>
      <c r="K291" s="42">
        <v>7710</v>
      </c>
      <c r="M291" s="42">
        <v>0</v>
      </c>
      <c r="O291" s="42">
        <v>4793467</v>
      </c>
      <c r="Q291" s="42">
        <v>9967321</v>
      </c>
      <c r="S291" s="42">
        <v>7988421</v>
      </c>
      <c r="U291" s="42">
        <v>0</v>
      </c>
      <c r="W291" s="42">
        <f>12213239-3822</f>
        <v>12209417</v>
      </c>
      <c r="Y291" s="42">
        <v>1672403</v>
      </c>
      <c r="AA291" s="42">
        <v>292625</v>
      </c>
      <c r="AC291" s="42">
        <v>11804208</v>
      </c>
      <c r="AE291" s="42">
        <v>15659044</v>
      </c>
      <c r="AG291" s="42">
        <v>2758107</v>
      </c>
      <c r="AI291" s="42">
        <v>0</v>
      </c>
      <c r="AK291" s="42">
        <v>24187</v>
      </c>
      <c r="AL291" s="9" t="s">
        <v>222</v>
      </c>
      <c r="AM291" s="9"/>
      <c r="AN291" s="9" t="s">
        <v>220</v>
      </c>
      <c r="AP291" s="42">
        <v>101693</v>
      </c>
      <c r="AR291" s="42">
        <v>1737236</v>
      </c>
      <c r="AV291" s="42">
        <v>0</v>
      </c>
      <c r="AX291" s="42">
        <v>0</v>
      </c>
      <c r="AZ291" s="42">
        <v>0</v>
      </c>
      <c r="BB291" s="42">
        <f t="shared" si="52"/>
        <v>146866647</v>
      </c>
      <c r="BD291" s="42">
        <v>427002</v>
      </c>
      <c r="BF291" s="42">
        <v>0</v>
      </c>
      <c r="BH291" s="42">
        <v>0</v>
      </c>
      <c r="BJ291" s="42">
        <v>0</v>
      </c>
      <c r="BL291" s="42">
        <f t="shared" si="53"/>
        <v>147293649</v>
      </c>
      <c r="BN291" s="42">
        <f>+'Gen Fd Rev'!AM291-'Gen Fd Exp'!BL291</f>
        <v>-66608</v>
      </c>
      <c r="BP291" s="42">
        <v>13419881</v>
      </c>
      <c r="BR291" s="42">
        <v>0</v>
      </c>
      <c r="BT291" s="42">
        <v>0</v>
      </c>
      <c r="BV291" s="42">
        <f t="shared" si="58"/>
        <v>13353273</v>
      </c>
      <c r="BX291" s="5">
        <f>+BV291-'Gen Fd BS'!AI291+BT291</f>
        <v>0</v>
      </c>
    </row>
    <row r="292" spans="1:76" hidden="1">
      <c r="A292" s="9" t="s">
        <v>791</v>
      </c>
      <c r="B292" s="9"/>
      <c r="C292" s="9" t="s">
        <v>79</v>
      </c>
      <c r="D292" s="9"/>
      <c r="E292" s="23">
        <v>49569</v>
      </c>
      <c r="G292" s="42">
        <v>0</v>
      </c>
      <c r="I292" s="42">
        <v>0</v>
      </c>
      <c r="K292" s="42">
        <v>0</v>
      </c>
      <c r="M292" s="42">
        <v>0</v>
      </c>
      <c r="O292" s="42">
        <v>0</v>
      </c>
      <c r="Q292" s="42">
        <v>0</v>
      </c>
      <c r="S292" s="42">
        <v>0</v>
      </c>
      <c r="U292" s="42">
        <v>0</v>
      </c>
      <c r="W292" s="42">
        <v>0</v>
      </c>
      <c r="Y292" s="42">
        <v>0</v>
      </c>
      <c r="AA292" s="42">
        <v>0</v>
      </c>
      <c r="AC292" s="42">
        <v>0</v>
      </c>
      <c r="AE292" s="42">
        <v>0</v>
      </c>
      <c r="AG292" s="42">
        <v>0</v>
      </c>
      <c r="AI292" s="42">
        <v>0</v>
      </c>
      <c r="AK292" s="42">
        <v>0</v>
      </c>
      <c r="AL292" s="9" t="s">
        <v>791</v>
      </c>
      <c r="AM292" s="9"/>
      <c r="AN292" s="9" t="s">
        <v>79</v>
      </c>
      <c r="AP292" s="42">
        <v>0</v>
      </c>
      <c r="AR292" s="42">
        <v>0</v>
      </c>
      <c r="AV292" s="42">
        <v>0</v>
      </c>
      <c r="AX292" s="42">
        <v>0</v>
      </c>
      <c r="AZ292" s="42">
        <v>0</v>
      </c>
      <c r="BB292" s="42">
        <f t="shared" si="52"/>
        <v>0</v>
      </c>
      <c r="BD292" s="42">
        <v>0</v>
      </c>
      <c r="BF292" s="42">
        <v>0</v>
      </c>
      <c r="BH292" s="42">
        <v>0</v>
      </c>
      <c r="BJ292" s="42">
        <v>0</v>
      </c>
      <c r="BL292" s="42">
        <f t="shared" si="53"/>
        <v>0</v>
      </c>
      <c r="BN292" s="42">
        <f>+'Gen Fd Rev'!AM292-'Gen Fd Exp'!BL292</f>
        <v>0</v>
      </c>
      <c r="BP292" s="42">
        <v>0</v>
      </c>
      <c r="BR292" s="42">
        <v>0</v>
      </c>
      <c r="BT292" s="42">
        <v>0</v>
      </c>
      <c r="BV292" s="42">
        <f t="shared" si="58"/>
        <v>0</v>
      </c>
      <c r="BX292" s="5">
        <f>+BV292-'Gen Fd BS'!AI292+BT292</f>
        <v>0</v>
      </c>
    </row>
    <row r="293" spans="1:76">
      <c r="A293" s="9" t="s">
        <v>293</v>
      </c>
      <c r="B293" s="9"/>
      <c r="C293" s="9" t="s">
        <v>25</v>
      </c>
      <c r="D293" s="9"/>
      <c r="E293" s="23">
        <v>44206</v>
      </c>
      <c r="G293" s="42">
        <v>27527839</v>
      </c>
      <c r="I293" s="42">
        <v>5791771</v>
      </c>
      <c r="K293" s="42">
        <v>1632263</v>
      </c>
      <c r="M293" s="42">
        <v>0</v>
      </c>
      <c r="O293" s="42">
        <v>2058</v>
      </c>
      <c r="Q293" s="42">
        <v>3085758</v>
      </c>
      <c r="S293" s="42">
        <v>3024890</v>
      </c>
      <c r="U293" s="42">
        <v>192292</v>
      </c>
      <c r="W293" s="42">
        <v>4177181</v>
      </c>
      <c r="Y293" s="42">
        <v>1292839</v>
      </c>
      <c r="AA293" s="42">
        <v>294612</v>
      </c>
      <c r="AC293" s="42">
        <v>4855738</v>
      </c>
      <c r="AE293" s="42">
        <v>1699829</v>
      </c>
      <c r="AG293" s="42">
        <v>913944</v>
      </c>
      <c r="AI293" s="42">
        <v>5728</v>
      </c>
      <c r="AK293" s="42">
        <v>185357</v>
      </c>
      <c r="AL293" s="9" t="s">
        <v>293</v>
      </c>
      <c r="AM293" s="9"/>
      <c r="AN293" s="9" t="s">
        <v>25</v>
      </c>
      <c r="AP293" s="42">
        <v>963019</v>
      </c>
      <c r="AR293" s="42">
        <v>377337</v>
      </c>
      <c r="AV293" s="42">
        <v>159762</v>
      </c>
      <c r="AX293" s="42">
        <v>24491</v>
      </c>
      <c r="AZ293" s="42">
        <v>0</v>
      </c>
      <c r="BB293" s="42">
        <f t="shared" si="52"/>
        <v>56206708</v>
      </c>
      <c r="BD293" s="42">
        <v>15959</v>
      </c>
      <c r="BF293" s="42">
        <v>0</v>
      </c>
      <c r="BH293" s="42">
        <v>0</v>
      </c>
      <c r="BJ293" s="42">
        <v>0</v>
      </c>
      <c r="BL293" s="42">
        <f t="shared" si="53"/>
        <v>56222667</v>
      </c>
      <c r="BN293" s="42">
        <f>+'Gen Fd Rev'!AM293-'Gen Fd Exp'!BL293</f>
        <v>2567796</v>
      </c>
      <c r="BP293" s="42">
        <v>28232420</v>
      </c>
      <c r="BR293" s="42">
        <v>0</v>
      </c>
      <c r="BT293" s="42">
        <v>0</v>
      </c>
      <c r="BV293" s="42">
        <f t="shared" si="58"/>
        <v>30800216</v>
      </c>
      <c r="BX293" s="5">
        <f>+BV293-'Gen Fd BS'!AI293+BT293</f>
        <v>0</v>
      </c>
    </row>
    <row r="294" spans="1:76" hidden="1">
      <c r="A294" s="9" t="s">
        <v>723</v>
      </c>
      <c r="B294" s="9"/>
      <c r="C294" s="9" t="s">
        <v>69</v>
      </c>
      <c r="D294" s="9"/>
      <c r="E294" s="23">
        <v>44214</v>
      </c>
      <c r="G294" s="42">
        <v>0</v>
      </c>
      <c r="I294" s="42">
        <v>0</v>
      </c>
      <c r="K294" s="42">
        <v>0</v>
      </c>
      <c r="M294" s="42">
        <v>0</v>
      </c>
      <c r="O294" s="42">
        <v>0</v>
      </c>
      <c r="Q294" s="42">
        <v>0</v>
      </c>
      <c r="S294" s="42">
        <v>0</v>
      </c>
      <c r="U294" s="42">
        <v>0</v>
      </c>
      <c r="W294" s="42">
        <v>0</v>
      </c>
      <c r="Y294" s="42">
        <v>0</v>
      </c>
      <c r="AA294" s="42">
        <v>0</v>
      </c>
      <c r="AC294" s="42">
        <v>0</v>
      </c>
      <c r="AE294" s="42">
        <v>0</v>
      </c>
      <c r="AG294" s="42">
        <v>0</v>
      </c>
      <c r="AI294" s="42">
        <v>0</v>
      </c>
      <c r="AK294" s="42">
        <v>0</v>
      </c>
      <c r="AL294" s="9" t="s">
        <v>723</v>
      </c>
      <c r="AM294" s="9"/>
      <c r="AN294" s="9" t="s">
        <v>69</v>
      </c>
      <c r="AP294" s="42">
        <v>0</v>
      </c>
      <c r="AR294" s="42">
        <v>0</v>
      </c>
      <c r="AV294" s="42">
        <v>0</v>
      </c>
      <c r="AX294" s="42">
        <v>0</v>
      </c>
      <c r="AZ294" s="42">
        <v>0</v>
      </c>
      <c r="BB294" s="42">
        <f>SUM(G294:AZ294)</f>
        <v>0</v>
      </c>
      <c r="BD294" s="42">
        <v>0</v>
      </c>
      <c r="BF294" s="42">
        <v>0</v>
      </c>
      <c r="BH294" s="42">
        <v>0</v>
      </c>
      <c r="BJ294" s="42">
        <v>0</v>
      </c>
      <c r="BL294" s="42">
        <f>+BB294+BD294+BF294+BJ294</f>
        <v>0</v>
      </c>
      <c r="BN294" s="42">
        <f>+'Gen Fd Rev'!AM294-'Gen Fd Exp'!BL294</f>
        <v>0</v>
      </c>
      <c r="BP294" s="42">
        <v>0</v>
      </c>
      <c r="BR294" s="42">
        <v>0</v>
      </c>
      <c r="BT294" s="42">
        <v>0</v>
      </c>
      <c r="BV294" s="42">
        <f t="shared" si="58"/>
        <v>0</v>
      </c>
      <c r="BX294" s="5">
        <f>+BV294-'Gen Fd BS'!AI294+BT294</f>
        <v>0</v>
      </c>
    </row>
    <row r="295" spans="1:76">
      <c r="A295" s="9" t="s">
        <v>313</v>
      </c>
      <c r="B295" s="9"/>
      <c r="C295" s="9" t="s">
        <v>30</v>
      </c>
      <c r="D295" s="9"/>
      <c r="E295" s="23">
        <v>47209</v>
      </c>
      <c r="G295" s="42">
        <v>1974576</v>
      </c>
      <c r="I295" s="42">
        <v>788964</v>
      </c>
      <c r="K295" s="42">
        <v>9258</v>
      </c>
      <c r="M295" s="42">
        <v>0</v>
      </c>
      <c r="O295" s="42">
        <v>541314</v>
      </c>
      <c r="Q295" s="42">
        <v>230415</v>
      </c>
      <c r="S295" s="42">
        <v>67863</v>
      </c>
      <c r="U295" s="42">
        <v>96773</v>
      </c>
      <c r="W295" s="42">
        <v>588948</v>
      </c>
      <c r="Y295" s="42">
        <v>209817</v>
      </c>
      <c r="AA295" s="42">
        <v>0</v>
      </c>
      <c r="AC295" s="42">
        <v>556628</v>
      </c>
      <c r="AE295" s="42">
        <v>401169</v>
      </c>
      <c r="AG295" s="42">
        <v>55570</v>
      </c>
      <c r="AI295" s="42">
        <v>0</v>
      </c>
      <c r="AK295" s="42">
        <v>9151</v>
      </c>
      <c r="AL295" s="9" t="s">
        <v>313</v>
      </c>
      <c r="AM295" s="9"/>
      <c r="AN295" s="9" t="s">
        <v>30</v>
      </c>
      <c r="AP295" s="42">
        <v>80056</v>
      </c>
      <c r="AR295" s="42">
        <v>19</v>
      </c>
      <c r="AV295" s="42">
        <v>0</v>
      </c>
      <c r="AX295" s="42">
        <v>0</v>
      </c>
      <c r="AZ295" s="42">
        <v>0</v>
      </c>
      <c r="BB295" s="42">
        <f t="shared" ref="BB295:BB307" si="62">SUM(G295:AZ295)</f>
        <v>5610521</v>
      </c>
      <c r="BD295" s="42">
        <v>37348</v>
      </c>
      <c r="BF295" s="42">
        <v>0</v>
      </c>
      <c r="BH295" s="42">
        <v>0</v>
      </c>
      <c r="BJ295" s="42">
        <v>0</v>
      </c>
      <c r="BL295" s="42">
        <f>+BB295+BD295+BF295+BJ295</f>
        <v>5647869</v>
      </c>
      <c r="BN295" s="42">
        <f>+'Gen Fd Rev'!AM295-'Gen Fd Exp'!BL295</f>
        <v>31963</v>
      </c>
      <c r="BP295" s="42">
        <v>-2305335</v>
      </c>
      <c r="BR295" s="42">
        <v>0</v>
      </c>
      <c r="BT295" s="42">
        <v>0</v>
      </c>
      <c r="BV295" s="42">
        <f t="shared" si="58"/>
        <v>-2273372</v>
      </c>
      <c r="BX295" s="5">
        <f>+BV295-'Gen Fd BS'!AI295+BT295</f>
        <v>0</v>
      </c>
    </row>
    <row r="296" spans="1:76" hidden="1">
      <c r="A296" s="9" t="s">
        <v>757</v>
      </c>
      <c r="B296" s="9"/>
      <c r="C296" s="9" t="s">
        <v>111</v>
      </c>
      <c r="D296" s="9"/>
      <c r="E296" s="23">
        <v>45443</v>
      </c>
      <c r="G296" s="42">
        <v>0</v>
      </c>
      <c r="I296" s="42">
        <v>0</v>
      </c>
      <c r="K296" s="42">
        <v>0</v>
      </c>
      <c r="M296" s="42">
        <v>0</v>
      </c>
      <c r="O296" s="42">
        <v>0</v>
      </c>
      <c r="Q296" s="42">
        <v>0</v>
      </c>
      <c r="S296" s="42">
        <v>0</v>
      </c>
      <c r="U296" s="42">
        <v>0</v>
      </c>
      <c r="W296" s="42">
        <v>0</v>
      </c>
      <c r="Y296" s="42">
        <v>0</v>
      </c>
      <c r="AA296" s="42">
        <v>0</v>
      </c>
      <c r="AC296" s="42">
        <v>0</v>
      </c>
      <c r="AE296" s="42">
        <v>0</v>
      </c>
      <c r="AG296" s="42">
        <v>0</v>
      </c>
      <c r="AI296" s="42">
        <v>0</v>
      </c>
      <c r="AK296" s="42">
        <v>0</v>
      </c>
      <c r="AL296" s="9" t="s">
        <v>757</v>
      </c>
      <c r="AM296" s="9"/>
      <c r="AN296" s="9" t="s">
        <v>111</v>
      </c>
      <c r="AP296" s="42">
        <v>0</v>
      </c>
      <c r="AR296" s="42">
        <v>0</v>
      </c>
      <c r="AV296" s="42">
        <v>0</v>
      </c>
      <c r="AX296" s="42">
        <v>0</v>
      </c>
      <c r="AZ296" s="42">
        <v>0</v>
      </c>
      <c r="BD296" s="42">
        <v>0</v>
      </c>
      <c r="BF296" s="42">
        <v>0</v>
      </c>
      <c r="BH296" s="42">
        <v>0</v>
      </c>
      <c r="BJ296" s="42">
        <v>0</v>
      </c>
      <c r="BN296" s="42">
        <f>+'Gen Fd Rev'!AM296-'Gen Fd Exp'!BL296</f>
        <v>0</v>
      </c>
      <c r="BP296" s="42">
        <v>0</v>
      </c>
      <c r="BR296" s="42">
        <v>0</v>
      </c>
      <c r="BT296" s="42">
        <v>0</v>
      </c>
      <c r="BX296" s="5">
        <f>+BV296-'Gen Fd BS'!AI296+BT296</f>
        <v>0</v>
      </c>
    </row>
    <row r="297" spans="1:76" hidden="1">
      <c r="A297" s="9" t="s">
        <v>676</v>
      </c>
      <c r="B297" s="9"/>
      <c r="C297" s="9" t="s">
        <v>464</v>
      </c>
      <c r="D297" s="9"/>
      <c r="E297" s="23">
        <v>49353</v>
      </c>
      <c r="G297" s="42">
        <v>0</v>
      </c>
      <c r="I297" s="42">
        <v>0</v>
      </c>
      <c r="K297" s="42">
        <v>0</v>
      </c>
      <c r="M297" s="42">
        <v>0</v>
      </c>
      <c r="O297" s="42">
        <v>0</v>
      </c>
      <c r="Q297" s="42">
        <v>0</v>
      </c>
      <c r="S297" s="42">
        <v>0</v>
      </c>
      <c r="U297" s="42">
        <v>0</v>
      </c>
      <c r="W297" s="42">
        <v>0</v>
      </c>
      <c r="Y297" s="42">
        <v>0</v>
      </c>
      <c r="AA297" s="42">
        <v>0</v>
      </c>
      <c r="AC297" s="42">
        <v>0</v>
      </c>
      <c r="AE297" s="42">
        <v>0</v>
      </c>
      <c r="AG297" s="42">
        <v>0</v>
      </c>
      <c r="AI297" s="42">
        <v>0</v>
      </c>
      <c r="AK297" s="42">
        <v>0</v>
      </c>
      <c r="AL297" s="9" t="s">
        <v>676</v>
      </c>
      <c r="AM297" s="9"/>
      <c r="AN297" s="9" t="s">
        <v>464</v>
      </c>
      <c r="AP297" s="42">
        <v>0</v>
      </c>
      <c r="AR297" s="42">
        <v>0</v>
      </c>
      <c r="AV297" s="42">
        <v>0</v>
      </c>
      <c r="AX297" s="42">
        <v>0</v>
      </c>
      <c r="AZ297" s="42">
        <v>0</v>
      </c>
      <c r="BB297" s="42">
        <f t="shared" si="62"/>
        <v>0</v>
      </c>
      <c r="BD297" s="42">
        <v>0</v>
      </c>
      <c r="BF297" s="42">
        <v>0</v>
      </c>
      <c r="BH297" s="42">
        <v>0</v>
      </c>
      <c r="BJ297" s="42">
        <v>0</v>
      </c>
      <c r="BL297" s="42">
        <f>+BB297+BD297+BF297+BJ297</f>
        <v>0</v>
      </c>
      <c r="BN297" s="42">
        <f>+'Gen Fd Rev'!AM297-'Gen Fd Exp'!BL297</f>
        <v>0</v>
      </c>
      <c r="BP297" s="42">
        <v>0</v>
      </c>
      <c r="BR297" s="42">
        <v>0</v>
      </c>
      <c r="BT297" s="42">
        <v>0</v>
      </c>
      <c r="BV297" s="42">
        <f t="shared" si="58"/>
        <v>0</v>
      </c>
      <c r="BX297" s="5">
        <f>+BV297-'Gen Fd BS'!AI297+BT297</f>
        <v>0</v>
      </c>
    </row>
    <row r="298" spans="1:76" hidden="1">
      <c r="A298" s="9" t="s">
        <v>792</v>
      </c>
      <c r="B298" s="9"/>
      <c r="C298" s="9" t="s">
        <v>109</v>
      </c>
      <c r="D298" s="9"/>
      <c r="E298" s="23">
        <v>49437</v>
      </c>
      <c r="G298" s="42">
        <v>0</v>
      </c>
      <c r="I298" s="42">
        <v>0</v>
      </c>
      <c r="K298" s="42">
        <v>0</v>
      </c>
      <c r="M298" s="42">
        <v>0</v>
      </c>
      <c r="O298" s="42">
        <v>0</v>
      </c>
      <c r="Q298" s="42">
        <v>0</v>
      </c>
      <c r="S298" s="42">
        <v>0</v>
      </c>
      <c r="U298" s="42">
        <v>0</v>
      </c>
      <c r="W298" s="42">
        <v>0</v>
      </c>
      <c r="Y298" s="42">
        <v>0</v>
      </c>
      <c r="AA298" s="42">
        <v>0</v>
      </c>
      <c r="AC298" s="42">
        <v>0</v>
      </c>
      <c r="AE298" s="42">
        <v>0</v>
      </c>
      <c r="AG298" s="42">
        <v>0</v>
      </c>
      <c r="AI298" s="42">
        <v>0</v>
      </c>
      <c r="AK298" s="42">
        <v>0</v>
      </c>
      <c r="AL298" s="9" t="s">
        <v>792</v>
      </c>
      <c r="AM298" s="9"/>
      <c r="AN298" s="9" t="s">
        <v>109</v>
      </c>
      <c r="AP298" s="42">
        <v>0</v>
      </c>
      <c r="AR298" s="42">
        <v>0</v>
      </c>
      <c r="AV298" s="42">
        <v>0</v>
      </c>
      <c r="AX298" s="42">
        <v>0</v>
      </c>
      <c r="AZ298" s="42">
        <v>0</v>
      </c>
      <c r="BB298" s="42">
        <f t="shared" si="62"/>
        <v>0</v>
      </c>
      <c r="BD298" s="42">
        <v>0</v>
      </c>
      <c r="BF298" s="42">
        <v>0</v>
      </c>
      <c r="BH298" s="42">
        <v>0</v>
      </c>
      <c r="BJ298" s="42">
        <v>0</v>
      </c>
      <c r="BL298" s="42">
        <f t="shared" ref="BL298:BL320" si="63">+BB298+BD298+BF298+BJ298</f>
        <v>0</v>
      </c>
      <c r="BN298" s="42">
        <f>+'Gen Fd Rev'!AM298-'Gen Fd Exp'!BL298</f>
        <v>0</v>
      </c>
      <c r="BP298" s="42">
        <v>0</v>
      </c>
      <c r="BR298" s="42">
        <v>0</v>
      </c>
      <c r="BT298" s="42">
        <v>0</v>
      </c>
      <c r="BV298" s="42">
        <f t="shared" si="58"/>
        <v>0</v>
      </c>
      <c r="BX298" s="5">
        <f>+BV298-'Gen Fd BS'!AI298+BT298</f>
        <v>0</v>
      </c>
    </row>
    <row r="299" spans="1:76">
      <c r="A299" s="9" t="s">
        <v>793</v>
      </c>
      <c r="B299" s="9"/>
      <c r="C299" s="9" t="s">
        <v>33</v>
      </c>
      <c r="D299" s="9"/>
      <c r="E299" s="23">
        <v>47449</v>
      </c>
      <c r="F299" s="7"/>
      <c r="G299" s="42">
        <v>6004446</v>
      </c>
      <c r="I299" s="42">
        <v>1100031</v>
      </c>
      <c r="K299" s="42">
        <v>372436</v>
      </c>
      <c r="M299" s="42">
        <v>0</v>
      </c>
      <c r="O299" s="42">
        <v>0</v>
      </c>
      <c r="Q299" s="42">
        <v>810721</v>
      </c>
      <c r="S299" s="42">
        <v>346896</v>
      </c>
      <c r="U299" s="42">
        <v>17330</v>
      </c>
      <c r="W299" s="42">
        <v>1041673</v>
      </c>
      <c r="Y299" s="42">
        <v>304130</v>
      </c>
      <c r="AA299" s="42">
        <v>1665</v>
      </c>
      <c r="AC299" s="42">
        <v>995000</v>
      </c>
      <c r="AE299" s="42">
        <v>618686</v>
      </c>
      <c r="AG299" s="42">
        <v>116079</v>
      </c>
      <c r="AI299" s="42">
        <v>0</v>
      </c>
      <c r="AK299" s="42">
        <v>0</v>
      </c>
      <c r="AL299" s="9" t="s">
        <v>793</v>
      </c>
      <c r="AM299" s="9"/>
      <c r="AN299" s="9" t="s">
        <v>33</v>
      </c>
      <c r="AP299" s="42">
        <v>312459</v>
      </c>
      <c r="AR299" s="42">
        <v>0</v>
      </c>
      <c r="AV299" s="42">
        <v>0</v>
      </c>
      <c r="AX299" s="42">
        <v>0</v>
      </c>
      <c r="AZ299" s="42">
        <v>0</v>
      </c>
      <c r="BB299" s="42">
        <f>SUM(G299:AZ299)</f>
        <v>12041552</v>
      </c>
      <c r="BD299" s="42">
        <v>644852</v>
      </c>
      <c r="BF299" s="42">
        <v>0</v>
      </c>
      <c r="BH299" s="42">
        <v>0</v>
      </c>
      <c r="BJ299" s="42">
        <v>0</v>
      </c>
      <c r="BL299" s="42">
        <f>+BB299+BD299+BF299+BJ299</f>
        <v>12686404</v>
      </c>
      <c r="BN299" s="42">
        <f>+'Gen Fd Rev'!AM299-'Gen Fd Exp'!BL299</f>
        <v>528687</v>
      </c>
      <c r="BP299" s="42">
        <v>5881070</v>
      </c>
      <c r="BR299" s="42">
        <v>0</v>
      </c>
      <c r="BT299" s="42">
        <v>0</v>
      </c>
      <c r="BV299" s="42">
        <f>+BP299+BN299-BR299</f>
        <v>6409757</v>
      </c>
      <c r="BX299" s="5">
        <f>+BV299-'Gen Fd BS'!AI299+BT299</f>
        <v>0</v>
      </c>
    </row>
    <row r="300" spans="1:76">
      <c r="A300" s="9" t="s">
        <v>343</v>
      </c>
      <c r="B300" s="9"/>
      <c r="C300" s="9" t="s">
        <v>34</v>
      </c>
      <c r="D300" s="9"/>
      <c r="E300" s="23">
        <v>47589</v>
      </c>
      <c r="G300" s="42">
        <v>5039547</v>
      </c>
      <c r="I300" s="42">
        <v>1819094</v>
      </c>
      <c r="K300" s="42">
        <v>196067</v>
      </c>
      <c r="M300" s="42">
        <v>0</v>
      </c>
      <c r="O300" s="42">
        <f>65690+359352</f>
        <v>425042</v>
      </c>
      <c r="Q300" s="42">
        <v>721477</v>
      </c>
      <c r="S300" s="42">
        <v>382426</v>
      </c>
      <c r="U300" s="42">
        <v>69992</v>
      </c>
      <c r="W300" s="42">
        <v>886523</v>
      </c>
      <c r="Y300" s="42">
        <v>379872</v>
      </c>
      <c r="AA300" s="42">
        <v>0</v>
      </c>
      <c r="AC300" s="42">
        <v>899224</v>
      </c>
      <c r="AE300" s="42">
        <v>644207</v>
      </c>
      <c r="AG300" s="42">
        <v>239839</v>
      </c>
      <c r="AI300" s="42">
        <v>0</v>
      </c>
      <c r="AK300" s="42">
        <v>0</v>
      </c>
      <c r="AL300" s="9" t="s">
        <v>343</v>
      </c>
      <c r="AM300" s="9"/>
      <c r="AN300" s="9" t="s">
        <v>34</v>
      </c>
      <c r="AP300" s="42">
        <v>363880</v>
      </c>
      <c r="AR300" s="42">
        <v>21153</v>
      </c>
      <c r="AV300" s="42">
        <v>107270</v>
      </c>
      <c r="AX300" s="42">
        <v>0</v>
      </c>
      <c r="AZ300" s="42">
        <v>0</v>
      </c>
      <c r="BB300" s="42">
        <f t="shared" si="62"/>
        <v>12195613</v>
      </c>
      <c r="BD300" s="42">
        <v>0</v>
      </c>
      <c r="BF300" s="42">
        <v>0</v>
      </c>
      <c r="BH300" s="42">
        <v>0</v>
      </c>
      <c r="BJ300" s="42">
        <v>0</v>
      </c>
      <c r="BL300" s="42">
        <f t="shared" si="63"/>
        <v>12195613</v>
      </c>
      <c r="BN300" s="42">
        <f>+'Gen Fd Rev'!AM300-'Gen Fd Exp'!BL300</f>
        <v>-454801</v>
      </c>
      <c r="BP300" s="42">
        <v>5603015</v>
      </c>
      <c r="BR300" s="42">
        <v>0</v>
      </c>
      <c r="BT300" s="42">
        <v>0</v>
      </c>
      <c r="BV300" s="42">
        <f t="shared" si="58"/>
        <v>5148214</v>
      </c>
      <c r="BX300" s="5">
        <f>+BV300-'Gen Fd BS'!AI300+BT300</f>
        <v>0</v>
      </c>
    </row>
    <row r="301" spans="1:76">
      <c r="A301" s="9" t="s">
        <v>522</v>
      </c>
      <c r="B301" s="9"/>
      <c r="C301" s="9" t="s">
        <v>64</v>
      </c>
      <c r="D301" s="9"/>
      <c r="E301" s="23">
        <v>50195</v>
      </c>
      <c r="G301" s="42">
        <v>6572905</v>
      </c>
      <c r="I301" s="42">
        <v>1142846</v>
      </c>
      <c r="K301" s="42">
        <v>0</v>
      </c>
      <c r="M301" s="42">
        <v>0</v>
      </c>
      <c r="O301" s="42">
        <v>0</v>
      </c>
      <c r="Q301" s="42">
        <v>600410</v>
      </c>
      <c r="S301" s="42">
        <v>373378</v>
      </c>
      <c r="U301" s="42">
        <v>17418</v>
      </c>
      <c r="W301" s="42">
        <v>1351443</v>
      </c>
      <c r="Y301" s="42">
        <v>272645</v>
      </c>
      <c r="AA301" s="42">
        <v>1572</v>
      </c>
      <c r="AC301" s="42">
        <v>988588</v>
      </c>
      <c r="AE301" s="42">
        <v>875110</v>
      </c>
      <c r="AG301" s="42">
        <v>37270</v>
      </c>
      <c r="AI301" s="42">
        <v>0</v>
      </c>
      <c r="AK301" s="42">
        <v>1000</v>
      </c>
      <c r="AL301" s="9" t="s">
        <v>522</v>
      </c>
      <c r="AM301" s="9"/>
      <c r="AN301" s="9" t="s">
        <v>64</v>
      </c>
      <c r="AP301" s="42">
        <v>303802</v>
      </c>
      <c r="AR301" s="42">
        <v>9496</v>
      </c>
      <c r="AV301" s="42">
        <v>23406</v>
      </c>
      <c r="AX301" s="42">
        <v>67492</v>
      </c>
      <c r="AZ301" s="42">
        <v>0</v>
      </c>
      <c r="BB301" s="42">
        <f t="shared" si="62"/>
        <v>12638781</v>
      </c>
      <c r="BD301" s="42">
        <v>0</v>
      </c>
      <c r="BF301" s="42">
        <v>0</v>
      </c>
      <c r="BH301" s="42">
        <v>0</v>
      </c>
      <c r="BJ301" s="42">
        <v>0</v>
      </c>
      <c r="BL301" s="42">
        <f t="shared" si="63"/>
        <v>12638781</v>
      </c>
      <c r="BN301" s="42">
        <f>+'Gen Fd Rev'!AM301-'Gen Fd Exp'!BL301</f>
        <v>1843056</v>
      </c>
      <c r="BP301" s="42">
        <v>-4318316</v>
      </c>
      <c r="BR301" s="42">
        <v>0</v>
      </c>
      <c r="BT301" s="42">
        <v>0</v>
      </c>
      <c r="BV301" s="42">
        <f t="shared" si="58"/>
        <v>-2475260</v>
      </c>
      <c r="BX301" s="5">
        <f>+BV301-'Gen Fd BS'!AI301+BT301</f>
        <v>0</v>
      </c>
    </row>
    <row r="302" spans="1:76">
      <c r="A302" s="9" t="s">
        <v>738</v>
      </c>
      <c r="B302" s="9"/>
      <c r="C302" s="9" t="s">
        <v>25</v>
      </c>
      <c r="D302" s="9"/>
      <c r="E302" s="23">
        <v>46888</v>
      </c>
      <c r="G302" s="42">
        <v>4854676</v>
      </c>
      <c r="I302" s="42">
        <v>1231331</v>
      </c>
      <c r="K302" s="42">
        <v>239925</v>
      </c>
      <c r="M302" s="42">
        <v>0</v>
      </c>
      <c r="O302" s="42">
        <f>150+25808</f>
        <v>25958</v>
      </c>
      <c r="Q302" s="42">
        <v>748041</v>
      </c>
      <c r="S302" s="42">
        <v>498691</v>
      </c>
      <c r="U302" s="42">
        <v>65144</v>
      </c>
      <c r="W302" s="42">
        <v>924843</v>
      </c>
      <c r="Y302" s="42">
        <v>381267</v>
      </c>
      <c r="AA302" s="42">
        <v>0</v>
      </c>
      <c r="AC302" s="42">
        <v>1541951</v>
      </c>
      <c r="AE302" s="42">
        <v>682510</v>
      </c>
      <c r="AG302" s="42">
        <v>68217</v>
      </c>
      <c r="AI302" s="42">
        <v>0</v>
      </c>
      <c r="AK302" s="42">
        <v>0</v>
      </c>
      <c r="AL302" s="9" t="s">
        <v>738</v>
      </c>
      <c r="AM302" s="9"/>
      <c r="AN302" s="9" t="s">
        <v>25</v>
      </c>
      <c r="AP302" s="42">
        <v>316667</v>
      </c>
      <c r="AR302" s="42">
        <v>1100</v>
      </c>
      <c r="AV302" s="42">
        <v>11802</v>
      </c>
      <c r="AX302" s="42">
        <v>296</v>
      </c>
      <c r="AZ302" s="42">
        <v>0</v>
      </c>
      <c r="BB302" s="42">
        <f t="shared" si="62"/>
        <v>11592419</v>
      </c>
      <c r="BD302" s="42">
        <v>0</v>
      </c>
      <c r="BF302" s="42">
        <v>0</v>
      </c>
      <c r="BH302" s="42">
        <v>0</v>
      </c>
      <c r="BJ302" s="42">
        <v>0</v>
      </c>
      <c r="BL302" s="42">
        <f t="shared" si="63"/>
        <v>11592419</v>
      </c>
      <c r="BN302" s="42">
        <f>+'Gen Fd Rev'!AM302-'Gen Fd Exp'!BL302</f>
        <v>865369</v>
      </c>
      <c r="BP302" s="42">
        <v>4850790</v>
      </c>
      <c r="BR302" s="42">
        <v>0</v>
      </c>
      <c r="BT302" s="42">
        <v>0</v>
      </c>
      <c r="BV302" s="42">
        <f t="shared" si="58"/>
        <v>5716159</v>
      </c>
      <c r="BX302" s="5">
        <f>+BV302-'Gen Fd BS'!AI302+BT302</f>
        <v>0</v>
      </c>
    </row>
    <row r="303" spans="1:76">
      <c r="A303" s="9" t="s">
        <v>904</v>
      </c>
      <c r="B303" s="9"/>
      <c r="C303" s="9" t="s">
        <v>42</v>
      </c>
      <c r="D303" s="9"/>
      <c r="E303" s="23">
        <v>48009</v>
      </c>
      <c r="G303" s="42">
        <v>11756862</v>
      </c>
      <c r="I303" s="42">
        <v>2886472</v>
      </c>
      <c r="K303" s="42">
        <v>131532</v>
      </c>
      <c r="M303" s="42">
        <v>0</v>
      </c>
      <c r="O303" s="42">
        <v>1757621</v>
      </c>
      <c r="Q303" s="42">
        <v>1447774</v>
      </c>
      <c r="S303" s="42">
        <v>1423391</v>
      </c>
      <c r="U303" s="42">
        <v>40229</v>
      </c>
      <c r="W303" s="42">
        <v>2064843</v>
      </c>
      <c r="Y303" s="42">
        <v>704661</v>
      </c>
      <c r="AA303" s="42">
        <v>0</v>
      </c>
      <c r="AC303" s="42">
        <v>2814230</v>
      </c>
      <c r="AE303" s="42">
        <v>2157958</v>
      </c>
      <c r="AG303" s="42">
        <v>214228</v>
      </c>
      <c r="AI303" s="42">
        <v>0</v>
      </c>
      <c r="AK303" s="42">
        <v>0</v>
      </c>
      <c r="AL303" s="9" t="s">
        <v>904</v>
      </c>
      <c r="AM303" s="9"/>
      <c r="AN303" s="9" t="s">
        <v>42</v>
      </c>
      <c r="AP303" s="42">
        <v>379735</v>
      </c>
      <c r="AR303" s="42">
        <v>0</v>
      </c>
      <c r="AV303" s="42">
        <v>4023</v>
      </c>
      <c r="AX303" s="42">
        <v>453</v>
      </c>
      <c r="AZ303" s="42">
        <v>23225</v>
      </c>
      <c r="BB303" s="42">
        <f t="shared" si="62"/>
        <v>27807237</v>
      </c>
      <c r="BD303" s="42">
        <v>0</v>
      </c>
      <c r="BF303" s="42">
        <v>0</v>
      </c>
      <c r="BH303" s="42">
        <v>0</v>
      </c>
      <c r="BJ303" s="42">
        <v>0</v>
      </c>
      <c r="BL303" s="42">
        <f t="shared" si="63"/>
        <v>27807237</v>
      </c>
      <c r="BN303" s="42">
        <f>+'Gen Fd Rev'!AM303-'Gen Fd Exp'!BL303</f>
        <v>-188536</v>
      </c>
      <c r="BP303" s="42">
        <v>811582</v>
      </c>
      <c r="BR303" s="42">
        <v>0</v>
      </c>
      <c r="BT303" s="42">
        <v>0</v>
      </c>
      <c r="BV303" s="42">
        <f t="shared" ref="BV303:BV322" si="64">+BP303+BN303-BR303</f>
        <v>623046</v>
      </c>
      <c r="BX303" s="5">
        <f>+BV303-'Gen Fd BS'!AI303+BT303</f>
        <v>0</v>
      </c>
    </row>
    <row r="304" spans="1:76">
      <c r="A304" s="9" t="s">
        <v>373</v>
      </c>
      <c r="B304" s="9"/>
      <c r="C304" s="9" t="s">
        <v>42</v>
      </c>
      <c r="D304" s="9"/>
      <c r="E304" s="23">
        <v>48017</v>
      </c>
      <c r="F304" s="7"/>
      <c r="G304" s="42">
        <v>7438026</v>
      </c>
      <c r="I304" s="42">
        <v>1485981</v>
      </c>
      <c r="K304" s="42">
        <v>521063</v>
      </c>
      <c r="M304" s="42">
        <v>0</v>
      </c>
      <c r="O304" s="42">
        <v>17266</v>
      </c>
      <c r="Q304" s="42">
        <v>443028</v>
      </c>
      <c r="S304" s="42">
        <v>753953</v>
      </c>
      <c r="U304" s="42">
        <v>49604</v>
      </c>
      <c r="W304" s="42">
        <v>1924264</v>
      </c>
      <c r="Y304" s="42">
        <v>506151</v>
      </c>
      <c r="AA304" s="42">
        <v>65360</v>
      </c>
      <c r="AC304" s="42">
        <v>1688106</v>
      </c>
      <c r="AE304" s="42">
        <v>1297115</v>
      </c>
      <c r="AG304" s="42">
        <v>226988</v>
      </c>
      <c r="AI304" s="42">
        <v>0</v>
      </c>
      <c r="AK304" s="42">
        <v>175</v>
      </c>
      <c r="AL304" s="9" t="s">
        <v>373</v>
      </c>
      <c r="AM304" s="9"/>
      <c r="AN304" s="9" t="s">
        <v>42</v>
      </c>
      <c r="AP304" s="42">
        <v>272207</v>
      </c>
      <c r="AR304" s="42">
        <v>860769</v>
      </c>
      <c r="AV304" s="42">
        <v>410524</v>
      </c>
      <c r="AX304" s="42">
        <v>39068</v>
      </c>
      <c r="AZ304" s="42">
        <v>17875</v>
      </c>
      <c r="BB304" s="42">
        <f t="shared" si="62"/>
        <v>18017523</v>
      </c>
      <c r="BD304" s="42">
        <v>288529</v>
      </c>
      <c r="BF304" s="42">
        <v>0</v>
      </c>
      <c r="BH304" s="42">
        <v>0</v>
      </c>
      <c r="BJ304" s="42">
        <v>1086342</v>
      </c>
      <c r="BL304" s="42">
        <f t="shared" si="63"/>
        <v>19392394</v>
      </c>
      <c r="BN304" s="42">
        <f>+'Gen Fd Rev'!AM304-'Gen Fd Exp'!BL304</f>
        <v>-646261</v>
      </c>
      <c r="BP304" s="42">
        <v>5895767</v>
      </c>
      <c r="BR304" s="42">
        <v>0</v>
      </c>
      <c r="BT304" s="42">
        <v>0</v>
      </c>
      <c r="BV304" s="42">
        <f t="shared" si="64"/>
        <v>5249506</v>
      </c>
      <c r="BX304" s="5">
        <f>+BV304-'Gen Fd BS'!AI304+BT304</f>
        <v>0</v>
      </c>
    </row>
    <row r="305" spans="1:76" hidden="1">
      <c r="A305" s="9" t="s">
        <v>677</v>
      </c>
      <c r="B305" s="9"/>
      <c r="C305" s="9" t="s">
        <v>10</v>
      </c>
      <c r="D305" s="9"/>
      <c r="E305" s="23">
        <v>44222</v>
      </c>
      <c r="F305" s="7"/>
      <c r="G305" s="42">
        <v>0</v>
      </c>
      <c r="I305" s="42">
        <v>0</v>
      </c>
      <c r="K305" s="42">
        <v>0</v>
      </c>
      <c r="M305" s="42">
        <v>0</v>
      </c>
      <c r="O305" s="42">
        <v>0</v>
      </c>
      <c r="Q305" s="42">
        <v>0</v>
      </c>
      <c r="S305" s="42">
        <v>0</v>
      </c>
      <c r="U305" s="42">
        <v>0</v>
      </c>
      <c r="W305" s="42">
        <v>0</v>
      </c>
      <c r="Y305" s="42">
        <v>0</v>
      </c>
      <c r="AA305" s="42">
        <v>0</v>
      </c>
      <c r="AC305" s="42">
        <v>0</v>
      </c>
      <c r="AE305" s="42">
        <v>0</v>
      </c>
      <c r="AG305" s="42">
        <v>0</v>
      </c>
      <c r="AI305" s="42">
        <v>0</v>
      </c>
      <c r="AK305" s="42">
        <v>0</v>
      </c>
      <c r="AL305" s="9" t="s">
        <v>677</v>
      </c>
      <c r="AM305" s="9"/>
      <c r="AN305" s="9" t="s">
        <v>10</v>
      </c>
      <c r="AP305" s="42">
        <v>0</v>
      </c>
      <c r="AR305" s="42">
        <v>0</v>
      </c>
      <c r="AV305" s="42">
        <v>0</v>
      </c>
      <c r="AX305" s="42">
        <v>0</v>
      </c>
      <c r="AZ305" s="42">
        <v>0</v>
      </c>
      <c r="BB305" s="42">
        <f t="shared" si="62"/>
        <v>0</v>
      </c>
      <c r="BD305" s="42">
        <v>0</v>
      </c>
      <c r="BF305" s="42">
        <v>0</v>
      </c>
      <c r="BH305" s="42">
        <v>0</v>
      </c>
      <c r="BJ305" s="42">
        <v>0</v>
      </c>
      <c r="BL305" s="42">
        <f t="shared" si="63"/>
        <v>0</v>
      </c>
      <c r="BN305" s="42">
        <f>+'Gen Fd Rev'!AM305-'Gen Fd Exp'!BL305</f>
        <v>0</v>
      </c>
      <c r="BP305" s="42">
        <v>0</v>
      </c>
      <c r="BR305" s="42">
        <v>0</v>
      </c>
      <c r="BT305" s="42">
        <v>0</v>
      </c>
      <c r="BV305" s="42">
        <f t="shared" si="64"/>
        <v>0</v>
      </c>
      <c r="BX305" s="5">
        <f>+BV305-'Gen Fd BS'!AI305+BT305</f>
        <v>0</v>
      </c>
    </row>
    <row r="306" spans="1:76">
      <c r="A306" s="9" t="s">
        <v>537</v>
      </c>
      <c r="B306" s="9"/>
      <c r="C306" s="9" t="s">
        <v>67</v>
      </c>
      <c r="D306" s="9"/>
      <c r="E306" s="23">
        <v>50369</v>
      </c>
      <c r="G306" s="42">
        <v>3414439</v>
      </c>
      <c r="I306" s="42">
        <v>989377</v>
      </c>
      <c r="K306" s="42">
        <v>161530</v>
      </c>
      <c r="M306" s="42">
        <v>659</v>
      </c>
      <c r="O306" s="42">
        <v>866146</v>
      </c>
      <c r="Q306" s="42">
        <v>169514</v>
      </c>
      <c r="S306" s="42">
        <v>205267</v>
      </c>
      <c r="U306" s="42">
        <v>31360</v>
      </c>
      <c r="W306" s="42">
        <v>771302</v>
      </c>
      <c r="Y306" s="42">
        <v>271366</v>
      </c>
      <c r="AA306" s="42">
        <v>0</v>
      </c>
      <c r="AC306" s="42">
        <v>565362</v>
      </c>
      <c r="AE306" s="42">
        <v>397949</v>
      </c>
      <c r="AG306" s="42">
        <v>12258</v>
      </c>
      <c r="AI306" s="42">
        <v>0</v>
      </c>
      <c r="AK306" s="42">
        <v>0</v>
      </c>
      <c r="AL306" s="9" t="s">
        <v>537</v>
      </c>
      <c r="AM306" s="9"/>
      <c r="AN306" s="9" t="s">
        <v>67</v>
      </c>
      <c r="AP306" s="42">
        <v>142295</v>
      </c>
      <c r="AR306" s="42">
        <v>0</v>
      </c>
      <c r="AV306" s="42">
        <v>0</v>
      </c>
      <c r="AX306" s="42">
        <v>0</v>
      </c>
      <c r="AZ306" s="42">
        <v>0</v>
      </c>
      <c r="BB306" s="42">
        <f t="shared" si="62"/>
        <v>7998824</v>
      </c>
      <c r="BD306" s="42">
        <v>0</v>
      </c>
      <c r="BF306" s="42">
        <v>0</v>
      </c>
      <c r="BH306" s="42">
        <v>0</v>
      </c>
      <c r="BJ306" s="42">
        <v>0</v>
      </c>
      <c r="BL306" s="42">
        <f t="shared" si="63"/>
        <v>7998824</v>
      </c>
      <c r="BN306" s="42">
        <f>+'Gen Fd Rev'!AM306-'Gen Fd Exp'!BL306</f>
        <v>663301</v>
      </c>
      <c r="BP306" s="42">
        <v>10424833</v>
      </c>
      <c r="BR306" s="42">
        <v>0</v>
      </c>
      <c r="BT306" s="42">
        <v>0</v>
      </c>
      <c r="BV306" s="42">
        <f t="shared" si="64"/>
        <v>11088134</v>
      </c>
      <c r="BX306" s="5">
        <f>+BV306-'Gen Fd BS'!AI306+BT306</f>
        <v>0</v>
      </c>
    </row>
    <row r="307" spans="1:76">
      <c r="A307" s="9" t="s">
        <v>760</v>
      </c>
      <c r="B307" s="9"/>
      <c r="C307" s="9" t="s">
        <v>111</v>
      </c>
      <c r="D307" s="9"/>
      <c r="E307" s="23">
        <v>45450</v>
      </c>
      <c r="G307" s="42">
        <v>4262424</v>
      </c>
      <c r="I307" s="42">
        <v>946705</v>
      </c>
      <c r="K307" s="42">
        <v>37809</v>
      </c>
      <c r="M307" s="42">
        <v>0</v>
      </c>
      <c r="O307" s="42">
        <v>4339</v>
      </c>
      <c r="Q307" s="42">
        <v>550733</v>
      </c>
      <c r="S307" s="42">
        <v>171000</v>
      </c>
      <c r="U307" s="42">
        <v>34122</v>
      </c>
      <c r="W307" s="42">
        <v>758783</v>
      </c>
      <c r="Y307" s="42">
        <v>316578</v>
      </c>
      <c r="AA307" s="42">
        <v>0</v>
      </c>
      <c r="AC307" s="42">
        <v>523038</v>
      </c>
      <c r="AE307" s="42">
        <v>312932</v>
      </c>
      <c r="AG307" s="42">
        <v>56329</v>
      </c>
      <c r="AI307" s="42">
        <v>0</v>
      </c>
      <c r="AK307" s="42">
        <v>0</v>
      </c>
      <c r="AL307" s="9" t="s">
        <v>760</v>
      </c>
      <c r="AM307" s="9"/>
      <c r="AN307" s="9" t="s">
        <v>111</v>
      </c>
      <c r="AP307" s="42">
        <v>247186</v>
      </c>
      <c r="AR307" s="42">
        <v>0</v>
      </c>
      <c r="AV307" s="42">
        <v>58516</v>
      </c>
      <c r="AX307" s="42">
        <v>66773</v>
      </c>
      <c r="AZ307" s="42">
        <v>0</v>
      </c>
      <c r="BB307" s="42">
        <f t="shared" si="62"/>
        <v>8347267</v>
      </c>
      <c r="BD307" s="42">
        <v>2955</v>
      </c>
      <c r="BF307" s="42">
        <v>0</v>
      </c>
      <c r="BH307" s="42">
        <v>0</v>
      </c>
      <c r="BJ307" s="42">
        <v>0</v>
      </c>
      <c r="BL307" s="42">
        <f t="shared" si="63"/>
        <v>8350222</v>
      </c>
      <c r="BN307" s="42">
        <f>+'Gen Fd Rev'!AM307-'Gen Fd Exp'!BL307</f>
        <v>-269879</v>
      </c>
      <c r="BP307" s="42">
        <v>2977646</v>
      </c>
      <c r="BR307" s="42">
        <v>0</v>
      </c>
      <c r="BT307" s="42">
        <v>0</v>
      </c>
      <c r="BV307" s="42">
        <f t="shared" si="64"/>
        <v>2707767</v>
      </c>
      <c r="BX307" s="5">
        <f>+BV307-'Gen Fd BS'!AI307+BT307</f>
        <v>0</v>
      </c>
    </row>
    <row r="308" spans="1:76">
      <c r="A308" s="9" t="s">
        <v>541</v>
      </c>
      <c r="B308" s="9"/>
      <c r="C308" s="9" t="s">
        <v>69</v>
      </c>
      <c r="D308" s="9"/>
      <c r="E308" s="23">
        <v>50443</v>
      </c>
      <c r="G308" s="42">
        <v>13280064</v>
      </c>
      <c r="I308" s="42">
        <v>4171220</v>
      </c>
      <c r="K308" s="42">
        <v>0</v>
      </c>
      <c r="M308" s="42">
        <v>0</v>
      </c>
      <c r="O308" s="42">
        <v>2589288</v>
      </c>
      <c r="Q308" s="42">
        <v>1310410</v>
      </c>
      <c r="S308" s="42">
        <v>528538</v>
      </c>
      <c r="U308" s="42">
        <v>0</v>
      </c>
      <c r="W308" s="42">
        <f>34792+1866749</f>
        <v>1901541</v>
      </c>
      <c r="Y308" s="42">
        <v>626351</v>
      </c>
      <c r="AA308" s="42">
        <v>203335</v>
      </c>
      <c r="AC308" s="42">
        <v>2342197</v>
      </c>
      <c r="AE308" s="42">
        <v>3012226</v>
      </c>
      <c r="AG308" s="42">
        <v>516800</v>
      </c>
      <c r="AI308" s="42">
        <v>0</v>
      </c>
      <c r="AK308" s="42">
        <v>0</v>
      </c>
      <c r="AL308" s="9" t="s">
        <v>541</v>
      </c>
      <c r="AM308" s="9"/>
      <c r="AN308" s="9" t="s">
        <v>69</v>
      </c>
      <c r="AP308" s="42">
        <v>402313</v>
      </c>
      <c r="AR308" s="42">
        <v>0</v>
      </c>
      <c r="AV308" s="42">
        <v>0</v>
      </c>
      <c r="AX308" s="42">
        <v>0</v>
      </c>
      <c r="AZ308" s="42">
        <v>0</v>
      </c>
      <c r="BB308" s="42">
        <f t="shared" ref="BB308:BB320" si="65">SUM(G308:AZ308)</f>
        <v>30884283</v>
      </c>
      <c r="BD308" s="42">
        <v>0</v>
      </c>
      <c r="BF308" s="42">
        <v>0</v>
      </c>
      <c r="BH308" s="42">
        <v>0</v>
      </c>
      <c r="BJ308" s="42">
        <v>0</v>
      </c>
      <c r="BL308" s="42">
        <f t="shared" si="63"/>
        <v>30884283</v>
      </c>
      <c r="BN308" s="42">
        <f>+'Gen Fd Rev'!AM308-'Gen Fd Exp'!BL308</f>
        <v>10285785</v>
      </c>
      <c r="BP308" s="42">
        <v>-490803</v>
      </c>
      <c r="BR308" s="42">
        <v>0</v>
      </c>
      <c r="BT308" s="42">
        <v>0</v>
      </c>
      <c r="BV308" s="42">
        <f t="shared" si="64"/>
        <v>9794982</v>
      </c>
      <c r="BX308" s="5">
        <f>+BV308-'Gen Fd BS'!AI308+BT308</f>
        <v>0</v>
      </c>
    </row>
    <row r="309" spans="1:76" hidden="1">
      <c r="A309" s="9" t="s">
        <v>794</v>
      </c>
      <c r="B309" s="9"/>
      <c r="C309" s="9" t="s">
        <v>32</v>
      </c>
      <c r="D309" s="9"/>
      <c r="E309" s="23">
        <v>44230</v>
      </c>
      <c r="G309" s="42">
        <v>0</v>
      </c>
      <c r="I309" s="42">
        <v>0</v>
      </c>
      <c r="K309" s="42">
        <v>0</v>
      </c>
      <c r="M309" s="42">
        <v>0</v>
      </c>
      <c r="O309" s="42">
        <v>0</v>
      </c>
      <c r="Q309" s="42">
        <v>0</v>
      </c>
      <c r="S309" s="42">
        <v>0</v>
      </c>
      <c r="U309" s="42">
        <v>0</v>
      </c>
      <c r="W309" s="42">
        <v>0</v>
      </c>
      <c r="Y309" s="42">
        <v>0</v>
      </c>
      <c r="AA309" s="42">
        <v>0</v>
      </c>
      <c r="AC309" s="42">
        <v>0</v>
      </c>
      <c r="AE309" s="42">
        <v>0</v>
      </c>
      <c r="AG309" s="42">
        <v>0</v>
      </c>
      <c r="AI309" s="42">
        <v>0</v>
      </c>
      <c r="AK309" s="42">
        <v>0</v>
      </c>
      <c r="AL309" s="9" t="s">
        <v>794</v>
      </c>
      <c r="AM309" s="9"/>
      <c r="AN309" s="9" t="s">
        <v>32</v>
      </c>
      <c r="AP309" s="42">
        <v>0</v>
      </c>
      <c r="AR309" s="42">
        <v>0</v>
      </c>
      <c r="AV309" s="42">
        <v>0</v>
      </c>
      <c r="AX309" s="42">
        <v>0</v>
      </c>
      <c r="AZ309" s="42">
        <v>0</v>
      </c>
      <c r="BB309" s="42">
        <f t="shared" si="65"/>
        <v>0</v>
      </c>
      <c r="BD309" s="42">
        <v>0</v>
      </c>
      <c r="BF309" s="42">
        <v>0</v>
      </c>
      <c r="BH309" s="42">
        <v>0</v>
      </c>
      <c r="BJ309" s="42">
        <v>0</v>
      </c>
      <c r="BL309" s="42">
        <f t="shared" si="63"/>
        <v>0</v>
      </c>
      <c r="BN309" s="42">
        <f>+'Gen Fd Rev'!AM309-'Gen Fd Exp'!BL309</f>
        <v>0</v>
      </c>
      <c r="BP309" s="42">
        <v>0</v>
      </c>
      <c r="BR309" s="42">
        <v>0</v>
      </c>
      <c r="BT309" s="42">
        <v>0</v>
      </c>
      <c r="BV309" s="42">
        <f t="shared" si="64"/>
        <v>0</v>
      </c>
      <c r="BX309" s="5">
        <f>+BV309-'Gen Fd BS'!AI309+BT309</f>
        <v>0</v>
      </c>
    </row>
    <row r="310" spans="1:76">
      <c r="A310" s="9" t="s">
        <v>450</v>
      </c>
      <c r="B310" s="9"/>
      <c r="C310" s="9" t="s">
        <v>54</v>
      </c>
      <c r="D310" s="9"/>
      <c r="E310" s="23">
        <v>49080</v>
      </c>
      <c r="G310" s="42">
        <v>8955124</v>
      </c>
      <c r="I310" s="42">
        <v>1502921</v>
      </c>
      <c r="K310" s="42">
        <v>14498</v>
      </c>
      <c r="M310" s="42">
        <v>0</v>
      </c>
      <c r="O310" s="42">
        <v>3461</v>
      </c>
      <c r="Q310" s="42">
        <v>872968</v>
      </c>
      <c r="S310" s="42">
        <v>478324</v>
      </c>
      <c r="U310" s="42">
        <v>86307</v>
      </c>
      <c r="W310" s="42">
        <v>1401898</v>
      </c>
      <c r="Y310" s="42">
        <v>408533</v>
      </c>
      <c r="AA310" s="42">
        <v>0</v>
      </c>
      <c r="AC310" s="42">
        <v>1755476</v>
      </c>
      <c r="AE310" s="42">
        <v>1512205</v>
      </c>
      <c r="AG310" s="42">
        <v>399095</v>
      </c>
      <c r="AI310" s="42">
        <v>0</v>
      </c>
      <c r="AK310" s="42">
        <v>0</v>
      </c>
      <c r="AL310" s="9" t="s">
        <v>450</v>
      </c>
      <c r="AM310" s="9"/>
      <c r="AN310" s="9" t="s">
        <v>54</v>
      </c>
      <c r="AP310" s="42">
        <v>308573</v>
      </c>
      <c r="AR310" s="42">
        <v>0</v>
      </c>
      <c r="AV310" s="42">
        <v>0</v>
      </c>
      <c r="AX310" s="42">
        <v>0</v>
      </c>
      <c r="AZ310" s="42">
        <v>0</v>
      </c>
      <c r="BB310" s="42">
        <f t="shared" si="65"/>
        <v>17699383</v>
      </c>
      <c r="BD310" s="42">
        <v>0</v>
      </c>
      <c r="BF310" s="42">
        <v>0</v>
      </c>
      <c r="BH310" s="42">
        <v>0</v>
      </c>
      <c r="BJ310" s="42">
        <v>0</v>
      </c>
      <c r="BL310" s="42">
        <f t="shared" si="63"/>
        <v>17699383</v>
      </c>
      <c r="BN310" s="42">
        <f>+'Gen Fd Rev'!AM310-'Gen Fd Exp'!BL310</f>
        <v>717389</v>
      </c>
      <c r="BP310" s="42">
        <v>5732939</v>
      </c>
      <c r="BR310" s="42">
        <v>0</v>
      </c>
      <c r="BT310" s="42">
        <v>0</v>
      </c>
      <c r="BV310" s="42">
        <f t="shared" si="64"/>
        <v>6450328</v>
      </c>
      <c r="BX310" s="5">
        <f>+BV310-'Gen Fd BS'!AI310+BT310</f>
        <v>0</v>
      </c>
    </row>
    <row r="311" spans="1:76">
      <c r="A311" s="9" t="s">
        <v>350</v>
      </c>
      <c r="B311" s="9"/>
      <c r="C311" s="9" t="s">
        <v>35</v>
      </c>
      <c r="D311" s="9"/>
      <c r="E311" s="23">
        <v>44248</v>
      </c>
      <c r="G311" s="42">
        <v>14254437</v>
      </c>
      <c r="I311" s="42">
        <v>4174843</v>
      </c>
      <c r="K311" s="42">
        <v>556965</v>
      </c>
      <c r="M311" s="42">
        <v>0</v>
      </c>
      <c r="O311" s="42">
        <v>18590</v>
      </c>
      <c r="Q311" s="42">
        <v>2269728</v>
      </c>
      <c r="S311" s="42">
        <v>1835402</v>
      </c>
      <c r="U311" s="42">
        <v>76496</v>
      </c>
      <c r="W311" s="42">
        <v>2957671</v>
      </c>
      <c r="Y311" s="42">
        <v>822704</v>
      </c>
      <c r="AA311" s="42">
        <v>0</v>
      </c>
      <c r="AC311" s="42">
        <v>3275484</v>
      </c>
      <c r="AE311" s="42">
        <v>2854475</v>
      </c>
      <c r="AG311" s="42">
        <v>0</v>
      </c>
      <c r="AI311" s="42">
        <v>0</v>
      </c>
      <c r="AK311" s="42">
        <v>38253</v>
      </c>
      <c r="AL311" s="9" t="s">
        <v>350</v>
      </c>
      <c r="AM311" s="9"/>
      <c r="AN311" s="9" t="s">
        <v>35</v>
      </c>
      <c r="AP311" s="42">
        <v>457727</v>
      </c>
      <c r="AR311" s="42">
        <v>0</v>
      </c>
      <c r="AV311" s="42">
        <v>14772</v>
      </c>
      <c r="AX311" s="42">
        <v>2807</v>
      </c>
      <c r="AZ311" s="42">
        <v>0</v>
      </c>
      <c r="BB311" s="42">
        <f t="shared" si="65"/>
        <v>33610354</v>
      </c>
      <c r="BD311" s="42">
        <v>0</v>
      </c>
      <c r="BF311" s="42">
        <v>0</v>
      </c>
      <c r="BH311" s="42">
        <v>0</v>
      </c>
      <c r="BJ311" s="42">
        <v>0</v>
      </c>
      <c r="BL311" s="42">
        <f t="shared" si="63"/>
        <v>33610354</v>
      </c>
      <c r="BN311" s="42">
        <f>+'Gen Fd Rev'!AM311-'Gen Fd Exp'!BL311</f>
        <v>-737587</v>
      </c>
      <c r="BP311" s="42">
        <v>5195919</v>
      </c>
      <c r="BR311" s="42">
        <v>41453</v>
      </c>
      <c r="BT311" s="42">
        <v>0</v>
      </c>
      <c r="BV311" s="42">
        <f t="shared" si="64"/>
        <v>4416879</v>
      </c>
      <c r="BX311" s="5">
        <f>+BV311-'Gen Fd BS'!AI311+BT311</f>
        <v>0</v>
      </c>
    </row>
    <row r="312" spans="1:76">
      <c r="A312" s="9" t="s">
        <v>397</v>
      </c>
      <c r="B312" s="9"/>
      <c r="C312" s="9" t="s">
        <v>395</v>
      </c>
      <c r="D312" s="9"/>
      <c r="E312" s="23">
        <v>44255</v>
      </c>
      <c r="G312" s="42">
        <v>8872909</v>
      </c>
      <c r="I312" s="42">
        <v>1995925</v>
      </c>
      <c r="K312" s="42">
        <v>82879</v>
      </c>
      <c r="M312" s="42">
        <v>0</v>
      </c>
      <c r="O312" s="42">
        <v>149878</v>
      </c>
      <c r="Q312" s="42">
        <v>887765</v>
      </c>
      <c r="S312" s="42">
        <v>656933</v>
      </c>
      <c r="U312" s="42">
        <v>80364</v>
      </c>
      <c r="W312" s="42">
        <v>1349810</v>
      </c>
      <c r="Y312" s="42">
        <v>532862</v>
      </c>
      <c r="AA312" s="42">
        <v>182556</v>
      </c>
      <c r="AC312" s="42">
        <v>1674846</v>
      </c>
      <c r="AE312" s="42">
        <v>722702</v>
      </c>
      <c r="AG312" s="42">
        <v>424303</v>
      </c>
      <c r="AI312" s="42">
        <v>0</v>
      </c>
      <c r="AK312" s="42">
        <v>0</v>
      </c>
      <c r="AL312" s="9" t="s">
        <v>397</v>
      </c>
      <c r="AM312" s="9"/>
      <c r="AN312" s="9" t="s">
        <v>395</v>
      </c>
      <c r="AP312" s="42">
        <v>315849</v>
      </c>
      <c r="AR312" s="42">
        <v>0</v>
      </c>
      <c r="AV312" s="42">
        <v>0</v>
      </c>
      <c r="AX312" s="42">
        <v>0</v>
      </c>
      <c r="AZ312" s="42">
        <v>0</v>
      </c>
      <c r="BB312" s="42">
        <f t="shared" si="65"/>
        <v>17929581</v>
      </c>
      <c r="BD312" s="42">
        <v>23171</v>
      </c>
      <c r="BF312" s="42">
        <v>0</v>
      </c>
      <c r="BH312" s="42">
        <v>0</v>
      </c>
      <c r="BJ312" s="42">
        <v>0</v>
      </c>
      <c r="BL312" s="42">
        <f t="shared" si="63"/>
        <v>17952752</v>
      </c>
      <c r="BN312" s="42">
        <f>+'Gen Fd Rev'!AM312-'Gen Fd Exp'!BL312</f>
        <v>1658936</v>
      </c>
      <c r="BP312" s="42">
        <v>3077019</v>
      </c>
      <c r="BR312" s="42">
        <v>0</v>
      </c>
      <c r="BT312" s="42">
        <v>0</v>
      </c>
      <c r="BV312" s="42">
        <f t="shared" si="64"/>
        <v>4735955</v>
      </c>
      <c r="BX312" s="5">
        <f>+BV312-'Gen Fd BS'!AI312+BT312</f>
        <v>0</v>
      </c>
    </row>
    <row r="313" spans="1:76">
      <c r="A313" s="9" t="s">
        <v>383</v>
      </c>
      <c r="B313" s="9"/>
      <c r="C313" s="9" t="s">
        <v>44</v>
      </c>
      <c r="D313" s="9"/>
      <c r="E313" s="23">
        <v>44263</v>
      </c>
      <c r="G313" s="42">
        <v>26125119</v>
      </c>
      <c r="I313" s="42">
        <v>10752310</v>
      </c>
      <c r="K313" s="42">
        <v>2616311</v>
      </c>
      <c r="M313" s="42">
        <v>0</v>
      </c>
      <c r="O313" s="42">
        <v>22478860</v>
      </c>
      <c r="Q313" s="42">
        <v>2701534</v>
      </c>
      <c r="S313" s="42">
        <v>1339522</v>
      </c>
      <c r="U313" s="42">
        <v>498331</v>
      </c>
      <c r="W313" s="42">
        <v>5708820</v>
      </c>
      <c r="Y313" s="42">
        <v>1213282</v>
      </c>
      <c r="AA313" s="42">
        <v>394620</v>
      </c>
      <c r="AC313" s="42">
        <v>7237135</v>
      </c>
      <c r="AE313" s="42">
        <v>2509452</v>
      </c>
      <c r="AG313" s="42">
        <v>907540</v>
      </c>
      <c r="AI313" s="42">
        <v>0</v>
      </c>
      <c r="AK313" s="42">
        <v>5236</v>
      </c>
      <c r="AL313" s="9" t="s">
        <v>383</v>
      </c>
      <c r="AM313" s="9"/>
      <c r="AN313" s="9" t="s">
        <v>44</v>
      </c>
      <c r="AP313" s="42">
        <v>757296</v>
      </c>
      <c r="AR313" s="42">
        <v>49685</v>
      </c>
      <c r="AV313" s="42">
        <v>0</v>
      </c>
      <c r="AX313" s="42">
        <v>148973</v>
      </c>
      <c r="AZ313" s="42">
        <v>0</v>
      </c>
      <c r="BB313" s="42">
        <f t="shared" si="65"/>
        <v>85444026</v>
      </c>
      <c r="BD313" s="42">
        <v>1653456</v>
      </c>
      <c r="BF313" s="42">
        <v>0</v>
      </c>
      <c r="BH313" s="42">
        <v>0</v>
      </c>
      <c r="BJ313" s="42">
        <v>0</v>
      </c>
      <c r="BL313" s="42">
        <f t="shared" si="63"/>
        <v>87097482</v>
      </c>
      <c r="BN313" s="42">
        <f>+'Gen Fd Rev'!AM313-'Gen Fd Exp'!BL313</f>
        <v>-889150</v>
      </c>
      <c r="BP313" s="42">
        <v>-1463262</v>
      </c>
      <c r="BR313" s="42">
        <v>0</v>
      </c>
      <c r="BT313" s="42">
        <v>0</v>
      </c>
      <c r="BV313" s="42">
        <f t="shared" si="64"/>
        <v>-2352412</v>
      </c>
      <c r="BX313" s="5">
        <f>+BV313-'Gen Fd BS'!AI313+BT313</f>
        <v>0</v>
      </c>
    </row>
    <row r="314" spans="1:76">
      <c r="A314" s="9" t="s">
        <v>523</v>
      </c>
      <c r="B314" s="9"/>
      <c r="C314" s="9" t="s">
        <v>64</v>
      </c>
      <c r="D314" s="9"/>
      <c r="E314" s="23">
        <v>50203</v>
      </c>
      <c r="G314" s="42">
        <v>2868364</v>
      </c>
      <c r="I314" s="42">
        <v>398713</v>
      </c>
      <c r="K314" s="42">
        <v>50325</v>
      </c>
      <c r="M314" s="42">
        <v>0</v>
      </c>
      <c r="O314" s="42">
        <v>300966</v>
      </c>
      <c r="Q314" s="42">
        <v>119323</v>
      </c>
      <c r="S314" s="42">
        <v>124885</v>
      </c>
      <c r="U314" s="42">
        <v>137064</v>
      </c>
      <c r="W314" s="42">
        <v>480713</v>
      </c>
      <c r="Y314" s="42">
        <v>321273</v>
      </c>
      <c r="AA314" s="42">
        <v>26515</v>
      </c>
      <c r="AC314" s="42">
        <v>1134888</v>
      </c>
      <c r="AE314" s="42">
        <v>288529</v>
      </c>
      <c r="AG314" s="42">
        <v>0</v>
      </c>
      <c r="AI314" s="42">
        <v>0</v>
      </c>
      <c r="AK314" s="42">
        <v>0</v>
      </c>
      <c r="AL314" s="9" t="s">
        <v>523</v>
      </c>
      <c r="AM314" s="9"/>
      <c r="AN314" s="9" t="s">
        <v>64</v>
      </c>
      <c r="AP314" s="42">
        <v>182609</v>
      </c>
      <c r="AR314" s="42">
        <v>152410</v>
      </c>
      <c r="AV314" s="42">
        <v>32474</v>
      </c>
      <c r="AX314" s="42">
        <v>3813</v>
      </c>
      <c r="AZ314" s="42">
        <v>0</v>
      </c>
      <c r="BB314" s="42">
        <f t="shared" si="65"/>
        <v>6622864</v>
      </c>
      <c r="BD314" s="42">
        <v>147000</v>
      </c>
      <c r="BF314" s="42">
        <v>0</v>
      </c>
      <c r="BH314" s="42">
        <v>0</v>
      </c>
      <c r="BJ314" s="42">
        <v>0</v>
      </c>
      <c r="BL314" s="42">
        <f t="shared" si="63"/>
        <v>6769864</v>
      </c>
      <c r="BN314" s="42">
        <f>+'Gen Fd Rev'!AM314-'Gen Fd Exp'!BL314</f>
        <v>-252898</v>
      </c>
      <c r="BP314" s="42">
        <v>95394</v>
      </c>
      <c r="BR314" s="42">
        <v>0</v>
      </c>
      <c r="BT314" s="42">
        <v>0</v>
      </c>
      <c r="BV314" s="42">
        <f t="shared" si="64"/>
        <v>-157504</v>
      </c>
      <c r="BX314" s="5">
        <f>+BV314-'Gen Fd BS'!AI314+BT314</f>
        <v>0</v>
      </c>
    </row>
    <row r="315" spans="1:76">
      <c r="A315" s="9" t="s">
        <v>678</v>
      </c>
      <c r="B315" s="9"/>
      <c r="C315" s="9" t="s">
        <v>11</v>
      </c>
      <c r="D315" s="9"/>
      <c r="E315" s="23">
        <v>45468</v>
      </c>
      <c r="G315" s="42">
        <v>4962902</v>
      </c>
      <c r="I315" s="42">
        <v>700171</v>
      </c>
      <c r="K315" s="42">
        <v>168689</v>
      </c>
      <c r="M315" s="42">
        <v>0</v>
      </c>
      <c r="O315" s="42">
        <v>1188503</v>
      </c>
      <c r="Q315" s="42">
        <v>581160</v>
      </c>
      <c r="S315" s="42">
        <v>847270</v>
      </c>
      <c r="U315" s="42">
        <v>23109</v>
      </c>
      <c r="W315" s="42">
        <v>938086</v>
      </c>
      <c r="Y315" s="42">
        <v>392598</v>
      </c>
      <c r="AA315" s="42">
        <v>5991</v>
      </c>
      <c r="AC315" s="42">
        <v>866568</v>
      </c>
      <c r="AE315" s="42">
        <v>649975</v>
      </c>
      <c r="AG315" s="42">
        <v>123940</v>
      </c>
      <c r="AI315" s="42">
        <v>0</v>
      </c>
      <c r="AK315" s="42">
        <v>22596</v>
      </c>
      <c r="AL315" s="9" t="s">
        <v>678</v>
      </c>
      <c r="AM315" s="9"/>
      <c r="AN315" s="9" t="s">
        <v>11</v>
      </c>
      <c r="AP315" s="42">
        <v>340809</v>
      </c>
      <c r="AR315" s="42">
        <f>392978+37358</f>
        <v>430336</v>
      </c>
      <c r="AV315" s="42">
        <v>73330</v>
      </c>
      <c r="AX315" s="42">
        <v>48493</v>
      </c>
      <c r="AZ315" s="42">
        <v>0</v>
      </c>
      <c r="BB315" s="42">
        <f t="shared" si="65"/>
        <v>12364526</v>
      </c>
      <c r="BD315" s="42">
        <v>0</v>
      </c>
      <c r="BF315" s="42">
        <v>0</v>
      </c>
      <c r="BH315" s="42">
        <v>0</v>
      </c>
      <c r="BJ315" s="42">
        <v>0</v>
      </c>
      <c r="BL315" s="42">
        <f t="shared" si="63"/>
        <v>12364526</v>
      </c>
      <c r="BN315" s="42">
        <f>+'Gen Fd Rev'!AM315-'Gen Fd Exp'!BL315</f>
        <v>-214980</v>
      </c>
      <c r="BP315" s="42">
        <v>3018882</v>
      </c>
      <c r="BR315" s="42">
        <v>0</v>
      </c>
      <c r="BT315" s="42">
        <v>0</v>
      </c>
      <c r="BV315" s="42">
        <f t="shared" si="64"/>
        <v>2803902</v>
      </c>
      <c r="BX315" s="5">
        <f>+BV315-'Gen Fd BS'!AI315+BT315</f>
        <v>0</v>
      </c>
    </row>
    <row r="316" spans="1:76">
      <c r="A316" s="9" t="s">
        <v>495</v>
      </c>
      <c r="B316" s="9"/>
      <c r="C316" s="9" t="s">
        <v>62</v>
      </c>
      <c r="D316" s="9"/>
      <c r="E316" s="23">
        <v>49874</v>
      </c>
      <c r="G316" s="42">
        <v>11523987</v>
      </c>
      <c r="I316" s="42">
        <v>2180344</v>
      </c>
      <c r="K316" s="42">
        <v>412155</v>
      </c>
      <c r="M316" s="42">
        <v>0</v>
      </c>
      <c r="O316" s="42">
        <v>1093231</v>
      </c>
      <c r="Q316" s="42">
        <v>1465082</v>
      </c>
      <c r="S316" s="42">
        <v>860165</v>
      </c>
      <c r="U316" s="42">
        <v>64809</v>
      </c>
      <c r="W316" s="42">
        <v>1831285</v>
      </c>
      <c r="Y316" s="42">
        <v>469237</v>
      </c>
      <c r="AA316" s="42">
        <v>96657</v>
      </c>
      <c r="AC316" s="42">
        <v>2227721</v>
      </c>
      <c r="AE316" s="42">
        <v>1172850</v>
      </c>
      <c r="AG316" s="42">
        <v>30656</v>
      </c>
      <c r="AI316" s="42">
        <v>0</v>
      </c>
      <c r="AK316" s="42">
        <v>10547</v>
      </c>
      <c r="AL316" s="9" t="s">
        <v>495</v>
      </c>
      <c r="AM316" s="9"/>
      <c r="AN316" s="9" t="s">
        <v>62</v>
      </c>
      <c r="AP316" s="42">
        <v>599063</v>
      </c>
      <c r="AR316" s="42">
        <v>96</v>
      </c>
      <c r="AV316" s="42">
        <v>0</v>
      </c>
      <c r="AX316" s="42">
        <v>0</v>
      </c>
      <c r="AZ316" s="42">
        <v>0</v>
      </c>
      <c r="BB316" s="42">
        <f t="shared" si="65"/>
        <v>24037885</v>
      </c>
      <c r="BD316" s="42">
        <v>59494</v>
      </c>
      <c r="BF316" s="42">
        <v>0</v>
      </c>
      <c r="BH316" s="42">
        <v>0</v>
      </c>
      <c r="BJ316" s="42">
        <v>0</v>
      </c>
      <c r="BL316" s="42">
        <f t="shared" si="63"/>
        <v>24097379</v>
      </c>
      <c r="BN316" s="42">
        <f>+'Gen Fd Rev'!AM316-'Gen Fd Exp'!BL316</f>
        <v>-1312854</v>
      </c>
      <c r="BP316" s="42">
        <v>-127099</v>
      </c>
      <c r="BR316" s="42">
        <v>0</v>
      </c>
      <c r="BT316" s="42">
        <v>0</v>
      </c>
      <c r="BV316" s="42">
        <f t="shared" si="64"/>
        <v>-1439953</v>
      </c>
      <c r="BX316" s="5">
        <f>+BV316-'Gen Fd BS'!AI316+BT316</f>
        <v>0</v>
      </c>
    </row>
    <row r="317" spans="1:76">
      <c r="A317" s="9" t="s">
        <v>322</v>
      </c>
      <c r="B317" s="9"/>
      <c r="C317" s="9" t="s">
        <v>32</v>
      </c>
      <c r="D317" s="9"/>
      <c r="E317" s="23">
        <v>44271</v>
      </c>
      <c r="G317" s="42">
        <v>19106967</v>
      </c>
      <c r="I317" s="42">
        <v>5591791</v>
      </c>
      <c r="K317" s="42">
        <v>157383</v>
      </c>
      <c r="M317" s="42">
        <v>0</v>
      </c>
      <c r="O317" s="42">
        <v>790418</v>
      </c>
      <c r="Q317" s="42">
        <v>2608517</v>
      </c>
      <c r="S317" s="42">
        <v>1181685</v>
      </c>
      <c r="U317" s="42">
        <v>0</v>
      </c>
      <c r="W317" s="42">
        <f>87971+2838032</f>
        <v>2926003</v>
      </c>
      <c r="Y317" s="42">
        <v>1027551</v>
      </c>
      <c r="AA317" s="42">
        <v>168128</v>
      </c>
      <c r="AC317" s="42">
        <v>2544280</v>
      </c>
      <c r="AE317" s="42">
        <v>2930199</v>
      </c>
      <c r="AG317" s="42">
        <v>359279</v>
      </c>
      <c r="AI317" s="42">
        <v>0</v>
      </c>
      <c r="AK317" s="42">
        <v>2665</v>
      </c>
      <c r="AL317" s="9" t="s">
        <v>322</v>
      </c>
      <c r="AM317" s="9"/>
      <c r="AN317" s="9" t="s">
        <v>32</v>
      </c>
      <c r="AP317" s="42">
        <v>986573</v>
      </c>
      <c r="AR317" s="42">
        <v>23076</v>
      </c>
      <c r="AV317" s="42">
        <v>0</v>
      </c>
      <c r="AX317" s="42">
        <v>0</v>
      </c>
      <c r="AZ317" s="42">
        <v>0</v>
      </c>
      <c r="BB317" s="42">
        <f t="shared" si="65"/>
        <v>40404515</v>
      </c>
      <c r="BD317" s="42">
        <v>0</v>
      </c>
      <c r="BF317" s="42">
        <v>0</v>
      </c>
      <c r="BH317" s="42">
        <v>0</v>
      </c>
      <c r="BJ317" s="42">
        <v>0</v>
      </c>
      <c r="BL317" s="42">
        <f t="shared" si="63"/>
        <v>40404515</v>
      </c>
      <c r="BN317" s="42">
        <f>+'Gen Fd Rev'!AM317-'Gen Fd Exp'!BL317</f>
        <v>-157577</v>
      </c>
      <c r="BP317" s="42">
        <v>5569894</v>
      </c>
      <c r="BR317" s="42">
        <v>0</v>
      </c>
      <c r="BT317" s="42">
        <v>0</v>
      </c>
      <c r="BV317" s="42">
        <f t="shared" si="64"/>
        <v>5412317</v>
      </c>
      <c r="BX317" s="5">
        <f>+BV317-'Gen Fd BS'!AI317+BT317</f>
        <v>0</v>
      </c>
    </row>
    <row r="318" spans="1:76">
      <c r="A318" s="9" t="s">
        <v>679</v>
      </c>
      <c r="B318" s="9"/>
      <c r="C318" s="9" t="s">
        <v>45</v>
      </c>
      <c r="D318" s="9"/>
      <c r="E318" s="23">
        <v>48330</v>
      </c>
      <c r="G318" s="42">
        <v>2227970</v>
      </c>
      <c r="I318" s="42">
        <v>145133</v>
      </c>
      <c r="K318" s="42">
        <v>32143</v>
      </c>
      <c r="M318" s="42">
        <v>0</v>
      </c>
      <c r="O318" s="42">
        <v>15</v>
      </c>
      <c r="Q318" s="42">
        <v>82184</v>
      </c>
      <c r="S318" s="42">
        <v>266708</v>
      </c>
      <c r="U318" s="42">
        <v>23689</v>
      </c>
      <c r="W318" s="42">
        <v>264817</v>
      </c>
      <c r="Y318" s="42">
        <v>127407</v>
      </c>
      <c r="AA318" s="42">
        <v>0</v>
      </c>
      <c r="AC318" s="42">
        <v>405705</v>
      </c>
      <c r="AE318" s="42">
        <v>100608</v>
      </c>
      <c r="AG318" s="42">
        <v>939610</v>
      </c>
      <c r="AI318" s="42">
        <v>0</v>
      </c>
      <c r="AK318" s="42">
        <v>0</v>
      </c>
      <c r="AL318" s="9" t="s">
        <v>679</v>
      </c>
      <c r="AM318" s="9"/>
      <c r="AN318" s="9" t="s">
        <v>45</v>
      </c>
      <c r="AP318" s="42">
        <v>182724</v>
      </c>
      <c r="AR318" s="42">
        <v>0</v>
      </c>
      <c r="AV318" s="42">
        <v>0</v>
      </c>
      <c r="AX318" s="42">
        <v>0</v>
      </c>
      <c r="AZ318" s="42">
        <v>0</v>
      </c>
      <c r="BB318" s="42">
        <f t="shared" si="65"/>
        <v>4798713</v>
      </c>
      <c r="BD318" s="42">
        <v>0</v>
      </c>
      <c r="BF318" s="42">
        <v>0</v>
      </c>
      <c r="BH318" s="42">
        <v>0</v>
      </c>
      <c r="BJ318" s="42">
        <v>0</v>
      </c>
      <c r="BL318" s="42">
        <f t="shared" si="63"/>
        <v>4798713</v>
      </c>
      <c r="BN318" s="42">
        <f>+'Gen Fd Rev'!AM318-'Gen Fd Exp'!BL318</f>
        <v>-111841</v>
      </c>
      <c r="BP318" s="42">
        <v>2064974</v>
      </c>
      <c r="BR318" s="42">
        <v>0</v>
      </c>
      <c r="BT318" s="42">
        <v>0</v>
      </c>
      <c r="BV318" s="42">
        <f t="shared" si="64"/>
        <v>1953133</v>
      </c>
      <c r="BX318" s="5">
        <f>+BV318-'Gen Fd BS'!AI318+BT318</f>
        <v>0</v>
      </c>
    </row>
    <row r="319" spans="1:76">
      <c r="A319" s="9" t="s">
        <v>795</v>
      </c>
      <c r="B319" s="9"/>
      <c r="C319" s="9" t="s">
        <v>109</v>
      </c>
      <c r="D319" s="9"/>
      <c r="E319" s="23">
        <v>49445</v>
      </c>
      <c r="F319" s="7"/>
      <c r="G319" s="42">
        <v>2227007</v>
      </c>
      <c r="I319" s="42">
        <v>384734</v>
      </c>
      <c r="K319" s="42">
        <v>5844</v>
      </c>
      <c r="M319" s="42">
        <v>0</v>
      </c>
      <c r="O319" s="42">
        <v>346756</v>
      </c>
      <c r="Q319" s="42">
        <v>130431</v>
      </c>
      <c r="S319" s="42">
        <v>276707</v>
      </c>
      <c r="U319" s="42">
        <v>33065</v>
      </c>
      <c r="W319" s="42">
        <v>540093</v>
      </c>
      <c r="Y319" s="42">
        <v>174439</v>
      </c>
      <c r="AA319" s="42">
        <v>0</v>
      </c>
      <c r="AC319" s="42">
        <v>443895</v>
      </c>
      <c r="AE319" s="42">
        <v>437182</v>
      </c>
      <c r="AG319" s="42">
        <v>53995</v>
      </c>
      <c r="AI319" s="42">
        <v>0</v>
      </c>
      <c r="AK319" s="42">
        <v>1451</v>
      </c>
      <c r="AL319" s="9" t="s">
        <v>795</v>
      </c>
      <c r="AM319" s="9"/>
      <c r="AN319" s="9" t="s">
        <v>109</v>
      </c>
      <c r="AP319" s="42">
        <v>122240</v>
      </c>
      <c r="AR319" s="42">
        <v>3000</v>
      </c>
      <c r="AV319" s="42">
        <v>36055</v>
      </c>
      <c r="AX319" s="42">
        <v>1036</v>
      </c>
      <c r="AZ319" s="42">
        <v>0</v>
      </c>
      <c r="BB319" s="42">
        <f t="shared" si="65"/>
        <v>5217930</v>
      </c>
      <c r="BD319" s="42">
        <v>115665</v>
      </c>
      <c r="BF319" s="42">
        <v>0</v>
      </c>
      <c r="BH319" s="42">
        <v>0</v>
      </c>
      <c r="BJ319" s="42">
        <v>0</v>
      </c>
      <c r="BL319" s="42">
        <f t="shared" si="63"/>
        <v>5333595</v>
      </c>
      <c r="BN319" s="42">
        <f>+'Gen Fd Rev'!AM319-'Gen Fd Exp'!BL319</f>
        <v>131905</v>
      </c>
      <c r="BP319" s="42">
        <v>4330645</v>
      </c>
      <c r="BR319" s="42">
        <v>0</v>
      </c>
      <c r="BT319" s="42">
        <v>0</v>
      </c>
      <c r="BV319" s="42">
        <f t="shared" si="64"/>
        <v>4462550</v>
      </c>
      <c r="BX319" s="5">
        <f>+BV319-'Gen Fd BS'!AI319+BT319</f>
        <v>0</v>
      </c>
    </row>
    <row r="320" spans="1:76">
      <c r="A320" s="9" t="s">
        <v>349</v>
      </c>
      <c r="B320" s="9"/>
      <c r="C320" s="9" t="s">
        <v>346</v>
      </c>
      <c r="D320" s="9"/>
      <c r="E320" s="23">
        <v>47639</v>
      </c>
      <c r="G320" s="42">
        <v>5616938</v>
      </c>
      <c r="I320" s="42">
        <v>1108106</v>
      </c>
      <c r="K320" s="42">
        <v>205621</v>
      </c>
      <c r="M320" s="42">
        <v>0</v>
      </c>
      <c r="O320" s="42">
        <v>2145</v>
      </c>
      <c r="Q320" s="42">
        <v>376689</v>
      </c>
      <c r="S320" s="42">
        <v>708843</v>
      </c>
      <c r="U320" s="42">
        <v>44909</v>
      </c>
      <c r="W320" s="42">
        <v>972285</v>
      </c>
      <c r="Y320" s="42">
        <v>333672</v>
      </c>
      <c r="AA320" s="42">
        <v>7460</v>
      </c>
      <c r="AC320" s="42">
        <v>1063920</v>
      </c>
      <c r="AE320" s="42">
        <v>807653</v>
      </c>
      <c r="AG320" s="42">
        <v>12500</v>
      </c>
      <c r="AI320" s="42">
        <v>624</v>
      </c>
      <c r="AK320" s="42">
        <v>892</v>
      </c>
      <c r="AL320" s="9" t="s">
        <v>349</v>
      </c>
      <c r="AM320" s="9"/>
      <c r="AN320" s="9" t="s">
        <v>346</v>
      </c>
      <c r="AP320" s="42">
        <v>136594</v>
      </c>
      <c r="AR320" s="42">
        <v>18340</v>
      </c>
      <c r="AV320" s="42">
        <v>43999</v>
      </c>
      <c r="AX320" s="42">
        <v>8864</v>
      </c>
      <c r="AZ320" s="42">
        <v>0</v>
      </c>
      <c r="BB320" s="42">
        <f t="shared" si="65"/>
        <v>11470054</v>
      </c>
      <c r="BD320" s="42">
        <v>75000</v>
      </c>
      <c r="BF320" s="42">
        <v>0</v>
      </c>
      <c r="BH320" s="42">
        <v>0</v>
      </c>
      <c r="BJ320" s="42">
        <v>0</v>
      </c>
      <c r="BL320" s="42">
        <f t="shared" si="63"/>
        <v>11545054</v>
      </c>
      <c r="BN320" s="42">
        <f>+'Gen Fd Rev'!AM320-'Gen Fd Exp'!BL320</f>
        <v>-727532</v>
      </c>
      <c r="BP320" s="42">
        <v>6475023</v>
      </c>
      <c r="BR320" s="42">
        <v>0</v>
      </c>
      <c r="BT320" s="42">
        <v>0</v>
      </c>
      <c r="BV320" s="42">
        <f t="shared" si="64"/>
        <v>5747491</v>
      </c>
      <c r="BX320" s="5">
        <f>+BV320-'Gen Fd BS'!AI320+BT320</f>
        <v>0</v>
      </c>
    </row>
    <row r="321" spans="1:76">
      <c r="A321" s="9" t="s">
        <v>705</v>
      </c>
      <c r="B321" s="9"/>
      <c r="C321" s="9" t="s">
        <v>50</v>
      </c>
      <c r="D321" s="9"/>
      <c r="E321" s="23">
        <v>48702</v>
      </c>
      <c r="G321" s="42">
        <v>13579010</v>
      </c>
      <c r="I321" s="42">
        <v>3113384</v>
      </c>
      <c r="K321" s="42">
        <v>1722061</v>
      </c>
      <c r="M321" s="42">
        <v>18771</v>
      </c>
      <c r="O321" s="42">
        <v>1463385</v>
      </c>
      <c r="Q321" s="42">
        <v>2512585</v>
      </c>
      <c r="S321" s="42">
        <v>2193282</v>
      </c>
      <c r="U321" s="42">
        <v>0</v>
      </c>
      <c r="W321" s="42">
        <f>91374+2426116</f>
        <v>2517490</v>
      </c>
      <c r="Y321" s="42">
        <v>569298</v>
      </c>
      <c r="AA321" s="42">
        <v>30</v>
      </c>
      <c r="AC321" s="42">
        <v>3602056</v>
      </c>
      <c r="AE321" s="42">
        <v>1660140</v>
      </c>
      <c r="AG321" s="42">
        <v>247937</v>
      </c>
      <c r="AI321" s="42">
        <v>0</v>
      </c>
      <c r="AK321" s="42">
        <v>3763</v>
      </c>
      <c r="AL321" s="9" t="s">
        <v>705</v>
      </c>
      <c r="AM321" s="9"/>
      <c r="AN321" s="9" t="s">
        <v>50</v>
      </c>
      <c r="AP321" s="42">
        <v>480623</v>
      </c>
      <c r="AR321" s="42">
        <v>2563</v>
      </c>
      <c r="AV321" s="42">
        <v>176758</v>
      </c>
      <c r="AX321" s="42">
        <v>61275</v>
      </c>
      <c r="AZ321" s="42">
        <v>0</v>
      </c>
      <c r="BB321" s="42">
        <f t="shared" ref="BB321:BB389" si="66">SUM(G321:AZ321)</f>
        <v>33924411</v>
      </c>
      <c r="BD321" s="42">
        <v>157759</v>
      </c>
      <c r="BF321" s="42">
        <v>0</v>
      </c>
      <c r="BH321" s="42">
        <v>0</v>
      </c>
      <c r="BJ321" s="42">
        <v>0</v>
      </c>
      <c r="BL321" s="42">
        <f t="shared" ref="BL321:BL389" si="67">+BB321+BD321+BF321+BJ321</f>
        <v>34082170</v>
      </c>
      <c r="BN321" s="42">
        <f>+'Gen Fd Rev'!AM321-'Gen Fd Exp'!BL321</f>
        <v>1593859</v>
      </c>
      <c r="BP321" s="42">
        <v>7435153</v>
      </c>
      <c r="BR321" s="42">
        <v>0</v>
      </c>
      <c r="BT321" s="42">
        <v>0</v>
      </c>
      <c r="BV321" s="42">
        <f t="shared" si="64"/>
        <v>9029012</v>
      </c>
      <c r="BX321" s="5">
        <f>+BV321-'Gen Fd BS'!AI321+BT321</f>
        <v>0</v>
      </c>
    </row>
    <row r="322" spans="1:76">
      <c r="A322" s="9" t="s">
        <v>323</v>
      </c>
      <c r="B322" s="9"/>
      <c r="C322" s="9" t="s">
        <v>32</v>
      </c>
      <c r="D322" s="9"/>
      <c r="E322" s="23">
        <v>44289</v>
      </c>
      <c r="G322" s="42">
        <v>7732971</v>
      </c>
      <c r="I322" s="42">
        <v>1951246</v>
      </c>
      <c r="K322" s="42">
        <v>0</v>
      </c>
      <c r="M322" s="42">
        <v>0</v>
      </c>
      <c r="O322" s="42">
        <v>323977</v>
      </c>
      <c r="Q322" s="42">
        <v>1200098</v>
      </c>
      <c r="S322" s="42">
        <v>220750</v>
      </c>
      <c r="U322" s="42">
        <v>0</v>
      </c>
      <c r="W322" s="42">
        <f>46001+1169551</f>
        <v>1215552</v>
      </c>
      <c r="Y322" s="42">
        <v>541525</v>
      </c>
      <c r="AA322" s="42">
        <v>58021</v>
      </c>
      <c r="AC322" s="42">
        <v>1485000</v>
      </c>
      <c r="AE322" s="42">
        <v>826723</v>
      </c>
      <c r="AG322" s="42">
        <v>461187</v>
      </c>
      <c r="AI322" s="42">
        <v>0</v>
      </c>
      <c r="AK322" s="42">
        <v>377207</v>
      </c>
      <c r="AL322" s="9" t="s">
        <v>323</v>
      </c>
      <c r="AM322" s="9"/>
      <c r="AN322" s="9" t="s">
        <v>32</v>
      </c>
      <c r="AP322" s="42">
        <v>302054</v>
      </c>
      <c r="AR322" s="42">
        <v>7380</v>
      </c>
      <c r="AV322" s="42">
        <v>241201</v>
      </c>
      <c r="AX322" s="42">
        <v>7973</v>
      </c>
      <c r="AZ322" s="42">
        <v>0</v>
      </c>
      <c r="BB322" s="42">
        <f t="shared" si="66"/>
        <v>16952865</v>
      </c>
      <c r="BD322" s="42">
        <v>300000</v>
      </c>
      <c r="BF322" s="42">
        <v>0</v>
      </c>
      <c r="BH322" s="42">
        <v>0</v>
      </c>
      <c r="BJ322" s="42">
        <v>0</v>
      </c>
      <c r="BL322" s="42">
        <f t="shared" si="67"/>
        <v>17252865</v>
      </c>
      <c r="BN322" s="42">
        <f>+'Gen Fd Rev'!AM322-'Gen Fd Exp'!BL322</f>
        <v>1772910</v>
      </c>
      <c r="BP322" s="42">
        <v>8606878</v>
      </c>
      <c r="BR322" s="42">
        <v>0</v>
      </c>
      <c r="BT322" s="42">
        <v>0</v>
      </c>
      <c r="BV322" s="42">
        <f t="shared" si="64"/>
        <v>10379788</v>
      </c>
      <c r="BX322" s="5">
        <f>+BV322-'Gen Fd BS'!AI322+BT322</f>
        <v>0</v>
      </c>
    </row>
    <row r="323" spans="1:76">
      <c r="A323" s="9" t="s">
        <v>223</v>
      </c>
      <c r="B323" s="9"/>
      <c r="C323" s="9" t="s">
        <v>220</v>
      </c>
      <c r="D323" s="9"/>
      <c r="E323" s="23">
        <v>46128</v>
      </c>
      <c r="F323" s="7"/>
      <c r="G323" s="42">
        <v>5576456</v>
      </c>
      <c r="I323" s="42">
        <v>817315</v>
      </c>
      <c r="K323" s="42">
        <v>0</v>
      </c>
      <c r="M323" s="42">
        <v>0</v>
      </c>
      <c r="O323" s="42">
        <v>492247</v>
      </c>
      <c r="Q323" s="42">
        <v>599079</v>
      </c>
      <c r="S323" s="42">
        <v>547982</v>
      </c>
      <c r="U323" s="42">
        <v>0</v>
      </c>
      <c r="W323" s="42">
        <f>69392+961985</f>
        <v>1031377</v>
      </c>
      <c r="Y323" s="42">
        <v>236645</v>
      </c>
      <c r="AA323" s="42">
        <v>1770</v>
      </c>
      <c r="AC323" s="42">
        <v>1298170</v>
      </c>
      <c r="AE323" s="42">
        <v>1067647</v>
      </c>
      <c r="AG323" s="42">
        <v>296968</v>
      </c>
      <c r="AI323" s="42">
        <v>0</v>
      </c>
      <c r="AK323" s="42">
        <v>40582</v>
      </c>
      <c r="AL323" s="9" t="s">
        <v>223</v>
      </c>
      <c r="AM323" s="9"/>
      <c r="AN323" s="9" t="s">
        <v>220</v>
      </c>
      <c r="AP323" s="42">
        <v>310447</v>
      </c>
      <c r="AR323" s="42">
        <v>0</v>
      </c>
      <c r="AV323" s="42">
        <v>0</v>
      </c>
      <c r="AX323" s="42">
        <v>0</v>
      </c>
      <c r="AZ323" s="42">
        <v>0</v>
      </c>
      <c r="BB323" s="42">
        <f t="shared" si="66"/>
        <v>12316685</v>
      </c>
      <c r="BD323" s="42">
        <v>0</v>
      </c>
      <c r="BF323" s="42">
        <v>0</v>
      </c>
      <c r="BH323" s="42">
        <v>0</v>
      </c>
      <c r="BJ323" s="42">
        <v>0</v>
      </c>
      <c r="BL323" s="42">
        <f t="shared" si="67"/>
        <v>12316685</v>
      </c>
      <c r="BN323" s="42">
        <f>+'Gen Fd Rev'!AM323-'Gen Fd Exp'!BL323</f>
        <v>214973</v>
      </c>
      <c r="BP323" s="42">
        <v>1200096</v>
      </c>
      <c r="BR323" s="42">
        <v>0</v>
      </c>
      <c r="BT323" s="42">
        <v>0</v>
      </c>
      <c r="BV323" s="42">
        <f t="shared" ref="BV323:BV367" si="68">+BP323+BN323-BR323</f>
        <v>1415069</v>
      </c>
      <c r="BX323" s="5">
        <f>+BV323-'Gen Fd BS'!AI323+BT323</f>
        <v>0</v>
      </c>
    </row>
    <row r="324" spans="1:76" hidden="1">
      <c r="A324" s="9" t="s">
        <v>724</v>
      </c>
      <c r="B324" s="9"/>
      <c r="C324" s="9" t="s">
        <v>41</v>
      </c>
      <c r="D324" s="9"/>
      <c r="E324" s="23">
        <v>47886</v>
      </c>
      <c r="F324" s="7"/>
      <c r="G324" s="42">
        <v>0</v>
      </c>
      <c r="I324" s="42">
        <v>0</v>
      </c>
      <c r="K324" s="42">
        <v>0</v>
      </c>
      <c r="M324" s="42">
        <v>0</v>
      </c>
      <c r="O324" s="42">
        <v>0</v>
      </c>
      <c r="Q324" s="42">
        <v>0</v>
      </c>
      <c r="S324" s="42">
        <v>0</v>
      </c>
      <c r="U324" s="42">
        <v>0</v>
      </c>
      <c r="W324" s="42">
        <v>0</v>
      </c>
      <c r="Y324" s="42">
        <v>0</v>
      </c>
      <c r="AA324" s="42">
        <v>0</v>
      </c>
      <c r="AC324" s="42">
        <v>0</v>
      </c>
      <c r="AE324" s="42">
        <v>0</v>
      </c>
      <c r="AG324" s="42">
        <v>0</v>
      </c>
      <c r="AI324" s="42">
        <v>0</v>
      </c>
      <c r="AK324" s="42">
        <v>0</v>
      </c>
      <c r="AL324" s="9" t="s">
        <v>724</v>
      </c>
      <c r="AM324" s="9"/>
      <c r="AN324" s="9" t="s">
        <v>41</v>
      </c>
      <c r="AP324" s="42">
        <v>0</v>
      </c>
      <c r="AR324" s="42">
        <v>0</v>
      </c>
      <c r="AV324" s="42">
        <v>0</v>
      </c>
      <c r="AX324" s="42">
        <v>0</v>
      </c>
      <c r="AZ324" s="42">
        <v>0</v>
      </c>
      <c r="BB324" s="42">
        <f t="shared" si="66"/>
        <v>0</v>
      </c>
      <c r="BD324" s="42">
        <v>0</v>
      </c>
      <c r="BF324" s="42">
        <v>0</v>
      </c>
      <c r="BH324" s="42">
        <v>0</v>
      </c>
      <c r="BJ324" s="42">
        <v>0</v>
      </c>
      <c r="BL324" s="42">
        <f t="shared" si="67"/>
        <v>0</v>
      </c>
      <c r="BN324" s="42">
        <f>+'Gen Fd Rev'!AM324-'Gen Fd Exp'!BL324</f>
        <v>0</v>
      </c>
      <c r="BP324" s="42">
        <v>0</v>
      </c>
      <c r="BR324" s="42">
        <v>0</v>
      </c>
      <c r="BT324" s="42">
        <v>0</v>
      </c>
      <c r="BV324" s="42">
        <f t="shared" si="68"/>
        <v>0</v>
      </c>
      <c r="BX324" s="5">
        <f>+BV324-'Gen Fd BS'!AI324+BT324</f>
        <v>0</v>
      </c>
    </row>
    <row r="325" spans="1:76">
      <c r="A325" s="9" t="s">
        <v>223</v>
      </c>
      <c r="B325" s="9"/>
      <c r="C325" s="9" t="s">
        <v>109</v>
      </c>
      <c r="D325" s="9"/>
      <c r="E325" s="23">
        <v>49452</v>
      </c>
      <c r="G325" s="42">
        <v>11914907</v>
      </c>
      <c r="I325" s="42">
        <v>2920802</v>
      </c>
      <c r="K325" s="42">
        <v>2427959</v>
      </c>
      <c r="M325" s="42">
        <v>0</v>
      </c>
      <c r="O325" s="42">
        <v>2797943</v>
      </c>
      <c r="Q325" s="42">
        <v>1033133</v>
      </c>
      <c r="S325" s="42">
        <v>1165348</v>
      </c>
      <c r="U325" s="42">
        <v>35758</v>
      </c>
      <c r="W325" s="42">
        <v>2200573</v>
      </c>
      <c r="Y325" s="42">
        <v>645847</v>
      </c>
      <c r="AA325" s="42">
        <v>79567</v>
      </c>
      <c r="AC325" s="42">
        <v>2660679</v>
      </c>
      <c r="AE325" s="42">
        <v>1673917</v>
      </c>
      <c r="AG325" s="42">
        <v>230861</v>
      </c>
      <c r="AI325" s="42">
        <v>0</v>
      </c>
      <c r="AK325" s="42">
        <v>0</v>
      </c>
      <c r="AL325" s="9" t="s">
        <v>223</v>
      </c>
      <c r="AM325" s="9"/>
      <c r="AN325" s="9" t="s">
        <v>109</v>
      </c>
      <c r="AP325" s="42">
        <v>437086</v>
      </c>
      <c r="AR325" s="42">
        <f>223788+77100</f>
        <v>300888</v>
      </c>
      <c r="AV325" s="42">
        <v>10439</v>
      </c>
      <c r="AX325" s="42">
        <v>0</v>
      </c>
      <c r="AZ325" s="42">
        <v>0</v>
      </c>
      <c r="BB325" s="42">
        <f t="shared" si="66"/>
        <v>30535707</v>
      </c>
      <c r="BD325" s="42">
        <v>25000</v>
      </c>
      <c r="BF325" s="42">
        <v>0</v>
      </c>
      <c r="BH325" s="42">
        <v>0</v>
      </c>
      <c r="BJ325" s="42">
        <v>0</v>
      </c>
      <c r="BL325" s="42">
        <f t="shared" si="67"/>
        <v>30560707</v>
      </c>
      <c r="BN325" s="42">
        <f>+'Gen Fd Rev'!AM325-'Gen Fd Exp'!BL325</f>
        <v>-1242222</v>
      </c>
      <c r="BP325" s="42">
        <v>4792325</v>
      </c>
      <c r="BR325" s="42">
        <v>0</v>
      </c>
      <c r="BT325" s="42">
        <v>0</v>
      </c>
      <c r="BV325" s="42">
        <f t="shared" si="68"/>
        <v>3550103</v>
      </c>
      <c r="BX325" s="5">
        <f>+BV325-'Gen Fd BS'!AI325+BT325</f>
        <v>0</v>
      </c>
    </row>
    <row r="326" spans="1:76">
      <c r="A326" s="9" t="s">
        <v>688</v>
      </c>
      <c r="B326" s="9"/>
      <c r="C326" s="9" t="s">
        <v>395</v>
      </c>
      <c r="D326" s="9"/>
      <c r="E326" s="23">
        <v>48272</v>
      </c>
      <c r="G326" s="42">
        <v>6314835</v>
      </c>
      <c r="I326" s="42">
        <v>630959</v>
      </c>
      <c r="K326" s="42">
        <v>462929</v>
      </c>
      <c r="M326" s="42">
        <v>0</v>
      </c>
      <c r="O326" s="42">
        <v>0</v>
      </c>
      <c r="Q326" s="42">
        <v>535824</v>
      </c>
      <c r="S326" s="42">
        <v>826716</v>
      </c>
      <c r="U326" s="42">
        <v>44519</v>
      </c>
      <c r="W326" s="42">
        <v>1215519</v>
      </c>
      <c r="Y326" s="42">
        <v>573793</v>
      </c>
      <c r="AA326" s="42">
        <v>116</v>
      </c>
      <c r="AC326" s="42">
        <v>794200</v>
      </c>
      <c r="AE326" s="42">
        <v>1018092</v>
      </c>
      <c r="AG326" s="42">
        <v>280445</v>
      </c>
      <c r="AI326" s="42">
        <v>0</v>
      </c>
      <c r="AK326" s="42">
        <v>0</v>
      </c>
      <c r="AL326" s="9" t="s">
        <v>688</v>
      </c>
      <c r="AM326" s="9"/>
      <c r="AN326" s="9" t="s">
        <v>395</v>
      </c>
      <c r="AP326" s="42">
        <v>335954</v>
      </c>
      <c r="AR326" s="42">
        <v>26294</v>
      </c>
      <c r="AV326" s="42">
        <v>22941</v>
      </c>
      <c r="AX326" s="42">
        <v>5661</v>
      </c>
      <c r="AZ326" s="42">
        <v>0</v>
      </c>
      <c r="BB326" s="42">
        <f t="shared" si="66"/>
        <v>13088797</v>
      </c>
      <c r="BD326" s="42">
        <v>68516</v>
      </c>
      <c r="BF326" s="42">
        <v>0</v>
      </c>
      <c r="BH326" s="42">
        <v>0</v>
      </c>
      <c r="BJ326" s="42">
        <v>0</v>
      </c>
      <c r="BL326" s="42">
        <f t="shared" si="67"/>
        <v>13157313</v>
      </c>
      <c r="BN326" s="42">
        <f>+'Gen Fd Rev'!AM326-'Gen Fd Exp'!BL326</f>
        <v>-143020</v>
      </c>
      <c r="BP326" s="42">
        <v>6349359</v>
      </c>
      <c r="BR326" s="42">
        <v>0</v>
      </c>
      <c r="BT326" s="42">
        <v>0</v>
      </c>
      <c r="BV326" s="42">
        <f t="shared" si="68"/>
        <v>6206339</v>
      </c>
      <c r="BX326" s="5">
        <f>+BV326-'Gen Fd BS'!AI326+BT326</f>
        <v>0</v>
      </c>
    </row>
    <row r="327" spans="1:76">
      <c r="A327" s="9" t="s">
        <v>600</v>
      </c>
      <c r="B327" s="9"/>
      <c r="C327" s="9" t="s">
        <v>199</v>
      </c>
      <c r="D327" s="9"/>
      <c r="E327" s="54" t="s">
        <v>870</v>
      </c>
      <c r="G327" s="42">
        <v>3914512</v>
      </c>
      <c r="I327" s="42">
        <v>1103013</v>
      </c>
      <c r="K327" s="42">
        <v>592826</v>
      </c>
      <c r="M327" s="42">
        <v>0</v>
      </c>
      <c r="O327" s="42">
        <v>17551</v>
      </c>
      <c r="Q327" s="42">
        <v>403121</v>
      </c>
      <c r="S327" s="42">
        <v>343045</v>
      </c>
      <c r="U327" s="42">
        <v>41640</v>
      </c>
      <c r="W327" s="42">
        <v>702971</v>
      </c>
      <c r="Y327" s="42">
        <v>461752</v>
      </c>
      <c r="AA327" s="42">
        <v>0</v>
      </c>
      <c r="AC327" s="42">
        <v>876921</v>
      </c>
      <c r="AE327" s="42">
        <v>587098</v>
      </c>
      <c r="AG327" s="42">
        <v>117707</v>
      </c>
      <c r="AI327" s="42">
        <v>0</v>
      </c>
      <c r="AK327" s="42">
        <v>5049</v>
      </c>
      <c r="AL327" s="9" t="s">
        <v>600</v>
      </c>
      <c r="AM327" s="9"/>
      <c r="AN327" s="9" t="s">
        <v>199</v>
      </c>
      <c r="AP327" s="42">
        <v>152836</v>
      </c>
      <c r="AR327" s="42">
        <v>134635</v>
      </c>
      <c r="AV327" s="42">
        <v>34346</v>
      </c>
      <c r="AX327" s="42">
        <v>4127</v>
      </c>
      <c r="AZ327" s="42">
        <v>0</v>
      </c>
      <c r="BB327" s="42">
        <f t="shared" si="66"/>
        <v>9493150</v>
      </c>
      <c r="BD327" s="42">
        <v>1541452</v>
      </c>
      <c r="BF327" s="42">
        <v>0</v>
      </c>
      <c r="BH327" s="42">
        <v>0</v>
      </c>
      <c r="BJ327" s="42">
        <v>0</v>
      </c>
      <c r="BL327" s="42">
        <f t="shared" si="67"/>
        <v>11034602</v>
      </c>
      <c r="BN327" s="42">
        <f>+'Gen Fd Rev'!AM327-'Gen Fd Exp'!BL327</f>
        <v>2001818</v>
      </c>
      <c r="BP327" s="42">
        <v>3980007</v>
      </c>
      <c r="BR327" s="42">
        <v>0</v>
      </c>
      <c r="BT327" s="42">
        <v>0</v>
      </c>
      <c r="BV327" s="42">
        <f t="shared" si="68"/>
        <v>5981825</v>
      </c>
      <c r="BX327" s="5">
        <f>+BV327-'Gen Fd BS'!AI327+BT327</f>
        <v>0</v>
      </c>
    </row>
    <row r="328" spans="1:76" hidden="1">
      <c r="A328" s="9" t="s">
        <v>799</v>
      </c>
      <c r="B328" s="9"/>
      <c r="C328" s="9" t="s">
        <v>63</v>
      </c>
      <c r="D328" s="9"/>
      <c r="E328" s="54">
        <v>50005</v>
      </c>
      <c r="G328" s="42">
        <v>0</v>
      </c>
      <c r="I328" s="42">
        <v>0</v>
      </c>
      <c r="K328" s="42">
        <v>0</v>
      </c>
      <c r="M328" s="42">
        <v>0</v>
      </c>
      <c r="O328" s="42">
        <v>0</v>
      </c>
      <c r="Q328" s="42">
        <v>0</v>
      </c>
      <c r="S328" s="42">
        <v>0</v>
      </c>
      <c r="U328" s="42">
        <v>0</v>
      </c>
      <c r="W328" s="42">
        <v>0</v>
      </c>
      <c r="Y328" s="42">
        <v>0</v>
      </c>
      <c r="AA328" s="42">
        <v>0</v>
      </c>
      <c r="AC328" s="42">
        <v>0</v>
      </c>
      <c r="AE328" s="42">
        <v>0</v>
      </c>
      <c r="AG328" s="42">
        <v>0</v>
      </c>
      <c r="AI328" s="42">
        <v>0</v>
      </c>
      <c r="AK328" s="42">
        <v>0</v>
      </c>
      <c r="AL328" s="9" t="s">
        <v>799</v>
      </c>
      <c r="AM328" s="9"/>
      <c r="AN328" s="9" t="s">
        <v>63</v>
      </c>
      <c r="AP328" s="42">
        <v>0</v>
      </c>
      <c r="AR328" s="42">
        <v>0</v>
      </c>
      <c r="AV328" s="42">
        <v>0</v>
      </c>
      <c r="AX328" s="42">
        <v>0</v>
      </c>
      <c r="AZ328" s="42">
        <v>0</v>
      </c>
      <c r="BB328" s="42">
        <f t="shared" ref="BB328" si="69">SUM(G328:AZ328)</f>
        <v>0</v>
      </c>
      <c r="BD328" s="42">
        <v>0</v>
      </c>
      <c r="BF328" s="42">
        <v>0</v>
      </c>
      <c r="BH328" s="42">
        <v>0</v>
      </c>
      <c r="BJ328" s="42">
        <v>0</v>
      </c>
      <c r="BL328" s="42">
        <f t="shared" ref="BL328" si="70">+BB328+BD328+BF328+BJ328</f>
        <v>0</v>
      </c>
      <c r="BN328" s="42">
        <f>+'Gen Fd Rev'!AM328-'Gen Fd Exp'!BL328</f>
        <v>0</v>
      </c>
      <c r="BP328" s="42">
        <v>0</v>
      </c>
      <c r="BR328" s="42">
        <v>0</v>
      </c>
      <c r="BT328" s="42">
        <v>0</v>
      </c>
      <c r="BV328" s="42">
        <f t="shared" ref="BV328" si="71">+BP328+BN328-BR328</f>
        <v>0</v>
      </c>
      <c r="BX328" s="5">
        <f>+BV328-'Gen Fd BS'!AI328+BT328</f>
        <v>0</v>
      </c>
    </row>
    <row r="329" spans="1:76">
      <c r="A329" s="9" t="s">
        <v>466</v>
      </c>
      <c r="B329" s="9"/>
      <c r="C329" s="9" t="s">
        <v>109</v>
      </c>
      <c r="D329" s="9"/>
      <c r="E329" s="23">
        <v>44297</v>
      </c>
      <c r="G329" s="42">
        <v>16663549</v>
      </c>
      <c r="I329" s="42">
        <v>6483527</v>
      </c>
      <c r="K329" s="42">
        <v>1047341</v>
      </c>
      <c r="M329" s="42">
        <v>130190</v>
      </c>
      <c r="O329" s="42">
        <v>12696263</v>
      </c>
      <c r="Q329" s="42">
        <v>2964423</v>
      </c>
      <c r="S329" s="42">
        <v>2051057</v>
      </c>
      <c r="U329" s="42">
        <v>23502</v>
      </c>
      <c r="W329" s="42">
        <v>3091060</v>
      </c>
      <c r="Y329" s="42">
        <v>963147</v>
      </c>
      <c r="AA329" s="42">
        <v>408538</v>
      </c>
      <c r="AC329" s="42">
        <v>3938243</v>
      </c>
      <c r="AE329" s="42">
        <v>2096735</v>
      </c>
      <c r="AG329" s="42">
        <v>1618416</v>
      </c>
      <c r="AI329" s="42">
        <v>0</v>
      </c>
      <c r="AK329" s="42">
        <v>1580116</v>
      </c>
      <c r="AL329" s="9" t="s">
        <v>466</v>
      </c>
      <c r="AM329" s="9"/>
      <c r="AN329" s="9" t="s">
        <v>109</v>
      </c>
      <c r="AP329" s="42">
        <v>660292</v>
      </c>
      <c r="AR329" s="42">
        <v>0</v>
      </c>
      <c r="AV329" s="42">
        <v>0</v>
      </c>
      <c r="AX329" s="42">
        <v>27765</v>
      </c>
      <c r="AZ329" s="42">
        <v>30000</v>
      </c>
      <c r="BB329" s="42">
        <f t="shared" si="66"/>
        <v>56474164</v>
      </c>
      <c r="BD329" s="42">
        <v>250000</v>
      </c>
      <c r="BF329" s="42">
        <v>0</v>
      </c>
      <c r="BH329" s="42">
        <v>0</v>
      </c>
      <c r="BJ329" s="42">
        <v>0</v>
      </c>
      <c r="BL329" s="42">
        <f t="shared" si="67"/>
        <v>56724164</v>
      </c>
      <c r="BN329" s="42">
        <f>+'Gen Fd Rev'!AM329-'Gen Fd Exp'!BL329</f>
        <v>-503129</v>
      </c>
      <c r="BP329" s="42">
        <v>-166289</v>
      </c>
      <c r="BR329" s="42">
        <v>0</v>
      </c>
      <c r="BT329" s="42">
        <v>0</v>
      </c>
      <c r="BV329" s="42">
        <f t="shared" si="68"/>
        <v>-669418</v>
      </c>
      <c r="BX329" s="5">
        <f>+BV329-'Gen Fd BS'!AI329+BT329</f>
        <v>0</v>
      </c>
    </row>
    <row r="330" spans="1:76">
      <c r="A330" s="9" t="s">
        <v>716</v>
      </c>
      <c r="B330" s="9"/>
      <c r="C330" s="9" t="s">
        <v>20</v>
      </c>
      <c r="D330" s="9"/>
      <c r="E330" s="23">
        <v>44305</v>
      </c>
      <c r="G330" s="42">
        <v>16895803</v>
      </c>
      <c r="I330" s="42">
        <v>4180039</v>
      </c>
      <c r="K330" s="42">
        <v>1268843</v>
      </c>
      <c r="M330" s="42">
        <v>0</v>
      </c>
      <c r="O330" s="42">
        <v>129234</v>
      </c>
      <c r="Q330" s="42">
        <v>1742869</v>
      </c>
      <c r="S330" s="42">
        <v>466498</v>
      </c>
      <c r="U330" s="42">
        <v>68377</v>
      </c>
      <c r="W330" s="42">
        <v>3102407</v>
      </c>
      <c r="Y330" s="42">
        <v>1306853</v>
      </c>
      <c r="AA330" s="42">
        <v>435234</v>
      </c>
      <c r="AC330" s="42">
        <v>3722344</v>
      </c>
      <c r="AE330" s="42">
        <v>1295298</v>
      </c>
      <c r="AG330" s="42">
        <v>8818</v>
      </c>
      <c r="AI330" s="42">
        <v>1870</v>
      </c>
      <c r="AK330" s="42">
        <v>0</v>
      </c>
      <c r="AL330" s="9" t="s">
        <v>716</v>
      </c>
      <c r="AM330" s="9"/>
      <c r="AN330" s="9" t="s">
        <v>20</v>
      </c>
      <c r="AP330" s="42">
        <v>609193</v>
      </c>
      <c r="AR330" s="42">
        <v>26821</v>
      </c>
      <c r="AV330" s="42">
        <v>0</v>
      </c>
      <c r="AX330" s="42">
        <v>0</v>
      </c>
      <c r="AZ330" s="42">
        <v>0</v>
      </c>
      <c r="BB330" s="42">
        <f t="shared" si="66"/>
        <v>35260501</v>
      </c>
      <c r="BD330" s="42">
        <v>111301</v>
      </c>
      <c r="BF330" s="42">
        <v>0</v>
      </c>
      <c r="BH330" s="42">
        <v>0</v>
      </c>
      <c r="BJ330" s="42">
        <v>0</v>
      </c>
      <c r="BL330" s="42">
        <f t="shared" si="67"/>
        <v>35371802</v>
      </c>
      <c r="BN330" s="42">
        <f>+'Gen Fd Rev'!AM330-'Gen Fd Exp'!BL330</f>
        <v>1177265</v>
      </c>
      <c r="BP330" s="42">
        <v>-1537997</v>
      </c>
      <c r="BR330" s="42">
        <v>0</v>
      </c>
      <c r="BT330" s="42">
        <v>0</v>
      </c>
      <c r="BV330" s="42">
        <f t="shared" si="68"/>
        <v>-360732</v>
      </c>
      <c r="BX330" s="5">
        <f>+BV330-'Gen Fd BS'!AI330+BT330</f>
        <v>0</v>
      </c>
    </row>
    <row r="331" spans="1:76">
      <c r="A331" s="9" t="s">
        <v>204</v>
      </c>
      <c r="B331" s="9"/>
      <c r="C331" s="9" t="s">
        <v>11</v>
      </c>
      <c r="D331" s="9"/>
      <c r="E331" s="23">
        <v>45831</v>
      </c>
      <c r="G331" s="42">
        <v>3135801</v>
      </c>
      <c r="I331" s="42">
        <v>452528</v>
      </c>
      <c r="K331" s="42">
        <v>98111</v>
      </c>
      <c r="M331" s="42">
        <v>0</v>
      </c>
      <c r="O331" s="42">
        <v>888449</v>
      </c>
      <c r="Q331" s="42">
        <v>294865</v>
      </c>
      <c r="S331" s="42">
        <v>285251</v>
      </c>
      <c r="U331" s="42">
        <v>65469</v>
      </c>
      <c r="W331" s="42">
        <v>637532</v>
      </c>
      <c r="Y331" s="42">
        <v>287892</v>
      </c>
      <c r="AA331" s="42">
        <v>13023</v>
      </c>
      <c r="AC331" s="42">
        <v>606859</v>
      </c>
      <c r="AE331" s="42">
        <v>522966</v>
      </c>
      <c r="AG331" s="42">
        <v>203694</v>
      </c>
      <c r="AI331" s="42">
        <v>0</v>
      </c>
      <c r="AK331" s="42">
        <v>21400</v>
      </c>
      <c r="AL331" s="9" t="s">
        <v>204</v>
      </c>
      <c r="AM331" s="9"/>
      <c r="AN331" s="9" t="s">
        <v>11</v>
      </c>
      <c r="AP331" s="42">
        <v>185428</v>
      </c>
      <c r="AR331" s="42">
        <v>0</v>
      </c>
      <c r="AV331" s="42">
        <v>0</v>
      </c>
      <c r="AX331" s="42">
        <v>0</v>
      </c>
      <c r="AZ331" s="42">
        <v>0</v>
      </c>
      <c r="BB331" s="42">
        <f t="shared" si="66"/>
        <v>7699268</v>
      </c>
      <c r="BD331" s="42">
        <v>0</v>
      </c>
      <c r="BF331" s="42">
        <v>0</v>
      </c>
      <c r="BH331" s="42">
        <v>0</v>
      </c>
      <c r="BJ331" s="42">
        <v>0</v>
      </c>
      <c r="BL331" s="42">
        <f t="shared" si="67"/>
        <v>7699268</v>
      </c>
      <c r="BN331" s="42">
        <f>+'Gen Fd Rev'!AM331-'Gen Fd Exp'!BL331</f>
        <v>67095</v>
      </c>
      <c r="BP331" s="42">
        <v>1516889</v>
      </c>
      <c r="BR331" s="42">
        <v>0</v>
      </c>
      <c r="BT331" s="42">
        <v>0</v>
      </c>
      <c r="BV331" s="42">
        <f t="shared" si="68"/>
        <v>1583984</v>
      </c>
      <c r="BX331" s="5">
        <f>+BV331-'Gen Fd BS'!AI331+BT331</f>
        <v>0</v>
      </c>
    </row>
    <row r="332" spans="1:76">
      <c r="A332" s="9" t="s">
        <v>524</v>
      </c>
      <c r="B332" s="9"/>
      <c r="C332" s="9" t="s">
        <v>64</v>
      </c>
      <c r="D332" s="9"/>
      <c r="E332" s="23">
        <v>50211</v>
      </c>
      <c r="G332" s="42">
        <v>4307760</v>
      </c>
      <c r="I332" s="42">
        <v>448154</v>
      </c>
      <c r="K332" s="42">
        <v>79994</v>
      </c>
      <c r="M332" s="42">
        <v>0</v>
      </c>
      <c r="O332" s="42">
        <v>0</v>
      </c>
      <c r="Q332" s="42">
        <v>421864</v>
      </c>
      <c r="S332" s="42">
        <v>122007</v>
      </c>
      <c r="U332" s="42">
        <v>39376</v>
      </c>
      <c r="W332" s="42">
        <v>716313</v>
      </c>
      <c r="Y332" s="42">
        <v>331414</v>
      </c>
      <c r="AA332" s="42">
        <v>52816</v>
      </c>
      <c r="AC332" s="42">
        <v>891755</v>
      </c>
      <c r="AE332" s="42">
        <v>506192</v>
      </c>
      <c r="AG332" s="42">
        <v>60031</v>
      </c>
      <c r="AI332" s="42">
        <v>0</v>
      </c>
      <c r="AK332" s="42">
        <v>71025</v>
      </c>
      <c r="AL332" s="9" t="s">
        <v>524</v>
      </c>
      <c r="AM332" s="9"/>
      <c r="AN332" s="9" t="s">
        <v>64</v>
      </c>
      <c r="AP332" s="42">
        <v>198207</v>
      </c>
      <c r="AR332" s="42">
        <v>72833</v>
      </c>
      <c r="AV332" s="42">
        <v>0</v>
      </c>
      <c r="AX332" s="42">
        <v>0</v>
      </c>
      <c r="AZ332" s="42">
        <v>0</v>
      </c>
      <c r="BB332" s="42">
        <f t="shared" si="66"/>
        <v>8319741</v>
      </c>
      <c r="BD332" s="42">
        <v>0</v>
      </c>
      <c r="BF332" s="42">
        <v>0</v>
      </c>
      <c r="BH332" s="42">
        <v>0</v>
      </c>
      <c r="BJ332" s="42">
        <v>0</v>
      </c>
      <c r="BL332" s="42">
        <f t="shared" si="67"/>
        <v>8319741</v>
      </c>
      <c r="BN332" s="42">
        <f>+'Gen Fd Rev'!AM332-'Gen Fd Exp'!BL332</f>
        <v>282753</v>
      </c>
      <c r="BP332" s="42">
        <v>2220500</v>
      </c>
      <c r="BR332" s="42">
        <v>0</v>
      </c>
      <c r="BT332" s="42">
        <v>0</v>
      </c>
      <c r="BV332" s="42">
        <f t="shared" si="68"/>
        <v>2503253</v>
      </c>
      <c r="BX332" s="5">
        <f>+BV332-'Gen Fd BS'!AI332+BT332</f>
        <v>0</v>
      </c>
    </row>
    <row r="333" spans="1:76">
      <c r="A333" s="9" t="s">
        <v>286</v>
      </c>
      <c r="B333" s="9"/>
      <c r="C333" s="9" t="s">
        <v>24</v>
      </c>
      <c r="D333" s="9"/>
      <c r="E333" s="23">
        <v>46805</v>
      </c>
      <c r="G333" s="42">
        <v>4790620</v>
      </c>
      <c r="I333" s="42">
        <v>1082172</v>
      </c>
      <c r="K333" s="42">
        <v>217962</v>
      </c>
      <c r="M333" s="42">
        <v>0</v>
      </c>
      <c r="O333" s="42">
        <v>838435</v>
      </c>
      <c r="Q333" s="42">
        <v>541203</v>
      </c>
      <c r="S333" s="42">
        <v>864710</v>
      </c>
      <c r="U333" s="42">
        <v>165838</v>
      </c>
      <c r="W333" s="42">
        <v>977428</v>
      </c>
      <c r="Y333" s="42">
        <v>391946</v>
      </c>
      <c r="AA333" s="42">
        <v>0</v>
      </c>
      <c r="AC333" s="42">
        <v>1178701</v>
      </c>
      <c r="AE333" s="42">
        <v>1059796</v>
      </c>
      <c r="AG333" s="42">
        <v>63300</v>
      </c>
      <c r="AI333" s="42">
        <v>0</v>
      </c>
      <c r="AK333" s="42">
        <v>141288</v>
      </c>
      <c r="AL333" s="9" t="s">
        <v>286</v>
      </c>
      <c r="AM333" s="9"/>
      <c r="AN333" s="9" t="s">
        <v>24</v>
      </c>
      <c r="AP333" s="42">
        <v>263234</v>
      </c>
      <c r="AR333" s="42">
        <v>0</v>
      </c>
      <c r="AV333" s="42">
        <v>100000</v>
      </c>
      <c r="AX333" s="42">
        <v>103484</v>
      </c>
      <c r="AZ333" s="42">
        <v>0</v>
      </c>
      <c r="BB333" s="42">
        <f t="shared" si="66"/>
        <v>12780117</v>
      </c>
      <c r="BD333" s="42">
        <v>22458</v>
      </c>
      <c r="BF333" s="42">
        <v>0</v>
      </c>
      <c r="BH333" s="42">
        <v>0</v>
      </c>
      <c r="BJ333" s="42">
        <v>0</v>
      </c>
      <c r="BL333" s="42">
        <f t="shared" si="67"/>
        <v>12802575</v>
      </c>
      <c r="BN333" s="42">
        <f>+'Gen Fd Rev'!AM333-'Gen Fd Exp'!BL333</f>
        <v>628857</v>
      </c>
      <c r="BP333" s="42">
        <v>751735</v>
      </c>
      <c r="BR333" s="42">
        <v>0</v>
      </c>
      <c r="BT333" s="42">
        <v>0</v>
      </c>
      <c r="BV333" s="42">
        <f t="shared" si="68"/>
        <v>1380592</v>
      </c>
      <c r="BX333" s="5">
        <f>+BV333-'Gen Fd BS'!AI333+BT333</f>
        <v>0</v>
      </c>
    </row>
    <row r="334" spans="1:76">
      <c r="A334" s="9" t="s">
        <v>324</v>
      </c>
      <c r="B334" s="9"/>
      <c r="C334" s="9" t="s">
        <v>32</v>
      </c>
      <c r="D334" s="9"/>
      <c r="E334" s="23">
        <v>44313</v>
      </c>
      <c r="F334" s="7"/>
      <c r="G334" s="42">
        <v>10007018</v>
      </c>
      <c r="I334" s="42">
        <v>1279327</v>
      </c>
      <c r="K334" s="42">
        <v>0</v>
      </c>
      <c r="M334" s="42">
        <v>366</v>
      </c>
      <c r="O334" s="42">
        <v>92964</v>
      </c>
      <c r="Q334" s="42">
        <v>1246764</v>
      </c>
      <c r="S334" s="42">
        <v>1440592</v>
      </c>
      <c r="U334" s="42">
        <v>0</v>
      </c>
      <c r="W334" s="42">
        <f>18255+1537054</f>
        <v>1555309</v>
      </c>
      <c r="Y334" s="42">
        <v>534991</v>
      </c>
      <c r="AA334" s="42">
        <v>1821</v>
      </c>
      <c r="AC334" s="42">
        <v>2263588</v>
      </c>
      <c r="AE334" s="42">
        <v>890230</v>
      </c>
      <c r="AG334" s="42">
        <v>364964</v>
      </c>
      <c r="AI334" s="42">
        <v>0</v>
      </c>
      <c r="AK334" s="42">
        <v>0</v>
      </c>
      <c r="AL334" s="9" t="s">
        <v>324</v>
      </c>
      <c r="AM334" s="9"/>
      <c r="AN334" s="9" t="s">
        <v>32</v>
      </c>
      <c r="AP334" s="42">
        <v>511672</v>
      </c>
      <c r="AR334" s="42">
        <v>435222</v>
      </c>
      <c r="AV334" s="42">
        <v>225033</v>
      </c>
      <c r="AX334" s="42">
        <v>116029</v>
      </c>
      <c r="AZ334" s="42">
        <v>0</v>
      </c>
      <c r="BB334" s="42">
        <f t="shared" si="66"/>
        <v>20965890</v>
      </c>
      <c r="BD334" s="42">
        <v>359520</v>
      </c>
      <c r="BF334" s="42">
        <v>0</v>
      </c>
      <c r="BH334" s="42">
        <v>0</v>
      </c>
      <c r="BJ334" s="42">
        <v>0</v>
      </c>
      <c r="BL334" s="42">
        <f t="shared" si="67"/>
        <v>21325410</v>
      </c>
      <c r="BN334" s="42">
        <f>+'Gen Fd Rev'!AM334-'Gen Fd Exp'!BL334</f>
        <v>-653781</v>
      </c>
      <c r="BP334" s="42">
        <v>10929066</v>
      </c>
      <c r="BR334" s="42">
        <v>0</v>
      </c>
      <c r="BT334" s="42">
        <v>0</v>
      </c>
      <c r="BV334" s="42">
        <f t="shared" si="68"/>
        <v>10275285</v>
      </c>
      <c r="BX334" s="5">
        <f>+BV334-'Gen Fd BS'!AI334+BT334</f>
        <v>0</v>
      </c>
    </row>
    <row r="335" spans="1:76" hidden="1">
      <c r="A335" s="9" t="s">
        <v>607</v>
      </c>
      <c r="B335" s="9"/>
      <c r="C335" s="9" t="s">
        <v>70</v>
      </c>
      <c r="D335" s="9"/>
      <c r="E335" s="23">
        <v>44321</v>
      </c>
      <c r="G335" s="42">
        <v>0</v>
      </c>
      <c r="I335" s="42">
        <v>0</v>
      </c>
      <c r="K335" s="42">
        <v>0</v>
      </c>
      <c r="M335" s="42">
        <v>0</v>
      </c>
      <c r="O335" s="42">
        <v>0</v>
      </c>
      <c r="Q335" s="42">
        <v>0</v>
      </c>
      <c r="S335" s="42">
        <v>0</v>
      </c>
      <c r="U335" s="42">
        <v>0</v>
      </c>
      <c r="W335" s="42">
        <v>0</v>
      </c>
      <c r="Y335" s="42">
        <v>0</v>
      </c>
      <c r="AA335" s="42">
        <v>0</v>
      </c>
      <c r="AC335" s="42">
        <v>0</v>
      </c>
      <c r="AE335" s="42">
        <v>0</v>
      </c>
      <c r="AG335" s="42">
        <v>0</v>
      </c>
      <c r="AI335" s="42">
        <v>0</v>
      </c>
      <c r="AK335" s="42">
        <v>0</v>
      </c>
      <c r="AL335" s="9" t="s">
        <v>607</v>
      </c>
      <c r="AM335" s="9"/>
      <c r="AN335" s="9" t="s">
        <v>70</v>
      </c>
      <c r="AP335" s="42">
        <v>0</v>
      </c>
      <c r="AR335" s="42">
        <v>0</v>
      </c>
      <c r="AV335" s="42">
        <v>0</v>
      </c>
      <c r="AX335" s="42">
        <v>0</v>
      </c>
      <c r="AZ335" s="42">
        <v>0</v>
      </c>
      <c r="BB335" s="42">
        <f t="shared" si="66"/>
        <v>0</v>
      </c>
      <c r="BD335" s="42">
        <v>0</v>
      </c>
      <c r="BF335" s="42">
        <v>0</v>
      </c>
      <c r="BH335" s="42">
        <v>0</v>
      </c>
      <c r="BJ335" s="42">
        <v>0</v>
      </c>
      <c r="BL335" s="42">
        <f t="shared" si="67"/>
        <v>0</v>
      </c>
      <c r="BN335" s="42">
        <f>+'Gen Fd Rev'!AM335-'Gen Fd Exp'!BL335</f>
        <v>0</v>
      </c>
      <c r="BP335" s="42">
        <v>0</v>
      </c>
      <c r="BR335" s="42">
        <v>0</v>
      </c>
      <c r="BT335" s="42">
        <v>0</v>
      </c>
      <c r="BV335" s="42">
        <f t="shared" si="68"/>
        <v>0</v>
      </c>
      <c r="BX335" s="5">
        <f>+BV335-'Gen Fd BS'!AI335+BT335</f>
        <v>0</v>
      </c>
    </row>
    <row r="336" spans="1:76">
      <c r="A336" s="9" t="s">
        <v>407</v>
      </c>
      <c r="B336" s="9"/>
      <c r="C336" s="9" t="s">
        <v>46</v>
      </c>
      <c r="D336" s="9"/>
      <c r="E336" s="23">
        <v>44339</v>
      </c>
      <c r="G336" s="42">
        <v>28584288</v>
      </c>
      <c r="I336" s="42">
        <v>0</v>
      </c>
      <c r="K336" s="42">
        <v>0</v>
      </c>
      <c r="M336" s="42">
        <v>0</v>
      </c>
      <c r="O336" s="42">
        <v>0</v>
      </c>
      <c r="Q336" s="42">
        <v>2647743</v>
      </c>
      <c r="S336" s="42">
        <v>1340252</v>
      </c>
      <c r="U336" s="42">
        <v>62276</v>
      </c>
      <c r="W336" s="42">
        <v>3727677</v>
      </c>
      <c r="Y336" s="42">
        <v>701222</v>
      </c>
      <c r="AA336" s="42">
        <v>384567</v>
      </c>
      <c r="AC336" s="42">
        <v>3876700</v>
      </c>
      <c r="AE336" s="42">
        <v>1141506</v>
      </c>
      <c r="AG336" s="42">
        <v>183478</v>
      </c>
      <c r="AI336" s="42">
        <v>0</v>
      </c>
      <c r="AK336" s="42">
        <v>2960952</v>
      </c>
      <c r="AL336" s="9" t="s">
        <v>407</v>
      </c>
      <c r="AM336" s="9"/>
      <c r="AN336" s="9" t="s">
        <v>46</v>
      </c>
      <c r="AP336" s="42">
        <v>594757</v>
      </c>
      <c r="AR336" s="42">
        <v>324781</v>
      </c>
      <c r="AV336" s="42">
        <v>211010</v>
      </c>
      <c r="AX336" s="42">
        <v>86924</v>
      </c>
      <c r="AZ336" s="42">
        <v>0</v>
      </c>
      <c r="BB336" s="42">
        <f t="shared" si="66"/>
        <v>46828133</v>
      </c>
      <c r="BD336" s="42">
        <v>50000</v>
      </c>
      <c r="BF336" s="42">
        <v>0</v>
      </c>
      <c r="BH336" s="42">
        <v>0</v>
      </c>
      <c r="BJ336" s="42">
        <v>0</v>
      </c>
      <c r="BL336" s="42">
        <f t="shared" si="67"/>
        <v>46878133</v>
      </c>
      <c r="BN336" s="42">
        <f>+'Gen Fd Rev'!AM336-'Gen Fd Exp'!BL336</f>
        <v>-1589089</v>
      </c>
      <c r="BP336" s="42">
        <v>13722038</v>
      </c>
      <c r="BR336" s="42">
        <v>0</v>
      </c>
      <c r="BT336" s="42">
        <v>0</v>
      </c>
      <c r="BV336" s="42">
        <f t="shared" si="68"/>
        <v>12132949</v>
      </c>
      <c r="BX336" s="5">
        <f>+BV336-'Gen Fd BS'!AI336+BT336</f>
        <v>0</v>
      </c>
    </row>
    <row r="337" spans="1:76" hidden="1">
      <c r="A337" s="9" t="s">
        <v>680</v>
      </c>
      <c r="B337" s="9"/>
      <c r="C337" s="9" t="s">
        <v>419</v>
      </c>
      <c r="D337" s="9"/>
      <c r="E337" s="23">
        <v>48553</v>
      </c>
      <c r="G337" s="42">
        <v>0</v>
      </c>
      <c r="I337" s="42">
        <v>0</v>
      </c>
      <c r="K337" s="42">
        <v>0</v>
      </c>
      <c r="M337" s="42">
        <v>0</v>
      </c>
      <c r="O337" s="42">
        <v>0</v>
      </c>
      <c r="Q337" s="42">
        <v>0</v>
      </c>
      <c r="S337" s="42">
        <v>0</v>
      </c>
      <c r="U337" s="42">
        <v>0</v>
      </c>
      <c r="W337" s="42">
        <v>0</v>
      </c>
      <c r="Y337" s="42">
        <v>0</v>
      </c>
      <c r="AA337" s="42">
        <v>0</v>
      </c>
      <c r="AC337" s="42">
        <v>0</v>
      </c>
      <c r="AE337" s="42">
        <v>0</v>
      </c>
      <c r="AG337" s="42">
        <v>0</v>
      </c>
      <c r="AI337" s="42">
        <v>0</v>
      </c>
      <c r="AK337" s="42">
        <v>0</v>
      </c>
      <c r="AL337" s="9" t="s">
        <v>680</v>
      </c>
      <c r="AM337" s="9"/>
      <c r="AN337" s="9" t="s">
        <v>419</v>
      </c>
      <c r="AP337" s="42">
        <v>0</v>
      </c>
      <c r="AR337" s="42">
        <v>0</v>
      </c>
      <c r="AV337" s="42">
        <v>0</v>
      </c>
      <c r="AX337" s="42">
        <v>0</v>
      </c>
      <c r="AZ337" s="42">
        <v>0</v>
      </c>
      <c r="BB337" s="42">
        <f t="shared" si="66"/>
        <v>0</v>
      </c>
      <c r="BD337" s="42">
        <v>0</v>
      </c>
      <c r="BF337" s="42">
        <v>0</v>
      </c>
      <c r="BH337" s="42">
        <v>0</v>
      </c>
      <c r="BJ337" s="42">
        <v>0</v>
      </c>
      <c r="BL337" s="42">
        <f t="shared" si="67"/>
        <v>0</v>
      </c>
      <c r="BN337" s="42">
        <f>+'Gen Fd Rev'!AM337-'Gen Fd Exp'!BL337</f>
        <v>0</v>
      </c>
      <c r="BP337" s="42">
        <v>0</v>
      </c>
      <c r="BR337" s="42">
        <v>0</v>
      </c>
      <c r="BT337" s="42">
        <v>0</v>
      </c>
      <c r="BV337" s="42">
        <f t="shared" si="68"/>
        <v>0</v>
      </c>
      <c r="BX337" s="5">
        <f>+BV337-'Gen Fd BS'!AI337+BT337</f>
        <v>0</v>
      </c>
    </row>
    <row r="338" spans="1:76">
      <c r="A338" s="9" t="s">
        <v>496</v>
      </c>
      <c r="B338" s="9"/>
      <c r="C338" s="9" t="s">
        <v>62</v>
      </c>
      <c r="D338" s="9"/>
      <c r="E338" s="23">
        <v>49882</v>
      </c>
      <c r="G338" s="42">
        <v>8580148</v>
      </c>
      <c r="I338" s="42">
        <v>2250987</v>
      </c>
      <c r="K338" s="42">
        <v>810858</v>
      </c>
      <c r="M338" s="42">
        <v>0</v>
      </c>
      <c r="O338" s="42">
        <v>1370682</v>
      </c>
      <c r="Q338" s="42">
        <v>763501</v>
      </c>
      <c r="S338" s="42">
        <v>1228495</v>
      </c>
      <c r="U338" s="42">
        <v>22412</v>
      </c>
      <c r="W338" s="42">
        <v>1920956</v>
      </c>
      <c r="Y338" s="42">
        <v>615649</v>
      </c>
      <c r="AA338" s="42">
        <v>72649</v>
      </c>
      <c r="AC338" s="42">
        <v>1867636</v>
      </c>
      <c r="AE338" s="42">
        <v>1369844</v>
      </c>
      <c r="AG338" s="42">
        <v>85416</v>
      </c>
      <c r="AI338" s="42">
        <v>0</v>
      </c>
      <c r="AK338" s="42">
        <v>0</v>
      </c>
      <c r="AL338" s="9" t="s">
        <v>496</v>
      </c>
      <c r="AM338" s="9"/>
      <c r="AN338" s="9" t="s">
        <v>62</v>
      </c>
      <c r="AP338" s="42">
        <v>673770</v>
      </c>
      <c r="AR338" s="42">
        <v>0</v>
      </c>
      <c r="AV338" s="42">
        <v>15701</v>
      </c>
      <c r="AX338" s="42">
        <v>0</v>
      </c>
      <c r="AZ338" s="42">
        <v>0</v>
      </c>
      <c r="BB338" s="42">
        <f t="shared" si="66"/>
        <v>21648704</v>
      </c>
      <c r="BD338" s="42">
        <v>0</v>
      </c>
      <c r="BF338" s="42">
        <v>0</v>
      </c>
      <c r="BH338" s="42">
        <v>0</v>
      </c>
      <c r="BJ338" s="42">
        <v>0</v>
      </c>
      <c r="BL338" s="42">
        <f t="shared" si="67"/>
        <v>21648704</v>
      </c>
      <c r="BN338" s="42">
        <f>+'Gen Fd Rev'!AM338-'Gen Fd Exp'!BL338</f>
        <v>-1124652</v>
      </c>
      <c r="BP338" s="42">
        <v>7159559</v>
      </c>
      <c r="BR338" s="42">
        <v>0</v>
      </c>
      <c r="BT338" s="42">
        <v>0</v>
      </c>
      <c r="BV338" s="42">
        <f t="shared" si="68"/>
        <v>6034907</v>
      </c>
      <c r="BX338" s="5">
        <f>+BV338-'Gen Fd BS'!AI338+BT338</f>
        <v>0</v>
      </c>
    </row>
    <row r="339" spans="1:76">
      <c r="A339" s="9" t="s">
        <v>215</v>
      </c>
      <c r="B339" s="9"/>
      <c r="C339" s="9" t="s">
        <v>15</v>
      </c>
      <c r="D339" s="9"/>
      <c r="E339" s="23">
        <v>44347</v>
      </c>
      <c r="G339" s="42">
        <v>4930439</v>
      </c>
      <c r="I339" s="42">
        <v>765447</v>
      </c>
      <c r="K339" s="42">
        <v>336159</v>
      </c>
      <c r="M339" s="42">
        <v>0</v>
      </c>
      <c r="O339" s="42">
        <v>72812</v>
      </c>
      <c r="Q339" s="42">
        <v>579642</v>
      </c>
      <c r="S339" s="42">
        <v>482957</v>
      </c>
      <c r="U339" s="42">
        <v>39520</v>
      </c>
      <c r="W339" s="42">
        <v>1050669</v>
      </c>
      <c r="Y339" s="42">
        <v>320821</v>
      </c>
      <c r="AA339" s="42">
        <v>0</v>
      </c>
      <c r="AC339" s="42">
        <v>1078948</v>
      </c>
      <c r="AE339" s="42">
        <v>777635</v>
      </c>
      <c r="AG339" s="42">
        <v>57886</v>
      </c>
      <c r="AI339" s="42">
        <v>0</v>
      </c>
      <c r="AK339" s="42">
        <v>0</v>
      </c>
      <c r="AL339" s="9" t="s">
        <v>215</v>
      </c>
      <c r="AM339" s="9"/>
      <c r="AN339" s="9" t="s">
        <v>15</v>
      </c>
      <c r="AP339" s="42">
        <v>272266</v>
      </c>
      <c r="AR339" s="42">
        <v>97803</v>
      </c>
      <c r="AV339" s="42">
        <v>156163</v>
      </c>
      <c r="AX339" s="42">
        <v>134546</v>
      </c>
      <c r="AZ339" s="42">
        <v>0</v>
      </c>
      <c r="BB339" s="42">
        <f t="shared" si="66"/>
        <v>11153713</v>
      </c>
      <c r="BD339" s="42">
        <v>1425357</v>
      </c>
      <c r="BF339" s="42">
        <v>0</v>
      </c>
      <c r="BH339" s="42">
        <v>0</v>
      </c>
      <c r="BJ339" s="42">
        <v>0</v>
      </c>
      <c r="BL339" s="42">
        <f t="shared" si="67"/>
        <v>12579070</v>
      </c>
      <c r="BN339" s="42">
        <f>+'Gen Fd Rev'!AM339-'Gen Fd Exp'!BL339</f>
        <v>469288</v>
      </c>
      <c r="BP339" s="42">
        <v>-685094</v>
      </c>
      <c r="BR339" s="42">
        <v>0</v>
      </c>
      <c r="BT339" s="42">
        <v>0</v>
      </c>
      <c r="BV339" s="42">
        <f t="shared" si="68"/>
        <v>-215806</v>
      </c>
      <c r="BX339" s="5">
        <f>+BV339-'Gen Fd BS'!AI339+BT339</f>
        <v>0</v>
      </c>
    </row>
    <row r="340" spans="1:76">
      <c r="A340" s="9" t="s">
        <v>761</v>
      </c>
      <c r="B340" s="9"/>
      <c r="C340" s="9" t="s">
        <v>66</v>
      </c>
      <c r="D340" s="9"/>
      <c r="E340" s="23">
        <v>45476</v>
      </c>
      <c r="G340" s="42">
        <v>21054801</v>
      </c>
      <c r="I340" s="42">
        <v>4728976</v>
      </c>
      <c r="K340" s="42">
        <v>619670</v>
      </c>
      <c r="M340" s="42">
        <v>0</v>
      </c>
      <c r="O340" s="42">
        <v>542203</v>
      </c>
      <c r="Q340" s="42">
        <v>3387438</v>
      </c>
      <c r="S340" s="42">
        <v>3323857</v>
      </c>
      <c r="U340" s="42">
        <v>187751</v>
      </c>
      <c r="W340" s="42">
        <v>3228140</v>
      </c>
      <c r="Y340" s="42">
        <v>1007771</v>
      </c>
      <c r="AA340" s="42">
        <v>559855</v>
      </c>
      <c r="AC340" s="42">
        <v>4099160</v>
      </c>
      <c r="AE340" s="42">
        <v>1999993</v>
      </c>
      <c r="AG340" s="42">
        <v>507201</v>
      </c>
      <c r="AI340" s="42">
        <v>0</v>
      </c>
      <c r="AK340" s="42">
        <v>22232</v>
      </c>
      <c r="AL340" s="9" t="s">
        <v>761</v>
      </c>
      <c r="AM340" s="9"/>
      <c r="AN340" s="9" t="s">
        <v>66</v>
      </c>
      <c r="AP340" s="42">
        <v>725497</v>
      </c>
      <c r="AR340" s="42">
        <v>0</v>
      </c>
      <c r="AV340" s="42">
        <v>80000</v>
      </c>
      <c r="AX340" s="42">
        <v>8245</v>
      </c>
      <c r="AZ340" s="42">
        <v>0</v>
      </c>
      <c r="BB340" s="42">
        <f t="shared" si="66"/>
        <v>46082790</v>
      </c>
      <c r="BD340" s="42">
        <v>75045</v>
      </c>
      <c r="BF340" s="42">
        <v>0</v>
      </c>
      <c r="BH340" s="42">
        <v>0</v>
      </c>
      <c r="BJ340" s="42">
        <v>0</v>
      </c>
      <c r="BL340" s="42">
        <f t="shared" si="67"/>
        <v>46157835</v>
      </c>
      <c r="BN340" s="42">
        <f>+'Gen Fd Rev'!AM340-'Gen Fd Exp'!BL340</f>
        <v>1773144</v>
      </c>
      <c r="BP340" s="42">
        <v>-2273743</v>
      </c>
      <c r="BR340" s="42">
        <v>0</v>
      </c>
      <c r="BT340" s="42">
        <v>0</v>
      </c>
      <c r="BV340" s="42">
        <f t="shared" si="68"/>
        <v>-500599</v>
      </c>
      <c r="BX340" s="5">
        <f>+BV340-'Gen Fd BS'!AI340+BT340</f>
        <v>0</v>
      </c>
    </row>
    <row r="341" spans="1:76">
      <c r="A341" s="9" t="s">
        <v>542</v>
      </c>
      <c r="B341" s="9"/>
      <c r="C341" s="9" t="s">
        <v>69</v>
      </c>
      <c r="D341" s="9"/>
      <c r="E341" s="23">
        <v>50450</v>
      </c>
      <c r="G341" s="42">
        <v>41060423</v>
      </c>
      <c r="I341" s="42">
        <v>17642925</v>
      </c>
      <c r="K341" s="42">
        <v>0</v>
      </c>
      <c r="M341" s="42">
        <v>0</v>
      </c>
      <c r="O341" s="42">
        <v>3678507</v>
      </c>
      <c r="Q341" s="42">
        <v>6084333</v>
      </c>
      <c r="S341" s="42">
        <v>1341439</v>
      </c>
      <c r="U341" s="42">
        <v>0</v>
      </c>
      <c r="W341" s="42">
        <f>250134+5191283</f>
        <v>5441417</v>
      </c>
      <c r="Y341" s="42">
        <v>1677312</v>
      </c>
      <c r="AA341" s="42">
        <v>310907</v>
      </c>
      <c r="AC341" s="42">
        <v>8826681</v>
      </c>
      <c r="AE341" s="42">
        <v>5832777</v>
      </c>
      <c r="AG341" s="42">
        <v>2671289</v>
      </c>
      <c r="AI341" s="42">
        <v>0</v>
      </c>
      <c r="AK341" s="42">
        <v>808253</v>
      </c>
      <c r="AL341" s="9" t="s">
        <v>542</v>
      </c>
      <c r="AM341" s="9"/>
      <c r="AN341" s="9" t="s">
        <v>69</v>
      </c>
      <c r="AP341" s="42">
        <v>1666381</v>
      </c>
      <c r="AR341" s="42">
        <v>0</v>
      </c>
      <c r="AV341" s="42">
        <v>0</v>
      </c>
      <c r="AX341" s="42">
        <v>0</v>
      </c>
      <c r="AZ341" s="42">
        <v>0</v>
      </c>
      <c r="BB341" s="42">
        <f t="shared" si="66"/>
        <v>97042644</v>
      </c>
      <c r="BD341" s="42">
        <v>0</v>
      </c>
      <c r="BF341" s="42">
        <v>0</v>
      </c>
      <c r="BH341" s="42">
        <v>0</v>
      </c>
      <c r="BJ341" s="42">
        <v>0</v>
      </c>
      <c r="BL341" s="42">
        <f t="shared" si="67"/>
        <v>97042644</v>
      </c>
      <c r="BN341" s="42">
        <f>+'Gen Fd Rev'!AM341-'Gen Fd Exp'!BL341</f>
        <v>148975</v>
      </c>
      <c r="BP341" s="42">
        <v>31910028</v>
      </c>
      <c r="BR341" s="42">
        <v>0</v>
      </c>
      <c r="BT341" s="42">
        <v>0</v>
      </c>
      <c r="BV341" s="42">
        <f t="shared" si="68"/>
        <v>32059003</v>
      </c>
      <c r="BX341" s="5">
        <f>+BV341-'Gen Fd BS'!AI341+BT341</f>
        <v>0</v>
      </c>
    </row>
    <row r="342" spans="1:76">
      <c r="A342" s="9" t="s">
        <v>497</v>
      </c>
      <c r="B342" s="9"/>
      <c r="C342" s="9" t="s">
        <v>62</v>
      </c>
      <c r="D342" s="9"/>
      <c r="E342" s="23">
        <v>44354</v>
      </c>
      <c r="G342" s="42">
        <v>18205576</v>
      </c>
      <c r="I342" s="42">
        <v>3366842</v>
      </c>
      <c r="K342" s="42">
        <v>1854218</v>
      </c>
      <c r="M342" s="42">
        <v>0</v>
      </c>
      <c r="O342" s="42">
        <f>85515+417286</f>
        <v>502801</v>
      </c>
      <c r="Q342" s="42">
        <v>2711047</v>
      </c>
      <c r="S342" s="42">
        <v>772280</v>
      </c>
      <c r="U342" s="42">
        <v>138187</v>
      </c>
      <c r="W342" s="42">
        <v>2337960</v>
      </c>
      <c r="Y342" s="42">
        <v>908964</v>
      </c>
      <c r="AA342" s="42">
        <v>7968</v>
      </c>
      <c r="AC342" s="42">
        <v>3823543</v>
      </c>
      <c r="AE342" s="42">
        <v>1493247</v>
      </c>
      <c r="AG342" s="42">
        <v>475940</v>
      </c>
      <c r="AI342" s="42">
        <v>0</v>
      </c>
      <c r="AK342" s="42">
        <v>150</v>
      </c>
      <c r="AL342" s="9" t="s">
        <v>497</v>
      </c>
      <c r="AM342" s="9"/>
      <c r="AN342" s="9" t="s">
        <v>62</v>
      </c>
      <c r="AP342" s="42">
        <v>1129682</v>
      </c>
      <c r="AR342" s="42">
        <v>0</v>
      </c>
      <c r="AV342" s="42">
        <v>32285</v>
      </c>
      <c r="AX342" s="42">
        <v>1449</v>
      </c>
      <c r="AZ342" s="42">
        <v>0</v>
      </c>
      <c r="BB342" s="42">
        <f t="shared" si="66"/>
        <v>37762139</v>
      </c>
      <c r="BD342" s="42">
        <v>4161</v>
      </c>
      <c r="BF342" s="42">
        <v>0</v>
      </c>
      <c r="BH342" s="42">
        <v>0</v>
      </c>
      <c r="BJ342" s="42">
        <v>0</v>
      </c>
      <c r="BL342" s="42">
        <f t="shared" si="67"/>
        <v>37766300</v>
      </c>
      <c r="BN342" s="42">
        <f>+'Gen Fd Rev'!AM342-'Gen Fd Exp'!BL342</f>
        <v>754117</v>
      </c>
      <c r="BP342" s="42">
        <v>1804720</v>
      </c>
      <c r="BR342" s="42">
        <v>0</v>
      </c>
      <c r="BT342" s="42">
        <v>0</v>
      </c>
      <c r="BV342" s="42">
        <f t="shared" si="68"/>
        <v>2558837</v>
      </c>
      <c r="BX342" s="5">
        <f>+BV342-'Gen Fd BS'!AI342+BT342</f>
        <v>0</v>
      </c>
    </row>
    <row r="343" spans="1:76">
      <c r="A343" s="9" t="s">
        <v>525</v>
      </c>
      <c r="B343" s="9"/>
      <c r="C343" s="9" t="s">
        <v>64</v>
      </c>
      <c r="D343" s="9"/>
      <c r="E343" s="23">
        <v>50153</v>
      </c>
      <c r="G343" s="42">
        <v>4250676</v>
      </c>
      <c r="I343" s="42">
        <v>760285</v>
      </c>
      <c r="K343" s="42">
        <v>91020</v>
      </c>
      <c r="M343" s="42">
        <v>0</v>
      </c>
      <c r="O343" s="42">
        <v>13192</v>
      </c>
      <c r="Q343" s="42">
        <v>426088</v>
      </c>
      <c r="S343" s="42">
        <v>183950</v>
      </c>
      <c r="U343" s="42">
        <v>68931</v>
      </c>
      <c r="W343" s="42">
        <v>895728</v>
      </c>
      <c r="Y343" s="42">
        <v>346517</v>
      </c>
      <c r="AA343" s="42">
        <v>332</v>
      </c>
      <c r="AC343" s="42">
        <v>796130</v>
      </c>
      <c r="AE343" s="42">
        <v>549306</v>
      </c>
      <c r="AG343" s="42">
        <v>81252</v>
      </c>
      <c r="AI343" s="42">
        <v>0</v>
      </c>
      <c r="AK343" s="42">
        <v>31363</v>
      </c>
      <c r="AL343" s="9" t="s">
        <v>525</v>
      </c>
      <c r="AM343" s="9"/>
      <c r="AN343" s="9" t="s">
        <v>64</v>
      </c>
      <c r="AP343" s="42">
        <v>24475</v>
      </c>
      <c r="AR343" s="42">
        <v>0</v>
      </c>
      <c r="AV343" s="42">
        <v>0</v>
      </c>
      <c r="AX343" s="42">
        <v>0</v>
      </c>
      <c r="AZ343" s="42">
        <v>0</v>
      </c>
      <c r="BB343" s="42">
        <f t="shared" si="66"/>
        <v>8519245</v>
      </c>
      <c r="BD343" s="42">
        <v>561066</v>
      </c>
      <c r="BF343" s="42">
        <v>0</v>
      </c>
      <c r="BH343" s="42">
        <v>0</v>
      </c>
      <c r="BJ343" s="42">
        <v>0</v>
      </c>
      <c r="BL343" s="42">
        <f t="shared" si="67"/>
        <v>9080311</v>
      </c>
      <c r="BN343" s="42">
        <f>+'Gen Fd Rev'!AM343-'Gen Fd Exp'!BL343</f>
        <v>-355189</v>
      </c>
      <c r="BP343" s="42">
        <v>175908</v>
      </c>
      <c r="BR343" s="42">
        <v>0</v>
      </c>
      <c r="BT343" s="42">
        <v>0</v>
      </c>
      <c r="BV343" s="42">
        <f t="shared" si="68"/>
        <v>-179281</v>
      </c>
      <c r="BX343" s="5">
        <f>+BV343-'Gen Fd BS'!AI343+BT343</f>
        <v>0</v>
      </c>
    </row>
    <row r="344" spans="1:76" hidden="1">
      <c r="A344" s="8" t="s">
        <v>865</v>
      </c>
      <c r="B344" s="9"/>
      <c r="C344" s="9" t="s">
        <v>114</v>
      </c>
      <c r="D344" s="9"/>
      <c r="E344" s="23">
        <v>44362</v>
      </c>
      <c r="F344" s="7"/>
      <c r="G344" s="42">
        <v>0</v>
      </c>
      <c r="I344" s="42">
        <v>0</v>
      </c>
      <c r="K344" s="42">
        <v>0</v>
      </c>
      <c r="M344" s="42">
        <v>0</v>
      </c>
      <c r="O344" s="42">
        <v>0</v>
      </c>
      <c r="Q344" s="42">
        <v>0</v>
      </c>
      <c r="S344" s="42">
        <v>0</v>
      </c>
      <c r="U344" s="42">
        <v>0</v>
      </c>
      <c r="W344" s="42">
        <v>0</v>
      </c>
      <c r="Y344" s="42">
        <v>0</v>
      </c>
      <c r="AA344" s="42">
        <v>0</v>
      </c>
      <c r="AC344" s="42">
        <v>0</v>
      </c>
      <c r="AE344" s="42">
        <v>0</v>
      </c>
      <c r="AG344" s="42">
        <v>0</v>
      </c>
      <c r="AI344" s="42">
        <v>0</v>
      </c>
      <c r="AK344" s="42">
        <v>0</v>
      </c>
      <c r="AL344" s="8" t="s">
        <v>865</v>
      </c>
      <c r="AM344" s="9"/>
      <c r="AN344" s="9" t="s">
        <v>114</v>
      </c>
      <c r="AP344" s="42">
        <v>0</v>
      </c>
      <c r="AR344" s="42">
        <v>0</v>
      </c>
      <c r="AV344" s="42">
        <v>0</v>
      </c>
      <c r="AX344" s="42">
        <v>0</v>
      </c>
      <c r="AZ344" s="42">
        <v>0</v>
      </c>
      <c r="BB344" s="42">
        <f t="shared" si="66"/>
        <v>0</v>
      </c>
      <c r="BD344" s="42">
        <v>0</v>
      </c>
      <c r="BF344" s="42">
        <v>0</v>
      </c>
      <c r="BH344" s="42">
        <v>0</v>
      </c>
      <c r="BJ344" s="42">
        <v>0</v>
      </c>
      <c r="BL344" s="42">
        <f t="shared" si="67"/>
        <v>0</v>
      </c>
      <c r="BN344" s="42">
        <f>+'Gen Fd Rev'!AM344-'Gen Fd Exp'!BL344</f>
        <v>0</v>
      </c>
      <c r="BP344" s="42">
        <v>0</v>
      </c>
      <c r="BR344" s="42">
        <v>0</v>
      </c>
      <c r="BT344" s="42">
        <v>0</v>
      </c>
      <c r="BV344" s="42">
        <f t="shared" si="68"/>
        <v>0</v>
      </c>
      <c r="BX344" s="5">
        <f>+BV344-'Gen Fd BS'!AI344+BT344</f>
        <v>0</v>
      </c>
    </row>
    <row r="345" spans="1:76">
      <c r="A345" s="9" t="s">
        <v>717</v>
      </c>
      <c r="B345" s="9"/>
      <c r="C345" s="9" t="s">
        <v>20</v>
      </c>
      <c r="D345" s="9"/>
      <c r="E345" s="23">
        <v>44370</v>
      </c>
      <c r="G345" s="42">
        <v>24957944</v>
      </c>
      <c r="I345" s="42">
        <v>9650738</v>
      </c>
      <c r="K345" s="42">
        <v>1543330</v>
      </c>
      <c r="M345" s="42">
        <v>41</v>
      </c>
      <c r="O345" s="42">
        <v>0</v>
      </c>
      <c r="Q345" s="42">
        <v>4004809</v>
      </c>
      <c r="S345" s="42">
        <v>3616553</v>
      </c>
      <c r="U345" s="42">
        <v>131947</v>
      </c>
      <c r="W345" s="42">
        <v>3397559</v>
      </c>
      <c r="Y345" s="42">
        <v>1744369</v>
      </c>
      <c r="AA345" s="42">
        <v>352037</v>
      </c>
      <c r="AC345" s="42">
        <v>5163497</v>
      </c>
      <c r="AE345" s="42">
        <v>4352508</v>
      </c>
      <c r="AG345" s="42">
        <v>703384</v>
      </c>
      <c r="AI345" s="42">
        <v>0</v>
      </c>
      <c r="AK345" s="42">
        <v>3929</v>
      </c>
      <c r="AL345" s="9" t="s">
        <v>717</v>
      </c>
      <c r="AM345" s="9"/>
      <c r="AN345" s="9" t="s">
        <v>20</v>
      </c>
      <c r="AP345" s="42">
        <v>966695</v>
      </c>
      <c r="AR345" s="42">
        <v>203021</v>
      </c>
      <c r="AV345" s="42">
        <v>9875</v>
      </c>
      <c r="AX345" s="42">
        <v>71</v>
      </c>
      <c r="AZ345" s="42">
        <v>0</v>
      </c>
      <c r="BB345" s="42">
        <f t="shared" si="66"/>
        <v>60802307</v>
      </c>
      <c r="BD345" s="42">
        <v>385000</v>
      </c>
      <c r="BF345" s="42">
        <v>0</v>
      </c>
      <c r="BH345" s="42">
        <v>0</v>
      </c>
      <c r="BJ345" s="42">
        <v>0</v>
      </c>
      <c r="BL345" s="42">
        <f t="shared" si="67"/>
        <v>61187307</v>
      </c>
      <c r="BN345" s="42">
        <f>+'Gen Fd Rev'!AM345-'Gen Fd Exp'!BL345</f>
        <v>142684</v>
      </c>
      <c r="BP345" s="42">
        <v>27477905</v>
      </c>
      <c r="BR345" s="42">
        <v>0</v>
      </c>
      <c r="BT345" s="42">
        <v>0</v>
      </c>
      <c r="BV345" s="42">
        <f t="shared" si="68"/>
        <v>27620589</v>
      </c>
      <c r="BX345" s="5">
        <f>+BV345-'Gen Fd BS'!AI345+BT345</f>
        <v>0</v>
      </c>
    </row>
    <row r="346" spans="1:76">
      <c r="A346" s="9" t="s">
        <v>442</v>
      </c>
      <c r="B346" s="9"/>
      <c r="C346" s="9" t="s">
        <v>51</v>
      </c>
      <c r="D346" s="9"/>
      <c r="E346" s="23">
        <v>48850</v>
      </c>
      <c r="G346" s="42">
        <v>9689497</v>
      </c>
      <c r="I346" s="42">
        <v>1808700</v>
      </c>
      <c r="K346" s="42">
        <v>91553</v>
      </c>
      <c r="M346" s="42">
        <v>0</v>
      </c>
      <c r="O346" s="42">
        <v>397013</v>
      </c>
      <c r="Q346" s="42">
        <v>706004</v>
      </c>
      <c r="S346" s="42">
        <v>1005988</v>
      </c>
      <c r="U346" s="42">
        <v>52446</v>
      </c>
      <c r="W346" s="42">
        <v>1652519</v>
      </c>
      <c r="Y346" s="42">
        <v>396742</v>
      </c>
      <c r="AA346" s="42">
        <v>0</v>
      </c>
      <c r="AC346" s="42">
        <v>1693664</v>
      </c>
      <c r="AE346" s="42">
        <v>1116924</v>
      </c>
      <c r="AG346" s="42">
        <v>54696</v>
      </c>
      <c r="AI346" s="42">
        <v>0</v>
      </c>
      <c r="AK346" s="42">
        <v>0</v>
      </c>
      <c r="AL346" s="9" t="s">
        <v>442</v>
      </c>
      <c r="AM346" s="9"/>
      <c r="AN346" s="9" t="s">
        <v>51</v>
      </c>
      <c r="AP346" s="42">
        <v>412945</v>
      </c>
      <c r="AR346" s="42">
        <v>102134</v>
      </c>
      <c r="AV346" s="42">
        <v>66183</v>
      </c>
      <c r="AX346" s="42">
        <v>46573</v>
      </c>
      <c r="AZ346" s="42">
        <v>0</v>
      </c>
      <c r="BB346" s="42">
        <f t="shared" si="66"/>
        <v>19293581</v>
      </c>
      <c r="BD346" s="42">
        <v>0</v>
      </c>
      <c r="BF346" s="42">
        <v>0</v>
      </c>
      <c r="BH346" s="42">
        <v>0</v>
      </c>
      <c r="BJ346" s="42">
        <v>0</v>
      </c>
      <c r="BL346" s="42">
        <f t="shared" si="67"/>
        <v>19293581</v>
      </c>
      <c r="BN346" s="42">
        <f>+'Gen Fd Rev'!AM346-'Gen Fd Exp'!BL346</f>
        <v>-1236302</v>
      </c>
      <c r="BP346" s="42">
        <v>854028</v>
      </c>
      <c r="BR346" s="42">
        <v>0</v>
      </c>
      <c r="BT346" s="42">
        <v>0</v>
      </c>
      <c r="BV346" s="42">
        <f t="shared" si="68"/>
        <v>-382274</v>
      </c>
      <c r="BX346" s="5">
        <f>+BV346-'Gen Fd BS'!AI346+BT346</f>
        <v>0</v>
      </c>
    </row>
    <row r="347" spans="1:76" hidden="1">
      <c r="A347" s="9" t="s">
        <v>800</v>
      </c>
      <c r="B347" s="9"/>
      <c r="C347" s="9" t="s">
        <v>33</v>
      </c>
      <c r="D347" s="9"/>
      <c r="E347" s="23">
        <v>47456</v>
      </c>
      <c r="G347" s="42">
        <v>0</v>
      </c>
      <c r="I347" s="42">
        <v>0</v>
      </c>
      <c r="K347" s="42">
        <v>0</v>
      </c>
      <c r="M347" s="42">
        <v>0</v>
      </c>
      <c r="O347" s="42">
        <v>0</v>
      </c>
      <c r="Q347" s="42">
        <v>0</v>
      </c>
      <c r="S347" s="42">
        <v>0</v>
      </c>
      <c r="U347" s="42">
        <v>0</v>
      </c>
      <c r="W347" s="42">
        <v>0</v>
      </c>
      <c r="Y347" s="42">
        <v>0</v>
      </c>
      <c r="AA347" s="42">
        <v>0</v>
      </c>
      <c r="AC347" s="42">
        <v>0</v>
      </c>
      <c r="AE347" s="42">
        <v>0</v>
      </c>
      <c r="AG347" s="42">
        <v>0</v>
      </c>
      <c r="AI347" s="42">
        <v>0</v>
      </c>
      <c r="AK347" s="42">
        <v>0</v>
      </c>
      <c r="AL347" s="9" t="s">
        <v>800</v>
      </c>
      <c r="AM347" s="9"/>
      <c r="AN347" s="9" t="s">
        <v>33</v>
      </c>
      <c r="AP347" s="42">
        <v>0</v>
      </c>
      <c r="AR347" s="42">
        <v>0</v>
      </c>
      <c r="AV347" s="42">
        <v>0</v>
      </c>
      <c r="AX347" s="42">
        <v>0</v>
      </c>
      <c r="AZ347" s="42">
        <v>0</v>
      </c>
      <c r="BB347" s="42">
        <f t="shared" si="66"/>
        <v>0</v>
      </c>
      <c r="BD347" s="42">
        <v>0</v>
      </c>
      <c r="BF347" s="42">
        <v>0</v>
      </c>
      <c r="BH347" s="42">
        <v>0</v>
      </c>
      <c r="BJ347" s="42">
        <v>0</v>
      </c>
      <c r="BL347" s="42">
        <f t="shared" si="67"/>
        <v>0</v>
      </c>
      <c r="BN347" s="42">
        <f>+'Gen Fd Rev'!AM347-'Gen Fd Exp'!BL347</f>
        <v>0</v>
      </c>
      <c r="BP347" s="42">
        <v>0</v>
      </c>
      <c r="BR347" s="42">
        <v>0</v>
      </c>
      <c r="BT347" s="42">
        <v>0</v>
      </c>
      <c r="BV347" s="42">
        <f t="shared" si="68"/>
        <v>0</v>
      </c>
      <c r="BX347" s="5">
        <f>+BV347-'Gen Fd BS'!AI347+BT347</f>
        <v>0</v>
      </c>
    </row>
    <row r="348" spans="1:76">
      <c r="A348" s="9" t="s">
        <v>633</v>
      </c>
      <c r="B348" s="9"/>
      <c r="C348" s="9" t="s">
        <v>64</v>
      </c>
      <c r="D348" s="9"/>
      <c r="E348" s="23">
        <v>50229</v>
      </c>
      <c r="G348" s="42">
        <v>3355116</v>
      </c>
      <c r="I348" s="42">
        <v>624357</v>
      </c>
      <c r="K348" s="42">
        <v>31775</v>
      </c>
      <c r="M348" s="42">
        <v>0</v>
      </c>
      <c r="O348" s="42">
        <v>0</v>
      </c>
      <c r="Q348" s="42">
        <v>125504</v>
      </c>
      <c r="S348" s="42">
        <v>8635</v>
      </c>
      <c r="U348" s="42">
        <v>27870</v>
      </c>
      <c r="W348" s="42">
        <v>433834</v>
      </c>
      <c r="Y348" s="42">
        <v>173889</v>
      </c>
      <c r="AA348" s="42">
        <v>0</v>
      </c>
      <c r="AC348" s="42">
        <v>525799</v>
      </c>
      <c r="AE348" s="42">
        <v>77638</v>
      </c>
      <c r="AG348" s="42">
        <v>37982</v>
      </c>
      <c r="AI348" s="42">
        <v>0</v>
      </c>
      <c r="AK348" s="42">
        <v>20740</v>
      </c>
      <c r="AL348" s="9" t="s">
        <v>633</v>
      </c>
      <c r="AM348" s="9"/>
      <c r="AN348" s="9" t="s">
        <v>64</v>
      </c>
      <c r="AP348" s="42">
        <v>126767</v>
      </c>
      <c r="AR348" s="42">
        <v>0</v>
      </c>
      <c r="AV348" s="42">
        <v>19554</v>
      </c>
      <c r="AX348" s="42">
        <v>3209</v>
      </c>
      <c r="AZ348" s="42">
        <v>0</v>
      </c>
      <c r="BB348" s="42">
        <f t="shared" si="66"/>
        <v>5592669</v>
      </c>
      <c r="BD348" s="42">
        <v>187821</v>
      </c>
      <c r="BF348" s="42">
        <v>0</v>
      </c>
      <c r="BH348" s="42">
        <v>0</v>
      </c>
      <c r="BJ348" s="42">
        <v>0</v>
      </c>
      <c r="BL348" s="42">
        <f t="shared" si="67"/>
        <v>5780490</v>
      </c>
      <c r="BN348" s="42">
        <f>+'Gen Fd Rev'!AM348-'Gen Fd Exp'!BL348</f>
        <v>996407</v>
      </c>
      <c r="BP348" s="42">
        <v>30556</v>
      </c>
      <c r="BR348" s="42">
        <v>0</v>
      </c>
      <c r="BT348" s="42">
        <v>0</v>
      </c>
      <c r="BV348" s="42">
        <f t="shared" si="68"/>
        <v>1026963</v>
      </c>
      <c r="BX348" s="5">
        <f>+BV348-'Gen Fd BS'!AI348+BT348</f>
        <v>0</v>
      </c>
    </row>
    <row r="349" spans="1:76">
      <c r="A349" s="9" t="s">
        <v>762</v>
      </c>
      <c r="B349" s="9"/>
      <c r="C349" s="9" t="s">
        <v>227</v>
      </c>
      <c r="D349" s="9"/>
      <c r="E349" s="23">
        <v>45484</v>
      </c>
      <c r="G349" s="42">
        <v>3946260</v>
      </c>
      <c r="I349" s="42">
        <v>1159674</v>
      </c>
      <c r="K349" s="42">
        <v>97823</v>
      </c>
      <c r="M349" s="42">
        <v>0</v>
      </c>
      <c r="O349" s="42">
        <v>0</v>
      </c>
      <c r="Q349" s="42">
        <v>278251</v>
      </c>
      <c r="S349" s="42">
        <v>214631</v>
      </c>
      <c r="U349" s="42">
        <v>46039</v>
      </c>
      <c r="W349" s="42">
        <v>802290</v>
      </c>
      <c r="Y349" s="42">
        <v>330166</v>
      </c>
      <c r="AA349" s="42">
        <v>0</v>
      </c>
      <c r="AC349" s="42">
        <v>701296</v>
      </c>
      <c r="AE349" s="42">
        <v>574262</v>
      </c>
      <c r="AG349" s="42">
        <v>109772</v>
      </c>
      <c r="AI349" s="42">
        <v>0</v>
      </c>
      <c r="AK349" s="42">
        <v>2985</v>
      </c>
      <c r="AL349" s="9" t="s">
        <v>762</v>
      </c>
      <c r="AM349" s="9"/>
      <c r="AN349" s="9" t="s">
        <v>227</v>
      </c>
      <c r="AP349" s="42">
        <v>192459</v>
      </c>
      <c r="AR349" s="42">
        <v>0</v>
      </c>
      <c r="AV349" s="42">
        <v>0</v>
      </c>
      <c r="AX349" s="42">
        <v>19468</v>
      </c>
      <c r="AZ349" s="42">
        <v>0</v>
      </c>
      <c r="BB349" s="42">
        <f t="shared" si="66"/>
        <v>8475376</v>
      </c>
      <c r="BD349" s="42">
        <v>51363</v>
      </c>
      <c r="BF349" s="42">
        <v>0</v>
      </c>
      <c r="BH349" s="42">
        <v>0</v>
      </c>
      <c r="BJ349" s="42">
        <v>0</v>
      </c>
      <c r="BL349" s="42">
        <f t="shared" si="67"/>
        <v>8526739</v>
      </c>
      <c r="BN349" s="42">
        <f>+'Gen Fd Rev'!AM349-'Gen Fd Exp'!BL349</f>
        <v>295228</v>
      </c>
      <c r="BP349" s="42">
        <v>-358</v>
      </c>
      <c r="BR349" s="42">
        <v>0</v>
      </c>
      <c r="BT349" s="42">
        <v>0</v>
      </c>
      <c r="BV349" s="42">
        <f t="shared" si="68"/>
        <v>294870</v>
      </c>
      <c r="BX349" s="5">
        <f>+BV349-'Gen Fd BS'!AI349+BT349</f>
        <v>0</v>
      </c>
    </row>
    <row r="350" spans="1:76">
      <c r="A350" s="9" t="s">
        <v>415</v>
      </c>
      <c r="B350" s="9"/>
      <c r="C350" s="9" t="s">
        <v>47</v>
      </c>
      <c r="D350" s="9"/>
      <c r="E350" s="23">
        <v>44388</v>
      </c>
      <c r="G350" s="42">
        <v>35157809</v>
      </c>
      <c r="I350" s="42">
        <v>7147356</v>
      </c>
      <c r="K350" s="42">
        <v>224663</v>
      </c>
      <c r="M350" s="42">
        <v>0</v>
      </c>
      <c r="O350" s="42">
        <v>36952</v>
      </c>
      <c r="Q350" s="42">
        <v>2883811</v>
      </c>
      <c r="S350" s="42">
        <v>2684198</v>
      </c>
      <c r="U350" s="42">
        <v>102588</v>
      </c>
      <c r="W350" s="42">
        <v>4904099</v>
      </c>
      <c r="Y350" s="42">
        <v>1274576</v>
      </c>
      <c r="AA350" s="42">
        <v>307489</v>
      </c>
      <c r="AC350" s="42">
        <v>5928968</v>
      </c>
      <c r="AE350" s="42">
        <v>2309548</v>
      </c>
      <c r="AG350" s="42">
        <v>432130</v>
      </c>
      <c r="AI350" s="42">
        <v>0</v>
      </c>
      <c r="AK350" s="42">
        <v>68219</v>
      </c>
      <c r="AL350" s="9" t="s">
        <v>415</v>
      </c>
      <c r="AM350" s="9"/>
      <c r="AN350" s="9" t="s">
        <v>47</v>
      </c>
      <c r="AP350" s="42">
        <v>1147890</v>
      </c>
      <c r="AR350" s="42">
        <v>566350</v>
      </c>
      <c r="AV350" s="42">
        <v>161273</v>
      </c>
      <c r="AX350" s="42">
        <v>19077</v>
      </c>
      <c r="AZ350" s="42">
        <v>0</v>
      </c>
      <c r="BB350" s="42">
        <f t="shared" si="66"/>
        <v>65356996</v>
      </c>
      <c r="BD350" s="42">
        <v>403077</v>
      </c>
      <c r="BF350" s="42">
        <v>0</v>
      </c>
      <c r="BH350" s="42">
        <v>0</v>
      </c>
      <c r="BJ350" s="42">
        <v>0</v>
      </c>
      <c r="BL350" s="42">
        <f t="shared" si="67"/>
        <v>65760073</v>
      </c>
      <c r="BN350" s="42">
        <f>+'Gen Fd Rev'!AM350-'Gen Fd Exp'!BL350</f>
        <v>3166357</v>
      </c>
      <c r="BP350" s="42">
        <v>16440469</v>
      </c>
      <c r="BR350" s="42">
        <v>0</v>
      </c>
      <c r="BT350" s="42">
        <v>0</v>
      </c>
      <c r="BV350" s="42">
        <f t="shared" si="68"/>
        <v>19606826</v>
      </c>
      <c r="BX350" s="5">
        <f>+BV350-'Gen Fd BS'!AI350+BT350</f>
        <v>0</v>
      </c>
    </row>
    <row r="351" spans="1:76">
      <c r="A351" s="9" t="s">
        <v>418</v>
      </c>
      <c r="B351" s="9"/>
      <c r="C351" s="9" t="s">
        <v>417</v>
      </c>
      <c r="D351" s="9"/>
      <c r="E351" s="23">
        <v>48520</v>
      </c>
      <c r="G351" s="42">
        <v>6267952</v>
      </c>
      <c r="I351" s="42">
        <v>2200701</v>
      </c>
      <c r="K351" s="42">
        <v>1182922</v>
      </c>
      <c r="M351" s="42">
        <v>6350</v>
      </c>
      <c r="O351" s="42">
        <f>75766+1594901</f>
        <v>1670667</v>
      </c>
      <c r="Q351" s="42">
        <v>590264</v>
      </c>
      <c r="S351" s="42">
        <v>330091</v>
      </c>
      <c r="U351" s="42">
        <v>48947</v>
      </c>
      <c r="W351" s="42">
        <v>1596195</v>
      </c>
      <c r="Y351" s="42">
        <v>478053</v>
      </c>
      <c r="AA351" s="42">
        <v>0</v>
      </c>
      <c r="AC351" s="42">
        <v>1931260</v>
      </c>
      <c r="AE351" s="42">
        <v>1618975</v>
      </c>
      <c r="AG351" s="42">
        <v>0</v>
      </c>
      <c r="AI351" s="42">
        <v>0</v>
      </c>
      <c r="AK351" s="42">
        <v>0</v>
      </c>
      <c r="AL351" s="9" t="s">
        <v>418</v>
      </c>
      <c r="AM351" s="9"/>
      <c r="AN351" s="9" t="s">
        <v>417</v>
      </c>
      <c r="AP351" s="42">
        <v>246850</v>
      </c>
      <c r="AR351" s="42">
        <v>3110</v>
      </c>
      <c r="AV351" s="42">
        <v>0</v>
      </c>
      <c r="AX351" s="42">
        <v>0</v>
      </c>
      <c r="AZ351" s="42">
        <v>0</v>
      </c>
      <c r="BB351" s="42">
        <f t="shared" si="66"/>
        <v>18172337</v>
      </c>
      <c r="BD351" s="42">
        <v>0</v>
      </c>
      <c r="BF351" s="42">
        <v>0</v>
      </c>
      <c r="BH351" s="42">
        <v>0</v>
      </c>
      <c r="BJ351" s="42">
        <v>0</v>
      </c>
      <c r="BL351" s="42">
        <f t="shared" si="67"/>
        <v>18172337</v>
      </c>
      <c r="BN351" s="42">
        <f>+'Gen Fd Rev'!AM351-'Gen Fd Exp'!BL351</f>
        <v>-416398</v>
      </c>
      <c r="BP351" s="42">
        <v>769961</v>
      </c>
      <c r="BR351" s="42">
        <v>0</v>
      </c>
      <c r="BT351" s="42">
        <v>0</v>
      </c>
      <c r="BV351" s="42">
        <f t="shared" si="68"/>
        <v>353563</v>
      </c>
      <c r="BX351" s="5">
        <f>+BV351-'Gen Fd BS'!AI351+BT351</f>
        <v>0</v>
      </c>
    </row>
    <row r="352" spans="1:76">
      <c r="A352" s="9" t="s">
        <v>763</v>
      </c>
      <c r="B352" s="9"/>
      <c r="C352" s="9" t="s">
        <v>41</v>
      </c>
      <c r="D352" s="9"/>
      <c r="E352" s="23">
        <v>45492</v>
      </c>
      <c r="F352" s="7"/>
      <c r="G352" s="42">
        <v>44809152</v>
      </c>
      <c r="I352" s="42">
        <v>11403858</v>
      </c>
      <c r="K352" s="42">
        <v>1853286</v>
      </c>
      <c r="M352" s="42">
        <v>0</v>
      </c>
      <c r="O352" s="42">
        <v>135860</v>
      </c>
      <c r="Q352" s="42">
        <v>5769427</v>
      </c>
      <c r="S352" s="42">
        <v>6610442</v>
      </c>
      <c r="U352" s="42">
        <v>541155</v>
      </c>
      <c r="W352" s="42">
        <v>5239277</v>
      </c>
      <c r="Y352" s="42">
        <v>2393275</v>
      </c>
      <c r="AA352" s="42">
        <v>574700</v>
      </c>
      <c r="AC352" s="42">
        <v>7715492</v>
      </c>
      <c r="AE352" s="42">
        <v>6404982</v>
      </c>
      <c r="AG352" s="42">
        <v>1925524</v>
      </c>
      <c r="AI352" s="42">
        <v>672</v>
      </c>
      <c r="AK352" s="42">
        <v>60570</v>
      </c>
      <c r="AL352" s="9" t="s">
        <v>763</v>
      </c>
      <c r="AM352" s="9"/>
      <c r="AN352" s="9" t="s">
        <v>41</v>
      </c>
      <c r="AP352" s="42">
        <v>1476259</v>
      </c>
      <c r="AR352" s="42">
        <v>0</v>
      </c>
      <c r="AV352" s="42">
        <v>0</v>
      </c>
      <c r="AX352" s="42">
        <v>0</v>
      </c>
      <c r="AZ352" s="42">
        <v>0</v>
      </c>
      <c r="BB352" s="42">
        <f t="shared" si="66"/>
        <v>96913931</v>
      </c>
      <c r="BD352" s="42">
        <v>418849</v>
      </c>
      <c r="BF352" s="42">
        <v>0</v>
      </c>
      <c r="BH352" s="42">
        <v>0</v>
      </c>
      <c r="BJ352" s="42">
        <v>0</v>
      </c>
      <c r="BL352" s="42">
        <f t="shared" si="67"/>
        <v>97332780</v>
      </c>
      <c r="BN352" s="42">
        <f>+'Gen Fd Rev'!AM352-'Gen Fd Exp'!BL352</f>
        <v>-3355260</v>
      </c>
      <c r="BP352" s="42">
        <v>52225774</v>
      </c>
      <c r="BR352" s="42">
        <v>0</v>
      </c>
      <c r="BT352" s="42">
        <v>0</v>
      </c>
      <c r="BV352" s="42">
        <f t="shared" si="68"/>
        <v>48870514</v>
      </c>
      <c r="BX352" s="5">
        <f>+BV352-'Gen Fd BS'!AI352+BT352</f>
        <v>0</v>
      </c>
    </row>
    <row r="353" spans="1:76">
      <c r="A353" s="9" t="s">
        <v>421</v>
      </c>
      <c r="B353" s="9"/>
      <c r="C353" s="9" t="s">
        <v>48</v>
      </c>
      <c r="D353" s="9"/>
      <c r="E353" s="23">
        <v>48629</v>
      </c>
      <c r="G353" s="42">
        <v>5151391</v>
      </c>
      <c r="I353" s="42">
        <v>796233</v>
      </c>
      <c r="K353" s="42">
        <v>84415</v>
      </c>
      <c r="M353" s="42">
        <v>0</v>
      </c>
      <c r="O353" s="42">
        <v>665691</v>
      </c>
      <c r="Q353" s="42">
        <v>619577</v>
      </c>
      <c r="S353" s="42">
        <v>345959</v>
      </c>
      <c r="U353" s="42">
        <v>19138</v>
      </c>
      <c r="W353" s="42">
        <v>835682</v>
      </c>
      <c r="Y353" s="42">
        <v>337076</v>
      </c>
      <c r="AA353" s="42">
        <v>47416</v>
      </c>
      <c r="AC353" s="42">
        <v>963807</v>
      </c>
      <c r="AE353" s="42">
        <v>766178</v>
      </c>
      <c r="AG353" s="42">
        <v>199625</v>
      </c>
      <c r="AI353" s="42">
        <v>0</v>
      </c>
      <c r="AK353" s="42">
        <v>9517</v>
      </c>
      <c r="AL353" s="9" t="s">
        <v>421</v>
      </c>
      <c r="AM353" s="9"/>
      <c r="AN353" s="9" t="s">
        <v>48</v>
      </c>
      <c r="AP353" s="42">
        <v>282602</v>
      </c>
      <c r="AR353" s="42">
        <v>89636</v>
      </c>
      <c r="AV353" s="42">
        <v>0</v>
      </c>
      <c r="AX353" s="42">
        <v>0</v>
      </c>
      <c r="AZ353" s="42">
        <v>0</v>
      </c>
      <c r="BB353" s="42">
        <f t="shared" si="66"/>
        <v>11213943</v>
      </c>
      <c r="BD353" s="42">
        <v>0</v>
      </c>
      <c r="BF353" s="42">
        <v>0</v>
      </c>
      <c r="BH353" s="42">
        <v>0</v>
      </c>
      <c r="BJ353" s="42">
        <v>0</v>
      </c>
      <c r="BL353" s="42">
        <f t="shared" si="67"/>
        <v>11213943</v>
      </c>
      <c r="BN353" s="42">
        <f>+'Gen Fd Rev'!AM353-'Gen Fd Exp'!BL353</f>
        <v>1020684</v>
      </c>
      <c r="BP353" s="42">
        <v>580278</v>
      </c>
      <c r="BR353" s="42">
        <v>0</v>
      </c>
      <c r="BT353" s="42">
        <v>0</v>
      </c>
      <c r="BV353" s="42">
        <f t="shared" si="68"/>
        <v>1600962</v>
      </c>
      <c r="BX353" s="5">
        <f>+BV353-'Gen Fd BS'!AI353+BT353</f>
        <v>0</v>
      </c>
    </row>
    <row r="354" spans="1:76">
      <c r="A354" s="9" t="s">
        <v>295</v>
      </c>
      <c r="B354" s="9"/>
      <c r="C354" s="9" t="s">
        <v>26</v>
      </c>
      <c r="D354" s="9"/>
      <c r="E354" s="23">
        <v>46920</v>
      </c>
      <c r="F354" s="7"/>
      <c r="G354" s="42">
        <v>9114422</v>
      </c>
      <c r="I354" s="42">
        <v>2144003</v>
      </c>
      <c r="K354" s="42">
        <v>83297</v>
      </c>
      <c r="M354" s="42">
        <v>0</v>
      </c>
      <c r="O354" s="42">
        <v>1805668</v>
      </c>
      <c r="Q354" s="42">
        <v>884444</v>
      </c>
      <c r="S354" s="42">
        <v>1462496</v>
      </c>
      <c r="U354" s="42">
        <v>0</v>
      </c>
      <c r="W354" s="42">
        <f>28777+2132577</f>
        <v>2161354</v>
      </c>
      <c r="Y354" s="42">
        <v>668804</v>
      </c>
      <c r="AA354" s="42">
        <v>113148</v>
      </c>
      <c r="AC354" s="42">
        <v>2057284</v>
      </c>
      <c r="AE354" s="42">
        <v>2033349</v>
      </c>
      <c r="AG354" s="42">
        <v>136099</v>
      </c>
      <c r="AI354" s="42">
        <v>0</v>
      </c>
      <c r="AK354" s="42">
        <v>90344</v>
      </c>
      <c r="AL354" s="9" t="s">
        <v>295</v>
      </c>
      <c r="AM354" s="9"/>
      <c r="AN354" s="9" t="s">
        <v>26</v>
      </c>
      <c r="AP354" s="42">
        <v>251528</v>
      </c>
      <c r="AR354" s="42">
        <v>153238</v>
      </c>
      <c r="AV354" s="42">
        <v>0</v>
      </c>
      <c r="AX354" s="42">
        <v>0</v>
      </c>
      <c r="AZ354" s="42">
        <v>0</v>
      </c>
      <c r="BB354" s="42">
        <f t="shared" si="66"/>
        <v>23159478</v>
      </c>
      <c r="BD354" s="42">
        <v>5409</v>
      </c>
      <c r="BF354" s="42">
        <v>0</v>
      </c>
      <c r="BH354" s="42">
        <v>0</v>
      </c>
      <c r="BJ354" s="42">
        <v>0</v>
      </c>
      <c r="BL354" s="42">
        <f t="shared" si="67"/>
        <v>23164887</v>
      </c>
      <c r="BN354" s="42">
        <f>+'Gen Fd Rev'!AM354-'Gen Fd Exp'!BL354</f>
        <v>1783876</v>
      </c>
      <c r="BP354" s="42">
        <v>12787512</v>
      </c>
      <c r="BR354" s="42">
        <v>0</v>
      </c>
      <c r="BT354" s="42">
        <v>0</v>
      </c>
      <c r="BV354" s="42">
        <f t="shared" si="68"/>
        <v>14571388</v>
      </c>
      <c r="BX354" s="5">
        <f>+BV354-'Gen Fd BS'!AI354+BT354</f>
        <v>0</v>
      </c>
    </row>
    <row r="355" spans="1:76">
      <c r="A355" s="9" t="s">
        <v>429</v>
      </c>
      <c r="B355" s="9"/>
      <c r="C355" s="9" t="s">
        <v>50</v>
      </c>
      <c r="D355" s="9"/>
      <c r="E355" s="23">
        <v>44396</v>
      </c>
      <c r="G355" s="42">
        <v>21260272</v>
      </c>
      <c r="I355" s="42">
        <v>7188249</v>
      </c>
      <c r="K355" s="42">
        <v>500325</v>
      </c>
      <c r="M355" s="42">
        <v>0</v>
      </c>
      <c r="O355" s="42">
        <f>16799+411142</f>
        <v>427941</v>
      </c>
      <c r="Q355" s="42">
        <v>3819395</v>
      </c>
      <c r="S355" s="42">
        <v>1208481</v>
      </c>
      <c r="U355" s="42">
        <v>22775</v>
      </c>
      <c r="W355" s="42">
        <v>2929766</v>
      </c>
      <c r="Y355" s="42">
        <v>888990</v>
      </c>
      <c r="AA355" s="42">
        <v>288097</v>
      </c>
      <c r="AC355" s="42">
        <v>3795788</v>
      </c>
      <c r="AE355" s="42">
        <v>2772398</v>
      </c>
      <c r="AG355" s="42">
        <v>567219</v>
      </c>
      <c r="AI355" s="42">
        <v>0</v>
      </c>
      <c r="AK355" s="42">
        <v>623</v>
      </c>
      <c r="AL355" s="9" t="s">
        <v>429</v>
      </c>
      <c r="AM355" s="9"/>
      <c r="AN355" s="9" t="s">
        <v>50</v>
      </c>
      <c r="AP355" s="42">
        <v>610152</v>
      </c>
      <c r="AR355" s="42">
        <v>13006</v>
      </c>
      <c r="AV355" s="42">
        <v>41789</v>
      </c>
      <c r="AX355" s="42">
        <v>8174</v>
      </c>
      <c r="AZ355" s="42">
        <v>0</v>
      </c>
      <c r="BB355" s="42">
        <f t="shared" si="66"/>
        <v>46343440</v>
      </c>
      <c r="BD355" s="42">
        <v>4000</v>
      </c>
      <c r="BF355" s="42">
        <v>0</v>
      </c>
      <c r="BH355" s="42">
        <v>0</v>
      </c>
      <c r="BJ355" s="42">
        <v>0</v>
      </c>
      <c r="BL355" s="42">
        <f t="shared" si="67"/>
        <v>46347440</v>
      </c>
      <c r="BN355" s="42">
        <f>+'Gen Fd Rev'!AM355-'Gen Fd Exp'!BL355</f>
        <v>1007517</v>
      </c>
      <c r="BP355" s="42">
        <v>3462116</v>
      </c>
      <c r="BR355" s="42">
        <v>0</v>
      </c>
      <c r="BT355" s="42">
        <v>0</v>
      </c>
      <c r="BV355" s="42">
        <f t="shared" si="68"/>
        <v>4469633</v>
      </c>
      <c r="BX355" s="5">
        <f>+BV355-'Gen Fd BS'!AI355+BT355</f>
        <v>0</v>
      </c>
    </row>
    <row r="356" spans="1:76" hidden="1">
      <c r="A356" s="9" t="s">
        <v>806</v>
      </c>
      <c r="B356" s="9"/>
      <c r="C356" s="9" t="s">
        <v>53</v>
      </c>
      <c r="D356" s="9"/>
      <c r="E356" s="23">
        <v>48959</v>
      </c>
      <c r="G356" s="42">
        <v>0</v>
      </c>
      <c r="I356" s="42">
        <v>0</v>
      </c>
      <c r="K356" s="42">
        <v>0</v>
      </c>
      <c r="M356" s="42">
        <v>0</v>
      </c>
      <c r="O356" s="42">
        <v>0</v>
      </c>
      <c r="Q356" s="42">
        <v>0</v>
      </c>
      <c r="S356" s="42">
        <v>0</v>
      </c>
      <c r="U356" s="42">
        <v>0</v>
      </c>
      <c r="W356" s="42">
        <v>0</v>
      </c>
      <c r="Y356" s="42">
        <v>0</v>
      </c>
      <c r="AA356" s="42">
        <v>0</v>
      </c>
      <c r="AC356" s="42">
        <v>0</v>
      </c>
      <c r="AE356" s="42">
        <v>0</v>
      </c>
      <c r="AG356" s="42">
        <v>0</v>
      </c>
      <c r="AI356" s="42">
        <v>0</v>
      </c>
      <c r="AK356" s="42">
        <v>0</v>
      </c>
      <c r="AL356" s="9" t="s">
        <v>806</v>
      </c>
      <c r="AM356" s="9"/>
      <c r="AN356" s="9" t="s">
        <v>53</v>
      </c>
      <c r="AP356" s="42">
        <v>0</v>
      </c>
      <c r="AR356" s="42">
        <v>0</v>
      </c>
      <c r="AV356" s="42">
        <v>0</v>
      </c>
      <c r="AX356" s="42">
        <v>0</v>
      </c>
      <c r="AZ356" s="42">
        <v>0</v>
      </c>
      <c r="BB356" s="42">
        <f t="shared" si="66"/>
        <v>0</v>
      </c>
      <c r="BD356" s="42">
        <v>0</v>
      </c>
      <c r="BF356" s="42">
        <v>0</v>
      </c>
      <c r="BH356" s="42">
        <v>0</v>
      </c>
      <c r="BJ356" s="42">
        <v>0</v>
      </c>
      <c r="BL356" s="42">
        <f t="shared" ref="BL356" si="72">+BB356+BD356+BF356+BJ356</f>
        <v>0</v>
      </c>
      <c r="BN356" s="42">
        <f>+'Gen Fd Rev'!AM356-'Gen Fd Exp'!BL356</f>
        <v>0</v>
      </c>
      <c r="BP356" s="42">
        <v>0</v>
      </c>
      <c r="BR356" s="42">
        <v>0</v>
      </c>
      <c r="BT356" s="42">
        <v>0</v>
      </c>
      <c r="BV356" s="42">
        <f t="shared" si="68"/>
        <v>0</v>
      </c>
      <c r="BX356" s="5">
        <f>+BV356-'Gen Fd BS'!AI356+BT356</f>
        <v>0</v>
      </c>
    </row>
    <row r="357" spans="1:76">
      <c r="A357" s="9" t="s">
        <v>224</v>
      </c>
      <c r="B357" s="9"/>
      <c r="C357" s="9" t="s">
        <v>220</v>
      </c>
      <c r="D357" s="9"/>
      <c r="E357" s="23">
        <v>44404</v>
      </c>
      <c r="G357" s="42">
        <v>26104111</v>
      </c>
      <c r="I357" s="42">
        <v>7794911</v>
      </c>
      <c r="K357" s="42">
        <v>0</v>
      </c>
      <c r="M357" s="42">
        <v>97020</v>
      </c>
      <c r="O357" s="42">
        <f>5957573+5122949</f>
        <v>11080522</v>
      </c>
      <c r="Q357" s="42">
        <v>4016081</v>
      </c>
      <c r="S357" s="42">
        <v>810195</v>
      </c>
      <c r="U357" s="42">
        <v>43835</v>
      </c>
      <c r="W357" s="42">
        <v>3786449</v>
      </c>
      <c r="Y357" s="42">
        <v>685751</v>
      </c>
      <c r="AA357" s="42">
        <v>253527</v>
      </c>
      <c r="AC357" s="42">
        <v>4965135</v>
      </c>
      <c r="AE357" s="42">
        <v>3603692</v>
      </c>
      <c r="AG357" s="42">
        <v>1076439</v>
      </c>
      <c r="AI357" s="42">
        <v>0</v>
      </c>
      <c r="AK357" s="42">
        <v>229</v>
      </c>
      <c r="AL357" s="9" t="s">
        <v>224</v>
      </c>
      <c r="AM357" s="9"/>
      <c r="AN357" s="9" t="s">
        <v>220</v>
      </c>
      <c r="AP357" s="42">
        <v>41812</v>
      </c>
      <c r="AR357" s="42">
        <v>0</v>
      </c>
      <c r="AV357" s="42">
        <v>413416</v>
      </c>
      <c r="AX357" s="42">
        <v>166490</v>
      </c>
      <c r="AZ357" s="42">
        <v>0</v>
      </c>
      <c r="BB357" s="42">
        <f t="shared" si="66"/>
        <v>64939615</v>
      </c>
      <c r="BD357" s="42">
        <v>604934</v>
      </c>
      <c r="BF357" s="42">
        <v>0</v>
      </c>
      <c r="BH357" s="42">
        <v>0</v>
      </c>
      <c r="BJ357" s="42">
        <v>0</v>
      </c>
      <c r="BL357" s="42">
        <f t="shared" si="67"/>
        <v>65544549</v>
      </c>
      <c r="BN357" s="42">
        <f>+'Gen Fd Rev'!AM357-'Gen Fd Exp'!BL357</f>
        <v>631380</v>
      </c>
      <c r="BP357" s="42">
        <v>-4152845</v>
      </c>
      <c r="BR357" s="42">
        <v>0</v>
      </c>
      <c r="BT357" s="42">
        <v>0</v>
      </c>
      <c r="BV357" s="42">
        <f t="shared" si="68"/>
        <v>-3521465</v>
      </c>
      <c r="BX357" s="5">
        <f>+BV357-'Gen Fd BS'!AI357+BT357</f>
        <v>0</v>
      </c>
    </row>
    <row r="358" spans="1:76">
      <c r="A358" s="9" t="s">
        <v>384</v>
      </c>
      <c r="B358" s="9"/>
      <c r="C358" s="9" t="s">
        <v>44</v>
      </c>
      <c r="D358" s="9"/>
      <c r="E358" s="23">
        <v>48173</v>
      </c>
      <c r="G358" s="42">
        <v>14992239</v>
      </c>
      <c r="I358" s="42">
        <v>2591322</v>
      </c>
      <c r="K358" s="42">
        <v>153337</v>
      </c>
      <c r="M358" s="42">
        <v>0</v>
      </c>
      <c r="O358" s="42">
        <v>359873</v>
      </c>
      <c r="Q358" s="42">
        <v>929806</v>
      </c>
      <c r="S358" s="42">
        <v>484538</v>
      </c>
      <c r="U358" s="42">
        <v>179070</v>
      </c>
      <c r="W358" s="42">
        <v>2521653</v>
      </c>
      <c r="Y358" s="42">
        <v>653387</v>
      </c>
      <c r="AA358" s="42">
        <v>119170</v>
      </c>
      <c r="AC358" s="42">
        <v>2292815</v>
      </c>
      <c r="AE358" s="42">
        <v>1464432</v>
      </c>
      <c r="AG358" s="42">
        <v>0</v>
      </c>
      <c r="AI358" s="42">
        <v>0</v>
      </c>
      <c r="AK358" s="42">
        <v>4813</v>
      </c>
      <c r="AL358" s="9" t="s">
        <v>384</v>
      </c>
      <c r="AM358" s="9"/>
      <c r="AN358" s="9" t="s">
        <v>44</v>
      </c>
      <c r="AP358" s="42">
        <f>44490+416895+169929</f>
        <v>631314</v>
      </c>
      <c r="AR358" s="42">
        <v>56662</v>
      </c>
      <c r="AV358" s="42">
        <v>57955</v>
      </c>
      <c r="AX358" s="42">
        <v>8803</v>
      </c>
      <c r="AZ358" s="42">
        <v>0</v>
      </c>
      <c r="BB358" s="42">
        <f t="shared" si="66"/>
        <v>27501189</v>
      </c>
      <c r="BD358" s="42">
        <v>924000</v>
      </c>
      <c r="BF358" s="42">
        <v>0</v>
      </c>
      <c r="BH358" s="42">
        <v>0</v>
      </c>
      <c r="BJ358" s="42">
        <v>0</v>
      </c>
      <c r="BL358" s="42">
        <f t="shared" si="67"/>
        <v>28425189</v>
      </c>
      <c r="BN358" s="42">
        <f>+'Gen Fd Rev'!AM358-'Gen Fd Exp'!BL358</f>
        <v>-2535221</v>
      </c>
      <c r="BP358" s="42">
        <v>3593185</v>
      </c>
      <c r="BR358" s="42">
        <v>0</v>
      </c>
      <c r="BT358" s="42">
        <v>0</v>
      </c>
      <c r="BV358" s="42">
        <f t="shared" si="68"/>
        <v>1057964</v>
      </c>
      <c r="BX358" s="5">
        <f>+BV358-'Gen Fd BS'!AI358+BT358</f>
        <v>0</v>
      </c>
    </row>
    <row r="359" spans="1:76">
      <c r="A359" s="9" t="s">
        <v>764</v>
      </c>
      <c r="B359" s="9"/>
      <c r="C359" s="9" t="s">
        <v>112</v>
      </c>
      <c r="D359" s="9"/>
      <c r="E359" s="23">
        <v>45500</v>
      </c>
      <c r="G359" s="42">
        <v>26992064</v>
      </c>
      <c r="I359" s="42">
        <v>7287490</v>
      </c>
      <c r="K359" s="42">
        <v>345485</v>
      </c>
      <c r="M359" s="42">
        <v>0</v>
      </c>
      <c r="O359" s="42">
        <v>61355</v>
      </c>
      <c r="Q359" s="42">
        <v>2166666</v>
      </c>
      <c r="S359" s="42">
        <v>3553664</v>
      </c>
      <c r="U359" s="42">
        <v>0</v>
      </c>
      <c r="W359" s="42">
        <f>55769+3109860</f>
        <v>3165629</v>
      </c>
      <c r="Y359" s="42">
        <v>1418457</v>
      </c>
      <c r="AA359" s="42">
        <v>338475</v>
      </c>
      <c r="AC359" s="42">
        <v>4357900</v>
      </c>
      <c r="AE359" s="42">
        <v>5675234</v>
      </c>
      <c r="AG359" s="42">
        <v>968177</v>
      </c>
      <c r="AI359" s="42">
        <v>0</v>
      </c>
      <c r="AK359" s="42">
        <v>1156216</v>
      </c>
      <c r="AL359" s="9" t="s">
        <v>764</v>
      </c>
      <c r="AM359" s="9"/>
      <c r="AN359" s="9" t="s">
        <v>112</v>
      </c>
      <c r="AP359" s="42">
        <v>944598</v>
      </c>
      <c r="AR359" s="42">
        <v>0</v>
      </c>
      <c r="AV359" s="42">
        <v>146495</v>
      </c>
      <c r="AX359" s="42">
        <v>13299</v>
      </c>
      <c r="AZ359" s="42">
        <v>0</v>
      </c>
      <c r="BB359" s="42">
        <f t="shared" si="66"/>
        <v>58591204</v>
      </c>
      <c r="BD359" s="42">
        <v>0</v>
      </c>
      <c r="BF359" s="42">
        <v>0</v>
      </c>
      <c r="BH359" s="42">
        <v>0</v>
      </c>
      <c r="BJ359" s="42">
        <v>0</v>
      </c>
      <c r="BL359" s="42">
        <f t="shared" si="67"/>
        <v>58591204</v>
      </c>
      <c r="BN359" s="42">
        <f>+'Gen Fd Rev'!AM359-'Gen Fd Exp'!BL359</f>
        <v>680575</v>
      </c>
      <c r="BP359" s="42">
        <v>13393263</v>
      </c>
      <c r="BR359" s="42">
        <v>0</v>
      </c>
      <c r="BT359" s="42">
        <v>0</v>
      </c>
      <c r="BV359" s="42">
        <f t="shared" si="68"/>
        <v>14073838</v>
      </c>
      <c r="BX359" s="5">
        <f>+BV359-'Gen Fd BS'!AI359+BT359</f>
        <v>0</v>
      </c>
    </row>
    <row r="360" spans="1:76" hidden="1">
      <c r="A360" s="9" t="s">
        <v>608</v>
      </c>
      <c r="B360" s="9"/>
      <c r="C360" s="9" t="s">
        <v>548</v>
      </c>
      <c r="D360" s="9"/>
      <c r="E360" s="23">
        <v>50633</v>
      </c>
      <c r="F360" s="7"/>
      <c r="G360" s="42">
        <v>0</v>
      </c>
      <c r="I360" s="42">
        <v>0</v>
      </c>
      <c r="K360" s="42">
        <v>0</v>
      </c>
      <c r="M360" s="42">
        <v>0</v>
      </c>
      <c r="O360" s="42">
        <v>0</v>
      </c>
      <c r="Q360" s="42">
        <v>0</v>
      </c>
      <c r="S360" s="42">
        <v>0</v>
      </c>
      <c r="U360" s="42">
        <v>0</v>
      </c>
      <c r="W360" s="42">
        <v>0</v>
      </c>
      <c r="Y360" s="42">
        <v>0</v>
      </c>
      <c r="AA360" s="42">
        <v>0</v>
      </c>
      <c r="AC360" s="42">
        <v>0</v>
      </c>
      <c r="AE360" s="42">
        <v>0</v>
      </c>
      <c r="AG360" s="42">
        <v>0</v>
      </c>
      <c r="AI360" s="42">
        <v>0</v>
      </c>
      <c r="AK360" s="42">
        <v>0</v>
      </c>
      <c r="AL360" s="9" t="s">
        <v>608</v>
      </c>
      <c r="AM360" s="9"/>
      <c r="AN360" s="9" t="s">
        <v>548</v>
      </c>
      <c r="AP360" s="42">
        <v>0</v>
      </c>
      <c r="AR360" s="42">
        <v>0</v>
      </c>
      <c r="AV360" s="42">
        <v>0</v>
      </c>
      <c r="AX360" s="42">
        <v>0</v>
      </c>
      <c r="AZ360" s="42">
        <v>0</v>
      </c>
      <c r="BB360" s="42">
        <f t="shared" si="66"/>
        <v>0</v>
      </c>
      <c r="BD360" s="42">
        <v>0</v>
      </c>
      <c r="BF360" s="42">
        <v>0</v>
      </c>
      <c r="BH360" s="42">
        <v>0</v>
      </c>
      <c r="BJ360" s="42">
        <v>0</v>
      </c>
      <c r="BL360" s="42">
        <f t="shared" si="67"/>
        <v>0</v>
      </c>
      <c r="BN360" s="42">
        <f>+'Gen Fd Rev'!AM360-'Gen Fd Exp'!BL360</f>
        <v>0</v>
      </c>
      <c r="BP360" s="42">
        <v>0</v>
      </c>
      <c r="BR360" s="42">
        <v>0</v>
      </c>
      <c r="BT360" s="42">
        <v>0</v>
      </c>
      <c r="BV360" s="42">
        <f t="shared" si="68"/>
        <v>0</v>
      </c>
      <c r="BX360" s="5">
        <f>+BV360-'Gen Fd BS'!AI360+BT360</f>
        <v>0</v>
      </c>
    </row>
    <row r="361" spans="1:76" hidden="1">
      <c r="A361" s="9" t="s">
        <v>880</v>
      </c>
      <c r="B361" s="9"/>
      <c r="C361" s="9" t="s">
        <v>464</v>
      </c>
      <c r="D361" s="9"/>
      <c r="E361" s="23">
        <v>49361</v>
      </c>
      <c r="G361" s="42">
        <v>0</v>
      </c>
      <c r="I361" s="42">
        <v>0</v>
      </c>
      <c r="K361" s="42">
        <v>0</v>
      </c>
      <c r="M361" s="42">
        <v>0</v>
      </c>
      <c r="O361" s="42">
        <v>0</v>
      </c>
      <c r="Q361" s="42">
        <v>0</v>
      </c>
      <c r="S361" s="42">
        <v>0</v>
      </c>
      <c r="U361" s="42">
        <v>0</v>
      </c>
      <c r="W361" s="42">
        <v>0</v>
      </c>
      <c r="Y361" s="42">
        <v>0</v>
      </c>
      <c r="AA361" s="42">
        <v>0</v>
      </c>
      <c r="AC361" s="42">
        <v>0</v>
      </c>
      <c r="AE361" s="42">
        <v>0</v>
      </c>
      <c r="AG361" s="42">
        <v>0</v>
      </c>
      <c r="AI361" s="42">
        <v>0</v>
      </c>
      <c r="AK361" s="42">
        <v>0</v>
      </c>
      <c r="AL361" s="9" t="s">
        <v>880</v>
      </c>
      <c r="AM361" s="9"/>
      <c r="AN361" s="9" t="s">
        <v>464</v>
      </c>
      <c r="AP361" s="42">
        <v>0</v>
      </c>
      <c r="AR361" s="42">
        <v>0</v>
      </c>
      <c r="AV361" s="42">
        <v>0</v>
      </c>
      <c r="AX361" s="42">
        <v>0</v>
      </c>
      <c r="AZ361" s="42">
        <v>0</v>
      </c>
      <c r="BB361" s="42">
        <f t="shared" si="66"/>
        <v>0</v>
      </c>
      <c r="BD361" s="42">
        <v>0</v>
      </c>
      <c r="BF361" s="42">
        <v>0</v>
      </c>
      <c r="BH361" s="42">
        <v>0</v>
      </c>
      <c r="BJ361" s="42">
        <v>0</v>
      </c>
      <c r="BL361" s="42">
        <f t="shared" si="67"/>
        <v>0</v>
      </c>
      <c r="BN361" s="42">
        <f>+'Gen Fd Rev'!AM361-'Gen Fd Exp'!BL361</f>
        <v>0</v>
      </c>
      <c r="BP361" s="42">
        <v>0</v>
      </c>
      <c r="BR361" s="42">
        <v>0</v>
      </c>
      <c r="BT361" s="42">
        <v>0</v>
      </c>
      <c r="BV361" s="42">
        <f t="shared" si="68"/>
        <v>0</v>
      </c>
      <c r="BX361" s="5">
        <f>+BV361-'Gen Fd BS'!AI361+BT361</f>
        <v>0</v>
      </c>
    </row>
    <row r="362" spans="1:76" hidden="1">
      <c r="A362" s="9" t="s">
        <v>801</v>
      </c>
      <c r="B362" s="9"/>
      <c r="C362" s="9" t="s">
        <v>48</v>
      </c>
      <c r="D362" s="9"/>
      <c r="E362" s="23">
        <v>45518</v>
      </c>
      <c r="G362" s="42">
        <v>0</v>
      </c>
      <c r="I362" s="42">
        <v>0</v>
      </c>
      <c r="K362" s="42">
        <v>0</v>
      </c>
      <c r="M362" s="42">
        <v>0</v>
      </c>
      <c r="O362" s="42">
        <v>0</v>
      </c>
      <c r="Q362" s="42">
        <v>0</v>
      </c>
      <c r="S362" s="42">
        <v>0</v>
      </c>
      <c r="U362" s="42">
        <v>0</v>
      </c>
      <c r="W362" s="42">
        <v>0</v>
      </c>
      <c r="Y362" s="42">
        <v>0</v>
      </c>
      <c r="AA362" s="42">
        <v>0</v>
      </c>
      <c r="AC362" s="42">
        <v>0</v>
      </c>
      <c r="AE362" s="42">
        <v>0</v>
      </c>
      <c r="AG362" s="42">
        <v>0</v>
      </c>
      <c r="AI362" s="42">
        <v>0</v>
      </c>
      <c r="AK362" s="42">
        <v>0</v>
      </c>
      <c r="AL362" s="9" t="s">
        <v>801</v>
      </c>
      <c r="AM362" s="9"/>
      <c r="AN362" s="9" t="s">
        <v>48</v>
      </c>
      <c r="AP362" s="42">
        <v>0</v>
      </c>
      <c r="AR362" s="42">
        <v>0</v>
      </c>
      <c r="AV362" s="42">
        <v>0</v>
      </c>
      <c r="AX362" s="42">
        <v>0</v>
      </c>
      <c r="AZ362" s="42">
        <v>0</v>
      </c>
      <c r="BB362" s="42">
        <f t="shared" si="66"/>
        <v>0</v>
      </c>
      <c r="BD362" s="42">
        <v>0</v>
      </c>
      <c r="BF362" s="42">
        <v>0</v>
      </c>
      <c r="BH362" s="42">
        <v>0</v>
      </c>
      <c r="BJ362" s="42">
        <v>0</v>
      </c>
      <c r="BL362" s="42">
        <f t="shared" si="67"/>
        <v>0</v>
      </c>
      <c r="BN362" s="42">
        <f>+'Gen Fd Rev'!AM362-'Gen Fd Exp'!BL362</f>
        <v>0</v>
      </c>
      <c r="BP362" s="42">
        <v>0</v>
      </c>
      <c r="BR362" s="42">
        <v>0</v>
      </c>
      <c r="BT362" s="42">
        <v>0</v>
      </c>
      <c r="BV362" s="42">
        <f t="shared" si="68"/>
        <v>0</v>
      </c>
      <c r="BX362" s="5">
        <f>+BV362-'Gen Fd BS'!AI362+BT362</f>
        <v>0</v>
      </c>
    </row>
    <row r="363" spans="1:76">
      <c r="A363" s="9" t="s">
        <v>498</v>
      </c>
      <c r="B363" s="9"/>
      <c r="C363" s="9" t="s">
        <v>62</v>
      </c>
      <c r="D363" s="9"/>
      <c r="E363" s="23">
        <v>49890</v>
      </c>
      <c r="G363" s="42">
        <v>7201403</v>
      </c>
      <c r="I363" s="42">
        <v>2100981</v>
      </c>
      <c r="K363" s="42">
        <v>0</v>
      </c>
      <c r="M363" s="42">
        <v>5135</v>
      </c>
      <c r="O363" s="42">
        <v>73</v>
      </c>
      <c r="Q363" s="42">
        <v>796450</v>
      </c>
      <c r="S363" s="42">
        <v>413517</v>
      </c>
      <c r="U363" s="42">
        <v>85186</v>
      </c>
      <c r="W363" s="42">
        <v>1409916</v>
      </c>
      <c r="Y363" s="42">
        <v>488846</v>
      </c>
      <c r="AA363" s="42">
        <v>75460</v>
      </c>
      <c r="AC363" s="42">
        <v>1164935</v>
      </c>
      <c r="AE363" s="42">
        <v>955818</v>
      </c>
      <c r="AG363" s="42">
        <v>83947</v>
      </c>
      <c r="AI363" s="42">
        <v>0</v>
      </c>
      <c r="AK363" s="42">
        <v>1947</v>
      </c>
      <c r="AL363" s="9" t="s">
        <v>498</v>
      </c>
      <c r="AM363" s="9"/>
      <c r="AN363" s="9" t="s">
        <v>62</v>
      </c>
      <c r="AP363" s="42">
        <v>330838</v>
      </c>
      <c r="AR363" s="42">
        <v>0</v>
      </c>
      <c r="AV363" s="42">
        <v>17008</v>
      </c>
      <c r="AX363" s="42">
        <v>10738</v>
      </c>
      <c r="AZ363" s="42">
        <v>0</v>
      </c>
      <c r="BB363" s="42">
        <f t="shared" si="66"/>
        <v>15142198</v>
      </c>
      <c r="BD363" s="42">
        <v>0</v>
      </c>
      <c r="BF363" s="42">
        <v>0</v>
      </c>
      <c r="BH363" s="42">
        <v>0</v>
      </c>
      <c r="BJ363" s="42">
        <v>0</v>
      </c>
      <c r="BL363" s="42">
        <f t="shared" si="67"/>
        <v>15142198</v>
      </c>
      <c r="BN363" s="42">
        <f>+'Gen Fd Rev'!AM363-'Gen Fd Exp'!BL363</f>
        <v>848981</v>
      </c>
      <c r="BP363" s="42">
        <v>-5101</v>
      </c>
      <c r="BR363" s="42">
        <v>0</v>
      </c>
      <c r="BT363" s="42">
        <v>0</v>
      </c>
      <c r="BV363" s="42">
        <f t="shared" si="68"/>
        <v>843880</v>
      </c>
      <c r="BX363" s="5">
        <f>+BV363-'Gen Fd BS'!AI363+BT363</f>
        <v>0</v>
      </c>
    </row>
    <row r="364" spans="1:76">
      <c r="A364" s="9" t="s">
        <v>479</v>
      </c>
      <c r="B364" s="9"/>
      <c r="C364" s="9" t="s">
        <v>59</v>
      </c>
      <c r="D364" s="9"/>
      <c r="E364" s="23">
        <v>49627</v>
      </c>
      <c r="G364" s="42">
        <v>6896189</v>
      </c>
      <c r="I364" s="42">
        <v>1328824</v>
      </c>
      <c r="K364" s="42">
        <v>111180</v>
      </c>
      <c r="M364" s="42">
        <v>0</v>
      </c>
      <c r="O364" s="42">
        <v>0</v>
      </c>
      <c r="Q364" s="42">
        <v>551840</v>
      </c>
      <c r="S364" s="42">
        <v>495630</v>
      </c>
      <c r="U364" s="42">
        <v>50642</v>
      </c>
      <c r="W364" s="42">
        <v>1066805</v>
      </c>
      <c r="Y364" s="42">
        <v>263322</v>
      </c>
      <c r="AA364" s="42">
        <v>0</v>
      </c>
      <c r="AC364" s="42">
        <v>1242975</v>
      </c>
      <c r="AE364" s="42">
        <v>1032606</v>
      </c>
      <c r="AG364" s="42">
        <v>33815</v>
      </c>
      <c r="AI364" s="42">
        <v>0</v>
      </c>
      <c r="AK364" s="42">
        <v>3617</v>
      </c>
      <c r="AL364" s="9" t="s">
        <v>479</v>
      </c>
      <c r="AM364" s="9"/>
      <c r="AN364" s="9" t="s">
        <v>59</v>
      </c>
      <c r="AP364" s="42">
        <v>426968</v>
      </c>
      <c r="AR364" s="42">
        <v>69510</v>
      </c>
      <c r="AV364" s="42">
        <v>281614</v>
      </c>
      <c r="AX364" s="42">
        <v>58644</v>
      </c>
      <c r="AZ364" s="42">
        <v>0</v>
      </c>
      <c r="BB364" s="42">
        <f t="shared" si="66"/>
        <v>13914181</v>
      </c>
      <c r="BD364" s="42">
        <v>122730</v>
      </c>
      <c r="BF364" s="42">
        <v>0</v>
      </c>
      <c r="BH364" s="42">
        <v>0</v>
      </c>
      <c r="BJ364" s="42">
        <v>0</v>
      </c>
      <c r="BL364" s="42">
        <f t="shared" si="67"/>
        <v>14036911</v>
      </c>
      <c r="BN364" s="42">
        <f>+'Gen Fd Rev'!AM364-'Gen Fd Exp'!BL364</f>
        <v>-298188</v>
      </c>
      <c r="BP364" s="42">
        <v>459255</v>
      </c>
      <c r="BR364" s="42">
        <v>0</v>
      </c>
      <c r="BT364" s="42">
        <v>0</v>
      </c>
      <c r="BV364" s="42">
        <f t="shared" si="68"/>
        <v>161067</v>
      </c>
      <c r="BX364" s="5">
        <f>+BV364-'Gen Fd BS'!AI364+BT364</f>
        <v>0</v>
      </c>
    </row>
    <row r="365" spans="1:76">
      <c r="A365" s="9" t="s">
        <v>212</v>
      </c>
      <c r="B365" s="9"/>
      <c r="C365" s="9" t="s">
        <v>14</v>
      </c>
      <c r="D365" s="9"/>
      <c r="E365" s="23">
        <v>45948</v>
      </c>
      <c r="G365" s="42">
        <v>4148596</v>
      </c>
      <c r="I365" s="42">
        <v>445340</v>
      </c>
      <c r="K365" s="42">
        <v>203542</v>
      </c>
      <c r="M365" s="42">
        <v>0</v>
      </c>
      <c r="O365" s="42">
        <v>0</v>
      </c>
      <c r="Q365" s="42">
        <v>722890</v>
      </c>
      <c r="S365" s="42">
        <v>295388</v>
      </c>
      <c r="U365" s="42">
        <v>28777</v>
      </c>
      <c r="W365" s="42">
        <v>503140</v>
      </c>
      <c r="Y365" s="42">
        <v>217890</v>
      </c>
      <c r="AA365" s="42">
        <v>0</v>
      </c>
      <c r="AC365" s="42">
        <v>815573</v>
      </c>
      <c r="AE365" s="42">
        <v>223754</v>
      </c>
      <c r="AG365" s="42">
        <v>60421</v>
      </c>
      <c r="AI365" s="42">
        <v>0</v>
      </c>
      <c r="AK365" s="42">
        <v>0</v>
      </c>
      <c r="AL365" s="9" t="s">
        <v>212</v>
      </c>
      <c r="AM365" s="9"/>
      <c r="AN365" s="9" t="s">
        <v>14</v>
      </c>
      <c r="AP365" s="42">
        <v>235385</v>
      </c>
      <c r="AR365" s="42">
        <v>0</v>
      </c>
      <c r="AV365" s="42">
        <v>0</v>
      </c>
      <c r="AX365" s="42">
        <v>0</v>
      </c>
      <c r="AZ365" s="42">
        <v>0</v>
      </c>
      <c r="BB365" s="42">
        <f t="shared" si="66"/>
        <v>7900696</v>
      </c>
      <c r="BD365" s="42">
        <v>4000</v>
      </c>
      <c r="BF365" s="42">
        <v>0</v>
      </c>
      <c r="BH365" s="42">
        <v>0</v>
      </c>
      <c r="BJ365" s="42">
        <v>0</v>
      </c>
      <c r="BL365" s="42">
        <f t="shared" si="67"/>
        <v>7904696</v>
      </c>
      <c r="BN365" s="42">
        <f>+'Gen Fd Rev'!AM365-'Gen Fd Exp'!BL365</f>
        <v>1018440</v>
      </c>
      <c r="BP365" s="42">
        <v>190889</v>
      </c>
      <c r="BR365" s="42">
        <v>0</v>
      </c>
      <c r="BT365" s="42">
        <v>0</v>
      </c>
      <c r="BV365" s="42">
        <f t="shared" si="68"/>
        <v>1209329</v>
      </c>
      <c r="BX365" s="5">
        <f>+BV365-'Gen Fd BS'!AI365+BT365</f>
        <v>0</v>
      </c>
    </row>
    <row r="366" spans="1:76" hidden="1">
      <c r="A366" s="9" t="s">
        <v>635</v>
      </c>
      <c r="B366" s="9"/>
      <c r="C366" s="9" t="s">
        <v>21</v>
      </c>
      <c r="D366" s="9"/>
      <c r="E366" s="23">
        <v>46672</v>
      </c>
      <c r="G366" s="42">
        <v>0</v>
      </c>
      <c r="I366" s="42">
        <v>0</v>
      </c>
      <c r="K366" s="42">
        <v>0</v>
      </c>
      <c r="M366" s="42">
        <v>0</v>
      </c>
      <c r="O366" s="42">
        <v>0</v>
      </c>
      <c r="Q366" s="42">
        <v>0</v>
      </c>
      <c r="S366" s="42">
        <v>0</v>
      </c>
      <c r="U366" s="42">
        <v>0</v>
      </c>
      <c r="W366" s="42">
        <v>0</v>
      </c>
      <c r="Y366" s="42">
        <v>0</v>
      </c>
      <c r="AA366" s="42">
        <v>0</v>
      </c>
      <c r="AC366" s="42">
        <v>0</v>
      </c>
      <c r="AE366" s="42">
        <v>0</v>
      </c>
      <c r="AG366" s="42">
        <v>0</v>
      </c>
      <c r="AI366" s="42">
        <v>0</v>
      </c>
      <c r="AK366" s="42">
        <v>0</v>
      </c>
      <c r="AL366" s="9" t="s">
        <v>635</v>
      </c>
      <c r="AM366" s="9"/>
      <c r="AN366" s="9" t="s">
        <v>21</v>
      </c>
      <c r="AP366" s="42">
        <v>0</v>
      </c>
      <c r="AR366" s="42">
        <v>0</v>
      </c>
      <c r="AV366" s="42">
        <v>0</v>
      </c>
      <c r="AX366" s="42">
        <v>0</v>
      </c>
      <c r="AZ366" s="42">
        <v>0</v>
      </c>
      <c r="BB366" s="42">
        <f t="shared" si="66"/>
        <v>0</v>
      </c>
      <c r="BD366" s="42">
        <v>0</v>
      </c>
      <c r="BF366" s="42">
        <v>0</v>
      </c>
      <c r="BH366" s="42">
        <v>0</v>
      </c>
      <c r="BJ366" s="42">
        <v>0</v>
      </c>
      <c r="BL366" s="42">
        <f t="shared" si="67"/>
        <v>0</v>
      </c>
      <c r="BN366" s="42">
        <f>+'Gen Fd Rev'!AM366-'Gen Fd Exp'!BL366</f>
        <v>0</v>
      </c>
      <c r="BP366" s="42">
        <v>0</v>
      </c>
      <c r="BR366" s="42">
        <v>0</v>
      </c>
      <c r="BT366" s="42">
        <v>0</v>
      </c>
      <c r="BV366" s="42">
        <f t="shared" si="68"/>
        <v>0</v>
      </c>
      <c r="BX366" s="5">
        <f>+BV366-'Gen Fd BS'!AI366+BT366</f>
        <v>0</v>
      </c>
    </row>
    <row r="367" spans="1:76">
      <c r="A367" s="9" t="s">
        <v>506</v>
      </c>
      <c r="B367" s="9"/>
      <c r="C367" s="9" t="s">
        <v>63</v>
      </c>
      <c r="D367" s="9"/>
      <c r="E367" s="23">
        <v>50039</v>
      </c>
      <c r="G367" s="42">
        <v>4322789</v>
      </c>
      <c r="I367" s="42">
        <v>905622</v>
      </c>
      <c r="K367" s="42">
        <v>99247</v>
      </c>
      <c r="M367" s="42">
        <v>0</v>
      </c>
      <c r="O367" s="42">
        <f>553279+142709</f>
        <v>695988</v>
      </c>
      <c r="Q367" s="42">
        <v>421640</v>
      </c>
      <c r="S367" s="42">
        <v>307011</v>
      </c>
      <c r="U367" s="42">
        <v>52291</v>
      </c>
      <c r="W367" s="42">
        <v>735618</v>
      </c>
      <c r="Y367" s="42">
        <v>328741</v>
      </c>
      <c r="AA367" s="42">
        <v>350</v>
      </c>
      <c r="AC367" s="42">
        <v>750777</v>
      </c>
      <c r="AE367" s="42">
        <v>345928</v>
      </c>
      <c r="AG367" s="42">
        <v>11335</v>
      </c>
      <c r="AI367" s="42">
        <v>0</v>
      </c>
      <c r="AK367" s="42">
        <v>0</v>
      </c>
      <c r="AL367" s="9" t="s">
        <v>506</v>
      </c>
      <c r="AM367" s="9"/>
      <c r="AN367" s="9" t="s">
        <v>63</v>
      </c>
      <c r="AP367" s="42">
        <v>230236</v>
      </c>
      <c r="AR367" s="42">
        <v>0</v>
      </c>
      <c r="AV367" s="42">
        <v>0</v>
      </c>
      <c r="AX367" s="42">
        <v>0</v>
      </c>
      <c r="AZ367" s="42">
        <v>0</v>
      </c>
      <c r="BB367" s="42">
        <f t="shared" si="66"/>
        <v>9207573</v>
      </c>
      <c r="BD367" s="42">
        <v>0</v>
      </c>
      <c r="BF367" s="42">
        <v>0</v>
      </c>
      <c r="BH367" s="42">
        <v>0</v>
      </c>
      <c r="BJ367" s="42">
        <v>0</v>
      </c>
      <c r="BL367" s="42">
        <f t="shared" si="67"/>
        <v>9207573</v>
      </c>
      <c r="BN367" s="42">
        <f>+'Gen Fd Rev'!AM367-'Gen Fd Exp'!BL367</f>
        <v>-747460</v>
      </c>
      <c r="BP367" s="42">
        <v>2308678</v>
      </c>
      <c r="BR367" s="42">
        <v>0</v>
      </c>
      <c r="BT367" s="42">
        <v>0</v>
      </c>
      <c r="BV367" s="42">
        <f t="shared" si="68"/>
        <v>1561218</v>
      </c>
      <c r="BX367" s="5">
        <f>+BV367-'Gen Fd BS'!AI367+BT367</f>
        <v>0</v>
      </c>
    </row>
    <row r="368" spans="1:76" hidden="1">
      <c r="A368" s="9" t="s">
        <v>616</v>
      </c>
      <c r="B368" s="9"/>
      <c r="C368" s="9" t="s">
        <v>553</v>
      </c>
      <c r="D368" s="9"/>
      <c r="E368" s="23">
        <v>50740</v>
      </c>
      <c r="G368" s="42">
        <v>0</v>
      </c>
      <c r="I368" s="42">
        <v>0</v>
      </c>
      <c r="K368" s="42">
        <v>0</v>
      </c>
      <c r="M368" s="42">
        <v>0</v>
      </c>
      <c r="O368" s="42">
        <v>0</v>
      </c>
      <c r="Q368" s="42">
        <v>0</v>
      </c>
      <c r="S368" s="42">
        <v>0</v>
      </c>
      <c r="U368" s="42">
        <v>0</v>
      </c>
      <c r="W368" s="42">
        <v>0</v>
      </c>
      <c r="Y368" s="42">
        <v>0</v>
      </c>
      <c r="AA368" s="42">
        <v>0</v>
      </c>
      <c r="AC368" s="42">
        <v>0</v>
      </c>
      <c r="AE368" s="42">
        <v>0</v>
      </c>
      <c r="AG368" s="42">
        <v>0</v>
      </c>
      <c r="AI368" s="42">
        <v>0</v>
      </c>
      <c r="AK368" s="42">
        <v>0</v>
      </c>
      <c r="AL368" s="9" t="s">
        <v>616</v>
      </c>
      <c r="AM368" s="9"/>
      <c r="AN368" s="9" t="s">
        <v>553</v>
      </c>
      <c r="AP368" s="42">
        <v>0</v>
      </c>
      <c r="AR368" s="42">
        <v>0</v>
      </c>
      <c r="AV368" s="42">
        <v>0</v>
      </c>
      <c r="AX368" s="42">
        <v>0</v>
      </c>
      <c r="AZ368" s="42">
        <v>0</v>
      </c>
      <c r="BB368" s="42">
        <f t="shared" si="66"/>
        <v>0</v>
      </c>
      <c r="BD368" s="42">
        <v>0</v>
      </c>
      <c r="BF368" s="42">
        <v>0</v>
      </c>
      <c r="BH368" s="42">
        <v>0</v>
      </c>
      <c r="BJ368" s="42">
        <v>0</v>
      </c>
      <c r="BL368" s="42">
        <f t="shared" si="67"/>
        <v>0</v>
      </c>
      <c r="BN368" s="42">
        <f>+'Gen Fd Rev'!AM368-'Gen Fd Exp'!BL368</f>
        <v>0</v>
      </c>
      <c r="BP368" s="42">
        <v>0</v>
      </c>
      <c r="BR368" s="42">
        <v>0</v>
      </c>
      <c r="BT368" s="42">
        <v>0</v>
      </c>
      <c r="BV368" s="42">
        <f t="shared" ref="BV368:BV389" si="73">+BP368+BN368-BR368</f>
        <v>0</v>
      </c>
      <c r="BX368" s="5">
        <f>+BV368-'Gen Fd BS'!AI368+BT368</f>
        <v>0</v>
      </c>
    </row>
    <row r="369" spans="1:76" ht="12.75" customHeight="1">
      <c r="A369" s="8" t="s">
        <v>905</v>
      </c>
      <c r="B369" s="9"/>
      <c r="C369" s="9" t="s">
        <v>220</v>
      </c>
      <c r="D369" s="9"/>
      <c r="E369" s="23">
        <v>139303</v>
      </c>
      <c r="G369" s="42">
        <v>8508109</v>
      </c>
      <c r="I369" s="42">
        <v>1585565</v>
      </c>
      <c r="K369" s="42">
        <v>0</v>
      </c>
      <c r="M369" s="42">
        <v>0</v>
      </c>
      <c r="O369" s="42">
        <v>19170</v>
      </c>
      <c r="Q369" s="42">
        <v>873992</v>
      </c>
      <c r="S369" s="42">
        <v>634080</v>
      </c>
      <c r="U369" s="42">
        <v>175532</v>
      </c>
      <c r="W369" s="42">
        <v>1216581</v>
      </c>
      <c r="Y369" s="42">
        <v>558694</v>
      </c>
      <c r="AA369" s="42">
        <v>60889</v>
      </c>
      <c r="AC369" s="42">
        <v>1361884</v>
      </c>
      <c r="AE369" s="42">
        <v>1605102</v>
      </c>
      <c r="AG369" s="42">
        <v>290557</v>
      </c>
      <c r="AI369" s="42">
        <v>0</v>
      </c>
      <c r="AK369" s="42">
        <v>0</v>
      </c>
      <c r="AL369" s="8" t="s">
        <v>905</v>
      </c>
      <c r="AM369" s="9"/>
      <c r="AN369" s="9" t="s">
        <v>220</v>
      </c>
      <c r="AP369" s="42">
        <v>426833</v>
      </c>
      <c r="AR369" s="42">
        <v>0</v>
      </c>
      <c r="AV369" s="42">
        <v>1102000</v>
      </c>
      <c r="AX369" s="42">
        <v>10352</v>
      </c>
      <c r="AZ369" s="42">
        <v>0</v>
      </c>
      <c r="BB369" s="42">
        <f t="shared" si="66"/>
        <v>18429340</v>
      </c>
      <c r="BD369" s="42">
        <v>0</v>
      </c>
      <c r="BF369" s="42">
        <v>0</v>
      </c>
      <c r="BH369" s="42">
        <v>0</v>
      </c>
      <c r="BJ369" s="42">
        <v>0</v>
      </c>
      <c r="BL369" s="42">
        <f t="shared" si="67"/>
        <v>18429340</v>
      </c>
      <c r="BN369" s="42">
        <f>+'Gen Fd Rev'!AM369-'Gen Fd Exp'!BL369</f>
        <v>2550629</v>
      </c>
      <c r="BP369" s="42">
        <v>-4275596</v>
      </c>
      <c r="BR369" s="42">
        <v>0</v>
      </c>
      <c r="BT369" s="42">
        <v>0</v>
      </c>
      <c r="BV369" s="42">
        <f t="shared" si="73"/>
        <v>-1724967</v>
      </c>
      <c r="BX369" s="5">
        <f>+BV369-'Gen Fd BS'!AI369+BT369</f>
        <v>0</v>
      </c>
    </row>
    <row r="370" spans="1:76" s="24" customFormat="1">
      <c r="A370" s="51" t="s">
        <v>354</v>
      </c>
      <c r="B370" s="51"/>
      <c r="C370" s="51" t="s">
        <v>37</v>
      </c>
      <c r="D370" s="51"/>
      <c r="E370" s="23">
        <v>47712</v>
      </c>
      <c r="G370" s="42">
        <v>3305477</v>
      </c>
      <c r="H370" s="42"/>
      <c r="I370" s="42">
        <v>573352</v>
      </c>
      <c r="J370" s="42"/>
      <c r="K370" s="42">
        <v>176761</v>
      </c>
      <c r="L370" s="42"/>
      <c r="M370" s="42">
        <v>0</v>
      </c>
      <c r="N370" s="42"/>
      <c r="O370" s="42">
        <v>0</v>
      </c>
      <c r="P370" s="42"/>
      <c r="Q370" s="42">
        <v>237825</v>
      </c>
      <c r="R370" s="42"/>
      <c r="S370" s="42">
        <v>266915</v>
      </c>
      <c r="T370" s="42"/>
      <c r="U370" s="42">
        <v>19642</v>
      </c>
      <c r="V370" s="42"/>
      <c r="W370" s="42">
        <v>567781</v>
      </c>
      <c r="X370" s="42"/>
      <c r="Y370" s="42">
        <v>271072</v>
      </c>
      <c r="Z370" s="42"/>
      <c r="AA370" s="42">
        <v>5185</v>
      </c>
      <c r="AB370" s="42"/>
      <c r="AC370" s="42">
        <v>445131</v>
      </c>
      <c r="AD370" s="42"/>
      <c r="AE370" s="42">
        <v>374653</v>
      </c>
      <c r="AF370" s="42"/>
      <c r="AG370" s="42">
        <v>1479</v>
      </c>
      <c r="AH370" s="42"/>
      <c r="AI370" s="42">
        <v>0</v>
      </c>
      <c r="AJ370" s="42"/>
      <c r="AK370" s="42">
        <v>0</v>
      </c>
      <c r="AL370" s="51" t="s">
        <v>354</v>
      </c>
      <c r="AM370" s="51"/>
      <c r="AN370" s="51" t="s">
        <v>37</v>
      </c>
      <c r="AP370" s="42">
        <v>149440</v>
      </c>
      <c r="AQ370" s="42"/>
      <c r="AR370" s="42">
        <v>0</v>
      </c>
      <c r="AS370" s="42"/>
      <c r="AT370" s="42"/>
      <c r="AU370" s="42"/>
      <c r="AV370" s="42">
        <v>131356</v>
      </c>
      <c r="AW370" s="42"/>
      <c r="AX370" s="42">
        <v>58124</v>
      </c>
      <c r="AY370" s="42"/>
      <c r="AZ370" s="42">
        <v>0</v>
      </c>
      <c r="BA370" s="42"/>
      <c r="BB370" s="42">
        <f t="shared" si="66"/>
        <v>6584193</v>
      </c>
      <c r="BC370" s="42"/>
      <c r="BD370" s="42">
        <v>57500</v>
      </c>
      <c r="BE370" s="42"/>
      <c r="BF370" s="42">
        <v>0</v>
      </c>
      <c r="BG370" s="42"/>
      <c r="BH370" s="42">
        <v>0</v>
      </c>
      <c r="BI370" s="42"/>
      <c r="BJ370" s="42">
        <v>0</v>
      </c>
      <c r="BK370" s="42"/>
      <c r="BL370" s="42">
        <f t="shared" si="67"/>
        <v>6641693</v>
      </c>
      <c r="BM370" s="42"/>
      <c r="BN370" s="42">
        <f>+'Gen Fd Rev'!AM370-'Gen Fd Exp'!BL370</f>
        <v>-356117</v>
      </c>
      <c r="BO370" s="42"/>
      <c r="BP370" s="42">
        <v>762281</v>
      </c>
      <c r="BQ370" s="42"/>
      <c r="BR370" s="42">
        <v>0</v>
      </c>
      <c r="BS370" s="42"/>
      <c r="BT370" s="42">
        <v>0</v>
      </c>
      <c r="BU370" s="42"/>
      <c r="BV370" s="42">
        <f t="shared" si="73"/>
        <v>406164</v>
      </c>
      <c r="BW370" s="42"/>
      <c r="BX370" s="5">
        <f>+BV370-'Gen Fd BS'!AI370+BT370</f>
        <v>0</v>
      </c>
    </row>
    <row r="371" spans="1:76" hidden="1">
      <c r="A371" s="9" t="s">
        <v>802</v>
      </c>
      <c r="B371" s="9"/>
      <c r="C371" s="9" t="s">
        <v>548</v>
      </c>
      <c r="D371" s="9"/>
      <c r="E371" s="23">
        <v>45526</v>
      </c>
      <c r="G371" s="42">
        <v>0</v>
      </c>
      <c r="I371" s="42">
        <v>0</v>
      </c>
      <c r="K371" s="42">
        <v>0</v>
      </c>
      <c r="M371" s="42">
        <v>0</v>
      </c>
      <c r="O371" s="42">
        <v>0</v>
      </c>
      <c r="Q371" s="42">
        <v>0</v>
      </c>
      <c r="S371" s="42">
        <v>0</v>
      </c>
      <c r="U371" s="42">
        <v>0</v>
      </c>
      <c r="W371" s="42">
        <v>0</v>
      </c>
      <c r="Y371" s="42">
        <v>0</v>
      </c>
      <c r="AA371" s="42">
        <v>0</v>
      </c>
      <c r="AC371" s="42">
        <v>0</v>
      </c>
      <c r="AE371" s="42">
        <v>0</v>
      </c>
      <c r="AG371" s="42">
        <v>0</v>
      </c>
      <c r="AI371" s="42">
        <v>0</v>
      </c>
      <c r="AK371" s="42">
        <v>0</v>
      </c>
      <c r="AL371" s="9" t="s">
        <v>802</v>
      </c>
      <c r="AM371" s="9"/>
      <c r="AN371" s="9" t="s">
        <v>548</v>
      </c>
      <c r="AP371" s="42">
        <v>0</v>
      </c>
      <c r="AR371" s="42">
        <v>0</v>
      </c>
      <c r="AV371" s="42">
        <v>0</v>
      </c>
      <c r="AX371" s="42">
        <v>0</v>
      </c>
      <c r="AZ371" s="42">
        <v>0</v>
      </c>
      <c r="BB371" s="42">
        <f t="shared" si="66"/>
        <v>0</v>
      </c>
      <c r="BD371" s="42">
        <v>0</v>
      </c>
      <c r="BF371" s="42">
        <v>0</v>
      </c>
      <c r="BH371" s="42">
        <v>0</v>
      </c>
      <c r="BJ371" s="42">
        <v>0</v>
      </c>
      <c r="BL371" s="42">
        <f t="shared" si="67"/>
        <v>0</v>
      </c>
      <c r="BN371" s="42">
        <f>+'Gen Fd Rev'!AM371-'Gen Fd Exp'!BL371</f>
        <v>0</v>
      </c>
      <c r="BP371" s="42">
        <v>0</v>
      </c>
      <c r="BR371" s="42">
        <v>0</v>
      </c>
      <c r="BT371" s="42">
        <v>0</v>
      </c>
      <c r="BV371" s="42">
        <f t="shared" si="73"/>
        <v>0</v>
      </c>
      <c r="BX371" s="5">
        <f>+BV371-'Gen Fd BS'!AI371+BT371</f>
        <v>0</v>
      </c>
    </row>
    <row r="372" spans="1:76" s="24" customFormat="1">
      <c r="A372" s="51" t="s">
        <v>436</v>
      </c>
      <c r="B372" s="51"/>
      <c r="C372" s="51" t="s">
        <v>437</v>
      </c>
      <c r="D372" s="51"/>
      <c r="E372" s="51">
        <v>48777</v>
      </c>
      <c r="F372" s="52"/>
      <c r="G372" s="24">
        <v>8704004</v>
      </c>
      <c r="I372" s="24">
        <v>1643051</v>
      </c>
      <c r="K372" s="24">
        <v>1180761</v>
      </c>
      <c r="M372" s="24">
        <v>0</v>
      </c>
      <c r="O372" s="24">
        <v>0</v>
      </c>
      <c r="Q372" s="24">
        <v>633741</v>
      </c>
      <c r="S372" s="24">
        <v>287233</v>
      </c>
      <c r="U372" s="24">
        <v>54397</v>
      </c>
      <c r="W372" s="24">
        <v>1635171</v>
      </c>
      <c r="Y372" s="24">
        <v>656058</v>
      </c>
      <c r="AA372" s="24">
        <v>145106</v>
      </c>
      <c r="AC372" s="24">
        <v>1953195</v>
      </c>
      <c r="AE372" s="24">
        <v>1953683</v>
      </c>
      <c r="AG372" s="24">
        <v>8738</v>
      </c>
      <c r="AI372" s="24">
        <v>0</v>
      </c>
      <c r="AK372" s="24">
        <v>0</v>
      </c>
      <c r="AL372" s="51" t="s">
        <v>436</v>
      </c>
      <c r="AM372" s="51"/>
      <c r="AN372" s="51" t="s">
        <v>437</v>
      </c>
      <c r="AP372" s="24">
        <v>153505</v>
      </c>
      <c r="AR372" s="24">
        <v>130</v>
      </c>
      <c r="AV372" s="24">
        <v>175109</v>
      </c>
      <c r="AX372" s="24">
        <v>10511</v>
      </c>
      <c r="AZ372" s="24">
        <v>0</v>
      </c>
      <c r="BB372" s="24">
        <f t="shared" si="66"/>
        <v>19194393</v>
      </c>
      <c r="BD372" s="24">
        <v>0</v>
      </c>
      <c r="BF372" s="24">
        <v>0</v>
      </c>
      <c r="BH372" s="24">
        <v>0</v>
      </c>
      <c r="BJ372" s="24">
        <v>0</v>
      </c>
      <c r="BL372" s="24">
        <f t="shared" si="67"/>
        <v>19194393</v>
      </c>
      <c r="BN372" s="24">
        <f>+'Gen Fd Rev'!AM372-'Gen Fd Exp'!BL372</f>
        <v>255340</v>
      </c>
      <c r="BP372" s="24">
        <v>6459762</v>
      </c>
      <c r="BR372" s="24">
        <v>0</v>
      </c>
      <c r="BT372" s="24">
        <v>0</v>
      </c>
      <c r="BV372" s="24">
        <f t="shared" si="73"/>
        <v>6715102</v>
      </c>
      <c r="BX372" s="64">
        <f>+BV372-'Gen Fd BS'!AI372+BT372</f>
        <v>0</v>
      </c>
    </row>
    <row r="373" spans="1:76">
      <c r="A373" s="9" t="s">
        <v>765</v>
      </c>
      <c r="B373" s="9"/>
      <c r="C373" s="9" t="s">
        <v>78</v>
      </c>
      <c r="D373" s="9"/>
      <c r="E373" s="23">
        <v>45534</v>
      </c>
      <c r="G373" s="42">
        <v>3992373</v>
      </c>
      <c r="I373" s="42">
        <v>1094012</v>
      </c>
      <c r="K373" s="42">
        <v>249514</v>
      </c>
      <c r="M373" s="42">
        <v>0</v>
      </c>
      <c r="O373" s="42">
        <v>1202922</v>
      </c>
      <c r="Q373" s="42">
        <v>962191</v>
      </c>
      <c r="S373" s="42">
        <v>588424</v>
      </c>
      <c r="U373" s="42">
        <v>0</v>
      </c>
      <c r="W373" s="42">
        <f>25534+968991</f>
        <v>994525</v>
      </c>
      <c r="Y373" s="42">
        <v>391532</v>
      </c>
      <c r="AA373" s="42">
        <v>0</v>
      </c>
      <c r="AC373" s="42">
        <v>1177313</v>
      </c>
      <c r="AE373" s="42">
        <v>521806</v>
      </c>
      <c r="AG373" s="42">
        <v>16022</v>
      </c>
      <c r="AI373" s="42">
        <v>0</v>
      </c>
      <c r="AK373" s="42">
        <v>812</v>
      </c>
      <c r="AL373" s="9" t="s">
        <v>765</v>
      </c>
      <c r="AM373" s="9"/>
      <c r="AN373" s="9" t="s">
        <v>78</v>
      </c>
      <c r="AP373" s="42">
        <v>174742</v>
      </c>
      <c r="AR373" s="42">
        <v>156829</v>
      </c>
      <c r="AV373" s="42">
        <v>0</v>
      </c>
      <c r="AX373" s="42">
        <v>50890</v>
      </c>
      <c r="AZ373" s="42">
        <v>0</v>
      </c>
      <c r="BB373" s="42">
        <f t="shared" si="66"/>
        <v>11573907</v>
      </c>
      <c r="BD373" s="42">
        <v>0</v>
      </c>
      <c r="BF373" s="42">
        <v>0</v>
      </c>
      <c r="BH373" s="42">
        <v>0</v>
      </c>
      <c r="BJ373" s="42">
        <v>0</v>
      </c>
      <c r="BL373" s="42">
        <f t="shared" si="67"/>
        <v>11573907</v>
      </c>
      <c r="BN373" s="42">
        <f>+'Gen Fd Rev'!AM373-'Gen Fd Exp'!BL373</f>
        <v>186943</v>
      </c>
      <c r="BP373" s="42">
        <v>2835180</v>
      </c>
      <c r="BR373" s="42">
        <v>0</v>
      </c>
      <c r="BT373" s="42">
        <v>0</v>
      </c>
      <c r="BV373" s="42">
        <f t="shared" si="73"/>
        <v>3022123</v>
      </c>
      <c r="BX373" s="5">
        <f>+BV373-'Gen Fd BS'!AI373+BT373</f>
        <v>0</v>
      </c>
    </row>
    <row r="374" spans="1:76" hidden="1">
      <c r="A374" s="8" t="s">
        <v>866</v>
      </c>
      <c r="B374" s="9"/>
      <c r="C374" s="9" t="s">
        <v>40</v>
      </c>
      <c r="D374" s="9"/>
      <c r="E374" s="23">
        <v>44420</v>
      </c>
      <c r="F374" s="7"/>
      <c r="G374" s="42">
        <v>0</v>
      </c>
      <c r="I374" s="42">
        <v>0</v>
      </c>
      <c r="K374" s="42">
        <v>0</v>
      </c>
      <c r="M374" s="42">
        <v>0</v>
      </c>
      <c r="O374" s="42">
        <v>0</v>
      </c>
      <c r="Q374" s="42">
        <v>0</v>
      </c>
      <c r="S374" s="42">
        <v>0</v>
      </c>
      <c r="U374" s="42">
        <v>0</v>
      </c>
      <c r="W374" s="42">
        <v>0</v>
      </c>
      <c r="Y374" s="42">
        <v>0</v>
      </c>
      <c r="AA374" s="42">
        <v>0</v>
      </c>
      <c r="AC374" s="42">
        <v>0</v>
      </c>
      <c r="AE374" s="42">
        <v>0</v>
      </c>
      <c r="AG374" s="42">
        <v>0</v>
      </c>
      <c r="AI374" s="42">
        <v>0</v>
      </c>
      <c r="AK374" s="42">
        <v>0</v>
      </c>
      <c r="AL374" s="8" t="s">
        <v>866</v>
      </c>
      <c r="AM374" s="9"/>
      <c r="AN374" s="9" t="s">
        <v>40</v>
      </c>
      <c r="AP374" s="42">
        <v>0</v>
      </c>
      <c r="AR374" s="42">
        <v>0</v>
      </c>
      <c r="AV374" s="42">
        <v>0</v>
      </c>
      <c r="AX374" s="42">
        <v>0</v>
      </c>
      <c r="AZ374" s="42">
        <v>0</v>
      </c>
      <c r="BB374" s="42">
        <f t="shared" si="66"/>
        <v>0</v>
      </c>
      <c r="BD374" s="42">
        <v>0</v>
      </c>
      <c r="BF374" s="42">
        <v>0</v>
      </c>
      <c r="BH374" s="42">
        <v>0</v>
      </c>
      <c r="BJ374" s="42">
        <v>0</v>
      </c>
      <c r="BL374" s="42">
        <f t="shared" si="67"/>
        <v>0</v>
      </c>
      <c r="BN374" s="42">
        <f>+'Gen Fd Rev'!AM374-'Gen Fd Exp'!BL374</f>
        <v>0</v>
      </c>
      <c r="BP374" s="42">
        <v>0</v>
      </c>
      <c r="BR374" s="42">
        <v>0</v>
      </c>
      <c r="BT374" s="42">
        <v>0</v>
      </c>
      <c r="BV374" s="42">
        <f t="shared" si="73"/>
        <v>0</v>
      </c>
      <c r="BX374" s="5">
        <f>+BV374-'Gen Fd BS'!AI374+BT374</f>
        <v>0</v>
      </c>
    </row>
    <row r="375" spans="1:76">
      <c r="A375" s="9" t="s">
        <v>706</v>
      </c>
      <c r="B375" s="9"/>
      <c r="C375" s="9" t="s">
        <v>32</v>
      </c>
      <c r="D375" s="9"/>
      <c r="E375" s="23">
        <v>44412</v>
      </c>
      <c r="F375" s="7"/>
      <c r="G375" s="42">
        <v>10019845</v>
      </c>
      <c r="I375" s="42">
        <v>5023948</v>
      </c>
      <c r="K375" s="42">
        <v>109964</v>
      </c>
      <c r="M375" s="42">
        <v>0</v>
      </c>
      <c r="O375" s="42">
        <v>4008167</v>
      </c>
      <c r="Q375" s="42">
        <v>1937941</v>
      </c>
      <c r="S375" s="42">
        <v>620186</v>
      </c>
      <c r="U375" s="42">
        <v>0</v>
      </c>
      <c r="W375" s="42">
        <f>78458+2076459</f>
        <v>2154917</v>
      </c>
      <c r="Y375" s="42">
        <v>781433</v>
      </c>
      <c r="AA375" s="42">
        <v>62846</v>
      </c>
      <c r="AC375" s="42">
        <v>2804740</v>
      </c>
      <c r="AE375" s="42">
        <v>2457958</v>
      </c>
      <c r="AG375" s="42">
        <v>69078</v>
      </c>
      <c r="AI375" s="42">
        <v>0</v>
      </c>
      <c r="AK375" s="42">
        <v>3159</v>
      </c>
      <c r="AL375" s="9" t="s">
        <v>706</v>
      </c>
      <c r="AM375" s="9"/>
      <c r="AN375" s="9" t="s">
        <v>32</v>
      </c>
      <c r="AP375" s="42">
        <v>558300</v>
      </c>
      <c r="AR375" s="42">
        <v>6807</v>
      </c>
      <c r="AV375" s="42">
        <v>47762</v>
      </c>
      <c r="AX375" s="42">
        <v>11263</v>
      </c>
      <c r="AZ375" s="42">
        <v>0</v>
      </c>
      <c r="BB375" s="42">
        <f t="shared" si="66"/>
        <v>30678314</v>
      </c>
      <c r="BD375" s="42">
        <v>198824</v>
      </c>
      <c r="BF375" s="42">
        <v>0</v>
      </c>
      <c r="BH375" s="42">
        <v>0</v>
      </c>
      <c r="BJ375" s="42">
        <v>0</v>
      </c>
      <c r="BL375" s="42">
        <f t="shared" si="67"/>
        <v>30877138</v>
      </c>
      <c r="BN375" s="42">
        <f>+'Gen Fd Rev'!AM375-'Gen Fd Exp'!BL375</f>
        <v>3585554</v>
      </c>
      <c r="BP375" s="42">
        <v>4604574</v>
      </c>
      <c r="BR375" s="42">
        <v>0</v>
      </c>
      <c r="BT375" s="42">
        <v>0</v>
      </c>
      <c r="BV375" s="42">
        <f t="shared" si="73"/>
        <v>8190128</v>
      </c>
      <c r="BX375" s="5">
        <f>+BV375-'Gen Fd BS'!AI375+BT375</f>
        <v>0</v>
      </c>
    </row>
    <row r="376" spans="1:76">
      <c r="A376" s="9" t="s">
        <v>344</v>
      </c>
      <c r="B376" s="9"/>
      <c r="C376" s="9" t="s">
        <v>34</v>
      </c>
      <c r="D376" s="9"/>
      <c r="E376" s="23">
        <v>44438</v>
      </c>
      <c r="G376" s="42">
        <v>8107072</v>
      </c>
      <c r="I376" s="42">
        <v>2584514</v>
      </c>
      <c r="K376" s="42">
        <v>238136</v>
      </c>
      <c r="M376" s="42">
        <v>0</v>
      </c>
      <c r="O376" s="42">
        <v>1504468</v>
      </c>
      <c r="Q376" s="42">
        <v>1050727</v>
      </c>
      <c r="S376" s="42">
        <v>881543</v>
      </c>
      <c r="U376" s="42">
        <v>48357</v>
      </c>
      <c r="W376" s="42">
        <v>1448329</v>
      </c>
      <c r="Y376" s="42">
        <v>571799</v>
      </c>
      <c r="AA376" s="42">
        <v>0</v>
      </c>
      <c r="AC376" s="42">
        <v>1541312</v>
      </c>
      <c r="AE376" s="42">
        <v>905341</v>
      </c>
      <c r="AG376" s="42">
        <v>235854</v>
      </c>
      <c r="AI376" s="42">
        <v>0</v>
      </c>
      <c r="AK376" s="42">
        <v>0</v>
      </c>
      <c r="AL376" s="9" t="s">
        <v>344</v>
      </c>
      <c r="AM376" s="9"/>
      <c r="AN376" s="9" t="s">
        <v>34</v>
      </c>
      <c r="AP376" s="42">
        <v>474755</v>
      </c>
      <c r="AR376" s="42">
        <v>28575</v>
      </c>
      <c r="AV376" s="42">
        <v>122175</v>
      </c>
      <c r="AX376" s="42">
        <v>0</v>
      </c>
      <c r="AZ376" s="42">
        <v>0</v>
      </c>
      <c r="BB376" s="42">
        <f t="shared" si="66"/>
        <v>19742957</v>
      </c>
      <c r="BD376" s="42">
        <v>220300</v>
      </c>
      <c r="BF376" s="42">
        <v>0</v>
      </c>
      <c r="BH376" s="42">
        <v>0</v>
      </c>
      <c r="BJ376" s="42">
        <v>0</v>
      </c>
      <c r="BL376" s="42">
        <f t="shared" si="67"/>
        <v>19963257</v>
      </c>
      <c r="BN376" s="42">
        <f>+'Gen Fd Rev'!AM376-'Gen Fd Exp'!BL376</f>
        <v>-110274</v>
      </c>
      <c r="BP376" s="42">
        <v>8442408</v>
      </c>
      <c r="BR376" s="42">
        <v>0</v>
      </c>
      <c r="BT376" s="42">
        <v>0</v>
      </c>
      <c r="BV376" s="42">
        <f t="shared" si="73"/>
        <v>8332134</v>
      </c>
      <c r="BX376" s="5">
        <f>+BV376-'Gen Fd BS'!AI376+BT376</f>
        <v>0</v>
      </c>
    </row>
    <row r="377" spans="1:76" hidden="1">
      <c r="A377" s="9" t="s">
        <v>759</v>
      </c>
      <c r="B377" s="9"/>
      <c r="C377" s="9" t="s">
        <v>57</v>
      </c>
      <c r="D377" s="9"/>
      <c r="E377" s="23">
        <v>49270</v>
      </c>
      <c r="G377" s="42">
        <v>0</v>
      </c>
      <c r="I377" s="42">
        <v>0</v>
      </c>
      <c r="K377" s="42">
        <v>0</v>
      </c>
      <c r="M377" s="42">
        <v>0</v>
      </c>
      <c r="O377" s="42">
        <v>0</v>
      </c>
      <c r="Q377" s="42">
        <v>0</v>
      </c>
      <c r="S377" s="42">
        <v>0</v>
      </c>
      <c r="U377" s="42">
        <v>0</v>
      </c>
      <c r="W377" s="42">
        <v>0</v>
      </c>
      <c r="Y377" s="42">
        <v>0</v>
      </c>
      <c r="AA377" s="42">
        <v>0</v>
      </c>
      <c r="AC377" s="42">
        <v>0</v>
      </c>
      <c r="AE377" s="42">
        <v>0</v>
      </c>
      <c r="AG377" s="42">
        <v>0</v>
      </c>
      <c r="AI377" s="42">
        <v>0</v>
      </c>
      <c r="AK377" s="42">
        <v>0</v>
      </c>
      <c r="AL377" s="9" t="s">
        <v>759</v>
      </c>
      <c r="AM377" s="9"/>
      <c r="AN377" s="9" t="s">
        <v>57</v>
      </c>
      <c r="AP377" s="42">
        <v>0</v>
      </c>
      <c r="AR377" s="42">
        <v>0</v>
      </c>
      <c r="AV377" s="42">
        <v>0</v>
      </c>
      <c r="AX377" s="42">
        <v>0</v>
      </c>
      <c r="AZ377" s="42">
        <v>0</v>
      </c>
      <c r="BD377" s="42">
        <v>0</v>
      </c>
      <c r="BF377" s="42">
        <v>0</v>
      </c>
      <c r="BH377" s="42">
        <v>0</v>
      </c>
      <c r="BJ377" s="42">
        <v>0</v>
      </c>
      <c r="BN377" s="42">
        <f>+'Gen Fd Rev'!AM377-'Gen Fd Exp'!BL377</f>
        <v>0</v>
      </c>
      <c r="BP377" s="42">
        <v>0</v>
      </c>
      <c r="BR377" s="42">
        <v>0</v>
      </c>
      <c r="BT377" s="42">
        <v>0</v>
      </c>
      <c r="BX377" s="5">
        <f>+BV377-'Gen Fd BS'!AI377+BT377</f>
        <v>0</v>
      </c>
    </row>
    <row r="378" spans="1:76">
      <c r="A378" s="9" t="s">
        <v>210</v>
      </c>
      <c r="B378" s="9"/>
      <c r="C378" s="9" t="s">
        <v>13</v>
      </c>
      <c r="D378" s="9"/>
      <c r="E378" s="23">
        <v>44446</v>
      </c>
      <c r="G378" s="42">
        <v>5109308</v>
      </c>
      <c r="I378" s="42">
        <v>1176538</v>
      </c>
      <c r="K378" s="42">
        <v>169102</v>
      </c>
      <c r="M378" s="42">
        <v>0</v>
      </c>
      <c r="O378" s="42">
        <v>0</v>
      </c>
      <c r="Q378" s="42">
        <v>346856</v>
      </c>
      <c r="S378" s="42">
        <v>308412</v>
      </c>
      <c r="U378" s="42">
        <v>65145</v>
      </c>
      <c r="W378" s="42">
        <v>1112515</v>
      </c>
      <c r="Y378" s="42">
        <v>328533</v>
      </c>
      <c r="AA378" s="42">
        <v>0</v>
      </c>
      <c r="AC378" s="42">
        <v>1205277</v>
      </c>
      <c r="AE378" s="42">
        <v>816248</v>
      </c>
      <c r="AG378" s="42">
        <v>40</v>
      </c>
      <c r="AI378" s="42">
        <v>0</v>
      </c>
      <c r="AK378" s="42">
        <v>1447</v>
      </c>
      <c r="AL378" s="9" t="s">
        <v>210</v>
      </c>
      <c r="AM378" s="9"/>
      <c r="AN378" s="9" t="s">
        <v>13</v>
      </c>
      <c r="AP378" s="42">
        <v>154416</v>
      </c>
      <c r="AR378" s="42">
        <v>10079</v>
      </c>
      <c r="AV378" s="42">
        <v>0</v>
      </c>
      <c r="AX378" s="42">
        <v>0</v>
      </c>
      <c r="AZ378" s="42">
        <v>0</v>
      </c>
      <c r="BB378" s="42">
        <f t="shared" si="66"/>
        <v>10803916</v>
      </c>
      <c r="BD378" s="42">
        <v>147724</v>
      </c>
      <c r="BF378" s="42">
        <v>0</v>
      </c>
      <c r="BH378" s="42">
        <v>0</v>
      </c>
      <c r="BJ378" s="42">
        <v>0</v>
      </c>
      <c r="BL378" s="42">
        <f t="shared" si="67"/>
        <v>10951640</v>
      </c>
      <c r="BN378" s="42">
        <f>+'Gen Fd Rev'!AM378-'Gen Fd Exp'!BL378</f>
        <v>335013</v>
      </c>
      <c r="BP378" s="42">
        <v>2186390</v>
      </c>
      <c r="BR378" s="42">
        <v>0</v>
      </c>
      <c r="BT378" s="42">
        <v>0</v>
      </c>
      <c r="BV378" s="42">
        <f t="shared" si="73"/>
        <v>2521403</v>
      </c>
      <c r="BX378" s="5">
        <f>+BV378-'Gen Fd BS'!AI378+BT378</f>
        <v>0</v>
      </c>
    </row>
    <row r="379" spans="1:76">
      <c r="A379" s="9" t="s">
        <v>603</v>
      </c>
      <c r="B379" s="9"/>
      <c r="C379" s="9" t="s">
        <v>27</v>
      </c>
      <c r="D379" s="9"/>
      <c r="E379" s="23">
        <v>46995</v>
      </c>
      <c r="G379" s="42">
        <v>23176091</v>
      </c>
      <c r="I379" s="42">
        <v>6569586</v>
      </c>
      <c r="K379" s="42">
        <v>0</v>
      </c>
      <c r="M379" s="42">
        <v>0</v>
      </c>
      <c r="O379" s="42">
        <v>57681</v>
      </c>
      <c r="Q379" s="42">
        <v>4649701</v>
      </c>
      <c r="S379" s="42">
        <v>3177509</v>
      </c>
      <c r="U379" s="42">
        <v>0</v>
      </c>
      <c r="W379" s="42">
        <f>67217+3593680</f>
        <v>3660897</v>
      </c>
      <c r="Y379" s="42">
        <v>0</v>
      </c>
      <c r="AA379" s="42">
        <v>1556898</v>
      </c>
      <c r="AC379" s="42">
        <v>4695799</v>
      </c>
      <c r="AE379" s="42">
        <v>2858450</v>
      </c>
      <c r="AG379" s="42">
        <v>323492</v>
      </c>
      <c r="AI379" s="42">
        <v>0</v>
      </c>
      <c r="AK379" s="42">
        <v>1260968</v>
      </c>
      <c r="AL379" s="9" t="s">
        <v>603</v>
      </c>
      <c r="AM379" s="9"/>
      <c r="AN379" s="9" t="s">
        <v>27</v>
      </c>
      <c r="AP379" s="42">
        <v>1470953</v>
      </c>
      <c r="AR379" s="42">
        <v>0</v>
      </c>
      <c r="AV379" s="42">
        <v>0</v>
      </c>
      <c r="AX379" s="42">
        <v>0</v>
      </c>
      <c r="AZ379" s="42">
        <v>200000</v>
      </c>
      <c r="BB379" s="42">
        <f t="shared" si="66"/>
        <v>53658025</v>
      </c>
      <c r="BD379" s="42">
        <v>231288</v>
      </c>
      <c r="BF379" s="42">
        <v>0</v>
      </c>
      <c r="BH379" s="42">
        <v>0</v>
      </c>
      <c r="BJ379" s="42">
        <v>0</v>
      </c>
      <c r="BL379" s="42">
        <f t="shared" si="67"/>
        <v>53889313</v>
      </c>
      <c r="BN379" s="42">
        <f>+'Gen Fd Rev'!AM379-'Gen Fd Exp'!BL379</f>
        <v>-2655398</v>
      </c>
      <c r="BP379" s="42">
        <v>25681180</v>
      </c>
      <c r="BR379" s="42">
        <v>0</v>
      </c>
      <c r="BT379" s="42">
        <v>0</v>
      </c>
      <c r="BV379" s="42">
        <f t="shared" si="73"/>
        <v>23025782</v>
      </c>
      <c r="BX379" s="5">
        <f>+BV379-'Gen Fd BS'!AI379+BT379</f>
        <v>0</v>
      </c>
    </row>
    <row r="380" spans="1:76">
      <c r="A380" s="9" t="s">
        <v>480</v>
      </c>
      <c r="B380" s="9"/>
      <c r="C380" s="9" t="s">
        <v>59</v>
      </c>
      <c r="D380" s="9"/>
      <c r="E380" s="23">
        <v>44461</v>
      </c>
      <c r="G380" s="42">
        <v>2215108</v>
      </c>
      <c r="I380" s="42">
        <v>433878</v>
      </c>
      <c r="K380" s="42">
        <v>131</v>
      </c>
      <c r="M380" s="42">
        <v>0</v>
      </c>
      <c r="O380" s="42">
        <v>0</v>
      </c>
      <c r="Q380" s="42">
        <v>193340</v>
      </c>
      <c r="S380" s="42">
        <v>144765</v>
      </c>
      <c r="U380" s="42">
        <v>14817</v>
      </c>
      <c r="W380" s="42">
        <v>510386</v>
      </c>
      <c r="Y380" s="42">
        <v>178400</v>
      </c>
      <c r="AA380" s="42">
        <v>0</v>
      </c>
      <c r="AC380" s="42">
        <v>439233</v>
      </c>
      <c r="AE380" s="42">
        <v>106563</v>
      </c>
      <c r="AG380" s="42">
        <v>50908</v>
      </c>
      <c r="AI380" s="42">
        <v>1737</v>
      </c>
      <c r="AK380" s="42">
        <v>0</v>
      </c>
      <c r="AL380" s="9" t="s">
        <v>480</v>
      </c>
      <c r="AM380" s="9"/>
      <c r="AN380" s="9" t="s">
        <v>59</v>
      </c>
      <c r="AP380" s="42">
        <v>89991</v>
      </c>
      <c r="AR380" s="42">
        <v>29077</v>
      </c>
      <c r="AV380" s="42">
        <v>0</v>
      </c>
      <c r="AX380" s="42">
        <v>0</v>
      </c>
      <c r="AZ380" s="42">
        <v>0</v>
      </c>
      <c r="BB380" s="42">
        <f t="shared" si="66"/>
        <v>4408334</v>
      </c>
      <c r="BD380" s="42">
        <v>0</v>
      </c>
      <c r="BF380" s="42">
        <v>0</v>
      </c>
      <c r="BH380" s="42">
        <v>0</v>
      </c>
      <c r="BJ380" s="42">
        <v>0</v>
      </c>
      <c r="BL380" s="42">
        <f t="shared" si="67"/>
        <v>4408334</v>
      </c>
      <c r="BN380" s="42">
        <f>+'Gen Fd Rev'!AM380-'Gen Fd Exp'!BL380</f>
        <v>66517</v>
      </c>
      <c r="BP380" s="42">
        <v>1180050</v>
      </c>
      <c r="BR380" s="42">
        <v>0</v>
      </c>
      <c r="BT380" s="42">
        <v>0</v>
      </c>
      <c r="BV380" s="42">
        <f t="shared" si="73"/>
        <v>1246567</v>
      </c>
      <c r="BX380" s="5">
        <f>+BV380-'Gen Fd BS'!AI380+BT380</f>
        <v>0</v>
      </c>
    </row>
    <row r="381" spans="1:76">
      <c r="A381" s="9" t="s">
        <v>213</v>
      </c>
      <c r="B381" s="9"/>
      <c r="C381" s="9" t="s">
        <v>14</v>
      </c>
      <c r="D381" s="9"/>
      <c r="E381" s="23">
        <v>45955</v>
      </c>
      <c r="F381" s="7"/>
      <c r="G381" s="42">
        <v>4443861</v>
      </c>
      <c r="I381" s="42">
        <v>258116</v>
      </c>
      <c r="K381" s="42">
        <v>153152</v>
      </c>
      <c r="M381" s="42">
        <v>0</v>
      </c>
      <c r="O381" s="42">
        <v>0</v>
      </c>
      <c r="Q381" s="42">
        <v>586310</v>
      </c>
      <c r="S381" s="42">
        <v>636710</v>
      </c>
      <c r="U381" s="42">
        <v>50154</v>
      </c>
      <c r="W381" s="42">
        <v>732117</v>
      </c>
      <c r="Y381" s="42">
        <v>190082</v>
      </c>
      <c r="AA381" s="42">
        <v>0</v>
      </c>
      <c r="AC381" s="42">
        <v>998571</v>
      </c>
      <c r="AE381" s="42">
        <v>198532</v>
      </c>
      <c r="AG381" s="42">
        <v>69666</v>
      </c>
      <c r="AI381" s="42">
        <v>0</v>
      </c>
      <c r="AK381" s="42">
        <v>0</v>
      </c>
      <c r="AL381" s="9" t="s">
        <v>213</v>
      </c>
      <c r="AM381" s="9"/>
      <c r="AN381" s="9" t="s">
        <v>14</v>
      </c>
      <c r="AP381" s="42">
        <v>255990</v>
      </c>
      <c r="AR381" s="42">
        <v>0</v>
      </c>
      <c r="AV381" s="42">
        <v>0</v>
      </c>
      <c r="AX381" s="42">
        <v>0</v>
      </c>
      <c r="AZ381" s="42">
        <v>0</v>
      </c>
      <c r="BB381" s="42">
        <f t="shared" si="66"/>
        <v>8573261</v>
      </c>
      <c r="BD381" s="42">
        <v>20000</v>
      </c>
      <c r="BF381" s="42">
        <v>0</v>
      </c>
      <c r="BH381" s="42">
        <v>0</v>
      </c>
      <c r="BJ381" s="42">
        <v>0</v>
      </c>
      <c r="BL381" s="42">
        <f t="shared" si="67"/>
        <v>8593261</v>
      </c>
      <c r="BN381" s="42">
        <f>+'Gen Fd Rev'!AM381-'Gen Fd Exp'!BL381</f>
        <v>-384660</v>
      </c>
      <c r="BP381" s="42">
        <v>6068051</v>
      </c>
      <c r="BR381" s="42">
        <v>0</v>
      </c>
      <c r="BT381" s="42">
        <v>0</v>
      </c>
      <c r="BV381" s="42">
        <f t="shared" si="73"/>
        <v>5683391</v>
      </c>
      <c r="BX381" s="5">
        <f>+BV381-'Gen Fd BS'!AI381+BT381</f>
        <v>0</v>
      </c>
    </row>
    <row r="382" spans="1:76" hidden="1">
      <c r="A382" s="9" t="s">
        <v>700</v>
      </c>
      <c r="B382" s="9"/>
      <c r="C382" s="9" t="s">
        <v>14</v>
      </c>
      <c r="D382" s="9"/>
      <c r="E382" s="23">
        <v>45963</v>
      </c>
      <c r="G382" s="42">
        <v>0</v>
      </c>
      <c r="I382" s="42">
        <v>0</v>
      </c>
      <c r="K382" s="42">
        <v>0</v>
      </c>
      <c r="M382" s="42">
        <v>0</v>
      </c>
      <c r="O382" s="42">
        <v>0</v>
      </c>
      <c r="Q382" s="42">
        <v>0</v>
      </c>
      <c r="S382" s="42">
        <v>0</v>
      </c>
      <c r="U382" s="42">
        <v>0</v>
      </c>
      <c r="W382" s="42">
        <v>0</v>
      </c>
      <c r="Y382" s="42">
        <v>0</v>
      </c>
      <c r="AA382" s="42">
        <v>0</v>
      </c>
      <c r="AC382" s="42">
        <v>0</v>
      </c>
      <c r="AE382" s="42">
        <v>0</v>
      </c>
      <c r="AG382" s="42">
        <v>0</v>
      </c>
      <c r="AI382" s="42">
        <v>0</v>
      </c>
      <c r="AK382" s="42">
        <v>0</v>
      </c>
      <c r="AL382" s="9" t="s">
        <v>700</v>
      </c>
      <c r="AM382" s="9"/>
      <c r="AN382" s="9" t="s">
        <v>14</v>
      </c>
      <c r="AP382" s="42">
        <v>0</v>
      </c>
      <c r="AR382" s="42">
        <v>0</v>
      </c>
      <c r="AV382" s="42">
        <v>0</v>
      </c>
      <c r="AX382" s="42">
        <v>0</v>
      </c>
      <c r="AZ382" s="42">
        <v>0</v>
      </c>
      <c r="BB382" s="42">
        <f t="shared" si="66"/>
        <v>0</v>
      </c>
      <c r="BD382" s="42">
        <v>0</v>
      </c>
      <c r="BF382" s="42">
        <v>0</v>
      </c>
      <c r="BH382" s="42">
        <v>0</v>
      </c>
      <c r="BJ382" s="42">
        <v>0</v>
      </c>
      <c r="BL382" s="42">
        <f t="shared" si="67"/>
        <v>0</v>
      </c>
      <c r="BN382" s="42">
        <f>+'Gen Fd Rev'!AM382-'Gen Fd Exp'!BL382</f>
        <v>0</v>
      </c>
      <c r="BP382" s="42">
        <v>0</v>
      </c>
      <c r="BR382" s="42">
        <v>0</v>
      </c>
      <c r="BT382" s="42">
        <v>0</v>
      </c>
      <c r="BV382" s="42">
        <f t="shared" si="73"/>
        <v>0</v>
      </c>
      <c r="BX382" s="5">
        <f>+BV382-'Gen Fd BS'!AI382+BT382</f>
        <v>0</v>
      </c>
    </row>
    <row r="383" spans="1:76">
      <c r="A383" s="9" t="s">
        <v>430</v>
      </c>
      <c r="B383" s="9"/>
      <c r="C383" s="9" t="s">
        <v>50</v>
      </c>
      <c r="D383" s="9"/>
      <c r="E383" s="23">
        <v>48710</v>
      </c>
      <c r="G383" s="42">
        <v>4528444</v>
      </c>
      <c r="I383" s="42">
        <v>1006046</v>
      </c>
      <c r="K383" s="42">
        <v>0</v>
      </c>
      <c r="M383" s="42">
        <v>0</v>
      </c>
      <c r="O383" s="42">
        <v>374195</v>
      </c>
      <c r="Q383" s="42">
        <v>363297</v>
      </c>
      <c r="S383" s="42">
        <v>855944</v>
      </c>
      <c r="U383" s="42">
        <v>0</v>
      </c>
      <c r="W383" s="42">
        <f>82898+809055</f>
        <v>891953</v>
      </c>
      <c r="Y383" s="42">
        <v>198764</v>
      </c>
      <c r="AA383" s="42">
        <v>79279</v>
      </c>
      <c r="AC383" s="42">
        <v>1075241</v>
      </c>
      <c r="AE383" s="42">
        <v>562099</v>
      </c>
      <c r="AG383" s="42">
        <v>166052</v>
      </c>
      <c r="AI383" s="42">
        <v>0</v>
      </c>
      <c r="AK383" s="42">
        <v>513</v>
      </c>
      <c r="AL383" s="9" t="s">
        <v>430</v>
      </c>
      <c r="AM383" s="9"/>
      <c r="AN383" s="9" t="s">
        <v>50</v>
      </c>
      <c r="AP383" s="42">
        <v>285252</v>
      </c>
      <c r="AR383" s="42">
        <v>0</v>
      </c>
      <c r="AV383" s="42">
        <v>0</v>
      </c>
      <c r="AX383" s="42">
        <v>0</v>
      </c>
      <c r="AZ383" s="42">
        <v>0</v>
      </c>
      <c r="BB383" s="42">
        <f t="shared" si="66"/>
        <v>10387079</v>
      </c>
      <c r="BD383" s="42">
        <v>0</v>
      </c>
      <c r="BF383" s="42">
        <v>0</v>
      </c>
      <c r="BH383" s="42">
        <v>0</v>
      </c>
      <c r="BJ383" s="42">
        <v>0</v>
      </c>
      <c r="BL383" s="42">
        <f t="shared" si="67"/>
        <v>10387079</v>
      </c>
      <c r="BN383" s="42">
        <f>+'Gen Fd Rev'!AM383-'Gen Fd Exp'!BL383</f>
        <v>635061</v>
      </c>
      <c r="BP383" s="42">
        <v>4798859</v>
      </c>
      <c r="BR383" s="42">
        <v>0</v>
      </c>
      <c r="BT383" s="42">
        <v>0</v>
      </c>
      <c r="BV383" s="42">
        <f t="shared" si="73"/>
        <v>5433920</v>
      </c>
      <c r="BX383" s="5">
        <f>+BV383-'Gen Fd BS'!AI383+BT383</f>
        <v>0</v>
      </c>
    </row>
    <row r="384" spans="1:76" hidden="1">
      <c r="A384" s="9" t="s">
        <v>803</v>
      </c>
      <c r="B384" s="9"/>
      <c r="C384" s="9" t="s">
        <v>448</v>
      </c>
      <c r="D384" s="9"/>
      <c r="E384" s="23">
        <v>44479</v>
      </c>
      <c r="G384" s="42">
        <v>0</v>
      </c>
      <c r="I384" s="42">
        <v>0</v>
      </c>
      <c r="K384" s="42">
        <v>0</v>
      </c>
      <c r="M384" s="42">
        <v>0</v>
      </c>
      <c r="O384" s="42">
        <v>0</v>
      </c>
      <c r="Q384" s="42">
        <v>0</v>
      </c>
      <c r="S384" s="42">
        <v>0</v>
      </c>
      <c r="U384" s="42">
        <v>0</v>
      </c>
      <c r="W384" s="42">
        <v>0</v>
      </c>
      <c r="Y384" s="42">
        <v>0</v>
      </c>
      <c r="AA384" s="42">
        <v>0</v>
      </c>
      <c r="AC384" s="42">
        <v>0</v>
      </c>
      <c r="AE384" s="42">
        <v>0</v>
      </c>
      <c r="AG384" s="42">
        <v>0</v>
      </c>
      <c r="AI384" s="42">
        <v>0</v>
      </c>
      <c r="AK384" s="42">
        <v>0</v>
      </c>
      <c r="AL384" s="9" t="s">
        <v>803</v>
      </c>
      <c r="AM384" s="9"/>
      <c r="AN384" s="9" t="s">
        <v>448</v>
      </c>
      <c r="AP384" s="42">
        <v>0</v>
      </c>
      <c r="AR384" s="42">
        <v>0</v>
      </c>
      <c r="AV384" s="42">
        <v>0</v>
      </c>
      <c r="AX384" s="42">
        <v>0</v>
      </c>
      <c r="AZ384" s="42">
        <v>0</v>
      </c>
      <c r="BB384" s="42">
        <f t="shared" si="66"/>
        <v>0</v>
      </c>
      <c r="BD384" s="42">
        <v>0</v>
      </c>
      <c r="BF384" s="42">
        <v>0</v>
      </c>
      <c r="BH384" s="42">
        <v>0</v>
      </c>
      <c r="BJ384" s="42">
        <v>0</v>
      </c>
      <c r="BL384" s="42">
        <f t="shared" si="67"/>
        <v>0</v>
      </c>
      <c r="BN384" s="42">
        <f>+'Gen Fd Rev'!AM384-'Gen Fd Exp'!BL384</f>
        <v>0</v>
      </c>
      <c r="BP384" s="42">
        <v>0</v>
      </c>
      <c r="BR384" s="42">
        <v>0</v>
      </c>
      <c r="BT384" s="42">
        <v>0</v>
      </c>
      <c r="BV384" s="42">
        <f t="shared" si="73"/>
        <v>0</v>
      </c>
      <c r="BX384" s="5">
        <f>+BV384-'Gen Fd BS'!AI384+BT384</f>
        <v>0</v>
      </c>
    </row>
    <row r="385" spans="1:76">
      <c r="A385" s="9" t="s">
        <v>355</v>
      </c>
      <c r="B385" s="9"/>
      <c r="C385" s="9" t="s">
        <v>37</v>
      </c>
      <c r="D385" s="9"/>
      <c r="E385" s="23">
        <v>47720</v>
      </c>
      <c r="G385" s="42">
        <v>4988935</v>
      </c>
      <c r="I385" s="42">
        <v>866770</v>
      </c>
      <c r="K385" s="42">
        <v>231209</v>
      </c>
      <c r="M385" s="42">
        <v>0</v>
      </c>
      <c r="O385" s="42">
        <v>12787</v>
      </c>
      <c r="Q385" s="42">
        <v>483494</v>
      </c>
      <c r="S385" s="42">
        <v>230150</v>
      </c>
      <c r="U385" s="42">
        <v>23141</v>
      </c>
      <c r="W385" s="42">
        <v>734423</v>
      </c>
      <c r="Y385" s="42">
        <v>328959</v>
      </c>
      <c r="AA385" s="42">
        <v>77</v>
      </c>
      <c r="AC385" s="42">
        <v>797811</v>
      </c>
      <c r="AE385" s="42">
        <v>560591</v>
      </c>
      <c r="AG385" s="42">
        <v>168191</v>
      </c>
      <c r="AI385" s="42">
        <v>0</v>
      </c>
      <c r="AK385" s="42">
        <v>2765</v>
      </c>
      <c r="AL385" s="9" t="s">
        <v>355</v>
      </c>
      <c r="AM385" s="9"/>
      <c r="AN385" s="9" t="s">
        <v>37</v>
      </c>
      <c r="AP385" s="42">
        <v>230252</v>
      </c>
      <c r="AR385" s="42">
        <v>0</v>
      </c>
      <c r="AV385" s="42">
        <v>18524</v>
      </c>
      <c r="AX385" s="42">
        <v>1994</v>
      </c>
      <c r="AZ385" s="42">
        <v>0</v>
      </c>
      <c r="BB385" s="42">
        <f t="shared" si="66"/>
        <v>9680073</v>
      </c>
      <c r="BD385" s="42">
        <v>22503</v>
      </c>
      <c r="BF385" s="42">
        <v>0</v>
      </c>
      <c r="BH385" s="42">
        <v>0</v>
      </c>
      <c r="BJ385" s="42">
        <v>0</v>
      </c>
      <c r="BL385" s="42">
        <f t="shared" si="67"/>
        <v>9702576</v>
      </c>
      <c r="BN385" s="42">
        <f>+'Gen Fd Rev'!AM385-'Gen Fd Exp'!BL385</f>
        <v>-464680</v>
      </c>
      <c r="BP385" s="42">
        <v>1519114</v>
      </c>
      <c r="BR385" s="42">
        <v>0</v>
      </c>
      <c r="BT385" s="42">
        <v>0</v>
      </c>
      <c r="BV385" s="42">
        <f t="shared" si="73"/>
        <v>1054434</v>
      </c>
      <c r="BX385" s="5">
        <f>+BV385-'Gen Fd BS'!AI385+BT385</f>
        <v>0</v>
      </c>
    </row>
    <row r="386" spans="1:76">
      <c r="A386" s="9" t="s">
        <v>225</v>
      </c>
      <c r="B386" s="9"/>
      <c r="C386" s="9" t="s">
        <v>220</v>
      </c>
      <c r="D386" s="9"/>
      <c r="E386" s="23">
        <v>46136</v>
      </c>
      <c r="G386" s="42">
        <v>2558538</v>
      </c>
      <c r="I386" s="42">
        <v>503221</v>
      </c>
      <c r="K386" s="42">
        <v>0</v>
      </c>
      <c r="M386" s="42">
        <v>0</v>
      </c>
      <c r="O386" s="42">
        <v>43747</v>
      </c>
      <c r="Q386" s="42">
        <v>358782</v>
      </c>
      <c r="S386" s="42">
        <v>145667</v>
      </c>
      <c r="U386" s="42">
        <v>35864</v>
      </c>
      <c r="W386" s="42">
        <v>732490</v>
      </c>
      <c r="Y386" s="42">
        <v>189650</v>
      </c>
      <c r="AA386" s="42">
        <v>13008</v>
      </c>
      <c r="AC386" s="42">
        <v>843039</v>
      </c>
      <c r="AE386" s="42">
        <v>483350</v>
      </c>
      <c r="AG386" s="42">
        <v>0</v>
      </c>
      <c r="AI386" s="42">
        <v>0</v>
      </c>
      <c r="AK386" s="42">
        <v>0</v>
      </c>
      <c r="AL386" s="9" t="s">
        <v>225</v>
      </c>
      <c r="AM386" s="9"/>
      <c r="AN386" s="9" t="s">
        <v>220</v>
      </c>
      <c r="AP386" s="42">
        <v>99478</v>
      </c>
      <c r="AR386" s="42">
        <v>0</v>
      </c>
      <c r="AV386" s="42">
        <v>35664</v>
      </c>
      <c r="AX386" s="42">
        <v>2533</v>
      </c>
      <c r="AZ386" s="42">
        <v>0</v>
      </c>
      <c r="BB386" s="42">
        <f t="shared" si="66"/>
        <v>6045031</v>
      </c>
      <c r="BD386" s="42">
        <v>58115</v>
      </c>
      <c r="BF386" s="42">
        <v>0</v>
      </c>
      <c r="BH386" s="42">
        <v>0</v>
      </c>
      <c r="BJ386" s="42">
        <v>0</v>
      </c>
      <c r="BL386" s="42">
        <f t="shared" si="67"/>
        <v>6103146</v>
      </c>
      <c r="BN386" s="42">
        <f>+'Gen Fd Rev'!AM386-'Gen Fd Exp'!BL386</f>
        <v>-66491</v>
      </c>
      <c r="BP386" s="42">
        <v>3193095</v>
      </c>
      <c r="BR386" s="42">
        <v>0</v>
      </c>
      <c r="BT386" s="42">
        <v>0</v>
      </c>
      <c r="BV386" s="42">
        <f t="shared" si="73"/>
        <v>3126604</v>
      </c>
      <c r="BX386" s="5">
        <f>+BV386-'Gen Fd BS'!AI386+BT386</f>
        <v>0</v>
      </c>
    </row>
    <row r="387" spans="1:76">
      <c r="A387" s="9" t="s">
        <v>533</v>
      </c>
      <c r="B387" s="9"/>
      <c r="C387" s="9" t="s">
        <v>65</v>
      </c>
      <c r="D387" s="9"/>
      <c r="E387" s="23">
        <v>44487</v>
      </c>
      <c r="G387" s="42">
        <v>10973138</v>
      </c>
      <c r="I387" s="42">
        <v>3002404</v>
      </c>
      <c r="K387" s="42">
        <v>130813</v>
      </c>
      <c r="M387" s="42">
        <v>0</v>
      </c>
      <c r="O387" s="42">
        <v>2630767</v>
      </c>
      <c r="Q387" s="42">
        <v>1557593</v>
      </c>
      <c r="S387" s="42">
        <v>589779</v>
      </c>
      <c r="U387" s="42">
        <v>31432</v>
      </c>
      <c r="W387" s="42">
        <v>2193788</v>
      </c>
      <c r="Y387" s="42">
        <v>824457</v>
      </c>
      <c r="AA387" s="42">
        <v>0</v>
      </c>
      <c r="AC387" s="42">
        <v>2155023</v>
      </c>
      <c r="AE387" s="42">
        <v>860553</v>
      </c>
      <c r="AG387" s="42">
        <v>0</v>
      </c>
      <c r="AI387" s="42">
        <v>0</v>
      </c>
      <c r="AK387" s="42">
        <v>3551</v>
      </c>
      <c r="AL387" s="9" t="s">
        <v>533</v>
      </c>
      <c r="AM387" s="9"/>
      <c r="AN387" s="9" t="s">
        <v>65</v>
      </c>
      <c r="AP387" s="42">
        <v>615659</v>
      </c>
      <c r="AR387" s="42">
        <v>0</v>
      </c>
      <c r="AV387" s="42">
        <v>95366</v>
      </c>
      <c r="AX387" s="42">
        <v>43817</v>
      </c>
      <c r="AZ387" s="42">
        <v>0</v>
      </c>
      <c r="BB387" s="42">
        <f t="shared" si="66"/>
        <v>25708140</v>
      </c>
      <c r="BD387" s="42">
        <v>251500</v>
      </c>
      <c r="BF387" s="42">
        <v>0</v>
      </c>
      <c r="BH387" s="42">
        <v>0</v>
      </c>
      <c r="BJ387" s="42">
        <v>0</v>
      </c>
      <c r="BL387" s="42">
        <f t="shared" si="67"/>
        <v>25959640</v>
      </c>
      <c r="BN387" s="42">
        <f>+'Gen Fd Rev'!AM387-'Gen Fd Exp'!BL387</f>
        <v>-2070590</v>
      </c>
      <c r="BP387" s="42">
        <v>5896862</v>
      </c>
      <c r="BR387" s="42">
        <v>0</v>
      </c>
      <c r="BT387" s="42">
        <v>0</v>
      </c>
      <c r="BV387" s="42">
        <f t="shared" si="73"/>
        <v>3826272</v>
      </c>
      <c r="BX387" s="5">
        <f>+BV387-'Gen Fd BS'!AI387+BT387</f>
        <v>0</v>
      </c>
    </row>
    <row r="388" spans="1:76">
      <c r="A388" s="9" t="s">
        <v>766</v>
      </c>
      <c r="B388" s="9"/>
      <c r="C388" s="9" t="s">
        <v>112</v>
      </c>
      <c r="D388" s="9"/>
      <c r="E388" s="23">
        <v>45559</v>
      </c>
      <c r="G388" s="42">
        <v>12137013</v>
      </c>
      <c r="I388" s="42">
        <v>2826576</v>
      </c>
      <c r="K388" s="42">
        <v>0</v>
      </c>
      <c r="M388" s="42">
        <v>30326</v>
      </c>
      <c r="O388" s="42">
        <v>0</v>
      </c>
      <c r="Q388" s="42">
        <v>864504</v>
      </c>
      <c r="S388" s="42">
        <v>1196949</v>
      </c>
      <c r="U388" s="42">
        <v>101725</v>
      </c>
      <c r="W388" s="42">
        <v>1667699</v>
      </c>
      <c r="Y388" s="42">
        <v>883285</v>
      </c>
      <c r="AA388" s="42">
        <v>0</v>
      </c>
      <c r="AC388" s="42">
        <v>3198629</v>
      </c>
      <c r="AE388" s="42">
        <v>1662506</v>
      </c>
      <c r="AG388" s="42">
        <v>361356</v>
      </c>
      <c r="AI388" s="42">
        <v>0</v>
      </c>
      <c r="AK388" s="42">
        <v>777</v>
      </c>
      <c r="AL388" s="9" t="s">
        <v>766</v>
      </c>
      <c r="AM388" s="9"/>
      <c r="AN388" s="9" t="s">
        <v>112</v>
      </c>
      <c r="AP388" s="42">
        <v>342673</v>
      </c>
      <c r="AR388" s="42">
        <v>110366</v>
      </c>
      <c r="AV388" s="42">
        <v>0</v>
      </c>
      <c r="AX388" s="42">
        <v>0</v>
      </c>
      <c r="AZ388" s="42">
        <v>0</v>
      </c>
      <c r="BB388" s="42">
        <f t="shared" si="66"/>
        <v>25384384</v>
      </c>
      <c r="BD388" s="42">
        <v>1247596</v>
      </c>
      <c r="BF388" s="42">
        <v>0</v>
      </c>
      <c r="BH388" s="42">
        <v>0</v>
      </c>
      <c r="BJ388" s="42">
        <v>0</v>
      </c>
      <c r="BL388" s="42">
        <f t="shared" si="67"/>
        <v>26631980</v>
      </c>
      <c r="BN388" s="42">
        <f>+'Gen Fd Rev'!AM388-'Gen Fd Exp'!BL388</f>
        <v>2203934</v>
      </c>
      <c r="BP388" s="42">
        <v>18943061</v>
      </c>
      <c r="BR388" s="42">
        <v>0</v>
      </c>
      <c r="BT388" s="42">
        <v>0</v>
      </c>
      <c r="BV388" s="42">
        <f t="shared" si="73"/>
        <v>21146995</v>
      </c>
      <c r="BX388" s="5">
        <f>+BV388-'Gen Fd BS'!AI388+BT388</f>
        <v>0</v>
      </c>
    </row>
    <row r="389" spans="1:76" hidden="1">
      <c r="A389" s="9" t="s">
        <v>804</v>
      </c>
      <c r="B389" s="9"/>
      <c r="C389" s="9" t="s">
        <v>60</v>
      </c>
      <c r="D389" s="9"/>
      <c r="E389" s="23">
        <v>49718</v>
      </c>
      <c r="G389" s="42">
        <v>0</v>
      </c>
      <c r="I389" s="42">
        <v>0</v>
      </c>
      <c r="K389" s="42">
        <v>0</v>
      </c>
      <c r="M389" s="42">
        <v>0</v>
      </c>
      <c r="O389" s="42">
        <v>0</v>
      </c>
      <c r="Q389" s="42">
        <v>0</v>
      </c>
      <c r="S389" s="42">
        <v>0</v>
      </c>
      <c r="U389" s="42">
        <v>0</v>
      </c>
      <c r="W389" s="42">
        <v>0</v>
      </c>
      <c r="Y389" s="42">
        <v>0</v>
      </c>
      <c r="AA389" s="42">
        <v>0</v>
      </c>
      <c r="AC389" s="42">
        <v>0</v>
      </c>
      <c r="AE389" s="42">
        <v>0</v>
      </c>
      <c r="AG389" s="42">
        <v>0</v>
      </c>
      <c r="AI389" s="42">
        <v>0</v>
      </c>
      <c r="AK389" s="42">
        <v>0</v>
      </c>
      <c r="AL389" s="9" t="s">
        <v>804</v>
      </c>
      <c r="AM389" s="9"/>
      <c r="AN389" s="9" t="s">
        <v>60</v>
      </c>
      <c r="AP389" s="42">
        <v>0</v>
      </c>
      <c r="AR389" s="42">
        <v>0</v>
      </c>
      <c r="AV389" s="42">
        <v>0</v>
      </c>
      <c r="AX389" s="42">
        <v>0</v>
      </c>
      <c r="AZ389" s="42">
        <v>0</v>
      </c>
      <c r="BB389" s="42">
        <f t="shared" si="66"/>
        <v>0</v>
      </c>
      <c r="BD389" s="42">
        <v>0</v>
      </c>
      <c r="BF389" s="42">
        <v>0</v>
      </c>
      <c r="BH389" s="42">
        <v>0</v>
      </c>
      <c r="BJ389" s="42">
        <v>0</v>
      </c>
      <c r="BL389" s="42">
        <f t="shared" si="67"/>
        <v>0</v>
      </c>
      <c r="BN389" s="42">
        <f>+'Gen Fd Rev'!AM389-'Gen Fd Exp'!BL389</f>
        <v>0</v>
      </c>
      <c r="BP389" s="42">
        <v>0</v>
      </c>
      <c r="BR389" s="42">
        <v>0</v>
      </c>
      <c r="BT389" s="42">
        <v>0</v>
      </c>
      <c r="BV389" s="42">
        <f t="shared" si="73"/>
        <v>0</v>
      </c>
      <c r="BX389" s="5">
        <f>+BV389-'Gen Fd BS'!AI389+BT389</f>
        <v>0</v>
      </c>
    </row>
    <row r="390" spans="1:76">
      <c r="A390" s="9" t="s">
        <v>374</v>
      </c>
      <c r="B390" s="9"/>
      <c r="C390" s="9" t="s">
        <v>42</v>
      </c>
      <c r="D390" s="9"/>
      <c r="E390" s="23">
        <v>44453</v>
      </c>
      <c r="G390" s="42">
        <v>30414269</v>
      </c>
      <c r="I390" s="42">
        <v>7638301</v>
      </c>
      <c r="K390" s="42">
        <v>246831</v>
      </c>
      <c r="M390" s="42">
        <v>0</v>
      </c>
      <c r="O390" s="42">
        <v>260394</v>
      </c>
      <c r="Q390" s="42">
        <v>3409348</v>
      </c>
      <c r="S390" s="42">
        <v>1604970</v>
      </c>
      <c r="U390" s="42">
        <v>130169</v>
      </c>
      <c r="W390" s="42">
        <v>3255183</v>
      </c>
      <c r="Y390" s="42">
        <v>1107395</v>
      </c>
      <c r="AA390" s="42">
        <v>439660</v>
      </c>
      <c r="AC390" s="42">
        <v>5696113</v>
      </c>
      <c r="AE390" s="42">
        <v>2326419</v>
      </c>
      <c r="AG390" s="42">
        <v>1005279</v>
      </c>
      <c r="AI390" s="42">
        <v>0</v>
      </c>
      <c r="AK390" s="42">
        <v>43017</v>
      </c>
      <c r="AL390" s="9" t="s">
        <v>374</v>
      </c>
      <c r="AM390" s="9"/>
      <c r="AN390" s="9" t="s">
        <v>42</v>
      </c>
      <c r="AP390" s="42">
        <v>266355</v>
      </c>
      <c r="AR390" s="42">
        <v>0</v>
      </c>
      <c r="AV390" s="42">
        <v>236866</v>
      </c>
      <c r="AX390" s="42">
        <v>15596</v>
      </c>
      <c r="AZ390" s="42">
        <v>0</v>
      </c>
      <c r="BB390" s="42">
        <f>SUM(G390:AZ390)</f>
        <v>58096165</v>
      </c>
      <c r="BD390" s="42">
        <v>126673</v>
      </c>
      <c r="BF390" s="42">
        <v>0</v>
      </c>
      <c r="BH390" s="42">
        <v>0</v>
      </c>
      <c r="BJ390" s="42">
        <v>0</v>
      </c>
      <c r="BL390" s="42">
        <f>+BB390+BD390+BF390+BJ390</f>
        <v>58222838</v>
      </c>
      <c r="BN390" s="42">
        <f>+'Gen Fd Rev'!AM390-'Gen Fd Exp'!BL390</f>
        <v>1534049</v>
      </c>
      <c r="BP390" s="42">
        <v>12839718</v>
      </c>
      <c r="BR390" s="42">
        <v>0</v>
      </c>
      <c r="BT390" s="42">
        <v>0</v>
      </c>
      <c r="BV390" s="42">
        <f>+BP390+BN390-BR390</f>
        <v>14373767</v>
      </c>
      <c r="BX390" s="5">
        <f>+BV390-'Gen Fd BS'!AI390+BT390</f>
        <v>0</v>
      </c>
    </row>
    <row r="391" spans="1:76" hidden="1">
      <c r="A391" s="8" t="s">
        <v>867</v>
      </c>
      <c r="B391" s="9"/>
      <c r="C391" s="9" t="s">
        <v>30</v>
      </c>
      <c r="D391" s="9"/>
      <c r="E391" s="23">
        <v>47217</v>
      </c>
      <c r="G391" s="42">
        <v>0</v>
      </c>
      <c r="I391" s="42">
        <v>0</v>
      </c>
      <c r="K391" s="42">
        <v>0</v>
      </c>
      <c r="M391" s="42">
        <v>0</v>
      </c>
      <c r="O391" s="42">
        <v>0</v>
      </c>
      <c r="Q391" s="42">
        <v>0</v>
      </c>
      <c r="S391" s="42">
        <v>0</v>
      </c>
      <c r="U391" s="42">
        <v>0</v>
      </c>
      <c r="W391" s="42">
        <v>0</v>
      </c>
      <c r="Y391" s="42">
        <v>0</v>
      </c>
      <c r="AA391" s="42">
        <v>0</v>
      </c>
      <c r="AC391" s="42">
        <v>0</v>
      </c>
      <c r="AE391" s="42">
        <v>0</v>
      </c>
      <c r="AG391" s="42">
        <v>0</v>
      </c>
      <c r="AI391" s="42">
        <v>0</v>
      </c>
      <c r="AK391" s="42">
        <v>0</v>
      </c>
      <c r="AL391" s="8" t="s">
        <v>867</v>
      </c>
      <c r="AM391" s="9"/>
      <c r="AN391" s="9" t="s">
        <v>30</v>
      </c>
      <c r="AP391" s="42">
        <v>0</v>
      </c>
      <c r="AR391" s="42">
        <v>0</v>
      </c>
      <c r="AV391" s="42">
        <v>0</v>
      </c>
      <c r="AX391" s="42">
        <v>0</v>
      </c>
      <c r="AZ391" s="42">
        <v>0</v>
      </c>
      <c r="BB391" s="42">
        <f t="shared" ref="BB391:BB408" si="74">SUM(G391:AZ391)</f>
        <v>0</v>
      </c>
      <c r="BD391" s="42">
        <v>0</v>
      </c>
      <c r="BF391" s="42">
        <v>0</v>
      </c>
      <c r="BH391" s="42">
        <v>0</v>
      </c>
      <c r="BJ391" s="42">
        <v>0</v>
      </c>
      <c r="BL391" s="42">
        <f t="shared" ref="BL391:BL408" si="75">+BB391+BD391+BF391+BJ391</f>
        <v>0</v>
      </c>
      <c r="BN391" s="42">
        <f>+'Gen Fd Rev'!AM391-'Gen Fd Exp'!BL391</f>
        <v>0</v>
      </c>
      <c r="BP391" s="42">
        <v>0</v>
      </c>
      <c r="BR391" s="42">
        <v>0</v>
      </c>
      <c r="BT391" s="42">
        <v>0</v>
      </c>
      <c r="BV391" s="42">
        <f t="shared" ref="BV391:BV438" si="76">+BP391+BN391-BR391</f>
        <v>0</v>
      </c>
      <c r="BX391" s="5">
        <f>+BV391-'Gen Fd BS'!AI391+BT391</f>
        <v>0</v>
      </c>
    </row>
    <row r="392" spans="1:76">
      <c r="A392" s="9" t="s">
        <v>767</v>
      </c>
      <c r="B392" s="9"/>
      <c r="C392" s="9" t="s">
        <v>65</v>
      </c>
      <c r="D392" s="9"/>
      <c r="E392" s="23">
        <v>45542</v>
      </c>
      <c r="G392" s="42">
        <v>4093989</v>
      </c>
      <c r="I392" s="42">
        <v>782335</v>
      </c>
      <c r="K392" s="42">
        <v>78774</v>
      </c>
      <c r="M392" s="42">
        <v>7424</v>
      </c>
      <c r="O392" s="42">
        <v>682373</v>
      </c>
      <c r="Q392" s="42">
        <v>394093</v>
      </c>
      <c r="S392" s="42">
        <v>500156</v>
      </c>
      <c r="U392" s="42">
        <v>26316</v>
      </c>
      <c r="W392" s="42">
        <v>1003262</v>
      </c>
      <c r="Y392" s="42">
        <v>291652</v>
      </c>
      <c r="AA392" s="42">
        <v>0</v>
      </c>
      <c r="AC392" s="42">
        <v>1258499</v>
      </c>
      <c r="AE392" s="42">
        <v>511629</v>
      </c>
      <c r="AG392" s="42">
        <v>0</v>
      </c>
      <c r="AI392" s="42">
        <v>0</v>
      </c>
      <c r="AK392" s="42">
        <v>293</v>
      </c>
      <c r="AL392" s="9" t="s">
        <v>767</v>
      </c>
      <c r="AM392" s="9"/>
      <c r="AN392" s="9" t="s">
        <v>65</v>
      </c>
      <c r="AP392" s="42">
        <v>233358</v>
      </c>
      <c r="AR392" s="42">
        <f>109033+102107</f>
        <v>211140</v>
      </c>
      <c r="AV392" s="42">
        <v>15071</v>
      </c>
      <c r="AX392" s="42">
        <v>3874</v>
      </c>
      <c r="AZ392" s="42">
        <v>0</v>
      </c>
      <c r="BB392" s="42">
        <f t="shared" si="74"/>
        <v>10094238</v>
      </c>
      <c r="BD392" s="42">
        <v>0</v>
      </c>
      <c r="BF392" s="42">
        <v>0</v>
      </c>
      <c r="BH392" s="42">
        <v>0</v>
      </c>
      <c r="BJ392" s="42">
        <v>0</v>
      </c>
      <c r="BL392" s="42">
        <f t="shared" si="75"/>
        <v>10094238</v>
      </c>
      <c r="BN392" s="42">
        <f>+'Gen Fd Rev'!AM392-'Gen Fd Exp'!BL392</f>
        <v>-429365</v>
      </c>
      <c r="BP392" s="42">
        <v>522972</v>
      </c>
      <c r="BR392" s="42">
        <v>0</v>
      </c>
      <c r="BT392" s="42">
        <v>0</v>
      </c>
      <c r="BV392" s="42">
        <f t="shared" si="76"/>
        <v>93607</v>
      </c>
      <c r="BX392" s="5">
        <f>+BV392-'Gen Fd BS'!AI392+BT392</f>
        <v>0</v>
      </c>
    </row>
    <row r="393" spans="1:76">
      <c r="A393" s="9" t="s">
        <v>768</v>
      </c>
      <c r="B393" s="9"/>
      <c r="C393" s="9" t="s">
        <v>64</v>
      </c>
      <c r="D393" s="9"/>
      <c r="E393" s="23">
        <v>45567</v>
      </c>
      <c r="G393" s="42">
        <v>5547688</v>
      </c>
      <c r="I393" s="42">
        <v>1213297</v>
      </c>
      <c r="K393" s="42">
        <v>121943</v>
      </c>
      <c r="M393" s="42">
        <v>0</v>
      </c>
      <c r="O393" s="42">
        <v>0</v>
      </c>
      <c r="Q393" s="42">
        <v>611861</v>
      </c>
      <c r="S393" s="42">
        <v>283636</v>
      </c>
      <c r="U393" s="42">
        <v>89734</v>
      </c>
      <c r="W393" s="42">
        <v>987500</v>
      </c>
      <c r="Y393" s="42">
        <v>292011</v>
      </c>
      <c r="AA393" s="42">
        <v>0</v>
      </c>
      <c r="AC393" s="42">
        <v>837913</v>
      </c>
      <c r="AE393" s="42">
        <v>678638</v>
      </c>
      <c r="AG393" s="42">
        <v>150805</v>
      </c>
      <c r="AI393" s="42">
        <v>8432</v>
      </c>
      <c r="AK393" s="42">
        <v>0</v>
      </c>
      <c r="AL393" s="9" t="s">
        <v>768</v>
      </c>
      <c r="AM393" s="9"/>
      <c r="AN393" s="9" t="s">
        <v>64</v>
      </c>
      <c r="AP393" s="42">
        <v>286467</v>
      </c>
      <c r="AR393" s="42">
        <v>0</v>
      </c>
      <c r="AV393" s="42">
        <v>0</v>
      </c>
      <c r="AX393" s="42">
        <v>0</v>
      </c>
      <c r="AZ393" s="42">
        <v>0</v>
      </c>
      <c r="BB393" s="42">
        <f t="shared" si="74"/>
        <v>11109925</v>
      </c>
      <c r="BD393" s="42">
        <v>34076</v>
      </c>
      <c r="BF393" s="42">
        <v>0</v>
      </c>
      <c r="BH393" s="42">
        <v>0</v>
      </c>
      <c r="BJ393" s="42">
        <v>0</v>
      </c>
      <c r="BL393" s="42">
        <f t="shared" si="75"/>
        <v>11144001</v>
      </c>
      <c r="BN393" s="42">
        <f>+'Gen Fd Rev'!AM393-'Gen Fd Exp'!BL393</f>
        <v>-370278</v>
      </c>
      <c r="BP393" s="42">
        <v>-91101</v>
      </c>
      <c r="BR393" s="42">
        <v>0</v>
      </c>
      <c r="BT393" s="42">
        <v>0</v>
      </c>
      <c r="BV393" s="42">
        <f t="shared" si="76"/>
        <v>-461379</v>
      </c>
      <c r="BX393" s="5">
        <f>+BV393-'Gen Fd BS'!AI393+BT393</f>
        <v>0</v>
      </c>
    </row>
    <row r="394" spans="1:76" hidden="1">
      <c r="A394" s="9" t="s">
        <v>805</v>
      </c>
      <c r="B394" s="9"/>
      <c r="C394" s="9" t="s">
        <v>48</v>
      </c>
      <c r="D394" s="9"/>
      <c r="E394" s="23">
        <v>48637</v>
      </c>
      <c r="G394" s="42">
        <v>0</v>
      </c>
      <c r="I394" s="42">
        <v>0</v>
      </c>
      <c r="K394" s="42">
        <v>0</v>
      </c>
      <c r="M394" s="42">
        <v>0</v>
      </c>
      <c r="O394" s="42">
        <v>0</v>
      </c>
      <c r="Q394" s="42">
        <v>0</v>
      </c>
      <c r="S394" s="42">
        <v>0</v>
      </c>
      <c r="U394" s="42">
        <v>0</v>
      </c>
      <c r="W394" s="42">
        <v>0</v>
      </c>
      <c r="Y394" s="42">
        <v>0</v>
      </c>
      <c r="AA394" s="42">
        <v>0</v>
      </c>
      <c r="AC394" s="42">
        <v>0</v>
      </c>
      <c r="AE394" s="42">
        <v>0</v>
      </c>
      <c r="AG394" s="42">
        <v>0</v>
      </c>
      <c r="AI394" s="42">
        <v>0</v>
      </c>
      <c r="AK394" s="42">
        <v>0</v>
      </c>
      <c r="AL394" s="9" t="s">
        <v>805</v>
      </c>
      <c r="AM394" s="9"/>
      <c r="AN394" s="9" t="s">
        <v>48</v>
      </c>
      <c r="AP394" s="42">
        <v>0</v>
      </c>
      <c r="AR394" s="42">
        <v>0</v>
      </c>
      <c r="AV394" s="42">
        <v>0</v>
      </c>
      <c r="AX394" s="42">
        <v>0</v>
      </c>
      <c r="AZ394" s="42">
        <v>0</v>
      </c>
      <c r="BB394" s="42">
        <f t="shared" si="74"/>
        <v>0</v>
      </c>
      <c r="BD394" s="42">
        <v>0</v>
      </c>
      <c r="BF394" s="42">
        <v>0</v>
      </c>
      <c r="BH394" s="42">
        <v>0</v>
      </c>
      <c r="BJ394" s="42">
        <v>0</v>
      </c>
      <c r="BL394" s="42">
        <f t="shared" si="75"/>
        <v>0</v>
      </c>
      <c r="BN394" s="42">
        <f>+'Gen Fd Rev'!AM394-'Gen Fd Exp'!BL394</f>
        <v>0</v>
      </c>
      <c r="BP394" s="42">
        <v>0</v>
      </c>
      <c r="BR394" s="42">
        <v>0</v>
      </c>
      <c r="BT394" s="42">
        <v>0</v>
      </c>
      <c r="BV394" s="42">
        <f t="shared" si="76"/>
        <v>0</v>
      </c>
      <c r="BX394" s="5">
        <f>+BV394-'Gen Fd BS'!AI394+BT394</f>
        <v>0</v>
      </c>
    </row>
    <row r="395" spans="1:76">
      <c r="A395" s="9" t="s">
        <v>601</v>
      </c>
      <c r="B395" s="9"/>
      <c r="C395" s="9" t="s">
        <v>64</v>
      </c>
      <c r="D395" s="9"/>
      <c r="E395" s="23">
        <v>44495</v>
      </c>
      <c r="G395" s="42">
        <v>10744166</v>
      </c>
      <c r="I395" s="42">
        <v>2732273</v>
      </c>
      <c r="K395" s="42">
        <v>109242</v>
      </c>
      <c r="M395" s="42">
        <v>0</v>
      </c>
      <c r="O395" s="42">
        <v>1004699</v>
      </c>
      <c r="Q395" s="42">
        <v>1020996</v>
      </c>
      <c r="S395" s="42">
        <v>705420</v>
      </c>
      <c r="U395" s="42">
        <v>54390</v>
      </c>
      <c r="W395" s="42">
        <v>2128518</v>
      </c>
      <c r="Y395" s="42">
        <v>510914</v>
      </c>
      <c r="AA395" s="42">
        <v>143827</v>
      </c>
      <c r="AC395" s="42">
        <v>1477413</v>
      </c>
      <c r="AE395" s="42">
        <v>1014789</v>
      </c>
      <c r="AG395" s="42">
        <v>274566</v>
      </c>
      <c r="AI395" s="42">
        <v>0</v>
      </c>
      <c r="AK395" s="42">
        <v>22478</v>
      </c>
      <c r="AL395" s="9" t="s">
        <v>601</v>
      </c>
      <c r="AM395" s="9"/>
      <c r="AN395" s="9" t="s">
        <v>64</v>
      </c>
      <c r="AP395" s="42">
        <v>321795</v>
      </c>
      <c r="AR395" s="42">
        <v>0</v>
      </c>
      <c r="AV395" s="42">
        <v>0</v>
      </c>
      <c r="AX395" s="42">
        <v>0</v>
      </c>
      <c r="AZ395" s="42">
        <v>0</v>
      </c>
      <c r="BB395" s="42">
        <f t="shared" si="74"/>
        <v>22265486</v>
      </c>
      <c r="BD395" s="42">
        <v>35</v>
      </c>
      <c r="BF395" s="42">
        <v>0</v>
      </c>
      <c r="BH395" s="42">
        <v>0</v>
      </c>
      <c r="BJ395" s="42">
        <v>0</v>
      </c>
      <c r="BL395" s="42">
        <f t="shared" si="75"/>
        <v>22265521</v>
      </c>
      <c r="BN395" s="42">
        <f>+'Gen Fd Rev'!AM395-'Gen Fd Exp'!BL395</f>
        <v>41705</v>
      </c>
      <c r="BP395" s="42">
        <v>-1924688</v>
      </c>
      <c r="BR395" s="42">
        <v>0</v>
      </c>
      <c r="BT395" s="42">
        <v>0</v>
      </c>
      <c r="BV395" s="42">
        <f t="shared" si="76"/>
        <v>-1882983</v>
      </c>
      <c r="BX395" s="5">
        <f>+BV395-'Gen Fd BS'!AI395+BT395</f>
        <v>0</v>
      </c>
    </row>
    <row r="396" spans="1:76">
      <c r="A396" s="9" t="s">
        <v>446</v>
      </c>
      <c r="B396" s="9"/>
      <c r="C396" s="9" t="s">
        <v>52</v>
      </c>
      <c r="D396" s="9"/>
      <c r="E396" s="23">
        <v>48900</v>
      </c>
      <c r="G396" s="42">
        <v>4344730</v>
      </c>
      <c r="I396" s="42">
        <v>681636</v>
      </c>
      <c r="K396" s="42">
        <v>327385</v>
      </c>
      <c r="M396" s="42">
        <v>0</v>
      </c>
      <c r="O396" s="42">
        <v>0</v>
      </c>
      <c r="Q396" s="42">
        <v>440030</v>
      </c>
      <c r="S396" s="42">
        <v>189353</v>
      </c>
      <c r="U396" s="42">
        <v>60946</v>
      </c>
      <c r="W396" s="42">
        <v>1116640</v>
      </c>
      <c r="Y396" s="42">
        <v>426539</v>
      </c>
      <c r="AA396" s="42">
        <v>19904</v>
      </c>
      <c r="AC396" s="42">
        <v>829323</v>
      </c>
      <c r="AE396" s="42">
        <v>1059443</v>
      </c>
      <c r="AG396" s="42">
        <v>2796</v>
      </c>
      <c r="AI396" s="42">
        <v>0</v>
      </c>
      <c r="AK396" s="42">
        <v>2109</v>
      </c>
      <c r="AL396" s="9" t="s">
        <v>446</v>
      </c>
      <c r="AM396" s="9"/>
      <c r="AN396" s="9" t="s">
        <v>52</v>
      </c>
      <c r="AP396" s="42">
        <v>134500</v>
      </c>
      <c r="AR396" s="42">
        <v>0</v>
      </c>
      <c r="AV396" s="42">
        <v>7986</v>
      </c>
      <c r="AX396" s="42">
        <v>14963</v>
      </c>
      <c r="AZ396" s="42">
        <v>21162</v>
      </c>
      <c r="BB396" s="42">
        <f t="shared" si="74"/>
        <v>9679445</v>
      </c>
      <c r="BD396" s="42">
        <v>35000</v>
      </c>
      <c r="BF396" s="42">
        <v>0</v>
      </c>
      <c r="BH396" s="42">
        <v>0</v>
      </c>
      <c r="BJ396" s="42">
        <v>0</v>
      </c>
      <c r="BL396" s="42">
        <f t="shared" si="75"/>
        <v>9714445</v>
      </c>
      <c r="BN396" s="42">
        <f>+'Gen Fd Rev'!AM396-'Gen Fd Exp'!BL396</f>
        <v>750913</v>
      </c>
      <c r="BP396" s="42">
        <v>2686604</v>
      </c>
      <c r="BR396" s="42">
        <v>0</v>
      </c>
      <c r="BT396" s="42">
        <v>0</v>
      </c>
      <c r="BV396" s="42">
        <f t="shared" si="76"/>
        <v>3437517</v>
      </c>
      <c r="BX396" s="5">
        <f>+BV396-'Gen Fd BS'!AI396+BT396</f>
        <v>0</v>
      </c>
    </row>
    <row r="397" spans="1:76">
      <c r="A397" s="9" t="s">
        <v>507</v>
      </c>
      <c r="B397" s="9"/>
      <c r="C397" s="9" t="s">
        <v>63</v>
      </c>
      <c r="D397" s="9"/>
      <c r="E397" s="23">
        <v>50047</v>
      </c>
      <c r="G397" s="42">
        <v>17052104</v>
      </c>
      <c r="I397" s="42">
        <v>5355641</v>
      </c>
      <c r="K397" s="42">
        <v>109137</v>
      </c>
      <c r="M397" s="42">
        <v>0</v>
      </c>
      <c r="O397" s="42">
        <v>133867</v>
      </c>
      <c r="Q397" s="42">
        <v>2145017</v>
      </c>
      <c r="S397" s="42">
        <v>586327</v>
      </c>
      <c r="U397" s="42">
        <v>16058</v>
      </c>
      <c r="W397" s="42">
        <v>2605283</v>
      </c>
      <c r="Y397" s="42">
        <v>1420936</v>
      </c>
      <c r="AA397" s="42">
        <v>277533</v>
      </c>
      <c r="AC397" s="42">
        <v>3385584</v>
      </c>
      <c r="AE397" s="42">
        <v>2196424</v>
      </c>
      <c r="AG397" s="42">
        <v>779750</v>
      </c>
      <c r="AI397" s="42">
        <v>0</v>
      </c>
      <c r="AK397" s="42">
        <v>296</v>
      </c>
      <c r="AL397" s="9" t="s">
        <v>507</v>
      </c>
      <c r="AM397" s="9"/>
      <c r="AN397" s="9" t="s">
        <v>63</v>
      </c>
      <c r="AP397" s="42">
        <v>1310268</v>
      </c>
      <c r="AR397" s="42">
        <v>0</v>
      </c>
      <c r="AV397" s="42">
        <v>0</v>
      </c>
      <c r="AX397" s="42">
        <v>0</v>
      </c>
      <c r="AZ397" s="42">
        <v>0</v>
      </c>
      <c r="BB397" s="42">
        <f t="shared" si="74"/>
        <v>37374225</v>
      </c>
      <c r="BD397" s="42">
        <v>15000</v>
      </c>
      <c r="BF397" s="42">
        <v>0</v>
      </c>
      <c r="BH397" s="42">
        <v>0</v>
      </c>
      <c r="BJ397" s="42">
        <v>0</v>
      </c>
      <c r="BL397" s="42">
        <f t="shared" si="75"/>
        <v>37389225</v>
      </c>
      <c r="BN397" s="42">
        <f>+'Gen Fd Rev'!AM397-'Gen Fd Exp'!BL397</f>
        <v>1835082</v>
      </c>
      <c r="BP397" s="42">
        <v>7587508</v>
      </c>
      <c r="BR397" s="42">
        <v>0</v>
      </c>
      <c r="BT397" s="42">
        <v>0</v>
      </c>
      <c r="BV397" s="42">
        <f t="shared" si="76"/>
        <v>9422590</v>
      </c>
      <c r="BX397" s="5">
        <f>+BV397-'Gen Fd BS'!AI397+BT397</f>
        <v>0</v>
      </c>
    </row>
    <row r="398" spans="1:76">
      <c r="A398" s="9" t="s">
        <v>551</v>
      </c>
      <c r="B398" s="9"/>
      <c r="C398" s="9" t="s">
        <v>72</v>
      </c>
      <c r="D398" s="9"/>
      <c r="E398" s="23">
        <v>50708</v>
      </c>
      <c r="G398" s="42">
        <v>2926662</v>
      </c>
      <c r="I398" s="42">
        <v>996647</v>
      </c>
      <c r="K398" s="42">
        <v>0</v>
      </c>
      <c r="M398" s="42">
        <v>0</v>
      </c>
      <c r="O398" s="42">
        <v>519818</v>
      </c>
      <c r="Q398" s="42">
        <v>258614</v>
      </c>
      <c r="S398" s="42">
        <v>363200</v>
      </c>
      <c r="U398" s="42">
        <v>162568</v>
      </c>
      <c r="W398" s="42">
        <v>487195</v>
      </c>
      <c r="Y398" s="42">
        <v>325184</v>
      </c>
      <c r="AA398" s="42">
        <v>0</v>
      </c>
      <c r="AC398" s="42">
        <v>786127</v>
      </c>
      <c r="AE398" s="42">
        <v>273876</v>
      </c>
      <c r="AG398" s="42">
        <v>0</v>
      </c>
      <c r="AI398" s="42">
        <v>0</v>
      </c>
      <c r="AK398" s="42">
        <v>0</v>
      </c>
      <c r="AL398" s="9" t="s">
        <v>551</v>
      </c>
      <c r="AM398" s="9"/>
      <c r="AN398" s="9" t="s">
        <v>72</v>
      </c>
      <c r="AP398" s="42">
        <v>224588</v>
      </c>
      <c r="AR398" s="42">
        <v>0</v>
      </c>
      <c r="AV398" s="42">
        <v>0</v>
      </c>
      <c r="AX398" s="42">
        <v>0</v>
      </c>
      <c r="AZ398" s="42">
        <v>0</v>
      </c>
      <c r="BB398" s="42">
        <f t="shared" si="74"/>
        <v>7324479</v>
      </c>
      <c r="BD398" s="42">
        <v>3510</v>
      </c>
      <c r="BF398" s="42">
        <v>0</v>
      </c>
      <c r="BH398" s="42">
        <v>0</v>
      </c>
      <c r="BJ398" s="42">
        <v>0</v>
      </c>
      <c r="BL398" s="42">
        <f t="shared" si="75"/>
        <v>7327989</v>
      </c>
      <c r="BN398" s="42">
        <f>+'Gen Fd Rev'!AM398-'Gen Fd Exp'!BL398</f>
        <v>532141</v>
      </c>
      <c r="BP398" s="42">
        <v>2940287</v>
      </c>
      <c r="BR398" s="42">
        <v>0</v>
      </c>
      <c r="BT398" s="42">
        <v>0</v>
      </c>
      <c r="BV398" s="42">
        <f t="shared" si="76"/>
        <v>3472428</v>
      </c>
      <c r="BX398" s="5">
        <f>+BV398-'Gen Fd BS'!AI398+BT398</f>
        <v>0</v>
      </c>
    </row>
    <row r="399" spans="1:76" hidden="1">
      <c r="A399" s="9" t="s">
        <v>807</v>
      </c>
      <c r="B399" s="9"/>
      <c r="C399" s="9" t="s">
        <v>53</v>
      </c>
      <c r="D399" s="9"/>
      <c r="E399" s="23">
        <v>48967</v>
      </c>
      <c r="G399" s="42">
        <v>0</v>
      </c>
      <c r="I399" s="42">
        <v>0</v>
      </c>
      <c r="K399" s="42">
        <v>0</v>
      </c>
      <c r="M399" s="42">
        <v>0</v>
      </c>
      <c r="O399" s="42">
        <v>0</v>
      </c>
      <c r="Q399" s="42">
        <v>0</v>
      </c>
      <c r="S399" s="42">
        <v>0</v>
      </c>
      <c r="U399" s="42">
        <v>0</v>
      </c>
      <c r="W399" s="42">
        <v>0</v>
      </c>
      <c r="Y399" s="42">
        <v>0</v>
      </c>
      <c r="AA399" s="42">
        <v>0</v>
      </c>
      <c r="AC399" s="42">
        <v>0</v>
      </c>
      <c r="AE399" s="42">
        <v>0</v>
      </c>
      <c r="AG399" s="42">
        <v>0</v>
      </c>
      <c r="AI399" s="42">
        <v>0</v>
      </c>
      <c r="AK399" s="42">
        <v>0</v>
      </c>
      <c r="AL399" s="9" t="s">
        <v>807</v>
      </c>
      <c r="AM399" s="9"/>
      <c r="AN399" s="9" t="s">
        <v>53</v>
      </c>
      <c r="AP399" s="42">
        <v>0</v>
      </c>
      <c r="AR399" s="42">
        <v>0</v>
      </c>
      <c r="AV399" s="42">
        <v>0</v>
      </c>
      <c r="AX399" s="42">
        <v>0</v>
      </c>
      <c r="AZ399" s="42">
        <v>0</v>
      </c>
      <c r="BB399" s="42">
        <f t="shared" si="74"/>
        <v>0</v>
      </c>
      <c r="BD399" s="42">
        <v>0</v>
      </c>
      <c r="BF399" s="42">
        <v>0</v>
      </c>
      <c r="BH399" s="42">
        <v>0</v>
      </c>
      <c r="BJ399" s="42">
        <v>0</v>
      </c>
      <c r="BL399" s="42">
        <f t="shared" si="75"/>
        <v>0</v>
      </c>
      <c r="BN399" s="42">
        <f>+'Gen Fd Rev'!AM399-'Gen Fd Exp'!BL399</f>
        <v>0</v>
      </c>
      <c r="BP399" s="42">
        <v>0</v>
      </c>
      <c r="BR399" s="42">
        <v>0</v>
      </c>
      <c r="BT399" s="42">
        <v>0</v>
      </c>
      <c r="BV399" s="42">
        <f t="shared" si="76"/>
        <v>0</v>
      </c>
      <c r="BX399" s="5">
        <f>+BV399-'Gen Fd BS'!AI399+BT399</f>
        <v>0</v>
      </c>
    </row>
    <row r="400" spans="1:76">
      <c r="A400" s="9" t="s">
        <v>499</v>
      </c>
      <c r="B400" s="9"/>
      <c r="C400" s="9" t="s">
        <v>62</v>
      </c>
      <c r="D400" s="9"/>
      <c r="E400" s="23">
        <v>44503</v>
      </c>
      <c r="G400" s="42">
        <v>18363630</v>
      </c>
      <c r="I400" s="42">
        <v>3319099</v>
      </c>
      <c r="K400" s="42">
        <v>1541385</v>
      </c>
      <c r="M400" s="42">
        <v>0</v>
      </c>
      <c r="O400" s="42">
        <v>154311</v>
      </c>
      <c r="Q400" s="42">
        <v>1670118</v>
      </c>
      <c r="S400" s="42">
        <v>2228171</v>
      </c>
      <c r="U400" s="42">
        <v>17318</v>
      </c>
      <c r="W400" s="42">
        <v>3152063</v>
      </c>
      <c r="Y400" s="42">
        <v>1018491</v>
      </c>
      <c r="AA400" s="42">
        <v>0</v>
      </c>
      <c r="AC400" s="42">
        <v>3940559</v>
      </c>
      <c r="AE400" s="42">
        <v>2889049</v>
      </c>
      <c r="AG400" s="42">
        <v>329650</v>
      </c>
      <c r="AI400" s="42">
        <v>0</v>
      </c>
      <c r="AK400" s="42">
        <v>6535</v>
      </c>
      <c r="AL400" s="9" t="s">
        <v>499</v>
      </c>
      <c r="AM400" s="9"/>
      <c r="AN400" s="9" t="s">
        <v>62</v>
      </c>
      <c r="AP400" s="42">
        <v>837377</v>
      </c>
      <c r="AR400" s="42">
        <v>23375</v>
      </c>
      <c r="AV400" s="42">
        <v>144047</v>
      </c>
      <c r="AX400" s="42">
        <v>28542</v>
      </c>
      <c r="AZ400" s="42">
        <v>0</v>
      </c>
      <c r="BB400" s="42">
        <f t="shared" si="74"/>
        <v>39663720</v>
      </c>
      <c r="BD400" s="42">
        <v>159660</v>
      </c>
      <c r="BF400" s="42">
        <v>0</v>
      </c>
      <c r="BH400" s="42">
        <v>0</v>
      </c>
      <c r="BJ400" s="42">
        <v>0</v>
      </c>
      <c r="BL400" s="42">
        <f t="shared" si="75"/>
        <v>39823380</v>
      </c>
      <c r="BN400" s="42">
        <f>+'Gen Fd Rev'!AM400-'Gen Fd Exp'!BL400</f>
        <v>-283301</v>
      </c>
      <c r="BP400" s="42">
        <v>1630598</v>
      </c>
      <c r="BR400" s="42">
        <v>60200</v>
      </c>
      <c r="BT400" s="42">
        <v>0</v>
      </c>
      <c r="BV400" s="42">
        <f t="shared" si="76"/>
        <v>1287097</v>
      </c>
      <c r="BX400" s="5">
        <f>+BV400-'Gen Fd BS'!AI400+BT400</f>
        <v>0</v>
      </c>
    </row>
    <row r="401" spans="1:76" hidden="1">
      <c r="A401" s="9" t="s">
        <v>808</v>
      </c>
      <c r="B401" s="9"/>
      <c r="C401" s="9" t="s">
        <v>548</v>
      </c>
      <c r="D401" s="9"/>
      <c r="E401" s="23">
        <v>50641</v>
      </c>
      <c r="F401" s="7"/>
      <c r="G401" s="42">
        <v>0</v>
      </c>
      <c r="I401" s="42">
        <v>0</v>
      </c>
      <c r="K401" s="42">
        <v>0</v>
      </c>
      <c r="M401" s="42">
        <v>0</v>
      </c>
      <c r="O401" s="42">
        <v>0</v>
      </c>
      <c r="Q401" s="42">
        <v>0</v>
      </c>
      <c r="S401" s="42">
        <v>0</v>
      </c>
      <c r="U401" s="42">
        <v>0</v>
      </c>
      <c r="W401" s="42">
        <v>0</v>
      </c>
      <c r="Y401" s="42">
        <v>0</v>
      </c>
      <c r="AA401" s="42">
        <v>0</v>
      </c>
      <c r="AC401" s="42">
        <v>0</v>
      </c>
      <c r="AE401" s="42">
        <v>0</v>
      </c>
      <c r="AG401" s="42">
        <v>0</v>
      </c>
      <c r="AI401" s="42">
        <v>0</v>
      </c>
      <c r="AK401" s="42">
        <v>0</v>
      </c>
      <c r="AL401" s="9" t="s">
        <v>808</v>
      </c>
      <c r="AM401" s="9"/>
      <c r="AN401" s="9" t="s">
        <v>548</v>
      </c>
      <c r="AP401" s="42">
        <v>0</v>
      </c>
      <c r="AR401" s="42">
        <v>0</v>
      </c>
      <c r="AV401" s="42">
        <v>0</v>
      </c>
      <c r="AX401" s="42">
        <v>0</v>
      </c>
      <c r="AZ401" s="42">
        <v>0</v>
      </c>
      <c r="BB401" s="42">
        <f t="shared" si="74"/>
        <v>0</v>
      </c>
      <c r="BD401" s="42">
        <v>0</v>
      </c>
      <c r="BF401" s="42">
        <v>0</v>
      </c>
      <c r="BH401" s="42">
        <v>0</v>
      </c>
      <c r="BJ401" s="42">
        <v>0</v>
      </c>
      <c r="BL401" s="42">
        <f t="shared" si="75"/>
        <v>0</v>
      </c>
      <c r="BN401" s="42">
        <f>+'Gen Fd Rev'!AM401-'Gen Fd Exp'!BL401</f>
        <v>0</v>
      </c>
      <c r="BP401" s="42">
        <v>0</v>
      </c>
      <c r="BR401" s="42">
        <v>0</v>
      </c>
      <c r="BT401" s="42">
        <v>0</v>
      </c>
      <c r="BV401" s="42">
        <f t="shared" si="76"/>
        <v>0</v>
      </c>
      <c r="BX401" s="5">
        <f>+BV401-'Gen Fd BS'!AI401+BT401</f>
        <v>0</v>
      </c>
    </row>
    <row r="402" spans="1:76">
      <c r="A402" s="9" t="s">
        <v>703</v>
      </c>
      <c r="B402" s="9"/>
      <c r="C402" s="9" t="s">
        <v>32</v>
      </c>
      <c r="D402" s="9"/>
      <c r="E402" s="23">
        <v>44511</v>
      </c>
      <c r="G402" s="42">
        <v>5982287</v>
      </c>
      <c r="I402" s="42">
        <v>2130025</v>
      </c>
      <c r="K402" s="42">
        <v>35141</v>
      </c>
      <c r="M402" s="42">
        <v>0</v>
      </c>
      <c r="O402" s="42">
        <v>514</v>
      </c>
      <c r="Q402" s="42">
        <v>964730</v>
      </c>
      <c r="S402" s="42">
        <v>346609</v>
      </c>
      <c r="U402" s="42">
        <v>43752</v>
      </c>
      <c r="W402" s="42">
        <v>1011038</v>
      </c>
      <c r="Y402" s="42">
        <v>344135</v>
      </c>
      <c r="AA402" s="42">
        <v>11962</v>
      </c>
      <c r="AC402" s="42">
        <v>951473</v>
      </c>
      <c r="AE402" s="42">
        <v>244451</v>
      </c>
      <c r="AG402" s="42">
        <v>1614</v>
      </c>
      <c r="AI402" s="42">
        <v>0</v>
      </c>
      <c r="AK402" s="42">
        <v>1762</v>
      </c>
      <c r="AL402" s="9" t="s">
        <v>703</v>
      </c>
      <c r="AM402" s="9"/>
      <c r="AN402" s="9" t="s">
        <v>32</v>
      </c>
      <c r="AP402" s="42">
        <v>260860</v>
      </c>
      <c r="AR402" s="42">
        <v>0</v>
      </c>
      <c r="AV402" s="42">
        <v>0</v>
      </c>
      <c r="AX402" s="42">
        <v>0</v>
      </c>
      <c r="AZ402" s="42">
        <v>0</v>
      </c>
      <c r="BB402" s="42">
        <f t="shared" si="74"/>
        <v>12330353</v>
      </c>
      <c r="BD402" s="42">
        <v>393</v>
      </c>
      <c r="BF402" s="42">
        <v>0</v>
      </c>
      <c r="BH402" s="42">
        <v>0</v>
      </c>
      <c r="BJ402" s="42">
        <v>0</v>
      </c>
      <c r="BL402" s="42">
        <f t="shared" si="75"/>
        <v>12330746</v>
      </c>
      <c r="BN402" s="42">
        <f>+'Gen Fd Rev'!AM402-'Gen Fd Exp'!BL402</f>
        <v>-7113</v>
      </c>
      <c r="BP402" s="42">
        <v>692423</v>
      </c>
      <c r="BR402" s="42">
        <v>0</v>
      </c>
      <c r="BT402" s="42">
        <v>0</v>
      </c>
      <c r="BV402" s="42">
        <f t="shared" si="76"/>
        <v>685310</v>
      </c>
      <c r="BX402" s="5">
        <f>+BV402-'Gen Fd BS'!AI402+BT402</f>
        <v>0</v>
      </c>
    </row>
    <row r="403" spans="1:76">
      <c r="A403" s="9" t="s">
        <v>375</v>
      </c>
      <c r="B403" s="9"/>
      <c r="C403" s="9" t="s">
        <v>42</v>
      </c>
      <c r="D403" s="9"/>
      <c r="E403" s="23">
        <v>48025</v>
      </c>
      <c r="G403" s="42">
        <v>5584522</v>
      </c>
      <c r="I403" s="42">
        <v>2243026</v>
      </c>
      <c r="K403" s="42">
        <v>132612</v>
      </c>
      <c r="M403" s="42">
        <v>0</v>
      </c>
      <c r="O403" s="42">
        <v>245925</v>
      </c>
      <c r="Q403" s="42">
        <v>1622540</v>
      </c>
      <c r="S403" s="42">
        <v>97901</v>
      </c>
      <c r="U403" s="42">
        <v>33653</v>
      </c>
      <c r="W403" s="42">
        <v>1157565</v>
      </c>
      <c r="Y403" s="42">
        <v>542138</v>
      </c>
      <c r="AA403" s="42">
        <v>0</v>
      </c>
      <c r="AC403" s="42">
        <v>1352122</v>
      </c>
      <c r="AE403" s="42">
        <v>1283522</v>
      </c>
      <c r="AG403" s="42">
        <v>76825</v>
      </c>
      <c r="AI403" s="42">
        <v>0</v>
      </c>
      <c r="AK403" s="42">
        <v>0</v>
      </c>
      <c r="AL403" s="9" t="s">
        <v>375</v>
      </c>
      <c r="AM403" s="9"/>
      <c r="AN403" s="9" t="s">
        <v>42</v>
      </c>
      <c r="AP403" s="42">
        <v>301195</v>
      </c>
      <c r="AR403" s="42">
        <f>1295+288820</f>
        <v>290115</v>
      </c>
      <c r="AV403" s="42">
        <v>73984</v>
      </c>
      <c r="AX403" s="42">
        <v>69486</v>
      </c>
      <c r="AZ403" s="42">
        <v>0</v>
      </c>
      <c r="BB403" s="42">
        <f t="shared" si="74"/>
        <v>15107131</v>
      </c>
      <c r="BD403" s="42">
        <v>108033</v>
      </c>
      <c r="BF403" s="42">
        <v>0</v>
      </c>
      <c r="BH403" s="42">
        <v>0</v>
      </c>
      <c r="BJ403" s="42">
        <v>0</v>
      </c>
      <c r="BL403" s="42">
        <f t="shared" si="75"/>
        <v>15215164</v>
      </c>
      <c r="BN403" s="42">
        <f>+'Gen Fd Rev'!AM403-'Gen Fd Exp'!BL403</f>
        <v>1225912</v>
      </c>
      <c r="BP403" s="42">
        <v>81739</v>
      </c>
      <c r="BR403" s="42">
        <v>0</v>
      </c>
      <c r="BT403" s="42">
        <v>0</v>
      </c>
      <c r="BV403" s="42">
        <f t="shared" si="76"/>
        <v>1307651</v>
      </c>
      <c r="BX403" s="5">
        <f>+BV403-'Gen Fd BS'!AI403+BT403</f>
        <v>0</v>
      </c>
    </row>
    <row r="404" spans="1:76">
      <c r="A404" s="9" t="s">
        <v>269</v>
      </c>
      <c r="B404" s="9"/>
      <c r="C404" s="9" t="s">
        <v>20</v>
      </c>
      <c r="D404" s="9"/>
      <c r="E404" s="23">
        <v>44529</v>
      </c>
      <c r="G404" s="42">
        <v>22619788</v>
      </c>
      <c r="I404" s="42">
        <v>7796109</v>
      </c>
      <c r="K404" s="42">
        <v>461210</v>
      </c>
      <c r="M404" s="42">
        <v>0</v>
      </c>
      <c r="O404" s="42">
        <v>285825</v>
      </c>
      <c r="Q404" s="42">
        <v>3952685</v>
      </c>
      <c r="S404" s="42">
        <v>996028</v>
      </c>
      <c r="U404" s="42">
        <v>377032</v>
      </c>
      <c r="W404" s="42">
        <v>3116716</v>
      </c>
      <c r="Y404" s="42">
        <v>1222655</v>
      </c>
      <c r="AA404" s="42">
        <v>154727</v>
      </c>
      <c r="AC404" s="42">
        <v>4960351</v>
      </c>
      <c r="AE404" s="42">
        <v>2294118</v>
      </c>
      <c r="AG404" s="42">
        <v>1144165</v>
      </c>
      <c r="AI404" s="42">
        <v>79744</v>
      </c>
      <c r="AK404" s="42">
        <v>19713</v>
      </c>
      <c r="AL404" s="9" t="s">
        <v>269</v>
      </c>
      <c r="AM404" s="9"/>
      <c r="AN404" s="9" t="s">
        <v>20</v>
      </c>
      <c r="AP404" s="42">
        <v>1336862</v>
      </c>
      <c r="AR404" s="42">
        <v>0</v>
      </c>
      <c r="AV404" s="42">
        <v>0</v>
      </c>
      <c r="AX404" s="42">
        <v>0</v>
      </c>
      <c r="AZ404" s="42">
        <v>0</v>
      </c>
      <c r="BB404" s="42">
        <f t="shared" si="74"/>
        <v>50817728</v>
      </c>
      <c r="BD404" s="42">
        <v>200713</v>
      </c>
      <c r="BF404" s="42">
        <v>0</v>
      </c>
      <c r="BH404" s="42">
        <v>0</v>
      </c>
      <c r="BJ404" s="42">
        <v>0</v>
      </c>
      <c r="BL404" s="42">
        <f t="shared" si="75"/>
        <v>51018441</v>
      </c>
      <c r="BN404" s="42">
        <f>+'Gen Fd Rev'!AM404-'Gen Fd Exp'!BL404</f>
        <v>5662916</v>
      </c>
      <c r="BP404" s="42">
        <v>15530001</v>
      </c>
      <c r="BR404" s="42">
        <v>0</v>
      </c>
      <c r="BT404" s="42">
        <v>0</v>
      </c>
      <c r="BV404" s="42">
        <f t="shared" si="76"/>
        <v>21192917</v>
      </c>
      <c r="BX404" s="5">
        <f>+BV404-'Gen Fd BS'!AI404+BT404</f>
        <v>0</v>
      </c>
    </row>
    <row r="405" spans="1:76">
      <c r="A405" s="9" t="s">
        <v>385</v>
      </c>
      <c r="B405" s="9"/>
      <c r="C405" s="9" t="s">
        <v>44</v>
      </c>
      <c r="D405" s="9"/>
      <c r="E405" s="23">
        <v>44537</v>
      </c>
      <c r="G405" s="42">
        <v>12925629</v>
      </c>
      <c r="I405" s="42">
        <v>3698311</v>
      </c>
      <c r="K405" s="42">
        <v>108617</v>
      </c>
      <c r="M405" s="42">
        <v>0</v>
      </c>
      <c r="O405" s="42">
        <v>1808468</v>
      </c>
      <c r="Q405" s="42">
        <v>1725861</v>
      </c>
      <c r="S405" s="42">
        <v>1849279</v>
      </c>
      <c r="U405" s="42">
        <v>154245</v>
      </c>
      <c r="W405" s="42">
        <v>2003603</v>
      </c>
      <c r="Y405" s="42">
        <v>812632</v>
      </c>
      <c r="AA405" s="42">
        <v>182690</v>
      </c>
      <c r="AC405" s="42">
        <v>2306345</v>
      </c>
      <c r="AE405" s="42">
        <v>1942891</v>
      </c>
      <c r="AG405" s="42">
        <v>56859</v>
      </c>
      <c r="AI405" s="42">
        <v>3524</v>
      </c>
      <c r="AK405" s="42">
        <v>0</v>
      </c>
      <c r="AL405" s="9" t="s">
        <v>385</v>
      </c>
      <c r="AM405" s="9"/>
      <c r="AN405" s="9" t="s">
        <v>44</v>
      </c>
      <c r="AP405" s="42">
        <v>528020</v>
      </c>
      <c r="AR405" s="42">
        <v>42680</v>
      </c>
      <c r="AV405" s="42">
        <v>73654</v>
      </c>
      <c r="AX405" s="42">
        <v>7489</v>
      </c>
      <c r="AZ405" s="42">
        <v>0</v>
      </c>
      <c r="BB405" s="42">
        <f t="shared" si="74"/>
        <v>30230797</v>
      </c>
      <c r="BD405" s="42">
        <v>23182</v>
      </c>
      <c r="BF405" s="42">
        <v>0</v>
      </c>
      <c r="BH405" s="42">
        <v>0</v>
      </c>
      <c r="BJ405" s="42">
        <v>0</v>
      </c>
      <c r="BL405" s="42">
        <f t="shared" si="75"/>
        <v>30253979</v>
      </c>
      <c r="BN405" s="42">
        <f>+'Gen Fd Rev'!AM405-'Gen Fd Exp'!BL405</f>
        <v>3909462</v>
      </c>
      <c r="BP405" s="42">
        <v>242173</v>
      </c>
      <c r="BR405" s="42">
        <v>0</v>
      </c>
      <c r="BT405" s="42">
        <v>0</v>
      </c>
      <c r="BV405" s="42">
        <f t="shared" si="76"/>
        <v>4151635</v>
      </c>
      <c r="BX405" s="5">
        <f>+BV405-'Gen Fd BS'!AI405+BT405</f>
        <v>0</v>
      </c>
    </row>
    <row r="406" spans="1:76">
      <c r="A406" s="9" t="s">
        <v>270</v>
      </c>
      <c r="B406" s="9"/>
      <c r="C406" s="9" t="s">
        <v>20</v>
      </c>
      <c r="D406" s="9"/>
      <c r="E406" s="23">
        <v>44545</v>
      </c>
      <c r="G406" s="42">
        <v>24214149</v>
      </c>
      <c r="I406" s="42">
        <v>3392579</v>
      </c>
      <c r="K406" s="42">
        <v>128772</v>
      </c>
      <c r="M406" s="42">
        <v>0</v>
      </c>
      <c r="O406" s="42">
        <v>1233551</v>
      </c>
      <c r="Q406" s="42">
        <v>2963492</v>
      </c>
      <c r="S406" s="42">
        <v>1825214</v>
      </c>
      <c r="U406" s="42">
        <v>42802</v>
      </c>
      <c r="W406" s="42">
        <v>3286493</v>
      </c>
      <c r="Y406" s="42">
        <v>1219727</v>
      </c>
      <c r="AA406" s="42">
        <v>344756</v>
      </c>
      <c r="AC406" s="42">
        <v>3738764</v>
      </c>
      <c r="AE406" s="42">
        <v>3345716</v>
      </c>
      <c r="AG406" s="42">
        <v>577848</v>
      </c>
      <c r="AI406" s="42">
        <v>0</v>
      </c>
      <c r="AK406" s="42">
        <v>65092</v>
      </c>
      <c r="AL406" s="9" t="s">
        <v>270</v>
      </c>
      <c r="AM406" s="9"/>
      <c r="AN406" s="9" t="s">
        <v>20</v>
      </c>
      <c r="AP406" s="42">
        <v>806069</v>
      </c>
      <c r="AR406" s="42">
        <v>0</v>
      </c>
      <c r="AV406" s="42">
        <v>0</v>
      </c>
      <c r="AX406" s="42">
        <v>0</v>
      </c>
      <c r="AZ406" s="42">
        <v>0</v>
      </c>
      <c r="BB406" s="42">
        <f t="shared" si="74"/>
        <v>47185024</v>
      </c>
      <c r="BD406" s="42">
        <v>118000</v>
      </c>
      <c r="BF406" s="42">
        <v>0</v>
      </c>
      <c r="BH406" s="42">
        <v>0</v>
      </c>
      <c r="BJ406" s="42">
        <v>0</v>
      </c>
      <c r="BL406" s="42">
        <f t="shared" si="75"/>
        <v>47303024</v>
      </c>
      <c r="BN406" s="42">
        <f>+'Gen Fd Rev'!AM406-'Gen Fd Exp'!BL406</f>
        <v>-61058</v>
      </c>
      <c r="BP406" s="42">
        <v>10632290</v>
      </c>
      <c r="BR406" s="42">
        <v>0</v>
      </c>
      <c r="BT406" s="42">
        <v>0</v>
      </c>
      <c r="BV406" s="42">
        <f t="shared" si="76"/>
        <v>10571232</v>
      </c>
      <c r="BX406" s="5">
        <f>+BV406-'Gen Fd BS'!AI406+BT406</f>
        <v>0</v>
      </c>
    </row>
    <row r="407" spans="1:76">
      <c r="A407" s="9" t="s">
        <v>536</v>
      </c>
      <c r="B407" s="9"/>
      <c r="C407" s="9" t="s">
        <v>66</v>
      </c>
      <c r="D407" s="9"/>
      <c r="E407" s="23">
        <v>50336</v>
      </c>
      <c r="G407" s="42">
        <v>6616661</v>
      </c>
      <c r="I407" s="42">
        <v>1569290</v>
      </c>
      <c r="K407" s="42">
        <v>893406</v>
      </c>
      <c r="M407" s="42">
        <v>0</v>
      </c>
      <c r="O407" s="42">
        <v>0</v>
      </c>
      <c r="Q407" s="42">
        <v>761513</v>
      </c>
      <c r="S407" s="42">
        <v>722418</v>
      </c>
      <c r="U407" s="42">
        <v>31223</v>
      </c>
      <c r="W407" s="42">
        <v>1038141</v>
      </c>
      <c r="Y407" s="42">
        <v>532631</v>
      </c>
      <c r="AA407" s="42">
        <v>0</v>
      </c>
      <c r="AC407" s="42">
        <v>1695994</v>
      </c>
      <c r="AE407" s="42">
        <v>864080</v>
      </c>
      <c r="AG407" s="42">
        <v>2650</v>
      </c>
      <c r="AI407" s="42">
        <v>0</v>
      </c>
      <c r="AK407" s="42">
        <v>0</v>
      </c>
      <c r="AL407" s="9" t="s">
        <v>536</v>
      </c>
      <c r="AM407" s="9"/>
      <c r="AN407" s="9" t="s">
        <v>66</v>
      </c>
      <c r="AP407" s="42">
        <v>266232</v>
      </c>
      <c r="AR407" s="42">
        <v>3798</v>
      </c>
      <c r="AV407" s="42">
        <v>0</v>
      </c>
      <c r="AX407" s="42">
        <v>0</v>
      </c>
      <c r="AZ407" s="42">
        <v>0</v>
      </c>
      <c r="BB407" s="42">
        <f t="shared" si="74"/>
        <v>14998037</v>
      </c>
      <c r="BD407" s="42">
        <v>0</v>
      </c>
      <c r="BF407" s="42">
        <v>0</v>
      </c>
      <c r="BH407" s="42">
        <v>0</v>
      </c>
      <c r="BJ407" s="42">
        <v>0</v>
      </c>
      <c r="BL407" s="42">
        <f t="shared" si="75"/>
        <v>14998037</v>
      </c>
      <c r="BN407" s="42">
        <f>+'Gen Fd Rev'!AM407-'Gen Fd Exp'!BL407</f>
        <v>-392838</v>
      </c>
      <c r="BP407" s="42">
        <v>9610901</v>
      </c>
      <c r="BR407" s="42">
        <v>0</v>
      </c>
      <c r="BT407" s="42">
        <v>0</v>
      </c>
      <c r="BV407" s="42">
        <f t="shared" si="76"/>
        <v>9218063</v>
      </c>
      <c r="BX407" s="5">
        <f>+BV407-'Gen Fd BS'!AI407+BT407</f>
        <v>0</v>
      </c>
    </row>
    <row r="408" spans="1:76">
      <c r="A408" s="9" t="s">
        <v>231</v>
      </c>
      <c r="B408" s="9"/>
      <c r="C408" s="9" t="s">
        <v>17</v>
      </c>
      <c r="D408" s="9"/>
      <c r="E408" s="23">
        <v>46250</v>
      </c>
      <c r="G408" s="42">
        <v>13805440</v>
      </c>
      <c r="I408" s="42">
        <v>2301517</v>
      </c>
      <c r="K408" s="42">
        <v>653914</v>
      </c>
      <c r="M408" s="42">
        <v>0</v>
      </c>
      <c r="O408" s="42">
        <f>17851+16328</f>
        <v>34179</v>
      </c>
      <c r="Q408" s="42">
        <v>1597749</v>
      </c>
      <c r="S408" s="42">
        <v>1277518</v>
      </c>
      <c r="U408" s="42">
        <v>49315</v>
      </c>
      <c r="W408" s="42">
        <v>2518022</v>
      </c>
      <c r="Y408" s="42">
        <v>696381</v>
      </c>
      <c r="AA408" s="42">
        <v>0</v>
      </c>
      <c r="AC408" s="42">
        <v>2377008</v>
      </c>
      <c r="AE408" s="42">
        <v>1949506</v>
      </c>
      <c r="AG408" s="42">
        <v>10397</v>
      </c>
      <c r="AI408" s="42">
        <v>0</v>
      </c>
      <c r="AK408" s="42">
        <v>9347</v>
      </c>
      <c r="AL408" s="9" t="s">
        <v>231</v>
      </c>
      <c r="AM408" s="9"/>
      <c r="AN408" s="9" t="s">
        <v>17</v>
      </c>
      <c r="AP408" s="42">
        <v>741264</v>
      </c>
      <c r="AR408" s="42">
        <v>0</v>
      </c>
      <c r="AV408" s="42">
        <v>48012</v>
      </c>
      <c r="AX408" s="42">
        <v>0</v>
      </c>
      <c r="AZ408" s="42">
        <v>0</v>
      </c>
      <c r="BB408" s="42">
        <f t="shared" si="74"/>
        <v>28069569</v>
      </c>
      <c r="BD408" s="42">
        <v>40658</v>
      </c>
      <c r="BF408" s="42">
        <v>0</v>
      </c>
      <c r="BH408" s="42">
        <v>0</v>
      </c>
      <c r="BJ408" s="42">
        <v>0</v>
      </c>
      <c r="BL408" s="42">
        <f t="shared" si="75"/>
        <v>28110227</v>
      </c>
      <c r="BN408" s="42">
        <f>+'Gen Fd Rev'!AM408-'Gen Fd Exp'!BL408</f>
        <v>-1374338</v>
      </c>
      <c r="BP408" s="42">
        <v>4322338</v>
      </c>
      <c r="BR408" s="42">
        <v>0</v>
      </c>
      <c r="BT408" s="42">
        <v>0</v>
      </c>
      <c r="BV408" s="42">
        <f t="shared" si="76"/>
        <v>2948000</v>
      </c>
      <c r="BX408" s="5">
        <f>+BV408-'Gen Fd BS'!AI408+BT408</f>
        <v>0</v>
      </c>
    </row>
    <row r="409" spans="1:76" hidden="1">
      <c r="A409" s="9" t="s">
        <v>809</v>
      </c>
      <c r="B409" s="9"/>
      <c r="C409" s="9" t="s">
        <v>22</v>
      </c>
      <c r="D409" s="9"/>
      <c r="E409" s="23">
        <v>46722</v>
      </c>
      <c r="G409" s="42">
        <v>0</v>
      </c>
      <c r="I409" s="42">
        <v>0</v>
      </c>
      <c r="K409" s="42">
        <v>0</v>
      </c>
      <c r="M409" s="42">
        <v>0</v>
      </c>
      <c r="O409" s="42">
        <v>0</v>
      </c>
      <c r="Q409" s="42">
        <v>0</v>
      </c>
      <c r="S409" s="42">
        <v>0</v>
      </c>
      <c r="U409" s="42">
        <v>0</v>
      </c>
      <c r="W409" s="42">
        <v>0</v>
      </c>
      <c r="Y409" s="42">
        <v>0</v>
      </c>
      <c r="AA409" s="42">
        <v>0</v>
      </c>
      <c r="AC409" s="42">
        <v>0</v>
      </c>
      <c r="AE409" s="42">
        <v>0</v>
      </c>
      <c r="AG409" s="42">
        <v>0</v>
      </c>
      <c r="AI409" s="42">
        <v>0</v>
      </c>
      <c r="AK409" s="42">
        <v>0</v>
      </c>
      <c r="AL409" s="9" t="s">
        <v>809</v>
      </c>
      <c r="AM409" s="9"/>
      <c r="AN409" s="9" t="s">
        <v>22</v>
      </c>
      <c r="AP409" s="42">
        <v>0</v>
      </c>
      <c r="AR409" s="42">
        <v>0</v>
      </c>
      <c r="AV409" s="42">
        <v>0</v>
      </c>
      <c r="AX409" s="42">
        <v>0</v>
      </c>
      <c r="AZ409" s="42">
        <v>0</v>
      </c>
      <c r="BB409" s="42">
        <f t="shared" ref="BB409:BB458" si="77">SUM(G409:AZ409)</f>
        <v>0</v>
      </c>
      <c r="BD409" s="42">
        <v>0</v>
      </c>
      <c r="BF409" s="42">
        <v>0</v>
      </c>
      <c r="BH409" s="42">
        <v>0</v>
      </c>
      <c r="BJ409" s="42">
        <v>0</v>
      </c>
      <c r="BL409" s="42">
        <f t="shared" ref="BL409:BL440" si="78">+BB409+BD409+BF409+BJ409</f>
        <v>0</v>
      </c>
      <c r="BN409" s="42">
        <f>+'Gen Fd Rev'!AM409-'Gen Fd Exp'!BL409</f>
        <v>0</v>
      </c>
      <c r="BP409" s="42">
        <v>0</v>
      </c>
      <c r="BR409" s="42">
        <v>0</v>
      </c>
      <c r="BT409" s="42">
        <v>0</v>
      </c>
      <c r="BV409" s="42">
        <f t="shared" si="76"/>
        <v>0</v>
      </c>
      <c r="BX409" s="5">
        <f>+BV409-'Gen Fd BS'!AI409+BT409</f>
        <v>0</v>
      </c>
    </row>
    <row r="410" spans="1:76" hidden="1">
      <c r="A410" s="9" t="s">
        <v>810</v>
      </c>
      <c r="B410" s="9"/>
      <c r="C410" s="9" t="s">
        <v>448</v>
      </c>
      <c r="D410" s="9"/>
      <c r="E410" s="23">
        <v>49056</v>
      </c>
      <c r="G410" s="42">
        <v>0</v>
      </c>
      <c r="I410" s="42">
        <v>0</v>
      </c>
      <c r="K410" s="42">
        <v>0</v>
      </c>
      <c r="M410" s="42">
        <v>0</v>
      </c>
      <c r="O410" s="42">
        <v>0</v>
      </c>
      <c r="Q410" s="42">
        <v>0</v>
      </c>
      <c r="S410" s="42">
        <v>0</v>
      </c>
      <c r="U410" s="42">
        <v>0</v>
      </c>
      <c r="W410" s="42">
        <v>0</v>
      </c>
      <c r="Y410" s="42">
        <v>0</v>
      </c>
      <c r="AA410" s="42">
        <v>0</v>
      </c>
      <c r="AC410" s="42">
        <v>0</v>
      </c>
      <c r="AE410" s="42">
        <v>0</v>
      </c>
      <c r="AG410" s="42">
        <v>0</v>
      </c>
      <c r="AI410" s="42">
        <v>0</v>
      </c>
      <c r="AK410" s="42">
        <v>0</v>
      </c>
      <c r="AL410" s="9" t="s">
        <v>810</v>
      </c>
      <c r="AM410" s="9"/>
      <c r="AN410" s="9" t="s">
        <v>448</v>
      </c>
      <c r="AP410" s="42">
        <v>0</v>
      </c>
      <c r="AR410" s="42">
        <v>0</v>
      </c>
      <c r="AV410" s="42">
        <v>0</v>
      </c>
      <c r="AX410" s="42">
        <v>0</v>
      </c>
      <c r="AZ410" s="42">
        <v>0</v>
      </c>
      <c r="BB410" s="42">
        <f t="shared" si="77"/>
        <v>0</v>
      </c>
      <c r="BD410" s="42">
        <v>0</v>
      </c>
      <c r="BF410" s="42">
        <v>0</v>
      </c>
      <c r="BH410" s="42">
        <v>0</v>
      </c>
      <c r="BJ410" s="42">
        <v>0</v>
      </c>
      <c r="BL410" s="42">
        <f t="shared" ref="BL410" si="79">+BB410+BD410+BF410+BJ410</f>
        <v>0</v>
      </c>
      <c r="BN410" s="42">
        <f>+'Gen Fd Rev'!AM410-'Gen Fd Exp'!BL410</f>
        <v>0</v>
      </c>
      <c r="BP410" s="42">
        <v>0</v>
      </c>
      <c r="BR410" s="42">
        <v>0</v>
      </c>
      <c r="BT410" s="42">
        <v>0</v>
      </c>
      <c r="BV410" s="42">
        <f t="shared" si="76"/>
        <v>0</v>
      </c>
      <c r="BX410" s="5">
        <f>+BV410-'Gen Fd BS'!AI410+BT410</f>
        <v>0</v>
      </c>
    </row>
    <row r="411" spans="1:76">
      <c r="A411" s="9" t="s">
        <v>431</v>
      </c>
      <c r="B411" s="9"/>
      <c r="C411" s="9" t="s">
        <v>50</v>
      </c>
      <c r="D411" s="9"/>
      <c r="E411" s="23">
        <v>48728</v>
      </c>
      <c r="F411" s="7"/>
      <c r="G411" s="42">
        <v>24216794</v>
      </c>
      <c r="I411" s="42">
        <v>8452894</v>
      </c>
      <c r="K411" s="42">
        <v>203170</v>
      </c>
      <c r="M411" s="42">
        <v>0</v>
      </c>
      <c r="O411" s="42">
        <v>8537</v>
      </c>
      <c r="Q411" s="42">
        <v>3968640</v>
      </c>
      <c r="S411" s="42">
        <v>486213</v>
      </c>
      <c r="U411" s="42">
        <v>0</v>
      </c>
      <c r="W411" s="42">
        <f>72632+3314308</f>
        <v>3386940</v>
      </c>
      <c r="Y411" s="42">
        <v>1128147</v>
      </c>
      <c r="AA411" s="42">
        <v>500855</v>
      </c>
      <c r="AC411" s="42">
        <v>3416952</v>
      </c>
      <c r="AE411" s="42">
        <v>2973393</v>
      </c>
      <c r="AG411" s="42">
        <v>352314</v>
      </c>
      <c r="AI411" s="42">
        <v>0</v>
      </c>
      <c r="AK411" s="42">
        <v>255046</v>
      </c>
      <c r="AL411" s="9" t="s">
        <v>431</v>
      </c>
      <c r="AM411" s="9"/>
      <c r="AN411" s="9" t="s">
        <v>50</v>
      </c>
      <c r="AP411" s="42">
        <v>815274</v>
      </c>
      <c r="AR411" s="42">
        <v>365827</v>
      </c>
      <c r="AV411" s="42">
        <v>135222</v>
      </c>
      <c r="AX411" s="42">
        <v>141</v>
      </c>
      <c r="AZ411" s="42">
        <v>0</v>
      </c>
      <c r="BB411" s="42">
        <f t="shared" si="77"/>
        <v>50666359</v>
      </c>
      <c r="BD411" s="42">
        <v>8300</v>
      </c>
      <c r="BF411" s="42">
        <v>0</v>
      </c>
      <c r="BH411" s="42">
        <v>0</v>
      </c>
      <c r="BJ411" s="42">
        <v>0</v>
      </c>
      <c r="BL411" s="42">
        <f t="shared" si="78"/>
        <v>50674659</v>
      </c>
      <c r="BN411" s="42">
        <f>+'Gen Fd Rev'!AM411-'Gen Fd Exp'!BL411</f>
        <v>-2063328</v>
      </c>
      <c r="BP411" s="42">
        <v>6558992</v>
      </c>
      <c r="BR411" s="42">
        <v>0</v>
      </c>
      <c r="BT411" s="42">
        <v>0</v>
      </c>
      <c r="BV411" s="42">
        <f t="shared" si="76"/>
        <v>4495664</v>
      </c>
      <c r="BX411" s="5">
        <f>+BV411-'Gen Fd BS'!AI411+BT411</f>
        <v>0</v>
      </c>
    </row>
    <row r="412" spans="1:76">
      <c r="A412" s="9" t="s">
        <v>439</v>
      </c>
      <c r="B412" s="9"/>
      <c r="C412" s="9" t="s">
        <v>78</v>
      </c>
      <c r="D412" s="9"/>
      <c r="E412" s="23">
        <v>48819</v>
      </c>
      <c r="G412" s="42">
        <v>4633300</v>
      </c>
      <c r="I412" s="42">
        <v>681064</v>
      </c>
      <c r="K412" s="42">
        <v>178053</v>
      </c>
      <c r="M412" s="42">
        <v>0</v>
      </c>
      <c r="O412" s="42">
        <v>1084213</v>
      </c>
      <c r="Q412" s="42">
        <v>238104</v>
      </c>
      <c r="S412" s="42">
        <v>668744</v>
      </c>
      <c r="U412" s="42">
        <v>18120</v>
      </c>
      <c r="W412" s="42">
        <v>1004118</v>
      </c>
      <c r="Y412" s="42">
        <v>407893</v>
      </c>
      <c r="AA412" s="42">
        <v>0</v>
      </c>
      <c r="AC412" s="42">
        <v>979190</v>
      </c>
      <c r="AE412" s="42">
        <v>745452</v>
      </c>
      <c r="AG412" s="42">
        <v>440</v>
      </c>
      <c r="AI412" s="42">
        <v>0</v>
      </c>
      <c r="AK412" s="42">
        <v>0</v>
      </c>
      <c r="AL412" s="9" t="s">
        <v>439</v>
      </c>
      <c r="AM412" s="9"/>
      <c r="AN412" s="9" t="s">
        <v>78</v>
      </c>
      <c r="AP412" s="42">
        <v>239527</v>
      </c>
      <c r="AR412" s="42">
        <v>0</v>
      </c>
      <c r="AV412" s="42">
        <v>0</v>
      </c>
      <c r="AX412" s="42">
        <v>0</v>
      </c>
      <c r="AZ412" s="42">
        <v>0</v>
      </c>
      <c r="BB412" s="42">
        <f t="shared" si="77"/>
        <v>10878218</v>
      </c>
      <c r="BD412" s="42">
        <v>0</v>
      </c>
      <c r="BF412" s="42">
        <v>0</v>
      </c>
      <c r="BH412" s="42">
        <v>0</v>
      </c>
      <c r="BJ412" s="42">
        <v>0</v>
      </c>
      <c r="BL412" s="42">
        <f t="shared" si="78"/>
        <v>10878218</v>
      </c>
      <c r="BN412" s="42">
        <f>+'Gen Fd Rev'!AM412-'Gen Fd Exp'!BL412</f>
        <v>-92223</v>
      </c>
      <c r="BP412" s="42">
        <v>100202</v>
      </c>
      <c r="BR412" s="42">
        <v>0</v>
      </c>
      <c r="BT412" s="42">
        <v>0</v>
      </c>
      <c r="BV412" s="42">
        <f t="shared" si="76"/>
        <v>7979</v>
      </c>
      <c r="BX412" s="5">
        <f>+BV412-'Gen Fd BS'!AI412+BT412</f>
        <v>0</v>
      </c>
    </row>
    <row r="413" spans="1:76">
      <c r="A413" s="9" t="s">
        <v>376</v>
      </c>
      <c r="B413" s="9"/>
      <c r="C413" s="9" t="s">
        <v>42</v>
      </c>
      <c r="D413" s="9"/>
      <c r="E413" s="23">
        <v>48033</v>
      </c>
      <c r="G413" s="42">
        <v>4983662</v>
      </c>
      <c r="I413" s="42">
        <v>735549</v>
      </c>
      <c r="K413" s="42">
        <v>16217</v>
      </c>
      <c r="M413" s="42">
        <v>0</v>
      </c>
      <c r="O413" s="42">
        <v>19095</v>
      </c>
      <c r="Q413" s="42">
        <v>384057</v>
      </c>
      <c r="S413" s="42">
        <v>445842</v>
      </c>
      <c r="U413" s="42">
        <v>90011</v>
      </c>
      <c r="W413" s="42">
        <v>941587</v>
      </c>
      <c r="Y413" s="42">
        <v>393141</v>
      </c>
      <c r="AA413" s="42">
        <v>0</v>
      </c>
      <c r="AC413" s="42">
        <v>938098</v>
      </c>
      <c r="AE413" s="42">
        <v>1343197</v>
      </c>
      <c r="AG413" s="42">
        <v>128129</v>
      </c>
      <c r="AI413" s="42">
        <v>0</v>
      </c>
      <c r="AK413" s="42">
        <v>385</v>
      </c>
      <c r="AL413" s="9" t="s">
        <v>376</v>
      </c>
      <c r="AM413" s="9"/>
      <c r="AN413" s="9" t="s">
        <v>42</v>
      </c>
      <c r="AP413" s="42">
        <v>9693</v>
      </c>
      <c r="AR413" s="42">
        <v>0</v>
      </c>
      <c r="AV413" s="42">
        <v>31916</v>
      </c>
      <c r="AX413" s="42">
        <v>5835</v>
      </c>
      <c r="AZ413" s="42">
        <v>0</v>
      </c>
      <c r="BB413" s="42">
        <f t="shared" si="77"/>
        <v>10466414</v>
      </c>
      <c r="BD413" s="42">
        <v>0</v>
      </c>
      <c r="BF413" s="42">
        <v>0</v>
      </c>
      <c r="BH413" s="42">
        <v>0</v>
      </c>
      <c r="BJ413" s="42">
        <v>0</v>
      </c>
      <c r="BL413" s="42">
        <f t="shared" si="78"/>
        <v>10466414</v>
      </c>
      <c r="BN413" s="42">
        <f>+'Gen Fd Rev'!AM413-'Gen Fd Exp'!BL413</f>
        <v>2121280</v>
      </c>
      <c r="BP413" s="42">
        <v>5796976</v>
      </c>
      <c r="BR413" s="42">
        <v>0</v>
      </c>
      <c r="BT413" s="42">
        <v>0</v>
      </c>
      <c r="BV413" s="42">
        <f t="shared" si="76"/>
        <v>7918256</v>
      </c>
      <c r="BX413" s="5">
        <f>+BV413-'Gen Fd BS'!AI413+BT413</f>
        <v>0</v>
      </c>
    </row>
    <row r="414" spans="1:76">
      <c r="A414" s="9" t="s">
        <v>376</v>
      </c>
      <c r="B414" s="9"/>
      <c r="C414" s="9" t="s">
        <v>50</v>
      </c>
      <c r="D414" s="9"/>
      <c r="E414" s="23">
        <v>48736</v>
      </c>
      <c r="G414" s="42">
        <v>8326488</v>
      </c>
      <c r="I414" s="42">
        <v>2158606</v>
      </c>
      <c r="K414" s="42">
        <v>549</v>
      </c>
      <c r="M414" s="42">
        <v>0</v>
      </c>
      <c r="O414" s="42">
        <v>18719</v>
      </c>
      <c r="Q414" s="42">
        <v>1332450</v>
      </c>
      <c r="S414" s="42">
        <v>372830</v>
      </c>
      <c r="U414" s="42">
        <v>34316</v>
      </c>
      <c r="W414" s="42">
        <v>2156510</v>
      </c>
      <c r="Y414" s="42">
        <v>423631</v>
      </c>
      <c r="AA414" s="42">
        <v>204484</v>
      </c>
      <c r="AC414" s="42">
        <v>1766315</v>
      </c>
      <c r="AE414" s="42">
        <v>1055031</v>
      </c>
      <c r="AG414" s="42">
        <v>48256</v>
      </c>
      <c r="AI414" s="42">
        <v>0</v>
      </c>
      <c r="AK414" s="42">
        <v>1148</v>
      </c>
      <c r="AL414" s="9" t="s">
        <v>376</v>
      </c>
      <c r="AM414" s="9"/>
      <c r="AN414" s="9" t="s">
        <v>50</v>
      </c>
      <c r="AP414" s="42">
        <v>386898</v>
      </c>
      <c r="AR414" s="42">
        <v>208337</v>
      </c>
      <c r="AV414" s="42">
        <v>0</v>
      </c>
      <c r="AX414" s="42">
        <v>30600</v>
      </c>
      <c r="AZ414" s="42">
        <v>0</v>
      </c>
      <c r="BB414" s="42">
        <f t="shared" si="77"/>
        <v>18525168</v>
      </c>
      <c r="BD414" s="42">
        <v>0</v>
      </c>
      <c r="BF414" s="42">
        <v>0</v>
      </c>
      <c r="BH414" s="42">
        <v>0</v>
      </c>
      <c r="BJ414" s="42">
        <v>0</v>
      </c>
      <c r="BL414" s="42">
        <f t="shared" si="78"/>
        <v>18525168</v>
      </c>
      <c r="BN414" s="42">
        <f>+'Gen Fd Rev'!AM414-'Gen Fd Exp'!BL414</f>
        <v>860258</v>
      </c>
      <c r="BP414" s="42">
        <v>6959543</v>
      </c>
      <c r="BR414" s="42">
        <v>0</v>
      </c>
      <c r="BT414" s="42">
        <v>0</v>
      </c>
      <c r="BV414" s="42">
        <f t="shared" si="76"/>
        <v>7819801</v>
      </c>
      <c r="BX414" s="5">
        <f>+BV414-'Gen Fd BS'!AI414+BT414</f>
        <v>0</v>
      </c>
    </row>
    <row r="415" spans="1:76">
      <c r="A415" s="9" t="s">
        <v>325</v>
      </c>
      <c r="B415" s="9"/>
      <c r="C415" s="9" t="s">
        <v>32</v>
      </c>
      <c r="D415" s="9"/>
      <c r="E415" s="23">
        <v>47365</v>
      </c>
      <c r="G415" s="42">
        <v>36719585</v>
      </c>
      <c r="I415" s="42">
        <v>8840773</v>
      </c>
      <c r="K415" s="42">
        <v>30932</v>
      </c>
      <c r="M415" s="42">
        <v>0</v>
      </c>
      <c r="O415" s="42">
        <v>471324</v>
      </c>
      <c r="Q415" s="42">
        <v>5004041</v>
      </c>
      <c r="S415" s="42">
        <v>5117634</v>
      </c>
      <c r="U415" s="42">
        <v>106610</v>
      </c>
      <c r="W415" s="42">
        <v>4955988</v>
      </c>
      <c r="Y415" s="42">
        <v>1991290</v>
      </c>
      <c r="AA415" s="42">
        <v>430116</v>
      </c>
      <c r="AC415" s="42">
        <v>6395143</v>
      </c>
      <c r="AE415" s="42">
        <v>4741665</v>
      </c>
      <c r="AG415" s="42">
        <v>1602071</v>
      </c>
      <c r="AI415" s="42">
        <v>0</v>
      </c>
      <c r="AK415" s="42">
        <v>142752</v>
      </c>
      <c r="AL415" s="9" t="s">
        <v>325</v>
      </c>
      <c r="AM415" s="9"/>
      <c r="AN415" s="9" t="s">
        <v>32</v>
      </c>
      <c r="AP415" s="42">
        <v>1306049</v>
      </c>
      <c r="AR415" s="42">
        <v>0</v>
      </c>
      <c r="AV415" s="42">
        <v>0</v>
      </c>
      <c r="AX415" s="42">
        <v>0</v>
      </c>
      <c r="AZ415" s="42">
        <v>0</v>
      </c>
      <c r="BB415" s="42">
        <f t="shared" si="77"/>
        <v>77855973</v>
      </c>
      <c r="BD415" s="42">
        <v>60000</v>
      </c>
      <c r="BF415" s="42">
        <v>0</v>
      </c>
      <c r="BH415" s="42">
        <v>0</v>
      </c>
      <c r="BJ415" s="42">
        <v>0</v>
      </c>
      <c r="BL415" s="42">
        <f t="shared" si="78"/>
        <v>77915973</v>
      </c>
      <c r="BN415" s="42">
        <f>+'Gen Fd Rev'!AM415-'Gen Fd Exp'!BL415</f>
        <v>5000029</v>
      </c>
      <c r="BP415" s="42">
        <v>26825803</v>
      </c>
      <c r="BR415" s="42">
        <v>0</v>
      </c>
      <c r="BT415" s="42">
        <v>0</v>
      </c>
      <c r="BV415" s="42">
        <f t="shared" si="76"/>
        <v>31825832</v>
      </c>
      <c r="BX415" s="5">
        <f>+BV415-'Gen Fd BS'!AI415+BT415</f>
        <v>0</v>
      </c>
    </row>
    <row r="416" spans="1:76">
      <c r="A416" s="9" t="s">
        <v>592</v>
      </c>
      <c r="B416" s="9"/>
      <c r="C416" s="9" t="s">
        <v>59</v>
      </c>
      <c r="D416" s="9"/>
      <c r="E416" s="23">
        <v>49635</v>
      </c>
      <c r="G416" s="42">
        <v>6527613</v>
      </c>
      <c r="I416" s="42">
        <v>1542173</v>
      </c>
      <c r="K416" s="42">
        <v>97324</v>
      </c>
      <c r="M416" s="42">
        <v>0</v>
      </c>
      <c r="O416" s="42">
        <v>1568551</v>
      </c>
      <c r="Q416" s="42">
        <v>725461</v>
      </c>
      <c r="S416" s="42">
        <v>610797</v>
      </c>
      <c r="U416" s="42">
        <v>39546</v>
      </c>
      <c r="W416" s="42">
        <v>1255839</v>
      </c>
      <c r="Y416" s="42">
        <v>269203</v>
      </c>
      <c r="AA416" s="42">
        <v>0</v>
      </c>
      <c r="AC416" s="42">
        <v>1425498</v>
      </c>
      <c r="AE416" s="42">
        <v>1618113</v>
      </c>
      <c r="AG416" s="42">
        <v>2000</v>
      </c>
      <c r="AI416" s="42">
        <v>0</v>
      </c>
      <c r="AK416" s="42">
        <v>3070</v>
      </c>
      <c r="AL416" s="9" t="s">
        <v>592</v>
      </c>
      <c r="AM416" s="9"/>
      <c r="AN416" s="9" t="s">
        <v>59</v>
      </c>
      <c r="AP416" s="42">
        <v>199548</v>
      </c>
      <c r="AR416" s="42">
        <v>29757</v>
      </c>
      <c r="AV416" s="42">
        <v>217000</v>
      </c>
      <c r="AX416" s="42">
        <v>75588</v>
      </c>
      <c r="AZ416" s="42">
        <v>0</v>
      </c>
      <c r="BB416" s="42">
        <f t="shared" si="77"/>
        <v>16207081</v>
      </c>
      <c r="BD416" s="42">
        <v>0</v>
      </c>
      <c r="BF416" s="42">
        <v>0</v>
      </c>
      <c r="BH416" s="42">
        <v>0</v>
      </c>
      <c r="BJ416" s="42">
        <v>0</v>
      </c>
      <c r="BL416" s="42">
        <f t="shared" si="78"/>
        <v>16207081</v>
      </c>
      <c r="BN416" s="42">
        <f>+'Gen Fd Rev'!AM416-'Gen Fd Exp'!BL416</f>
        <v>-579316</v>
      </c>
      <c r="BP416" s="42">
        <v>-641488</v>
      </c>
      <c r="BR416" s="42">
        <v>0</v>
      </c>
      <c r="BT416" s="42">
        <v>0</v>
      </c>
      <c r="BV416" s="42">
        <f t="shared" si="76"/>
        <v>-1220804</v>
      </c>
      <c r="BX416" s="5">
        <f>+BV416-'Gen Fd BS'!AI416+BT416</f>
        <v>0</v>
      </c>
    </row>
    <row r="417" spans="1:76">
      <c r="A417" s="9" t="s">
        <v>325</v>
      </c>
      <c r="B417" s="9"/>
      <c r="C417" s="9" t="s">
        <v>62</v>
      </c>
      <c r="D417" s="9"/>
      <c r="E417" s="23">
        <v>49908</v>
      </c>
      <c r="G417" s="42">
        <v>8643469</v>
      </c>
      <c r="I417" s="42">
        <v>1948069</v>
      </c>
      <c r="K417" s="42">
        <v>151792</v>
      </c>
      <c r="M417" s="42">
        <v>0</v>
      </c>
      <c r="O417" s="42">
        <v>98136</v>
      </c>
      <c r="Q417" s="42">
        <v>548613</v>
      </c>
      <c r="S417" s="42">
        <v>114159</v>
      </c>
      <c r="U417" s="42">
        <v>39722</v>
      </c>
      <c r="W417" s="42">
        <v>1901649</v>
      </c>
      <c r="Y417" s="42">
        <v>412118</v>
      </c>
      <c r="AA417" s="42">
        <v>0</v>
      </c>
      <c r="AC417" s="42">
        <v>1775050</v>
      </c>
      <c r="AE417" s="42">
        <v>1186402</v>
      </c>
      <c r="AG417" s="42">
        <v>232224</v>
      </c>
      <c r="AI417" s="42">
        <v>0</v>
      </c>
      <c r="AK417" s="42">
        <v>2413</v>
      </c>
      <c r="AL417" s="9" t="s">
        <v>325</v>
      </c>
      <c r="AM417" s="9"/>
      <c r="AN417" s="9" t="s">
        <v>62</v>
      </c>
      <c r="AP417" s="42">
        <v>238549</v>
      </c>
      <c r="AR417" s="42">
        <v>0</v>
      </c>
      <c r="AV417" s="42">
        <v>0</v>
      </c>
      <c r="AX417" s="42">
        <v>113640</v>
      </c>
      <c r="AZ417" s="42">
        <v>0</v>
      </c>
      <c r="BB417" s="42">
        <f t="shared" si="77"/>
        <v>17406005</v>
      </c>
      <c r="BD417" s="42">
        <v>0</v>
      </c>
      <c r="BF417" s="42">
        <v>0</v>
      </c>
      <c r="BH417" s="42">
        <v>0</v>
      </c>
      <c r="BJ417" s="42">
        <v>0</v>
      </c>
      <c r="BL417" s="42">
        <f t="shared" si="78"/>
        <v>17406005</v>
      </c>
      <c r="BN417" s="42">
        <f>+'Gen Fd Rev'!AM417-'Gen Fd Exp'!BL417</f>
        <v>669304</v>
      </c>
      <c r="BP417" s="42">
        <v>987599</v>
      </c>
      <c r="BR417" s="42">
        <v>23718</v>
      </c>
      <c r="BT417" s="42">
        <v>0</v>
      </c>
      <c r="BV417" s="42">
        <f t="shared" si="76"/>
        <v>1633185</v>
      </c>
      <c r="BX417" s="5">
        <f>+BV417-'Gen Fd BS'!AI417+BT417</f>
        <v>0</v>
      </c>
    </row>
    <row r="418" spans="1:76">
      <c r="A418" s="9" t="s">
        <v>232</v>
      </c>
      <c r="B418" s="9"/>
      <c r="C418" s="9" t="s">
        <v>17</v>
      </c>
      <c r="D418" s="9"/>
      <c r="E418" s="23">
        <v>46268</v>
      </c>
      <c r="G418" s="42">
        <v>7921437</v>
      </c>
      <c r="I418" s="42">
        <v>1461704</v>
      </c>
      <c r="K418" s="42">
        <v>0</v>
      </c>
      <c r="M418" s="42">
        <v>0</v>
      </c>
      <c r="O418" s="42">
        <v>3768</v>
      </c>
      <c r="Q418" s="42">
        <v>956799</v>
      </c>
      <c r="S418" s="42">
        <v>257796</v>
      </c>
      <c r="U418" s="42">
        <v>92954</v>
      </c>
      <c r="W418" s="42">
        <v>1055182</v>
      </c>
      <c r="Y418" s="42">
        <v>478208</v>
      </c>
      <c r="AA418" s="42">
        <v>0</v>
      </c>
      <c r="AC418" s="42">
        <v>1111203</v>
      </c>
      <c r="AE418" s="42">
        <v>1083224</v>
      </c>
      <c r="AG418" s="42">
        <v>31343</v>
      </c>
      <c r="AI418" s="42">
        <v>0</v>
      </c>
      <c r="AK418" s="42">
        <v>0</v>
      </c>
      <c r="AL418" s="9" t="s">
        <v>232</v>
      </c>
      <c r="AM418" s="9"/>
      <c r="AN418" s="9" t="s">
        <v>17</v>
      </c>
      <c r="AP418" s="42">
        <v>309865</v>
      </c>
      <c r="AR418" s="42">
        <v>130653</v>
      </c>
      <c r="AV418" s="42">
        <v>0</v>
      </c>
      <c r="AX418" s="42">
        <v>0</v>
      </c>
      <c r="AZ418" s="42">
        <v>0</v>
      </c>
      <c r="BB418" s="42">
        <f t="shared" si="77"/>
        <v>14894136</v>
      </c>
      <c r="BD418" s="42">
        <v>110721</v>
      </c>
      <c r="BF418" s="42">
        <v>0</v>
      </c>
      <c r="BH418" s="42">
        <v>0</v>
      </c>
      <c r="BJ418" s="42">
        <v>0</v>
      </c>
      <c r="BL418" s="42">
        <f t="shared" si="78"/>
        <v>15004857</v>
      </c>
      <c r="BN418" s="42">
        <f>+'Gen Fd Rev'!AM418-'Gen Fd Exp'!BL418</f>
        <v>1336756</v>
      </c>
      <c r="BP418" s="42">
        <v>2960293</v>
      </c>
      <c r="BR418" s="42">
        <v>0</v>
      </c>
      <c r="BT418" s="42">
        <v>0</v>
      </c>
      <c r="BV418" s="42">
        <f t="shared" si="76"/>
        <v>4297049</v>
      </c>
      <c r="BX418" s="5">
        <f>+BV418-'Gen Fd BS'!AI418+BT418</f>
        <v>0</v>
      </c>
    </row>
    <row r="419" spans="1:76" hidden="1">
      <c r="A419" s="9" t="s">
        <v>733</v>
      </c>
      <c r="B419" s="9"/>
      <c r="C419" s="9" t="s">
        <v>71</v>
      </c>
      <c r="D419" s="9"/>
      <c r="E419" s="23">
        <v>50575</v>
      </c>
      <c r="G419" s="42">
        <v>0</v>
      </c>
      <c r="I419" s="42">
        <v>0</v>
      </c>
      <c r="K419" s="42">
        <v>0</v>
      </c>
      <c r="M419" s="42">
        <v>0</v>
      </c>
      <c r="O419" s="42">
        <v>0</v>
      </c>
      <c r="Q419" s="42">
        <v>0</v>
      </c>
      <c r="S419" s="42">
        <v>0</v>
      </c>
      <c r="U419" s="42">
        <v>0</v>
      </c>
      <c r="W419" s="42">
        <v>0</v>
      </c>
      <c r="Y419" s="42">
        <v>0</v>
      </c>
      <c r="AA419" s="42">
        <v>0</v>
      </c>
      <c r="AC419" s="42">
        <v>0</v>
      </c>
      <c r="AE419" s="42">
        <v>0</v>
      </c>
      <c r="AG419" s="42">
        <v>0</v>
      </c>
      <c r="AI419" s="42">
        <v>0</v>
      </c>
      <c r="AK419" s="42">
        <v>0</v>
      </c>
      <c r="AL419" s="9" t="s">
        <v>733</v>
      </c>
      <c r="AM419" s="9"/>
      <c r="AN419" s="9" t="s">
        <v>71</v>
      </c>
      <c r="AP419" s="42">
        <v>0</v>
      </c>
      <c r="AR419" s="42">
        <v>0</v>
      </c>
      <c r="AV419" s="42">
        <v>0</v>
      </c>
      <c r="AX419" s="42">
        <v>0</v>
      </c>
      <c r="AZ419" s="42">
        <v>0</v>
      </c>
      <c r="BD419" s="42">
        <v>0</v>
      </c>
      <c r="BF419" s="42">
        <v>0</v>
      </c>
      <c r="BH419" s="42">
        <v>0</v>
      </c>
      <c r="BJ419" s="42">
        <v>0</v>
      </c>
      <c r="BN419" s="42">
        <f>+'Gen Fd Rev'!AM419-'Gen Fd Exp'!BL419</f>
        <v>0</v>
      </c>
      <c r="BP419" s="42">
        <v>0</v>
      </c>
      <c r="BR419" s="42">
        <v>0</v>
      </c>
      <c r="BT419" s="42">
        <v>0</v>
      </c>
      <c r="BV419" s="42">
        <f t="shared" si="76"/>
        <v>0</v>
      </c>
      <c r="BX419" s="5">
        <f>+BV419-'Gen Fd BS'!AI419+BT419</f>
        <v>0</v>
      </c>
    </row>
    <row r="420" spans="1:76" hidden="1">
      <c r="A420" s="8" t="s">
        <v>868</v>
      </c>
      <c r="B420" s="9"/>
      <c r="C420" s="9" t="s">
        <v>72</v>
      </c>
      <c r="D420" s="9"/>
      <c r="E420" s="23">
        <v>50716</v>
      </c>
      <c r="G420" s="42">
        <v>0</v>
      </c>
      <c r="I420" s="42">
        <v>0</v>
      </c>
      <c r="K420" s="42">
        <v>0</v>
      </c>
      <c r="M420" s="42">
        <v>0</v>
      </c>
      <c r="O420" s="42">
        <v>0</v>
      </c>
      <c r="Q420" s="42">
        <v>0</v>
      </c>
      <c r="S420" s="42">
        <v>0</v>
      </c>
      <c r="U420" s="42">
        <v>0</v>
      </c>
      <c r="W420" s="42">
        <v>0</v>
      </c>
      <c r="Y420" s="42">
        <v>0</v>
      </c>
      <c r="AA420" s="42">
        <v>0</v>
      </c>
      <c r="AC420" s="42">
        <v>0</v>
      </c>
      <c r="AE420" s="42">
        <v>0</v>
      </c>
      <c r="AG420" s="42">
        <v>0</v>
      </c>
      <c r="AI420" s="42">
        <v>0</v>
      </c>
      <c r="AK420" s="42">
        <v>0</v>
      </c>
      <c r="AL420" s="8" t="s">
        <v>868</v>
      </c>
      <c r="AM420" s="9"/>
      <c r="AN420" s="9" t="s">
        <v>72</v>
      </c>
      <c r="AP420" s="42">
        <v>0</v>
      </c>
      <c r="AR420" s="42">
        <v>0</v>
      </c>
      <c r="AV420" s="42">
        <v>0</v>
      </c>
      <c r="AX420" s="42">
        <v>0</v>
      </c>
      <c r="AZ420" s="42">
        <v>0</v>
      </c>
      <c r="BB420" s="42">
        <f t="shared" si="77"/>
        <v>0</v>
      </c>
      <c r="BD420" s="42">
        <v>0</v>
      </c>
      <c r="BF420" s="42">
        <v>0</v>
      </c>
      <c r="BH420" s="42">
        <v>0</v>
      </c>
      <c r="BJ420" s="42">
        <v>0</v>
      </c>
      <c r="BL420" s="42">
        <f t="shared" si="78"/>
        <v>0</v>
      </c>
      <c r="BN420" s="42">
        <f>+'Gen Fd Rev'!AM420-'Gen Fd Exp'!BL420</f>
        <v>0</v>
      </c>
      <c r="BP420" s="42">
        <v>0</v>
      </c>
      <c r="BR420" s="42">
        <v>0</v>
      </c>
      <c r="BT420" s="42">
        <v>0</v>
      </c>
      <c r="BV420" s="42">
        <f t="shared" si="76"/>
        <v>0</v>
      </c>
      <c r="BX420" s="5">
        <f>+BV420-'Gen Fd BS'!AI420+BT420</f>
        <v>0</v>
      </c>
    </row>
    <row r="421" spans="1:76">
      <c r="A421" s="9" t="s">
        <v>508</v>
      </c>
      <c r="B421" s="9"/>
      <c r="C421" s="9" t="s">
        <v>63</v>
      </c>
      <c r="D421" s="9"/>
      <c r="E421" s="23">
        <v>44552</v>
      </c>
      <c r="G421" s="42">
        <v>10262634</v>
      </c>
      <c r="I421" s="42">
        <v>2096590</v>
      </c>
      <c r="K421" s="42">
        <v>586953</v>
      </c>
      <c r="M421" s="42">
        <v>4259</v>
      </c>
      <c r="O421" s="42">
        <v>415283</v>
      </c>
      <c r="Q421" s="42">
        <v>650185</v>
      </c>
      <c r="S421" s="42">
        <v>1001159</v>
      </c>
      <c r="U421" s="42">
        <v>25387</v>
      </c>
      <c r="W421" s="42">
        <v>1523274</v>
      </c>
      <c r="Y421" s="42">
        <v>635634</v>
      </c>
      <c r="AA421" s="42">
        <v>205060</v>
      </c>
      <c r="AC421" s="42">
        <v>1767358</v>
      </c>
      <c r="AE421" s="42">
        <v>1614513</v>
      </c>
      <c r="AG421" s="42">
        <v>71542</v>
      </c>
      <c r="AI421" s="42">
        <v>0</v>
      </c>
      <c r="AK421" s="42">
        <v>0</v>
      </c>
      <c r="AL421" s="9" t="s">
        <v>508</v>
      </c>
      <c r="AM421" s="9"/>
      <c r="AN421" s="9" t="s">
        <v>63</v>
      </c>
      <c r="AP421" s="42">
        <v>357801</v>
      </c>
      <c r="AR421" s="42">
        <v>188684</v>
      </c>
      <c r="AV421" s="42">
        <v>38433</v>
      </c>
      <c r="AX421" s="42">
        <v>4401</v>
      </c>
      <c r="AZ421" s="42">
        <v>0</v>
      </c>
      <c r="BB421" s="42">
        <f t="shared" si="77"/>
        <v>21449150</v>
      </c>
      <c r="BD421" s="42">
        <v>0</v>
      </c>
      <c r="BF421" s="42">
        <v>0</v>
      </c>
      <c r="BH421" s="42">
        <v>0</v>
      </c>
      <c r="BJ421" s="42">
        <v>0</v>
      </c>
      <c r="BL421" s="42">
        <f t="shared" si="78"/>
        <v>21449150</v>
      </c>
      <c r="BN421" s="42">
        <f>+'Gen Fd Rev'!AM421-'Gen Fd Exp'!BL421</f>
        <v>-1242143</v>
      </c>
      <c r="BP421" s="42">
        <v>3224601</v>
      </c>
      <c r="BR421" s="42">
        <v>0</v>
      </c>
      <c r="BT421" s="42">
        <v>0</v>
      </c>
      <c r="BV421" s="42">
        <f t="shared" si="76"/>
        <v>1982458</v>
      </c>
      <c r="BX421" s="5">
        <f>+BV421-'Gen Fd BS'!AI421+BT421</f>
        <v>0</v>
      </c>
    </row>
    <row r="422" spans="1:76">
      <c r="A422" s="9" t="s">
        <v>356</v>
      </c>
      <c r="B422" s="9"/>
      <c r="C422" s="9" t="s">
        <v>37</v>
      </c>
      <c r="D422" s="9"/>
      <c r="E422" s="23">
        <v>44560</v>
      </c>
      <c r="G422" s="42">
        <v>10529149</v>
      </c>
      <c r="I422" s="42">
        <v>2020509</v>
      </c>
      <c r="K422" s="42">
        <v>197268</v>
      </c>
      <c r="M422" s="42">
        <v>18033</v>
      </c>
      <c r="O422" s="42">
        <f>3665+1926155</f>
        <v>1929820</v>
      </c>
      <c r="Q422" s="42">
        <v>1064905</v>
      </c>
      <c r="S422" s="42">
        <v>1854144</v>
      </c>
      <c r="U422" s="42">
        <v>260892</v>
      </c>
      <c r="W422" s="42">
        <v>1880901</v>
      </c>
      <c r="Y422" s="42">
        <v>540506</v>
      </c>
      <c r="AA422" s="42">
        <v>62402</v>
      </c>
      <c r="AC422" s="42">
        <v>2368820</v>
      </c>
      <c r="AE422" s="42">
        <v>748965</v>
      </c>
      <c r="AG422" s="42">
        <v>63488</v>
      </c>
      <c r="AI422" s="42">
        <v>0</v>
      </c>
      <c r="AK422" s="42">
        <v>43783</v>
      </c>
      <c r="AL422" s="9" t="s">
        <v>356</v>
      </c>
      <c r="AM422" s="9"/>
      <c r="AN422" s="9" t="s">
        <v>37</v>
      </c>
      <c r="AP422" s="42">
        <v>464677</v>
      </c>
      <c r="AR422" s="42">
        <v>75810</v>
      </c>
      <c r="AV422" s="42">
        <v>0</v>
      </c>
      <c r="AX422" s="42">
        <v>0</v>
      </c>
      <c r="AZ422" s="42">
        <v>0</v>
      </c>
      <c r="BB422" s="42">
        <f t="shared" si="77"/>
        <v>24124072</v>
      </c>
      <c r="BD422" s="42">
        <v>0</v>
      </c>
      <c r="BF422" s="42">
        <v>0</v>
      </c>
      <c r="BH422" s="42">
        <v>0</v>
      </c>
      <c r="BJ422" s="42">
        <v>0</v>
      </c>
      <c r="BL422" s="42">
        <f t="shared" si="78"/>
        <v>24124072</v>
      </c>
      <c r="BN422" s="42">
        <f>+'Gen Fd Rev'!AM422-'Gen Fd Exp'!BL422</f>
        <v>-2271637</v>
      </c>
      <c r="BP422" s="42">
        <v>7534058</v>
      </c>
      <c r="BR422" s="42">
        <v>0</v>
      </c>
      <c r="BT422" s="42">
        <v>0</v>
      </c>
      <c r="BV422" s="42">
        <f t="shared" si="76"/>
        <v>5262421</v>
      </c>
      <c r="BX422" s="5">
        <f>+BV422-'Gen Fd BS'!AI422+BT422</f>
        <v>0</v>
      </c>
    </row>
    <row r="423" spans="1:76" hidden="1">
      <c r="A423" s="9" t="s">
        <v>811</v>
      </c>
      <c r="B423" s="9"/>
      <c r="C423" s="9" t="s">
        <v>71</v>
      </c>
      <c r="D423" s="9"/>
      <c r="E423" s="23">
        <v>50567</v>
      </c>
      <c r="G423" s="42">
        <v>0</v>
      </c>
      <c r="I423" s="42">
        <v>0</v>
      </c>
      <c r="K423" s="42">
        <v>0</v>
      </c>
      <c r="M423" s="42">
        <v>0</v>
      </c>
      <c r="O423" s="42">
        <v>0</v>
      </c>
      <c r="Q423" s="42">
        <v>0</v>
      </c>
      <c r="S423" s="42">
        <v>0</v>
      </c>
      <c r="U423" s="42">
        <v>0</v>
      </c>
      <c r="W423" s="42">
        <v>0</v>
      </c>
      <c r="Y423" s="42">
        <v>0</v>
      </c>
      <c r="AA423" s="42">
        <v>0</v>
      </c>
      <c r="AC423" s="42">
        <v>0</v>
      </c>
      <c r="AE423" s="42">
        <v>0</v>
      </c>
      <c r="AG423" s="42">
        <v>0</v>
      </c>
      <c r="AI423" s="42">
        <v>0</v>
      </c>
      <c r="AK423" s="42">
        <v>0</v>
      </c>
      <c r="AL423" s="9" t="s">
        <v>811</v>
      </c>
      <c r="AM423" s="9"/>
      <c r="AN423" s="9" t="s">
        <v>71</v>
      </c>
      <c r="AP423" s="42">
        <v>0</v>
      </c>
      <c r="AR423" s="42">
        <v>0</v>
      </c>
      <c r="AV423" s="42">
        <v>0</v>
      </c>
      <c r="AX423" s="42">
        <v>0</v>
      </c>
      <c r="AZ423" s="42">
        <v>0</v>
      </c>
      <c r="BB423" s="42">
        <f t="shared" ref="BB423" si="80">SUM(G423:AZ423)</f>
        <v>0</v>
      </c>
      <c r="BD423" s="42">
        <v>0</v>
      </c>
      <c r="BF423" s="42">
        <v>0</v>
      </c>
      <c r="BH423" s="42">
        <v>0</v>
      </c>
      <c r="BJ423" s="42">
        <v>0</v>
      </c>
      <c r="BL423" s="42">
        <f t="shared" ref="BL423" si="81">+BB423+BD423+BF423+BJ423</f>
        <v>0</v>
      </c>
      <c r="BN423" s="42">
        <f>+'Gen Fd Rev'!AM423-'Gen Fd Exp'!BL423</f>
        <v>0</v>
      </c>
      <c r="BP423" s="42">
        <v>0</v>
      </c>
      <c r="BR423" s="42">
        <v>0</v>
      </c>
      <c r="BT423" s="42">
        <v>0</v>
      </c>
      <c r="BV423" s="42">
        <f t="shared" ref="BV423" si="82">+BP423+BN423-BR423</f>
        <v>0</v>
      </c>
      <c r="BX423" s="5">
        <f>+BV423-'Gen Fd BS'!AI423+BT423</f>
        <v>0</v>
      </c>
    </row>
    <row r="424" spans="1:76">
      <c r="A424" s="9" t="s">
        <v>626</v>
      </c>
      <c r="B424" s="9"/>
      <c r="C424" s="9" t="s">
        <v>32</v>
      </c>
      <c r="D424" s="9"/>
      <c r="E424" s="23">
        <v>44578</v>
      </c>
      <c r="G424" s="42">
        <v>11326727</v>
      </c>
      <c r="I424" s="42">
        <v>3519106</v>
      </c>
      <c r="K424" s="42">
        <v>0</v>
      </c>
      <c r="M424" s="42">
        <v>0</v>
      </c>
      <c r="O424" s="42">
        <v>1046153</v>
      </c>
      <c r="Q424" s="42">
        <v>1404717</v>
      </c>
      <c r="S424" s="42">
        <v>288594</v>
      </c>
      <c r="U424" s="42">
        <v>0</v>
      </c>
      <c r="W424" s="42">
        <f>19687+1597831</f>
        <v>1617518</v>
      </c>
      <c r="Y424" s="42">
        <v>665004</v>
      </c>
      <c r="AA424" s="42">
        <v>3421</v>
      </c>
      <c r="AC424" s="42">
        <v>2065310</v>
      </c>
      <c r="AE424" s="42">
        <v>569375</v>
      </c>
      <c r="AG424" s="42">
        <v>73336</v>
      </c>
      <c r="AI424" s="42">
        <v>0</v>
      </c>
      <c r="AK424" s="42">
        <v>1013179</v>
      </c>
      <c r="AL424" s="9" t="s">
        <v>626</v>
      </c>
      <c r="AM424" s="9"/>
      <c r="AN424" s="9" t="s">
        <v>32</v>
      </c>
      <c r="AP424" s="42">
        <v>392276</v>
      </c>
      <c r="AR424" s="42">
        <v>0</v>
      </c>
      <c r="AV424" s="42">
        <v>242700</v>
      </c>
      <c r="AX424" s="42">
        <v>232305</v>
      </c>
      <c r="AZ424" s="42">
        <v>0</v>
      </c>
      <c r="BB424" s="42">
        <f t="shared" si="77"/>
        <v>24459721</v>
      </c>
      <c r="BD424" s="42">
        <v>5324058</v>
      </c>
      <c r="BF424" s="42">
        <v>0</v>
      </c>
      <c r="BH424" s="42">
        <v>0</v>
      </c>
      <c r="BJ424" s="42">
        <v>0</v>
      </c>
      <c r="BL424" s="42">
        <f t="shared" si="78"/>
        <v>29783779</v>
      </c>
      <c r="BN424" s="42">
        <f>+'Gen Fd Rev'!AM424-'Gen Fd Exp'!BL424</f>
        <v>-2752191</v>
      </c>
      <c r="BP424" s="42">
        <v>7099135</v>
      </c>
      <c r="BR424" s="42">
        <v>0</v>
      </c>
      <c r="BT424" s="42">
        <v>0</v>
      </c>
      <c r="BV424" s="42">
        <f t="shared" si="76"/>
        <v>4346944</v>
      </c>
      <c r="BX424" s="5">
        <f>+BV424-'Gen Fd BS'!AI424+BT424</f>
        <v>0</v>
      </c>
    </row>
    <row r="425" spans="1:76" hidden="1">
      <c r="A425" s="9" t="s">
        <v>732</v>
      </c>
      <c r="B425" s="9"/>
      <c r="C425" s="9" t="s">
        <v>38</v>
      </c>
      <c r="D425" s="9"/>
      <c r="E425" s="23">
        <v>47761</v>
      </c>
      <c r="G425" s="42">
        <v>0</v>
      </c>
      <c r="I425" s="42">
        <v>0</v>
      </c>
      <c r="K425" s="42">
        <v>0</v>
      </c>
      <c r="M425" s="42">
        <v>0</v>
      </c>
      <c r="O425" s="42">
        <v>0</v>
      </c>
      <c r="Q425" s="42">
        <v>0</v>
      </c>
      <c r="S425" s="42">
        <v>0</v>
      </c>
      <c r="U425" s="42">
        <v>0</v>
      </c>
      <c r="W425" s="42">
        <v>0</v>
      </c>
      <c r="Y425" s="42">
        <v>0</v>
      </c>
      <c r="AA425" s="42">
        <v>0</v>
      </c>
      <c r="AC425" s="42">
        <v>0</v>
      </c>
      <c r="AE425" s="42">
        <v>0</v>
      </c>
      <c r="AG425" s="42">
        <v>0</v>
      </c>
      <c r="AI425" s="42">
        <v>0</v>
      </c>
      <c r="AK425" s="42">
        <v>0</v>
      </c>
      <c r="AL425" s="9" t="s">
        <v>732</v>
      </c>
      <c r="AM425" s="9"/>
      <c r="AN425" s="9" t="s">
        <v>38</v>
      </c>
      <c r="AP425" s="42">
        <v>0</v>
      </c>
      <c r="AR425" s="42">
        <v>0</v>
      </c>
      <c r="AV425" s="42">
        <v>0</v>
      </c>
      <c r="AX425" s="42">
        <v>0</v>
      </c>
      <c r="AZ425" s="42">
        <v>0</v>
      </c>
      <c r="BD425" s="42">
        <v>0</v>
      </c>
      <c r="BF425" s="42">
        <v>0</v>
      </c>
      <c r="BH425" s="42">
        <v>0</v>
      </c>
      <c r="BJ425" s="42">
        <v>0</v>
      </c>
      <c r="BN425" s="42">
        <f>+'Gen Fd Rev'!AM425-'Gen Fd Exp'!BL425</f>
        <v>0</v>
      </c>
      <c r="BP425" s="42">
        <v>0</v>
      </c>
      <c r="BR425" s="42">
        <v>0</v>
      </c>
      <c r="BT425" s="42">
        <v>0</v>
      </c>
      <c r="BV425" s="42">
        <f t="shared" si="76"/>
        <v>0</v>
      </c>
      <c r="BX425" s="5">
        <f>+BV425-'Gen Fd BS'!AI425+BT425</f>
        <v>0</v>
      </c>
    </row>
    <row r="426" spans="1:76">
      <c r="A426" s="9" t="s">
        <v>326</v>
      </c>
      <c r="B426" s="9"/>
      <c r="C426" s="9" t="s">
        <v>32</v>
      </c>
      <c r="D426" s="9"/>
      <c r="E426" s="23">
        <v>47373</v>
      </c>
      <c r="G426" s="42">
        <v>30954070</v>
      </c>
      <c r="I426" s="42">
        <v>8131030</v>
      </c>
      <c r="K426" s="42">
        <v>447</v>
      </c>
      <c r="M426" s="42">
        <v>0</v>
      </c>
      <c r="O426" s="42">
        <v>239570</v>
      </c>
      <c r="Q426" s="42">
        <v>4643732</v>
      </c>
      <c r="S426" s="42">
        <v>3542422</v>
      </c>
      <c r="U426" s="42">
        <v>0</v>
      </c>
      <c r="W426" s="42">
        <f>126079+5039354</f>
        <v>5165433</v>
      </c>
      <c r="Y426" s="42">
        <v>1147084</v>
      </c>
      <c r="AA426" s="42">
        <v>116976</v>
      </c>
      <c r="AC426" s="42">
        <v>5396754</v>
      </c>
      <c r="AE426" s="42">
        <v>2466033</v>
      </c>
      <c r="AG426" s="42">
        <v>548724</v>
      </c>
      <c r="AI426" s="42">
        <v>0</v>
      </c>
      <c r="AK426" s="42">
        <v>97238</v>
      </c>
      <c r="AL426" s="9" t="s">
        <v>326</v>
      </c>
      <c r="AM426" s="9"/>
      <c r="AN426" s="9" t="s">
        <v>32</v>
      </c>
      <c r="AP426" s="42">
        <v>983540</v>
      </c>
      <c r="AR426" s="42">
        <v>44598</v>
      </c>
      <c r="AV426" s="42">
        <v>0</v>
      </c>
      <c r="AX426" s="42">
        <v>0</v>
      </c>
      <c r="AZ426" s="42">
        <v>0</v>
      </c>
      <c r="BB426" s="42">
        <f t="shared" si="77"/>
        <v>63477651</v>
      </c>
      <c r="BD426" s="42">
        <v>246270</v>
      </c>
      <c r="BF426" s="42">
        <v>0</v>
      </c>
      <c r="BH426" s="42">
        <v>0</v>
      </c>
      <c r="BJ426" s="42">
        <v>0</v>
      </c>
      <c r="BL426" s="42">
        <f t="shared" si="78"/>
        <v>63723921</v>
      </c>
      <c r="BN426" s="42">
        <f>+'Gen Fd Rev'!AM426-'Gen Fd Exp'!BL426</f>
        <v>-2374622</v>
      </c>
      <c r="BP426" s="42">
        <v>18764866</v>
      </c>
      <c r="BR426" s="42">
        <v>0</v>
      </c>
      <c r="BT426" s="42">
        <v>0</v>
      </c>
      <c r="BV426" s="42">
        <f t="shared" si="76"/>
        <v>16390244</v>
      </c>
      <c r="BX426" s="5">
        <f>+BV426-'Gen Fd BS'!AI426+BT426</f>
        <v>0</v>
      </c>
    </row>
    <row r="427" spans="1:76">
      <c r="A427" s="9" t="s">
        <v>432</v>
      </c>
      <c r="B427" s="9"/>
      <c r="C427" s="9" t="s">
        <v>50</v>
      </c>
      <c r="D427" s="9"/>
      <c r="E427" s="23">
        <v>44586</v>
      </c>
      <c r="G427" s="42">
        <v>12056299</v>
      </c>
      <c r="I427" s="42">
        <v>2584121</v>
      </c>
      <c r="K427" s="42">
        <v>0</v>
      </c>
      <c r="M427" s="42">
        <v>0</v>
      </c>
      <c r="O427" s="42">
        <v>176524</v>
      </c>
      <c r="Q427" s="42">
        <v>1598022</v>
      </c>
      <c r="S427" s="42">
        <v>254516</v>
      </c>
      <c r="U427" s="42">
        <v>31136</v>
      </c>
      <c r="W427" s="42">
        <v>2009677</v>
      </c>
      <c r="Y427" s="42">
        <v>719387</v>
      </c>
      <c r="AA427" s="42">
        <v>10228</v>
      </c>
      <c r="AC427" s="42">
        <v>2087757</v>
      </c>
      <c r="AE427" s="42">
        <v>254416</v>
      </c>
      <c r="AG427" s="42">
        <v>527557</v>
      </c>
      <c r="AI427" s="42">
        <v>0</v>
      </c>
      <c r="AK427" s="42">
        <v>29121</v>
      </c>
      <c r="AL427" s="9" t="s">
        <v>432</v>
      </c>
      <c r="AM427" s="9"/>
      <c r="AN427" s="9" t="s">
        <v>50</v>
      </c>
      <c r="AP427" s="42">
        <v>748440</v>
      </c>
      <c r="AR427" s="42">
        <v>0</v>
      </c>
      <c r="AV427" s="42">
        <v>91216</v>
      </c>
      <c r="AX427" s="42">
        <v>4820</v>
      </c>
      <c r="AZ427" s="42">
        <v>0</v>
      </c>
      <c r="BB427" s="42">
        <f t="shared" si="77"/>
        <v>23183237</v>
      </c>
      <c r="BD427" s="42">
        <v>3200</v>
      </c>
      <c r="BF427" s="42">
        <v>0</v>
      </c>
      <c r="BH427" s="42">
        <v>0</v>
      </c>
      <c r="BJ427" s="42">
        <v>0</v>
      </c>
      <c r="BL427" s="42">
        <f t="shared" si="78"/>
        <v>23186437</v>
      </c>
      <c r="BN427" s="42">
        <f>+'Gen Fd Rev'!AM427-'Gen Fd Exp'!BL427</f>
        <v>-543249</v>
      </c>
      <c r="BP427" s="42">
        <v>-189172</v>
      </c>
      <c r="BR427" s="42">
        <v>0</v>
      </c>
      <c r="BT427" s="42">
        <v>0</v>
      </c>
      <c r="BV427" s="42">
        <f t="shared" si="76"/>
        <v>-732421</v>
      </c>
      <c r="BX427" s="5">
        <f>+BV427-'Gen Fd BS'!AI427+BT427</f>
        <v>0</v>
      </c>
    </row>
    <row r="428" spans="1:76">
      <c r="A428" s="9" t="s">
        <v>386</v>
      </c>
      <c r="B428" s="9"/>
      <c r="C428" s="9" t="s">
        <v>44</v>
      </c>
      <c r="D428" s="9"/>
      <c r="E428" s="23">
        <v>44594</v>
      </c>
      <c r="G428" s="42">
        <v>6233645</v>
      </c>
      <c r="I428" s="42">
        <v>614978</v>
      </c>
      <c r="K428" s="42">
        <v>103984</v>
      </c>
      <c r="M428" s="42">
        <v>0</v>
      </c>
      <c r="O428" s="42">
        <v>21511</v>
      </c>
      <c r="Q428" s="42">
        <v>1044237</v>
      </c>
      <c r="S428" s="42">
        <v>411842</v>
      </c>
      <c r="U428" s="42">
        <v>45579</v>
      </c>
      <c r="W428" s="42">
        <v>1382088</v>
      </c>
      <c r="Y428" s="42">
        <v>516514</v>
      </c>
      <c r="AA428" s="42">
        <v>34370</v>
      </c>
      <c r="AC428" s="42">
        <v>1059452</v>
      </c>
      <c r="AE428" s="42">
        <v>495543</v>
      </c>
      <c r="AG428" s="42">
        <v>28030</v>
      </c>
      <c r="AI428" s="42">
        <v>0</v>
      </c>
      <c r="AK428" s="42">
        <v>0</v>
      </c>
      <c r="AL428" s="9" t="s">
        <v>386</v>
      </c>
      <c r="AM428" s="9"/>
      <c r="AN428" s="9" t="s">
        <v>44</v>
      </c>
      <c r="AP428" s="42">
        <v>328255</v>
      </c>
      <c r="AR428" s="42">
        <v>0</v>
      </c>
      <c r="AV428" s="42">
        <v>96862</v>
      </c>
      <c r="AX428" s="42">
        <v>22993</v>
      </c>
      <c r="AZ428" s="42">
        <v>0</v>
      </c>
      <c r="BB428" s="42">
        <f t="shared" si="77"/>
        <v>12439883</v>
      </c>
      <c r="BD428" s="42">
        <v>40255</v>
      </c>
      <c r="BF428" s="42">
        <v>0</v>
      </c>
      <c r="BH428" s="42">
        <v>0</v>
      </c>
      <c r="BJ428" s="42">
        <v>0</v>
      </c>
      <c r="BL428" s="42">
        <f t="shared" si="78"/>
        <v>12480138</v>
      </c>
      <c r="BN428" s="42">
        <f>+'Gen Fd Rev'!AM428-'Gen Fd Exp'!BL428</f>
        <v>557911</v>
      </c>
      <c r="BP428" s="42">
        <v>1168049</v>
      </c>
      <c r="BR428" s="42">
        <v>0</v>
      </c>
      <c r="BT428" s="42">
        <v>0</v>
      </c>
      <c r="BV428" s="42">
        <f t="shared" si="76"/>
        <v>1725960</v>
      </c>
      <c r="BX428" s="5">
        <f>+BV428-'Gen Fd BS'!AI428+BT428</f>
        <v>0</v>
      </c>
    </row>
    <row r="429" spans="1:76" hidden="1">
      <c r="A429" s="9" t="s">
        <v>609</v>
      </c>
      <c r="B429" s="9"/>
      <c r="C429" s="9" t="s">
        <v>60</v>
      </c>
      <c r="D429" s="9"/>
      <c r="E429" s="23">
        <v>49726</v>
      </c>
      <c r="G429" s="42">
        <v>0</v>
      </c>
      <c r="I429" s="42">
        <v>0</v>
      </c>
      <c r="K429" s="42">
        <v>0</v>
      </c>
      <c r="M429" s="42">
        <v>0</v>
      </c>
      <c r="O429" s="42">
        <v>0</v>
      </c>
      <c r="Q429" s="42">
        <v>0</v>
      </c>
      <c r="S429" s="42">
        <v>0</v>
      </c>
      <c r="U429" s="42">
        <v>0</v>
      </c>
      <c r="W429" s="42">
        <v>0</v>
      </c>
      <c r="Y429" s="42">
        <v>0</v>
      </c>
      <c r="AA429" s="42">
        <v>0</v>
      </c>
      <c r="AC429" s="42">
        <v>0</v>
      </c>
      <c r="AE429" s="42">
        <v>0</v>
      </c>
      <c r="AG429" s="42">
        <v>0</v>
      </c>
      <c r="AI429" s="42">
        <v>0</v>
      </c>
      <c r="AK429" s="42">
        <v>0</v>
      </c>
      <c r="AL429" s="9" t="s">
        <v>609</v>
      </c>
      <c r="AM429" s="9"/>
      <c r="AN429" s="9" t="s">
        <v>60</v>
      </c>
      <c r="AP429" s="42">
        <v>0</v>
      </c>
      <c r="AR429" s="42">
        <v>0</v>
      </c>
      <c r="AV429" s="42">
        <v>0</v>
      </c>
      <c r="AX429" s="42">
        <v>0</v>
      </c>
      <c r="AZ429" s="42">
        <v>0</v>
      </c>
      <c r="BB429" s="42">
        <f t="shared" si="77"/>
        <v>0</v>
      </c>
      <c r="BD429" s="42">
        <v>0</v>
      </c>
      <c r="BF429" s="42">
        <v>0</v>
      </c>
      <c r="BH429" s="42">
        <v>0</v>
      </c>
      <c r="BJ429" s="42">
        <v>0</v>
      </c>
      <c r="BL429" s="42">
        <f t="shared" si="78"/>
        <v>0</v>
      </c>
      <c r="BN429" s="42">
        <f>+'Gen Fd Rev'!AM429-'Gen Fd Exp'!BL429</f>
        <v>0</v>
      </c>
      <c r="BP429" s="42">
        <v>0</v>
      </c>
      <c r="BR429" s="42">
        <v>0</v>
      </c>
      <c r="BT429" s="42">
        <v>0</v>
      </c>
      <c r="BV429" s="42">
        <f t="shared" si="76"/>
        <v>0</v>
      </c>
      <c r="BX429" s="5">
        <f>+BV429-'Gen Fd BS'!AI429+BT429</f>
        <v>0</v>
      </c>
    </row>
    <row r="430" spans="1:76">
      <c r="A430" s="9" t="s">
        <v>282</v>
      </c>
      <c r="B430" s="9"/>
      <c r="C430" s="9" t="s">
        <v>23</v>
      </c>
      <c r="D430" s="9"/>
      <c r="E430" s="23">
        <v>46763</v>
      </c>
      <c r="G430" s="42">
        <v>79499344</v>
      </c>
      <c r="I430" s="42">
        <v>18006857</v>
      </c>
      <c r="K430" s="42">
        <v>1022456</v>
      </c>
      <c r="M430" s="42">
        <v>0</v>
      </c>
      <c r="O430" s="42">
        <v>0</v>
      </c>
      <c r="Q430" s="42">
        <v>5996444</v>
      </c>
      <c r="S430" s="42">
        <v>9934815</v>
      </c>
      <c r="U430" s="42">
        <v>649903</v>
      </c>
      <c r="W430" s="42">
        <v>7980323</v>
      </c>
      <c r="Y430" s="42">
        <v>3220457</v>
      </c>
      <c r="AA430" s="42">
        <v>361680</v>
      </c>
      <c r="AC430" s="42">
        <v>13778551</v>
      </c>
      <c r="AE430" s="42">
        <v>8117220</v>
      </c>
      <c r="AG430" s="42">
        <v>2680125</v>
      </c>
      <c r="AI430" s="42">
        <v>0</v>
      </c>
      <c r="AK430" s="42">
        <v>531536</v>
      </c>
      <c r="AL430" s="9" t="s">
        <v>282</v>
      </c>
      <c r="AM430" s="9"/>
      <c r="AN430" s="9" t="s">
        <v>23</v>
      </c>
      <c r="AP430" s="42">
        <v>3618980</v>
      </c>
      <c r="AR430" s="42">
        <v>212151</v>
      </c>
      <c r="AV430" s="42">
        <v>187636</v>
      </c>
      <c r="AX430" s="42">
        <v>32734</v>
      </c>
      <c r="AZ430" s="42">
        <v>0</v>
      </c>
      <c r="BB430" s="42">
        <f t="shared" si="77"/>
        <v>155831212</v>
      </c>
      <c r="BD430" s="42">
        <v>0</v>
      </c>
      <c r="BF430" s="42">
        <v>0</v>
      </c>
      <c r="BH430" s="42">
        <v>0</v>
      </c>
      <c r="BJ430" s="42">
        <v>0</v>
      </c>
      <c r="BL430" s="42">
        <f t="shared" si="78"/>
        <v>155831212</v>
      </c>
      <c r="BN430" s="42">
        <f>+'Gen Fd Rev'!AM430-'Gen Fd Exp'!BL430</f>
        <v>20911995</v>
      </c>
      <c r="BP430" s="42">
        <v>37567372</v>
      </c>
      <c r="BR430" s="42">
        <v>0</v>
      </c>
      <c r="BT430" s="42">
        <v>0</v>
      </c>
      <c r="BV430" s="42">
        <f t="shared" si="76"/>
        <v>58479367</v>
      </c>
      <c r="BX430" s="5">
        <f>+BV430-'Gen Fd BS'!AI430+BT430</f>
        <v>0</v>
      </c>
    </row>
    <row r="431" spans="1:76">
      <c r="A431" s="9" t="s">
        <v>271</v>
      </c>
      <c r="B431" s="9"/>
      <c r="C431" s="9" t="s">
        <v>20</v>
      </c>
      <c r="D431" s="9"/>
      <c r="E431" s="23">
        <v>46573</v>
      </c>
      <c r="G431" s="42">
        <v>16815780</v>
      </c>
      <c r="I431" s="42">
        <v>5250922</v>
      </c>
      <c r="K431" s="42">
        <v>292933</v>
      </c>
      <c r="M431" s="42">
        <v>0</v>
      </c>
      <c r="O431" s="42">
        <v>43122</v>
      </c>
      <c r="Q431" s="42">
        <v>1865492</v>
      </c>
      <c r="S431" s="42">
        <v>1153161</v>
      </c>
      <c r="U431" s="42">
        <v>199296</v>
      </c>
      <c r="W431" s="42">
        <v>2531655</v>
      </c>
      <c r="Y431" s="42">
        <v>989501</v>
      </c>
      <c r="AA431" s="42">
        <v>0</v>
      </c>
      <c r="AC431" s="42">
        <v>3368468</v>
      </c>
      <c r="AE431" s="42">
        <v>1734941</v>
      </c>
      <c r="AG431" s="42">
        <v>282137</v>
      </c>
      <c r="AI431" s="42">
        <v>0</v>
      </c>
      <c r="AK431" s="42">
        <v>10614</v>
      </c>
      <c r="AL431" s="9" t="s">
        <v>271</v>
      </c>
      <c r="AM431" s="9"/>
      <c r="AN431" s="9" t="s">
        <v>20</v>
      </c>
      <c r="AP431" s="42">
        <v>925641</v>
      </c>
      <c r="AR431" s="42">
        <v>0</v>
      </c>
      <c r="AV431" s="42">
        <v>700000</v>
      </c>
      <c r="AX431" s="42">
        <v>32071</v>
      </c>
      <c r="AZ431" s="42">
        <v>0</v>
      </c>
      <c r="BB431" s="42">
        <f t="shared" si="77"/>
        <v>36195734</v>
      </c>
      <c r="BD431" s="42">
        <v>700000</v>
      </c>
      <c r="BF431" s="42">
        <v>0</v>
      </c>
      <c r="BH431" s="42">
        <v>0</v>
      </c>
      <c r="BJ431" s="42">
        <v>0</v>
      </c>
      <c r="BL431" s="42">
        <f t="shared" si="78"/>
        <v>36895734</v>
      </c>
      <c r="BN431" s="42">
        <f>+'Gen Fd Rev'!AM431-'Gen Fd Exp'!BL431</f>
        <v>1545539</v>
      </c>
      <c r="BP431" s="42">
        <v>5298861</v>
      </c>
      <c r="BR431" s="42">
        <v>0</v>
      </c>
      <c r="BT431" s="42">
        <v>0</v>
      </c>
      <c r="BV431" s="42">
        <f t="shared" si="76"/>
        <v>6844400</v>
      </c>
      <c r="BX431" s="5">
        <f>+BV431-'Gen Fd BS'!AI431+BT431</f>
        <v>0</v>
      </c>
    </row>
    <row r="432" spans="1:76">
      <c r="A432" s="9" t="s">
        <v>467</v>
      </c>
      <c r="B432" s="9"/>
      <c r="C432" s="9" t="s">
        <v>109</v>
      </c>
      <c r="D432" s="9"/>
      <c r="E432" s="23">
        <v>49478</v>
      </c>
      <c r="G432" s="42">
        <v>7019357</v>
      </c>
      <c r="I432" s="42">
        <v>1155664</v>
      </c>
      <c r="K432" s="42">
        <v>238845</v>
      </c>
      <c r="M432" s="42">
        <v>0</v>
      </c>
      <c r="O432" s="42">
        <v>488756</v>
      </c>
      <c r="Q432" s="42">
        <v>942030</v>
      </c>
      <c r="S432" s="42">
        <v>797514</v>
      </c>
      <c r="U432" s="42">
        <v>51149</v>
      </c>
      <c r="W432" s="42">
        <v>1299201</v>
      </c>
      <c r="Y432" s="42">
        <v>504092</v>
      </c>
      <c r="AA432" s="42">
        <v>0</v>
      </c>
      <c r="AC432" s="42">
        <v>1571141</v>
      </c>
      <c r="AE432" s="42">
        <v>793803</v>
      </c>
      <c r="AG432" s="42">
        <v>59046</v>
      </c>
      <c r="AI432" s="42">
        <v>0</v>
      </c>
      <c r="AK432" s="42">
        <v>0</v>
      </c>
      <c r="AL432" s="9" t="s">
        <v>467</v>
      </c>
      <c r="AM432" s="9"/>
      <c r="AN432" s="9" t="s">
        <v>109</v>
      </c>
      <c r="AP432" s="42">
        <v>501443</v>
      </c>
      <c r="AR432" s="42">
        <v>0</v>
      </c>
      <c r="AV432" s="42">
        <v>76023</v>
      </c>
      <c r="AX432" s="42">
        <v>47032</v>
      </c>
      <c r="AZ432" s="42">
        <v>0</v>
      </c>
      <c r="BB432" s="42">
        <f t="shared" si="77"/>
        <v>15545096</v>
      </c>
      <c r="BD432" s="42">
        <v>0</v>
      </c>
      <c r="BF432" s="42">
        <v>0</v>
      </c>
      <c r="BH432" s="42">
        <v>0</v>
      </c>
      <c r="BJ432" s="42">
        <v>0</v>
      </c>
      <c r="BL432" s="42">
        <f t="shared" si="78"/>
        <v>15545096</v>
      </c>
      <c r="BN432" s="42">
        <f>+'Gen Fd Rev'!AM432-'Gen Fd Exp'!BL432</f>
        <v>-188319</v>
      </c>
      <c r="BP432" s="42">
        <v>4685890</v>
      </c>
      <c r="BR432" s="42">
        <v>36122</v>
      </c>
      <c r="BT432" s="42">
        <v>0</v>
      </c>
      <c r="BV432" s="42">
        <f t="shared" si="76"/>
        <v>4461449</v>
      </c>
      <c r="BX432" s="5">
        <f>+BV432-'Gen Fd BS'!AI432+BT432</f>
        <v>0</v>
      </c>
    </row>
    <row r="433" spans="1:76">
      <c r="A433" s="9" t="s">
        <v>272</v>
      </c>
      <c r="B433" s="9"/>
      <c r="C433" s="9" t="s">
        <v>20</v>
      </c>
      <c r="D433" s="9"/>
      <c r="E433" s="23">
        <v>46581</v>
      </c>
      <c r="G433" s="42">
        <v>17870076</v>
      </c>
      <c r="I433" s="42">
        <v>6033258</v>
      </c>
      <c r="K433" s="42">
        <v>337679</v>
      </c>
      <c r="M433" s="42">
        <v>0</v>
      </c>
      <c r="O433" s="42">
        <v>685834</v>
      </c>
      <c r="Q433" s="42">
        <v>3411673</v>
      </c>
      <c r="S433" s="42">
        <v>3761602</v>
      </c>
      <c r="U433" s="42">
        <v>69126</v>
      </c>
      <c r="W433" s="42">
        <v>3319387</v>
      </c>
      <c r="Y433" s="42">
        <v>1284826</v>
      </c>
      <c r="AA433" s="42">
        <v>593970</v>
      </c>
      <c r="AC433" s="42">
        <v>4522117</v>
      </c>
      <c r="AE433" s="42">
        <v>3714548</v>
      </c>
      <c r="AG433" s="42">
        <v>1025998</v>
      </c>
      <c r="AI433" s="42">
        <v>0</v>
      </c>
      <c r="AK433" s="42">
        <v>0</v>
      </c>
      <c r="AL433" s="9" t="s">
        <v>272</v>
      </c>
      <c r="AM433" s="9"/>
      <c r="AN433" s="9" t="s">
        <v>20</v>
      </c>
      <c r="AP433" s="42">
        <v>1336140</v>
      </c>
      <c r="AR433" s="42">
        <v>0</v>
      </c>
      <c r="AV433" s="42">
        <v>43920</v>
      </c>
      <c r="AX433" s="42">
        <v>1955</v>
      </c>
      <c r="AZ433" s="42">
        <v>0</v>
      </c>
      <c r="BB433" s="42">
        <f t="shared" si="77"/>
        <v>48012109</v>
      </c>
      <c r="BD433" s="42">
        <v>2610000</v>
      </c>
      <c r="BF433" s="42">
        <v>0</v>
      </c>
      <c r="BH433" s="42">
        <v>0</v>
      </c>
      <c r="BJ433" s="42">
        <v>0</v>
      </c>
      <c r="BL433" s="42">
        <f t="shared" si="78"/>
        <v>50622109</v>
      </c>
      <c r="BN433" s="42">
        <f>+'Gen Fd Rev'!AM433-'Gen Fd Exp'!BL433</f>
        <v>240185</v>
      </c>
      <c r="BP433" s="42">
        <v>29238440</v>
      </c>
      <c r="BR433" s="42">
        <v>0</v>
      </c>
      <c r="BT433" s="42">
        <v>0</v>
      </c>
      <c r="BV433" s="42">
        <f t="shared" si="76"/>
        <v>29478625</v>
      </c>
      <c r="BX433" s="5">
        <f>+BV433-'Gen Fd BS'!AI433+BT433</f>
        <v>0</v>
      </c>
    </row>
    <row r="434" spans="1:76">
      <c r="A434" s="9" t="s">
        <v>388</v>
      </c>
      <c r="B434" s="9"/>
      <c r="C434" s="9" t="s">
        <v>114</v>
      </c>
      <c r="D434" s="9"/>
      <c r="E434" s="23">
        <v>44602</v>
      </c>
      <c r="G434" s="42">
        <v>15847007</v>
      </c>
      <c r="I434" s="42">
        <v>4500556</v>
      </c>
      <c r="K434" s="42">
        <v>2423836</v>
      </c>
      <c r="M434" s="42">
        <v>60640</v>
      </c>
      <c r="O434" s="42">
        <v>250502</v>
      </c>
      <c r="Q434" s="42">
        <v>1414558</v>
      </c>
      <c r="S434" s="42">
        <v>2247263</v>
      </c>
      <c r="U434" s="42">
        <v>30199</v>
      </c>
      <c r="W434" s="42">
        <v>2477230</v>
      </c>
      <c r="Y434" s="42">
        <v>828930</v>
      </c>
      <c r="AA434" s="42">
        <v>336709</v>
      </c>
      <c r="AC434" s="42">
        <v>3855851</v>
      </c>
      <c r="AE434" s="42">
        <v>1769310</v>
      </c>
      <c r="AG434" s="42">
        <v>694</v>
      </c>
      <c r="AI434" s="42">
        <v>0</v>
      </c>
      <c r="AK434" s="42">
        <v>0</v>
      </c>
      <c r="AL434" s="9" t="s">
        <v>388</v>
      </c>
      <c r="AM434" s="9"/>
      <c r="AN434" s="9" t="s">
        <v>114</v>
      </c>
      <c r="AP434" s="42">
        <v>830009</v>
      </c>
      <c r="AR434" s="42">
        <v>0</v>
      </c>
      <c r="AV434" s="42">
        <v>120000</v>
      </c>
      <c r="AX434" s="42">
        <v>34130</v>
      </c>
      <c r="AZ434" s="42">
        <v>0</v>
      </c>
      <c r="BB434" s="42">
        <f t="shared" si="77"/>
        <v>37027424</v>
      </c>
      <c r="BD434" s="42">
        <v>99205</v>
      </c>
      <c r="BF434" s="42">
        <v>0</v>
      </c>
      <c r="BH434" s="42">
        <v>0</v>
      </c>
      <c r="BJ434" s="42">
        <v>0</v>
      </c>
      <c r="BL434" s="42">
        <f t="shared" si="78"/>
        <v>37126629</v>
      </c>
      <c r="BN434" s="42">
        <f>+'Gen Fd Rev'!AM434-'Gen Fd Exp'!BL434</f>
        <v>-273564</v>
      </c>
      <c r="BP434" s="42">
        <v>7089655</v>
      </c>
      <c r="BR434" s="42">
        <v>0</v>
      </c>
      <c r="BT434" s="42">
        <v>0</v>
      </c>
      <c r="BV434" s="42">
        <f t="shared" si="76"/>
        <v>6816091</v>
      </c>
      <c r="BX434" s="5">
        <f>+BV434-'Gen Fd BS'!AI434+BT434</f>
        <v>0</v>
      </c>
    </row>
    <row r="435" spans="1:76" hidden="1">
      <c r="A435" s="9" t="s">
        <v>812</v>
      </c>
      <c r="B435" s="9"/>
      <c r="C435" s="9" t="s">
        <v>71</v>
      </c>
      <c r="D435" s="9"/>
      <c r="E435" s="23">
        <v>44610</v>
      </c>
      <c r="G435" s="42">
        <v>0</v>
      </c>
      <c r="I435" s="42">
        <v>0</v>
      </c>
      <c r="K435" s="42">
        <v>0</v>
      </c>
      <c r="M435" s="42">
        <v>0</v>
      </c>
      <c r="O435" s="42">
        <v>0</v>
      </c>
      <c r="Q435" s="42">
        <v>0</v>
      </c>
      <c r="S435" s="42">
        <v>0</v>
      </c>
      <c r="U435" s="42">
        <v>0</v>
      </c>
      <c r="W435" s="42">
        <v>0</v>
      </c>
      <c r="Y435" s="42">
        <v>0</v>
      </c>
      <c r="AA435" s="42">
        <v>0</v>
      </c>
      <c r="AC435" s="42">
        <v>0</v>
      </c>
      <c r="AE435" s="42">
        <v>0</v>
      </c>
      <c r="AG435" s="42">
        <v>0</v>
      </c>
      <c r="AI435" s="42">
        <v>0</v>
      </c>
      <c r="AK435" s="42">
        <v>0</v>
      </c>
      <c r="AL435" s="9" t="s">
        <v>812</v>
      </c>
      <c r="AM435" s="9"/>
      <c r="AN435" s="9" t="s">
        <v>71</v>
      </c>
      <c r="AP435" s="42">
        <v>0</v>
      </c>
      <c r="AR435" s="42">
        <v>0</v>
      </c>
      <c r="AV435" s="42">
        <v>0</v>
      </c>
      <c r="AX435" s="42">
        <v>0</v>
      </c>
      <c r="AZ435" s="42">
        <v>0</v>
      </c>
      <c r="BB435" s="42">
        <f t="shared" si="77"/>
        <v>0</v>
      </c>
      <c r="BD435" s="42">
        <v>0</v>
      </c>
      <c r="BF435" s="42">
        <v>0</v>
      </c>
      <c r="BH435" s="42">
        <v>0</v>
      </c>
      <c r="BJ435" s="42">
        <v>0</v>
      </c>
      <c r="BL435" s="42">
        <f t="shared" si="78"/>
        <v>0</v>
      </c>
      <c r="BN435" s="42">
        <f>+'Gen Fd Rev'!AM435-'Gen Fd Exp'!BL435</f>
        <v>0</v>
      </c>
      <c r="BP435" s="42">
        <v>0</v>
      </c>
      <c r="BR435" s="42">
        <v>0</v>
      </c>
      <c r="BT435" s="42">
        <v>0</v>
      </c>
      <c r="BV435" s="42">
        <f t="shared" si="76"/>
        <v>0</v>
      </c>
      <c r="BX435" s="5">
        <f>+BV435-'Gen Fd BS'!AI435+BT435</f>
        <v>0</v>
      </c>
    </row>
    <row r="436" spans="1:76" hidden="1">
      <c r="A436" s="8" t="s">
        <v>869</v>
      </c>
      <c r="B436" s="9"/>
      <c r="C436" s="9" t="s">
        <v>62</v>
      </c>
      <c r="D436" s="9"/>
      <c r="E436" s="23">
        <v>49916</v>
      </c>
      <c r="G436" s="42">
        <v>0</v>
      </c>
      <c r="I436" s="42">
        <v>0</v>
      </c>
      <c r="K436" s="42">
        <v>0</v>
      </c>
      <c r="M436" s="42">
        <v>0</v>
      </c>
      <c r="O436" s="42">
        <v>0</v>
      </c>
      <c r="Q436" s="42">
        <v>0</v>
      </c>
      <c r="S436" s="42">
        <v>0</v>
      </c>
      <c r="U436" s="42">
        <v>0</v>
      </c>
      <c r="W436" s="42">
        <v>0</v>
      </c>
      <c r="Y436" s="42">
        <v>0</v>
      </c>
      <c r="AA436" s="42">
        <v>0</v>
      </c>
      <c r="AC436" s="42">
        <v>0</v>
      </c>
      <c r="AE436" s="42">
        <v>0</v>
      </c>
      <c r="AG436" s="42">
        <v>0</v>
      </c>
      <c r="AI436" s="42">
        <v>0</v>
      </c>
      <c r="AK436" s="42">
        <v>0</v>
      </c>
      <c r="AL436" s="8" t="s">
        <v>869</v>
      </c>
      <c r="AM436" s="9"/>
      <c r="AN436" s="9" t="s">
        <v>62</v>
      </c>
      <c r="AP436" s="42">
        <v>0</v>
      </c>
      <c r="AR436" s="42">
        <v>0</v>
      </c>
      <c r="AV436" s="42">
        <v>0</v>
      </c>
      <c r="AX436" s="42">
        <v>0</v>
      </c>
      <c r="AZ436" s="42">
        <v>0</v>
      </c>
      <c r="BB436" s="42">
        <f t="shared" si="77"/>
        <v>0</v>
      </c>
      <c r="BD436" s="42">
        <v>0</v>
      </c>
      <c r="BF436" s="42">
        <v>0</v>
      </c>
      <c r="BH436" s="42">
        <v>0</v>
      </c>
      <c r="BJ436" s="42">
        <v>0</v>
      </c>
      <c r="BL436" s="42">
        <f t="shared" si="78"/>
        <v>0</v>
      </c>
      <c r="BN436" s="42">
        <f>+'Gen Fd Rev'!AM436-'Gen Fd Exp'!BL436</f>
        <v>0</v>
      </c>
      <c r="BP436" s="42">
        <v>0</v>
      </c>
      <c r="BR436" s="42">
        <v>0</v>
      </c>
      <c r="BT436" s="42">
        <v>0</v>
      </c>
      <c r="BV436" s="42">
        <f t="shared" si="76"/>
        <v>0</v>
      </c>
      <c r="BX436" s="5">
        <f>+BV436-'Gen Fd BS'!AI436+BT436</f>
        <v>0</v>
      </c>
    </row>
    <row r="437" spans="1:76">
      <c r="A437" s="9" t="s">
        <v>552</v>
      </c>
      <c r="B437" s="9"/>
      <c r="C437" s="9" t="s">
        <v>72</v>
      </c>
      <c r="D437" s="9"/>
      <c r="E437" s="23">
        <v>50724</v>
      </c>
      <c r="G437" s="42">
        <v>6254884</v>
      </c>
      <c r="I437" s="42">
        <v>1440275</v>
      </c>
      <c r="K437" s="42">
        <v>3332</v>
      </c>
      <c r="M437" s="42">
        <v>0</v>
      </c>
      <c r="O437" s="42">
        <v>0</v>
      </c>
      <c r="Q437" s="42">
        <v>681260</v>
      </c>
      <c r="S437" s="42">
        <v>208928</v>
      </c>
      <c r="U437" s="42">
        <v>41590</v>
      </c>
      <c r="W437" s="42">
        <v>937834</v>
      </c>
      <c r="Y437" s="42">
        <v>365630</v>
      </c>
      <c r="AA437" s="42">
        <v>5375</v>
      </c>
      <c r="AC437" s="42">
        <v>1070793</v>
      </c>
      <c r="AE437" s="42">
        <v>981624</v>
      </c>
      <c r="AG437" s="42">
        <v>4011</v>
      </c>
      <c r="AI437" s="42">
        <v>0</v>
      </c>
      <c r="AK437" s="42">
        <v>557</v>
      </c>
      <c r="AL437" s="9" t="s">
        <v>552</v>
      </c>
      <c r="AM437" s="9"/>
      <c r="AN437" s="9" t="s">
        <v>72</v>
      </c>
      <c r="AP437" s="42">
        <v>245352</v>
      </c>
      <c r="AR437" s="42">
        <v>2377</v>
      </c>
      <c r="AV437" s="42">
        <v>240000</v>
      </c>
      <c r="AX437" s="42">
        <v>68597</v>
      </c>
      <c r="AZ437" s="42">
        <v>0</v>
      </c>
      <c r="BB437" s="42">
        <f t="shared" si="77"/>
        <v>12552419</v>
      </c>
      <c r="BD437" s="42">
        <v>0</v>
      </c>
      <c r="BF437" s="42">
        <v>0</v>
      </c>
      <c r="BH437" s="42">
        <v>0</v>
      </c>
      <c r="BJ437" s="42">
        <v>0</v>
      </c>
      <c r="BL437" s="42">
        <f t="shared" si="78"/>
        <v>12552419</v>
      </c>
      <c r="BN437" s="42">
        <f>+'Gen Fd Rev'!AM437-'Gen Fd Exp'!BL437</f>
        <v>848752</v>
      </c>
      <c r="BP437" s="42">
        <v>2718679</v>
      </c>
      <c r="BR437" s="42">
        <v>0</v>
      </c>
      <c r="BT437" s="42">
        <v>0</v>
      </c>
      <c r="BV437" s="42">
        <f t="shared" si="76"/>
        <v>3567431</v>
      </c>
      <c r="BX437" s="5">
        <f>+BV437-'Gen Fd BS'!AI437+BT437</f>
        <v>0</v>
      </c>
    </row>
    <row r="438" spans="1:76">
      <c r="A438" s="9" t="s">
        <v>389</v>
      </c>
      <c r="B438" s="9"/>
      <c r="C438" s="9" t="s">
        <v>114</v>
      </c>
      <c r="D438" s="9"/>
      <c r="E438" s="23">
        <v>48215</v>
      </c>
      <c r="G438" s="42">
        <v>8356106</v>
      </c>
      <c r="I438" s="42">
        <v>0</v>
      </c>
      <c r="K438" s="42">
        <v>0</v>
      </c>
      <c r="M438" s="42">
        <v>0</v>
      </c>
      <c r="O438" s="42">
        <v>0</v>
      </c>
      <c r="Q438" s="42">
        <v>684730</v>
      </c>
      <c r="S438" s="42">
        <v>410973</v>
      </c>
      <c r="U438" s="42">
        <v>27102</v>
      </c>
      <c r="W438" s="42">
        <v>927445</v>
      </c>
      <c r="Y438" s="42">
        <v>460144</v>
      </c>
      <c r="AA438" s="42">
        <v>0</v>
      </c>
      <c r="AC438" s="42">
        <v>1105229</v>
      </c>
      <c r="AE438" s="42">
        <v>39131</v>
      </c>
      <c r="AG438" s="42">
        <v>122270</v>
      </c>
      <c r="AI438" s="42">
        <v>0</v>
      </c>
      <c r="AK438" s="42">
        <v>10750</v>
      </c>
      <c r="AL438" s="9" t="s">
        <v>389</v>
      </c>
      <c r="AM438" s="9"/>
      <c r="AN438" s="9" t="s">
        <v>114</v>
      </c>
      <c r="AP438" s="42">
        <v>429682</v>
      </c>
      <c r="AR438" s="42">
        <v>0</v>
      </c>
      <c r="AV438" s="42">
        <v>47393</v>
      </c>
      <c r="AX438" s="42">
        <v>0</v>
      </c>
      <c r="AZ438" s="42">
        <v>0</v>
      </c>
      <c r="BB438" s="42">
        <f t="shared" si="77"/>
        <v>12620955</v>
      </c>
      <c r="BD438" s="42">
        <v>38000</v>
      </c>
      <c r="BF438" s="42">
        <v>0</v>
      </c>
      <c r="BH438" s="42">
        <v>0</v>
      </c>
      <c r="BJ438" s="42">
        <v>0</v>
      </c>
      <c r="BL438" s="42">
        <f t="shared" si="78"/>
        <v>12658955</v>
      </c>
      <c r="BN438" s="42">
        <f>+'Gen Fd Rev'!AM438-'Gen Fd Exp'!BL438</f>
        <v>699777</v>
      </c>
      <c r="BP438" s="42">
        <v>3880373</v>
      </c>
      <c r="BR438" s="42">
        <v>0</v>
      </c>
      <c r="BT438" s="42">
        <v>0</v>
      </c>
      <c r="BV438" s="42">
        <f t="shared" si="76"/>
        <v>4580150</v>
      </c>
      <c r="BX438" s="5">
        <f>+BV438-'Gen Fd BS'!AI438+BT438</f>
        <v>0</v>
      </c>
    </row>
    <row r="439" spans="1:76" hidden="1">
      <c r="A439" s="9" t="s">
        <v>704</v>
      </c>
      <c r="B439" s="9"/>
      <c r="C439" s="9" t="s">
        <v>464</v>
      </c>
      <c r="D439" s="9"/>
      <c r="E439" s="23">
        <v>49379</v>
      </c>
      <c r="G439" s="42">
        <v>0</v>
      </c>
      <c r="I439" s="42">
        <v>0</v>
      </c>
      <c r="K439" s="42">
        <v>0</v>
      </c>
      <c r="M439" s="42">
        <v>0</v>
      </c>
      <c r="O439" s="42">
        <v>0</v>
      </c>
      <c r="Q439" s="42">
        <v>0</v>
      </c>
      <c r="S439" s="42">
        <v>0</v>
      </c>
      <c r="U439" s="42">
        <v>0</v>
      </c>
      <c r="W439" s="42">
        <v>0</v>
      </c>
      <c r="Y439" s="42">
        <v>0</v>
      </c>
      <c r="AA439" s="42">
        <v>0</v>
      </c>
      <c r="AC439" s="42">
        <v>0</v>
      </c>
      <c r="AE439" s="42">
        <v>0</v>
      </c>
      <c r="AG439" s="42">
        <v>0</v>
      </c>
      <c r="AI439" s="42">
        <v>0</v>
      </c>
      <c r="AK439" s="42">
        <v>0</v>
      </c>
      <c r="AL439" s="9" t="s">
        <v>704</v>
      </c>
      <c r="AM439" s="9"/>
      <c r="AN439" s="9" t="s">
        <v>464</v>
      </c>
      <c r="AP439" s="42">
        <v>0</v>
      </c>
      <c r="AR439" s="42">
        <v>0</v>
      </c>
      <c r="AV439" s="42">
        <v>0</v>
      </c>
      <c r="AX439" s="42">
        <v>0</v>
      </c>
      <c r="AZ439" s="42">
        <v>0</v>
      </c>
      <c r="BB439" s="42">
        <f t="shared" si="77"/>
        <v>0</v>
      </c>
      <c r="BD439" s="42">
        <v>0</v>
      </c>
      <c r="BF439" s="42">
        <v>0</v>
      </c>
      <c r="BH439" s="42">
        <v>0</v>
      </c>
      <c r="BJ439" s="42">
        <v>0</v>
      </c>
      <c r="BL439" s="42">
        <f t="shared" si="78"/>
        <v>0</v>
      </c>
      <c r="BN439" s="42">
        <f>+'Gen Fd Rev'!AM439-'Gen Fd Exp'!BL439</f>
        <v>0</v>
      </c>
      <c r="BP439" s="42">
        <v>0</v>
      </c>
      <c r="BR439" s="42">
        <v>0</v>
      </c>
      <c r="BT439" s="42">
        <v>0</v>
      </c>
      <c r="BV439" s="42">
        <f t="shared" ref="BV439:BV487" si="83">+BP439+BN439-BR439</f>
        <v>0</v>
      </c>
      <c r="BX439" s="5">
        <f>+BV439-'Gen Fd BS'!AI439+BT439</f>
        <v>0</v>
      </c>
    </row>
    <row r="440" spans="1:76" hidden="1">
      <c r="A440" s="9" t="s">
        <v>813</v>
      </c>
      <c r="B440" s="9"/>
      <c r="C440" s="9" t="s">
        <v>464</v>
      </c>
      <c r="D440" s="9"/>
      <c r="E440" s="23">
        <v>49387</v>
      </c>
      <c r="G440" s="42">
        <v>0</v>
      </c>
      <c r="I440" s="42">
        <v>0</v>
      </c>
      <c r="K440" s="42">
        <v>0</v>
      </c>
      <c r="M440" s="42">
        <v>0</v>
      </c>
      <c r="O440" s="42">
        <v>0</v>
      </c>
      <c r="Q440" s="42">
        <v>0</v>
      </c>
      <c r="S440" s="42">
        <v>0</v>
      </c>
      <c r="U440" s="42">
        <v>0</v>
      </c>
      <c r="W440" s="42">
        <v>0</v>
      </c>
      <c r="Y440" s="42">
        <v>0</v>
      </c>
      <c r="AA440" s="42">
        <v>0</v>
      </c>
      <c r="AC440" s="42">
        <v>0</v>
      </c>
      <c r="AE440" s="42">
        <v>0</v>
      </c>
      <c r="AG440" s="42">
        <v>0</v>
      </c>
      <c r="AI440" s="42">
        <v>0</v>
      </c>
      <c r="AK440" s="42">
        <v>0</v>
      </c>
      <c r="AL440" s="9" t="s">
        <v>813</v>
      </c>
      <c r="AM440" s="9"/>
      <c r="AN440" s="9" t="s">
        <v>464</v>
      </c>
      <c r="AP440" s="42">
        <v>0</v>
      </c>
      <c r="AR440" s="42">
        <v>0</v>
      </c>
      <c r="AV440" s="42">
        <v>0</v>
      </c>
      <c r="AX440" s="42">
        <v>0</v>
      </c>
      <c r="AZ440" s="42">
        <v>0</v>
      </c>
      <c r="BB440" s="42">
        <f t="shared" si="77"/>
        <v>0</v>
      </c>
      <c r="BD440" s="42">
        <v>0</v>
      </c>
      <c r="BF440" s="42">
        <v>0</v>
      </c>
      <c r="BH440" s="42">
        <v>0</v>
      </c>
      <c r="BJ440" s="42">
        <v>0</v>
      </c>
      <c r="BL440" s="42">
        <f t="shared" si="78"/>
        <v>0</v>
      </c>
      <c r="BN440" s="42">
        <f>+'Gen Fd Rev'!AM440-'Gen Fd Exp'!BL440</f>
        <v>0</v>
      </c>
      <c r="BP440" s="42">
        <v>0</v>
      </c>
      <c r="BR440" s="42">
        <v>0</v>
      </c>
      <c r="BT440" s="42">
        <v>0</v>
      </c>
      <c r="BV440" s="42">
        <f t="shared" si="83"/>
        <v>0</v>
      </c>
      <c r="BX440" s="5">
        <f>+BV440-'Gen Fd BS'!AI440+BT440</f>
        <v>0</v>
      </c>
    </row>
    <row r="441" spans="1:76" hidden="1">
      <c r="A441" s="9" t="s">
        <v>814</v>
      </c>
      <c r="B441" s="9"/>
      <c r="C441" s="9" t="s">
        <v>41</v>
      </c>
      <c r="D441" s="9"/>
      <c r="E441" s="23">
        <v>44628</v>
      </c>
      <c r="G441" s="42">
        <v>0</v>
      </c>
      <c r="I441" s="42">
        <v>0</v>
      </c>
      <c r="K441" s="42">
        <v>0</v>
      </c>
      <c r="M441" s="42">
        <v>0</v>
      </c>
      <c r="O441" s="42">
        <v>0</v>
      </c>
      <c r="Q441" s="42">
        <v>0</v>
      </c>
      <c r="S441" s="42">
        <v>0</v>
      </c>
      <c r="U441" s="42">
        <v>0</v>
      </c>
      <c r="W441" s="42">
        <v>0</v>
      </c>
      <c r="Y441" s="42">
        <v>0</v>
      </c>
      <c r="AA441" s="42">
        <v>0</v>
      </c>
      <c r="AC441" s="42">
        <v>0</v>
      </c>
      <c r="AE441" s="42">
        <v>0</v>
      </c>
      <c r="AG441" s="42">
        <v>0</v>
      </c>
      <c r="AI441" s="42">
        <v>0</v>
      </c>
      <c r="AK441" s="42">
        <v>0</v>
      </c>
      <c r="AL441" s="9" t="s">
        <v>814</v>
      </c>
      <c r="AM441" s="9"/>
      <c r="AN441" s="9" t="s">
        <v>41</v>
      </c>
      <c r="AP441" s="42">
        <v>0</v>
      </c>
      <c r="AR441" s="42">
        <v>0</v>
      </c>
      <c r="AV441" s="42">
        <v>0</v>
      </c>
      <c r="AX441" s="42">
        <v>0</v>
      </c>
      <c r="AZ441" s="42">
        <v>0</v>
      </c>
      <c r="BB441" s="42">
        <f t="shared" si="77"/>
        <v>0</v>
      </c>
      <c r="BD441" s="42">
        <v>0</v>
      </c>
      <c r="BF441" s="42">
        <v>0</v>
      </c>
      <c r="BH441" s="42">
        <v>0</v>
      </c>
      <c r="BJ441" s="42">
        <v>0</v>
      </c>
      <c r="BL441" s="42">
        <f>+BB441+BD441+BF441+BJ441</f>
        <v>0</v>
      </c>
      <c r="BN441" s="42">
        <f>+'Gen Fd Rev'!AM441-'Gen Fd Exp'!BL441</f>
        <v>0</v>
      </c>
      <c r="BP441" s="42">
        <v>0</v>
      </c>
      <c r="BR441" s="42">
        <v>0</v>
      </c>
      <c r="BT441" s="42">
        <v>0</v>
      </c>
      <c r="BV441" s="42">
        <f t="shared" si="83"/>
        <v>0</v>
      </c>
      <c r="BX441" s="5">
        <f>+BV441-'Gen Fd BS'!AI441+BT441</f>
        <v>0</v>
      </c>
    </row>
    <row r="442" spans="1:76" hidden="1">
      <c r="A442" s="9" t="s">
        <v>778</v>
      </c>
      <c r="B442" s="9"/>
      <c r="C442" s="9" t="s">
        <v>41</v>
      </c>
      <c r="D442" s="9"/>
      <c r="E442" s="23">
        <v>47894</v>
      </c>
      <c r="G442" s="42">
        <v>0</v>
      </c>
      <c r="I442" s="42">
        <v>0</v>
      </c>
      <c r="K442" s="42">
        <v>0</v>
      </c>
      <c r="M442" s="42">
        <v>0</v>
      </c>
      <c r="O442" s="42">
        <v>0</v>
      </c>
      <c r="Q442" s="42">
        <v>0</v>
      </c>
      <c r="S442" s="42">
        <v>0</v>
      </c>
      <c r="U442" s="42">
        <v>0</v>
      </c>
      <c r="W442" s="42">
        <v>0</v>
      </c>
      <c r="Y442" s="42">
        <v>0</v>
      </c>
      <c r="AA442" s="42">
        <v>0</v>
      </c>
      <c r="AC442" s="42">
        <v>0</v>
      </c>
      <c r="AE442" s="42">
        <v>0</v>
      </c>
      <c r="AG442" s="42">
        <v>0</v>
      </c>
      <c r="AI442" s="42">
        <v>0</v>
      </c>
      <c r="AK442" s="42">
        <v>0</v>
      </c>
      <c r="AL442" s="9" t="s">
        <v>778</v>
      </c>
      <c r="AM442" s="9"/>
      <c r="AN442" s="9" t="s">
        <v>41</v>
      </c>
      <c r="AP442" s="42">
        <v>0</v>
      </c>
      <c r="AR442" s="42">
        <v>0</v>
      </c>
      <c r="AV442" s="42">
        <v>0</v>
      </c>
      <c r="AX442" s="42">
        <v>0</v>
      </c>
      <c r="AZ442" s="42">
        <v>0</v>
      </c>
      <c r="BB442" s="42">
        <f t="shared" si="77"/>
        <v>0</v>
      </c>
      <c r="BD442" s="42">
        <v>0</v>
      </c>
      <c r="BF442" s="42">
        <v>0</v>
      </c>
      <c r="BH442" s="42">
        <v>0</v>
      </c>
      <c r="BJ442" s="42">
        <v>0</v>
      </c>
      <c r="BL442" s="42">
        <f t="shared" ref="BL442:BL487" si="84">+BB442+BD442+BF442+BJ442</f>
        <v>0</v>
      </c>
      <c r="BN442" s="42">
        <f>+'Gen Fd Rev'!AM442-'Gen Fd Exp'!BL442</f>
        <v>0</v>
      </c>
      <c r="BP442" s="42">
        <v>0</v>
      </c>
      <c r="BR442" s="42">
        <v>0</v>
      </c>
      <c r="BT442" s="42">
        <v>0</v>
      </c>
      <c r="BV442" s="42">
        <f t="shared" si="83"/>
        <v>0</v>
      </c>
      <c r="BX442" s="5">
        <f>+BV442-'Gen Fd BS'!AI442+BT442</f>
        <v>0</v>
      </c>
    </row>
    <row r="443" spans="1:76">
      <c r="A443" s="9" t="s">
        <v>472</v>
      </c>
      <c r="B443" s="9"/>
      <c r="C443" s="9" t="s">
        <v>58</v>
      </c>
      <c r="D443" s="9"/>
      <c r="E443" s="23">
        <v>49510</v>
      </c>
      <c r="F443" s="7"/>
      <c r="G443" s="42">
        <v>4209567</v>
      </c>
      <c r="I443" s="42">
        <v>1187957</v>
      </c>
      <c r="K443" s="42">
        <v>1924</v>
      </c>
      <c r="M443" s="42">
        <v>0</v>
      </c>
      <c r="O443" s="42">
        <v>1167350</v>
      </c>
      <c r="Q443" s="42">
        <v>302412</v>
      </c>
      <c r="S443" s="42">
        <v>147427</v>
      </c>
      <c r="U443" s="42">
        <v>76382</v>
      </c>
      <c r="W443" s="42">
        <v>614233</v>
      </c>
      <c r="Y443" s="42">
        <v>344143</v>
      </c>
      <c r="AA443" s="42">
        <v>0</v>
      </c>
      <c r="AC443" s="42">
        <v>852292</v>
      </c>
      <c r="AE443" s="42">
        <v>544491</v>
      </c>
      <c r="AG443" s="42">
        <v>57185</v>
      </c>
      <c r="AI443" s="42">
        <v>0</v>
      </c>
      <c r="AK443" s="42">
        <v>5638</v>
      </c>
      <c r="AL443" s="9" t="s">
        <v>472</v>
      </c>
      <c r="AM443" s="9"/>
      <c r="AN443" s="9" t="s">
        <v>58</v>
      </c>
      <c r="AP443" s="42">
        <v>166197</v>
      </c>
      <c r="AR443" s="42">
        <v>179852</v>
      </c>
      <c r="AV443" s="42">
        <v>46311</v>
      </c>
      <c r="AX443" s="42">
        <v>7696</v>
      </c>
      <c r="AZ443" s="42">
        <v>0</v>
      </c>
      <c r="BB443" s="42">
        <f t="shared" si="77"/>
        <v>9911057</v>
      </c>
      <c r="BD443" s="42">
        <v>0</v>
      </c>
      <c r="BF443" s="42">
        <v>0</v>
      </c>
      <c r="BH443" s="42">
        <v>0</v>
      </c>
      <c r="BJ443" s="42">
        <v>0</v>
      </c>
      <c r="BL443" s="42">
        <f t="shared" si="84"/>
        <v>9911057</v>
      </c>
      <c r="BN443" s="42">
        <f>+'Gen Fd Rev'!AM443-'Gen Fd Exp'!BL443</f>
        <v>-623990</v>
      </c>
      <c r="BP443" s="42">
        <v>2049082</v>
      </c>
      <c r="BR443" s="42">
        <v>0</v>
      </c>
      <c r="BT443" s="42">
        <v>0</v>
      </c>
      <c r="BV443" s="42">
        <f t="shared" si="83"/>
        <v>1425092</v>
      </c>
      <c r="BX443" s="5">
        <f>+BV443-'Gen Fd BS'!AI443+BT443</f>
        <v>0</v>
      </c>
    </row>
    <row r="444" spans="1:76" hidden="1">
      <c r="A444" s="9" t="s">
        <v>681</v>
      </c>
      <c r="B444" s="9"/>
      <c r="C444" s="9" t="s">
        <v>464</v>
      </c>
      <c r="D444" s="9"/>
      <c r="E444" s="23">
        <v>49395</v>
      </c>
      <c r="G444" s="42">
        <v>0</v>
      </c>
      <c r="I444" s="42">
        <v>0</v>
      </c>
      <c r="K444" s="42">
        <v>0</v>
      </c>
      <c r="M444" s="42">
        <v>0</v>
      </c>
      <c r="O444" s="42">
        <v>0</v>
      </c>
      <c r="Q444" s="42">
        <v>0</v>
      </c>
      <c r="S444" s="42">
        <v>0</v>
      </c>
      <c r="U444" s="42">
        <v>0</v>
      </c>
      <c r="W444" s="42">
        <v>0</v>
      </c>
      <c r="Y444" s="42">
        <v>0</v>
      </c>
      <c r="AA444" s="42">
        <v>0</v>
      </c>
      <c r="AC444" s="42">
        <v>0</v>
      </c>
      <c r="AE444" s="42">
        <v>0</v>
      </c>
      <c r="AG444" s="42">
        <v>0</v>
      </c>
      <c r="AI444" s="42">
        <v>0</v>
      </c>
      <c r="AK444" s="42">
        <v>0</v>
      </c>
      <c r="AL444" s="9" t="s">
        <v>681</v>
      </c>
      <c r="AM444" s="9"/>
      <c r="AN444" s="9" t="s">
        <v>464</v>
      </c>
      <c r="AP444" s="42">
        <v>0</v>
      </c>
      <c r="AR444" s="42">
        <v>0</v>
      </c>
      <c r="AV444" s="42">
        <v>0</v>
      </c>
      <c r="AX444" s="42">
        <v>0</v>
      </c>
      <c r="AZ444" s="42">
        <v>0</v>
      </c>
      <c r="BB444" s="42">
        <f t="shared" si="77"/>
        <v>0</v>
      </c>
      <c r="BD444" s="42">
        <v>0</v>
      </c>
      <c r="BF444" s="42">
        <v>0</v>
      </c>
      <c r="BH444" s="42">
        <v>0</v>
      </c>
      <c r="BJ444" s="42">
        <v>0</v>
      </c>
      <c r="BL444" s="42">
        <f t="shared" si="84"/>
        <v>0</v>
      </c>
      <c r="BN444" s="42">
        <f>+'Gen Fd Rev'!AM444-'Gen Fd Exp'!BL444</f>
        <v>0</v>
      </c>
      <c r="BP444" s="42">
        <v>0</v>
      </c>
      <c r="BR444" s="42">
        <v>0</v>
      </c>
      <c r="BT444" s="42">
        <v>0</v>
      </c>
      <c r="BV444" s="42">
        <f t="shared" si="83"/>
        <v>0</v>
      </c>
      <c r="BX444" s="5">
        <f>+BV444-'Gen Fd BS'!AI444+BT444</f>
        <v>0</v>
      </c>
    </row>
    <row r="445" spans="1:76" hidden="1">
      <c r="A445" s="9" t="s">
        <v>682</v>
      </c>
      <c r="B445" s="9"/>
      <c r="C445" s="9" t="s">
        <v>419</v>
      </c>
      <c r="D445" s="9"/>
      <c r="E445" s="23">
        <v>48579</v>
      </c>
      <c r="G445" s="42">
        <v>0</v>
      </c>
      <c r="I445" s="42">
        <v>0</v>
      </c>
      <c r="K445" s="42">
        <v>0</v>
      </c>
      <c r="M445" s="42">
        <v>0</v>
      </c>
      <c r="O445" s="42">
        <v>0</v>
      </c>
      <c r="Q445" s="42">
        <v>0</v>
      </c>
      <c r="S445" s="42">
        <v>0</v>
      </c>
      <c r="U445" s="42">
        <v>0</v>
      </c>
      <c r="W445" s="42">
        <v>0</v>
      </c>
      <c r="Y445" s="42">
        <v>0</v>
      </c>
      <c r="AA445" s="42">
        <v>0</v>
      </c>
      <c r="AC445" s="42">
        <v>0</v>
      </c>
      <c r="AE445" s="42">
        <v>0</v>
      </c>
      <c r="AG445" s="42">
        <v>0</v>
      </c>
      <c r="AI445" s="42">
        <v>0</v>
      </c>
      <c r="AK445" s="42">
        <v>0</v>
      </c>
      <c r="AL445" s="9" t="s">
        <v>682</v>
      </c>
      <c r="AM445" s="9"/>
      <c r="AN445" s="9" t="s">
        <v>419</v>
      </c>
      <c r="AP445" s="42">
        <v>0</v>
      </c>
      <c r="AR445" s="42">
        <v>0</v>
      </c>
      <c r="AV445" s="42">
        <v>0</v>
      </c>
      <c r="AX445" s="42">
        <v>0</v>
      </c>
      <c r="AZ445" s="42">
        <v>0</v>
      </c>
      <c r="BB445" s="42">
        <f t="shared" si="77"/>
        <v>0</v>
      </c>
      <c r="BD445" s="42">
        <v>0</v>
      </c>
      <c r="BF445" s="42">
        <v>0</v>
      </c>
      <c r="BH445" s="42">
        <v>0</v>
      </c>
      <c r="BJ445" s="42">
        <v>0</v>
      </c>
      <c r="BL445" s="42">
        <f t="shared" si="84"/>
        <v>0</v>
      </c>
      <c r="BN445" s="42">
        <f>+'Gen Fd Rev'!AM445-'Gen Fd Exp'!BL445</f>
        <v>0</v>
      </c>
      <c r="BP445" s="42">
        <v>0</v>
      </c>
      <c r="BR445" s="42">
        <v>0</v>
      </c>
      <c r="BT445" s="42">
        <v>0</v>
      </c>
      <c r="BV445" s="42">
        <f t="shared" si="83"/>
        <v>0</v>
      </c>
      <c r="BX445" s="5">
        <f>+BV445-'Gen Fd BS'!AI445+BT445</f>
        <v>0</v>
      </c>
    </row>
    <row r="446" spans="1:76">
      <c r="A446" s="9" t="s">
        <v>273</v>
      </c>
      <c r="B446" s="9"/>
      <c r="C446" s="9" t="s">
        <v>20</v>
      </c>
      <c r="D446" s="9"/>
      <c r="E446" s="23">
        <v>44636</v>
      </c>
      <c r="G446" s="42">
        <v>60305864</v>
      </c>
      <c r="I446" s="42">
        <v>18792326</v>
      </c>
      <c r="K446" s="42">
        <v>2735203</v>
      </c>
      <c r="M446" s="42">
        <v>9995</v>
      </c>
      <c r="O446" s="42">
        <v>147025</v>
      </c>
      <c r="Q446" s="42">
        <v>10465068</v>
      </c>
      <c r="S446" s="42">
        <v>6719568</v>
      </c>
      <c r="U446" s="42">
        <v>688728</v>
      </c>
      <c r="W446" s="42">
        <v>8686004</v>
      </c>
      <c r="Y446" s="42">
        <v>2903124</v>
      </c>
      <c r="AA446" s="42">
        <v>1653765</v>
      </c>
      <c r="AC446" s="42">
        <v>9453766</v>
      </c>
      <c r="AE446" s="42">
        <v>5566563</v>
      </c>
      <c r="AG446" s="42">
        <v>2709682</v>
      </c>
      <c r="AI446" s="42">
        <v>0</v>
      </c>
      <c r="AK446" s="42">
        <v>58794</v>
      </c>
      <c r="AL446" s="9" t="s">
        <v>273</v>
      </c>
      <c r="AM446" s="9"/>
      <c r="AN446" s="9" t="s">
        <v>20</v>
      </c>
      <c r="AP446" s="42">
        <v>2449552</v>
      </c>
      <c r="AR446" s="42">
        <v>187028</v>
      </c>
      <c r="AV446" s="42">
        <v>1602552</v>
      </c>
      <c r="AX446" s="42">
        <v>546334</v>
      </c>
      <c r="AZ446" s="42">
        <v>0</v>
      </c>
      <c r="BB446" s="42">
        <f t="shared" si="77"/>
        <v>135680941</v>
      </c>
      <c r="BD446" s="42">
        <v>5720</v>
      </c>
      <c r="BF446" s="42">
        <v>0</v>
      </c>
      <c r="BH446" s="42">
        <v>0</v>
      </c>
      <c r="BJ446" s="42">
        <v>0</v>
      </c>
      <c r="BL446" s="42">
        <f t="shared" si="84"/>
        <v>135686661</v>
      </c>
      <c r="BN446" s="42">
        <f>+'Gen Fd Rev'!AM446-'Gen Fd Exp'!BL446</f>
        <v>744418</v>
      </c>
      <c r="BP446" s="42">
        <v>17737629</v>
      </c>
      <c r="BR446" s="42">
        <v>0</v>
      </c>
      <c r="BT446" s="42">
        <v>0</v>
      </c>
      <c r="BV446" s="42">
        <f t="shared" si="83"/>
        <v>18482047</v>
      </c>
      <c r="BX446" s="5">
        <f>+BV446-'Gen Fd BS'!AI446+BT446</f>
        <v>0</v>
      </c>
    </row>
    <row r="447" spans="1:76">
      <c r="A447" s="9" t="s">
        <v>345</v>
      </c>
      <c r="B447" s="9"/>
      <c r="C447" s="9" t="s">
        <v>34</v>
      </c>
      <c r="D447" s="9"/>
      <c r="E447" s="23">
        <v>47597</v>
      </c>
      <c r="G447" s="42">
        <v>4187159</v>
      </c>
      <c r="I447" s="42">
        <v>733865</v>
      </c>
      <c r="K447" s="42">
        <v>83669</v>
      </c>
      <c r="M447" s="42">
        <v>0</v>
      </c>
      <c r="O447" s="42">
        <v>518678</v>
      </c>
      <c r="Q447" s="42">
        <v>503716</v>
      </c>
      <c r="S447" s="42">
        <v>552840</v>
      </c>
      <c r="U447" s="42">
        <v>16602</v>
      </c>
      <c r="W447" s="42">
        <v>458514</v>
      </c>
      <c r="Y447" s="42">
        <v>253429</v>
      </c>
      <c r="AA447" s="42">
        <v>27926</v>
      </c>
      <c r="AC447" s="42">
        <v>733022</v>
      </c>
      <c r="AE447" s="42">
        <v>380537</v>
      </c>
      <c r="AG447" s="42">
        <v>80985</v>
      </c>
      <c r="AI447" s="42">
        <v>0</v>
      </c>
      <c r="AK447" s="42">
        <v>3804</v>
      </c>
      <c r="AL447" s="9" t="s">
        <v>345</v>
      </c>
      <c r="AM447" s="9"/>
      <c r="AN447" s="9" t="s">
        <v>34</v>
      </c>
      <c r="AP447" s="42">
        <v>242996</v>
      </c>
      <c r="AR447" s="42">
        <v>0</v>
      </c>
      <c r="AV447" s="42">
        <v>31000</v>
      </c>
      <c r="AX447" s="42">
        <v>0</v>
      </c>
      <c r="AZ447" s="42">
        <v>0</v>
      </c>
      <c r="BB447" s="42">
        <f t="shared" si="77"/>
        <v>8808742</v>
      </c>
      <c r="BD447" s="42">
        <v>66050</v>
      </c>
      <c r="BF447" s="42">
        <v>0</v>
      </c>
      <c r="BH447" s="42">
        <v>0</v>
      </c>
      <c r="BJ447" s="42">
        <v>0</v>
      </c>
      <c r="BL447" s="42">
        <f t="shared" si="84"/>
        <v>8874792</v>
      </c>
      <c r="BN447" s="42">
        <f>+'Gen Fd Rev'!AM447-'Gen Fd Exp'!BL447</f>
        <v>1775754</v>
      </c>
      <c r="BP447" s="42">
        <v>854830</v>
      </c>
      <c r="BR447" s="42">
        <v>0</v>
      </c>
      <c r="BT447" s="42">
        <v>0</v>
      </c>
      <c r="BV447" s="42">
        <f t="shared" si="83"/>
        <v>2630584</v>
      </c>
      <c r="BX447" s="5">
        <f>+BV447-'Gen Fd BS'!AI447+BT447</f>
        <v>0</v>
      </c>
    </row>
    <row r="448" spans="1:76" hidden="1">
      <c r="A448" s="9" t="s">
        <v>769</v>
      </c>
      <c r="B448" s="9"/>
      <c r="C448" s="9" t="s">
        <v>447</v>
      </c>
      <c r="D448" s="9"/>
      <c r="E448" s="23">
        <v>45575</v>
      </c>
      <c r="G448" s="42">
        <v>0</v>
      </c>
      <c r="I448" s="42">
        <v>0</v>
      </c>
      <c r="K448" s="42">
        <v>0</v>
      </c>
      <c r="M448" s="42">
        <v>0</v>
      </c>
      <c r="O448" s="42">
        <v>0</v>
      </c>
      <c r="Q448" s="42">
        <v>0</v>
      </c>
      <c r="S448" s="42">
        <v>0</v>
      </c>
      <c r="U448" s="42">
        <v>0</v>
      </c>
      <c r="W448" s="42">
        <v>0</v>
      </c>
      <c r="Y448" s="42">
        <v>0</v>
      </c>
      <c r="AA448" s="42">
        <v>0</v>
      </c>
      <c r="AC448" s="42">
        <v>0</v>
      </c>
      <c r="AE448" s="42">
        <v>0</v>
      </c>
      <c r="AG448" s="42">
        <v>0</v>
      </c>
      <c r="AI448" s="42">
        <v>0</v>
      </c>
      <c r="AK448" s="42">
        <v>0</v>
      </c>
      <c r="AL448" s="9" t="s">
        <v>769</v>
      </c>
      <c r="AM448" s="9"/>
      <c r="AN448" s="9" t="s">
        <v>447</v>
      </c>
      <c r="AP448" s="42">
        <v>0</v>
      </c>
      <c r="AR448" s="42">
        <v>0</v>
      </c>
      <c r="AV448" s="42">
        <v>0</v>
      </c>
      <c r="AX448" s="42">
        <v>0</v>
      </c>
      <c r="AZ448" s="42">
        <v>0</v>
      </c>
      <c r="BB448" s="42">
        <f t="shared" si="77"/>
        <v>0</v>
      </c>
      <c r="BD448" s="42">
        <v>0</v>
      </c>
      <c r="BF448" s="42">
        <v>0</v>
      </c>
      <c r="BH448" s="42">
        <v>0</v>
      </c>
      <c r="BJ448" s="42">
        <v>0</v>
      </c>
      <c r="BL448" s="42">
        <f t="shared" si="84"/>
        <v>0</v>
      </c>
      <c r="BN448" s="42">
        <f>+'Gen Fd Rev'!AM448-'Gen Fd Exp'!BL448</f>
        <v>0</v>
      </c>
      <c r="BP448" s="42">
        <v>0</v>
      </c>
      <c r="BR448" s="42">
        <v>0</v>
      </c>
      <c r="BT448" s="42">
        <v>0</v>
      </c>
      <c r="BV448" s="42">
        <f t="shared" si="83"/>
        <v>0</v>
      </c>
      <c r="BX448" s="5">
        <f>+BV448-'Gen Fd BS'!AI448+BT448</f>
        <v>0</v>
      </c>
    </row>
    <row r="449" spans="1:76">
      <c r="A449" s="9" t="s">
        <v>287</v>
      </c>
      <c r="B449" s="9"/>
      <c r="C449" s="9" t="s">
        <v>24</v>
      </c>
      <c r="D449" s="9"/>
      <c r="E449" s="23">
        <v>46813</v>
      </c>
      <c r="G449" s="42">
        <v>11007404</v>
      </c>
      <c r="I449" s="42">
        <v>2869531</v>
      </c>
      <c r="K449" s="42">
        <v>156541</v>
      </c>
      <c r="M449" s="42">
        <v>0</v>
      </c>
      <c r="O449" s="42">
        <v>834802</v>
      </c>
      <c r="Q449" s="42">
        <v>1763332</v>
      </c>
      <c r="S449" s="42">
        <v>1441527</v>
      </c>
      <c r="U449" s="42">
        <v>8370</v>
      </c>
      <c r="W449" s="42">
        <v>1636628</v>
      </c>
      <c r="Y449" s="42">
        <v>485225</v>
      </c>
      <c r="AA449" s="42">
        <v>1781</v>
      </c>
      <c r="AC449" s="42">
        <v>1879115</v>
      </c>
      <c r="AE449" s="42">
        <v>896997</v>
      </c>
      <c r="AG449" s="42">
        <v>153234</v>
      </c>
      <c r="AI449" s="42">
        <v>0</v>
      </c>
      <c r="AK449" s="42">
        <v>56004</v>
      </c>
      <c r="AL449" s="9" t="s">
        <v>287</v>
      </c>
      <c r="AM449" s="9"/>
      <c r="AN449" s="9" t="s">
        <v>24</v>
      </c>
      <c r="AP449" s="42">
        <v>522227</v>
      </c>
      <c r="AR449" s="42">
        <v>0</v>
      </c>
      <c r="AV449" s="42">
        <v>0</v>
      </c>
      <c r="AX449" s="42">
        <v>0</v>
      </c>
      <c r="AZ449" s="42">
        <v>0</v>
      </c>
      <c r="BB449" s="42">
        <f t="shared" si="77"/>
        <v>23712718</v>
      </c>
      <c r="BD449" s="42">
        <v>0</v>
      </c>
      <c r="BF449" s="42">
        <v>0</v>
      </c>
      <c r="BH449" s="42">
        <v>0</v>
      </c>
      <c r="BJ449" s="42">
        <v>0</v>
      </c>
      <c r="BL449" s="42">
        <f t="shared" si="84"/>
        <v>23712718</v>
      </c>
      <c r="BN449" s="42">
        <f>+'Gen Fd Rev'!AM449-'Gen Fd Exp'!BL449</f>
        <v>-3637750</v>
      </c>
      <c r="BP449" s="42">
        <v>2861712</v>
      </c>
      <c r="BR449" s="42">
        <v>-3208</v>
      </c>
      <c r="BT449" s="42">
        <v>0</v>
      </c>
      <c r="BV449" s="42">
        <f t="shared" si="83"/>
        <v>-772830</v>
      </c>
      <c r="BX449" s="5">
        <f>+BV449-'Gen Fd BS'!AI449+BT449</f>
        <v>0</v>
      </c>
    </row>
    <row r="450" spans="1:76" hidden="1">
      <c r="A450" s="9" t="s">
        <v>683</v>
      </c>
      <c r="B450" s="9"/>
      <c r="C450" s="9" t="s">
        <v>10</v>
      </c>
      <c r="D450" s="9"/>
      <c r="E450" s="23">
        <v>45781</v>
      </c>
      <c r="G450" s="42">
        <v>0</v>
      </c>
      <c r="I450" s="42">
        <v>0</v>
      </c>
      <c r="K450" s="42">
        <v>0</v>
      </c>
      <c r="M450" s="42">
        <v>0</v>
      </c>
      <c r="O450" s="42">
        <v>0</v>
      </c>
      <c r="Q450" s="42">
        <v>0</v>
      </c>
      <c r="S450" s="42">
        <v>0</v>
      </c>
      <c r="U450" s="42">
        <v>0</v>
      </c>
      <c r="W450" s="42">
        <v>0</v>
      </c>
      <c r="Y450" s="42">
        <v>0</v>
      </c>
      <c r="AA450" s="42">
        <v>0</v>
      </c>
      <c r="AC450" s="42">
        <v>0</v>
      </c>
      <c r="AE450" s="42">
        <v>0</v>
      </c>
      <c r="AG450" s="42">
        <v>0</v>
      </c>
      <c r="AI450" s="42">
        <v>0</v>
      </c>
      <c r="AK450" s="42">
        <v>0</v>
      </c>
      <c r="AL450" s="9" t="s">
        <v>683</v>
      </c>
      <c r="AM450" s="9"/>
      <c r="AN450" s="9" t="s">
        <v>10</v>
      </c>
      <c r="AP450" s="42">
        <v>0</v>
      </c>
      <c r="AR450" s="42">
        <v>0</v>
      </c>
      <c r="AV450" s="42">
        <v>0</v>
      </c>
      <c r="AX450" s="42">
        <v>0</v>
      </c>
      <c r="AZ450" s="42">
        <v>0</v>
      </c>
      <c r="BB450" s="42">
        <f t="shared" si="77"/>
        <v>0</v>
      </c>
      <c r="BD450" s="42">
        <v>0</v>
      </c>
      <c r="BF450" s="42">
        <v>0</v>
      </c>
      <c r="BH450" s="42">
        <v>0</v>
      </c>
      <c r="BJ450" s="42">
        <v>0</v>
      </c>
      <c r="BL450" s="42">
        <f t="shared" si="84"/>
        <v>0</v>
      </c>
      <c r="BN450" s="42">
        <f>+'Gen Fd Rev'!AM450-'Gen Fd Exp'!BL450</f>
        <v>0</v>
      </c>
      <c r="BP450" s="42">
        <v>0</v>
      </c>
      <c r="BR450" s="42">
        <v>0</v>
      </c>
      <c r="BT450" s="42">
        <v>0</v>
      </c>
      <c r="BV450" s="42">
        <f t="shared" si="83"/>
        <v>0</v>
      </c>
      <c r="BX450" s="5">
        <f>+BV450-'Gen Fd BS'!AI450+BT450</f>
        <v>0</v>
      </c>
    </row>
    <row r="451" spans="1:76">
      <c r="A451" s="9" t="s">
        <v>201</v>
      </c>
      <c r="B451" s="9"/>
      <c r="C451" s="9" t="s">
        <v>41</v>
      </c>
      <c r="D451" s="9"/>
      <c r="E451" s="23">
        <v>47902</v>
      </c>
      <c r="G451" s="42">
        <v>9463714</v>
      </c>
      <c r="I451" s="42">
        <v>584756</v>
      </c>
      <c r="K451" s="42">
        <v>127333</v>
      </c>
      <c r="M451" s="42">
        <v>0</v>
      </c>
      <c r="O451" s="42">
        <v>1756466</v>
      </c>
      <c r="Q451" s="42">
        <v>1386027</v>
      </c>
      <c r="S451" s="42">
        <v>1473313</v>
      </c>
      <c r="U451" s="42">
        <v>94901</v>
      </c>
      <c r="W451" s="42">
        <v>1408524</v>
      </c>
      <c r="Y451" s="42">
        <v>584161</v>
      </c>
      <c r="AA451" s="42">
        <v>288209</v>
      </c>
      <c r="AC451" s="42">
        <v>3411654</v>
      </c>
      <c r="AE451" s="42">
        <v>1019809</v>
      </c>
      <c r="AG451" s="42">
        <v>23572</v>
      </c>
      <c r="AI451" s="42">
        <v>0</v>
      </c>
      <c r="AK451" s="42">
        <v>3235</v>
      </c>
      <c r="AL451" s="9" t="s">
        <v>201</v>
      </c>
      <c r="AM451" s="9"/>
      <c r="AN451" s="9" t="s">
        <v>41</v>
      </c>
      <c r="AP451" s="42">
        <v>1019659</v>
      </c>
      <c r="AR451" s="42">
        <v>0</v>
      </c>
      <c r="AV451" s="42">
        <v>26027</v>
      </c>
      <c r="AX451" s="42">
        <v>2620</v>
      </c>
      <c r="AZ451" s="42">
        <v>0</v>
      </c>
      <c r="BB451" s="42">
        <f t="shared" si="77"/>
        <v>22673980</v>
      </c>
      <c r="BD451" s="42">
        <v>2091000</v>
      </c>
      <c r="BF451" s="42">
        <v>0</v>
      </c>
      <c r="BH451" s="42">
        <v>0</v>
      </c>
      <c r="BJ451" s="42">
        <v>0</v>
      </c>
      <c r="BL451" s="42">
        <f t="shared" si="84"/>
        <v>24764980</v>
      </c>
      <c r="BN451" s="42">
        <f>+'Gen Fd Rev'!AM451-'Gen Fd Exp'!BL451</f>
        <v>-276238</v>
      </c>
      <c r="BP451" s="42">
        <v>20929461</v>
      </c>
      <c r="BR451" s="42">
        <v>0</v>
      </c>
      <c r="BT451" s="42">
        <v>0</v>
      </c>
      <c r="BV451" s="42">
        <f t="shared" si="83"/>
        <v>20653223</v>
      </c>
      <c r="BX451" s="5">
        <f>+BV451-'Gen Fd BS'!AI451+BT451</f>
        <v>0</v>
      </c>
    </row>
    <row r="452" spans="1:76">
      <c r="A452" s="9" t="s">
        <v>201</v>
      </c>
      <c r="B452" s="9"/>
      <c r="C452" s="9" t="s">
        <v>62</v>
      </c>
      <c r="D452" s="9"/>
      <c r="E452" s="23">
        <v>49924</v>
      </c>
      <c r="G452" s="42">
        <v>19841889</v>
      </c>
      <c r="I452" s="42">
        <v>3484988</v>
      </c>
      <c r="K452" s="42">
        <v>1828977</v>
      </c>
      <c r="M452" s="42">
        <v>6744</v>
      </c>
      <c r="O452" s="42">
        <v>120188</v>
      </c>
      <c r="Q452" s="42">
        <v>2793841</v>
      </c>
      <c r="S452" s="42">
        <v>595372</v>
      </c>
      <c r="U452" s="42">
        <v>121026</v>
      </c>
      <c r="W452" s="42">
        <v>3359837</v>
      </c>
      <c r="Y452" s="42">
        <v>741204</v>
      </c>
      <c r="AA452" s="42">
        <v>197200</v>
      </c>
      <c r="AC452" s="42">
        <v>3601164</v>
      </c>
      <c r="AE452" s="42">
        <v>1977057</v>
      </c>
      <c r="AG452" s="42">
        <v>707793</v>
      </c>
      <c r="AI452" s="42">
        <v>0</v>
      </c>
      <c r="AK452" s="42">
        <v>247211</v>
      </c>
      <c r="AL452" s="9" t="s">
        <v>201</v>
      </c>
      <c r="AM452" s="9"/>
      <c r="AN452" s="9" t="s">
        <v>62</v>
      </c>
      <c r="AP452" s="42">
        <v>934261</v>
      </c>
      <c r="AR452" s="42">
        <v>19572</v>
      </c>
      <c r="AV452" s="42">
        <v>325000</v>
      </c>
      <c r="AX452" s="42">
        <v>25638</v>
      </c>
      <c r="AZ452" s="42">
        <v>0</v>
      </c>
      <c r="BB452" s="42">
        <f t="shared" si="77"/>
        <v>40928962</v>
      </c>
      <c r="BD452" s="42">
        <v>1563</v>
      </c>
      <c r="BF452" s="42">
        <v>0</v>
      </c>
      <c r="BH452" s="42">
        <v>0</v>
      </c>
      <c r="BJ452" s="42">
        <v>0</v>
      </c>
      <c r="BL452" s="42">
        <f t="shared" si="84"/>
        <v>40930525</v>
      </c>
      <c r="BN452" s="42">
        <f>+'Gen Fd Rev'!AM452-'Gen Fd Exp'!BL452</f>
        <v>-2217777</v>
      </c>
      <c r="BP452" s="42">
        <v>18905839</v>
      </c>
      <c r="BR452" s="42">
        <v>0</v>
      </c>
      <c r="BT452" s="42">
        <v>0</v>
      </c>
      <c r="BV452" s="42">
        <f t="shared" si="83"/>
        <v>16688062</v>
      </c>
      <c r="BX452" s="5">
        <f>+BV452-'Gen Fd BS'!AI452+BT452</f>
        <v>0</v>
      </c>
    </row>
    <row r="453" spans="1:76">
      <c r="A453" s="9" t="s">
        <v>770</v>
      </c>
      <c r="B453" s="9"/>
      <c r="C453" s="9" t="s">
        <v>72</v>
      </c>
      <c r="D453" s="9"/>
      <c r="E453" s="23">
        <v>45583</v>
      </c>
      <c r="G453" s="42">
        <v>21780162</v>
      </c>
      <c r="I453" s="42">
        <v>4229213</v>
      </c>
      <c r="K453" s="42">
        <v>176843</v>
      </c>
      <c r="M453" s="42">
        <v>0</v>
      </c>
      <c r="O453" s="42">
        <v>0</v>
      </c>
      <c r="Q453" s="42">
        <v>2508001</v>
      </c>
      <c r="S453" s="42">
        <v>634987</v>
      </c>
      <c r="U453" s="42">
        <v>34491</v>
      </c>
      <c r="W453" s="42">
        <v>2784150</v>
      </c>
      <c r="Y453" s="42">
        <v>848105</v>
      </c>
      <c r="AA453" s="42">
        <v>38252</v>
      </c>
      <c r="AC453" s="42">
        <v>3902216</v>
      </c>
      <c r="AE453" s="42">
        <v>1593690</v>
      </c>
      <c r="AG453" s="42">
        <v>483489</v>
      </c>
      <c r="AI453" s="42">
        <v>0</v>
      </c>
      <c r="AK453" s="42">
        <v>0</v>
      </c>
      <c r="AL453" s="9" t="s">
        <v>770</v>
      </c>
      <c r="AM453" s="9"/>
      <c r="AN453" s="9" t="s">
        <v>72</v>
      </c>
      <c r="AP453" s="42">
        <v>1030484</v>
      </c>
      <c r="AR453" s="42">
        <v>0</v>
      </c>
      <c r="AV453" s="42">
        <v>0</v>
      </c>
      <c r="AX453" s="42">
        <v>0</v>
      </c>
      <c r="AZ453" s="42">
        <v>0</v>
      </c>
      <c r="BB453" s="42">
        <f>SUM(G453:AZ453)</f>
        <v>40044083</v>
      </c>
      <c r="BD453" s="42">
        <v>3967</v>
      </c>
      <c r="BF453" s="42">
        <v>0</v>
      </c>
      <c r="BH453" s="42">
        <v>0</v>
      </c>
      <c r="BJ453" s="42">
        <v>0</v>
      </c>
      <c r="BL453" s="42">
        <f t="shared" si="84"/>
        <v>40048050</v>
      </c>
      <c r="BN453" s="42">
        <f>+'Gen Fd Rev'!AM453-'Gen Fd Exp'!BL453</f>
        <v>4842760</v>
      </c>
      <c r="BP453" s="42">
        <v>108891</v>
      </c>
      <c r="BR453" s="42">
        <v>0</v>
      </c>
      <c r="BT453" s="42">
        <v>0</v>
      </c>
      <c r="BV453" s="42">
        <f t="shared" si="83"/>
        <v>4951651</v>
      </c>
      <c r="BX453" s="5">
        <f>+BV453-'Gen Fd BS'!AI453+BT453</f>
        <v>0</v>
      </c>
    </row>
    <row r="454" spans="1:76" hidden="1">
      <c r="A454" s="9" t="s">
        <v>884</v>
      </c>
      <c r="B454" s="9"/>
      <c r="C454" s="9" t="s">
        <v>28</v>
      </c>
      <c r="D454" s="9"/>
      <c r="E454" s="23">
        <v>47076</v>
      </c>
      <c r="G454" s="42">
        <v>0</v>
      </c>
      <c r="I454" s="42">
        <v>0</v>
      </c>
      <c r="K454" s="42">
        <v>0</v>
      </c>
      <c r="M454" s="42">
        <v>0</v>
      </c>
      <c r="O454" s="42">
        <v>0</v>
      </c>
      <c r="Q454" s="42">
        <v>0</v>
      </c>
      <c r="S454" s="42">
        <v>0</v>
      </c>
      <c r="U454" s="42">
        <v>0</v>
      </c>
      <c r="W454" s="42">
        <v>0</v>
      </c>
      <c r="Y454" s="42">
        <v>0</v>
      </c>
      <c r="AA454" s="42">
        <v>0</v>
      </c>
      <c r="AC454" s="42">
        <v>0</v>
      </c>
      <c r="AE454" s="42">
        <v>0</v>
      </c>
      <c r="AG454" s="42">
        <v>0</v>
      </c>
      <c r="AI454" s="42">
        <v>0</v>
      </c>
      <c r="AK454" s="42">
        <v>0</v>
      </c>
      <c r="AL454" s="9" t="s">
        <v>884</v>
      </c>
      <c r="AM454" s="9"/>
      <c r="AN454" s="9" t="s">
        <v>28</v>
      </c>
      <c r="AP454" s="42">
        <v>0</v>
      </c>
      <c r="AR454" s="42">
        <v>0</v>
      </c>
      <c r="AV454" s="42">
        <v>0</v>
      </c>
      <c r="AX454" s="42">
        <v>0</v>
      </c>
      <c r="AZ454" s="42">
        <v>0</v>
      </c>
      <c r="BB454" s="42">
        <f t="shared" si="77"/>
        <v>0</v>
      </c>
      <c r="BD454" s="42">
        <v>0</v>
      </c>
      <c r="BF454" s="42">
        <v>0</v>
      </c>
      <c r="BH454" s="42">
        <v>0</v>
      </c>
      <c r="BJ454" s="42">
        <v>0</v>
      </c>
      <c r="BL454" s="42">
        <f t="shared" si="84"/>
        <v>0</v>
      </c>
      <c r="BN454" s="42">
        <f>+'Gen Fd Rev'!AM454-'Gen Fd Exp'!BL454</f>
        <v>0</v>
      </c>
      <c r="BP454" s="42">
        <v>0</v>
      </c>
      <c r="BR454" s="42">
        <v>0</v>
      </c>
      <c r="BT454" s="42">
        <v>0</v>
      </c>
      <c r="BV454" s="42">
        <f t="shared" si="83"/>
        <v>0</v>
      </c>
      <c r="BX454" s="5">
        <f>+BV454-'Gen Fd BS'!AI454+BT454</f>
        <v>0</v>
      </c>
    </row>
    <row r="455" spans="1:76">
      <c r="A455" s="9" t="s">
        <v>294</v>
      </c>
      <c r="B455" s="9"/>
      <c r="C455" s="9" t="s">
        <v>25</v>
      </c>
      <c r="D455" s="9"/>
      <c r="E455" s="23">
        <v>46896</v>
      </c>
      <c r="G455" s="42">
        <v>41397544</v>
      </c>
      <c r="I455" s="42">
        <v>7978997</v>
      </c>
      <c r="K455" s="42">
        <v>308389</v>
      </c>
      <c r="M455" s="42">
        <v>0</v>
      </c>
      <c r="O455" s="42">
        <v>3833367</v>
      </c>
      <c r="Q455" s="42">
        <v>5007269</v>
      </c>
      <c r="S455" s="42">
        <v>5286661</v>
      </c>
      <c r="U455" s="42">
        <v>506489</v>
      </c>
      <c r="W455" s="42">
        <v>7535511</v>
      </c>
      <c r="Y455" s="42">
        <v>1699561</v>
      </c>
      <c r="AA455" s="42">
        <v>546366</v>
      </c>
      <c r="AC455" s="42">
        <v>9435963</v>
      </c>
      <c r="AE455" s="42">
        <v>5103407</v>
      </c>
      <c r="AG455" s="42">
        <v>81952</v>
      </c>
      <c r="AI455" s="42">
        <v>0</v>
      </c>
      <c r="AK455" s="42">
        <v>57293</v>
      </c>
      <c r="AL455" s="9" t="s">
        <v>294</v>
      </c>
      <c r="AM455" s="9"/>
      <c r="AN455" s="9" t="s">
        <v>25</v>
      </c>
      <c r="AP455" s="42">
        <v>1651993</v>
      </c>
      <c r="AR455" s="42">
        <f>2313+925275</f>
        <v>927588</v>
      </c>
      <c r="AV455" s="42">
        <v>100103</v>
      </c>
      <c r="AX455" s="42">
        <v>70622</v>
      </c>
      <c r="AZ455" s="42">
        <v>0</v>
      </c>
      <c r="BB455" s="42">
        <f t="shared" si="77"/>
        <v>91529075</v>
      </c>
      <c r="BD455" s="42">
        <v>1200000</v>
      </c>
      <c r="BF455" s="42">
        <v>0</v>
      </c>
      <c r="BH455" s="42">
        <v>0</v>
      </c>
      <c r="BJ455" s="42">
        <v>0</v>
      </c>
      <c r="BL455" s="42">
        <f t="shared" si="84"/>
        <v>92729075</v>
      </c>
      <c r="BN455" s="42">
        <f>+'Gen Fd Rev'!AM455-'Gen Fd Exp'!BL455</f>
        <v>7539749</v>
      </c>
      <c r="BP455" s="42">
        <v>8747002</v>
      </c>
      <c r="BR455" s="42">
        <v>0</v>
      </c>
      <c r="BT455" s="42">
        <v>0</v>
      </c>
      <c r="BV455" s="42">
        <f t="shared" si="83"/>
        <v>16286751</v>
      </c>
      <c r="BX455" s="5">
        <f>+BV455-'Gen Fd BS'!AI455+BT455</f>
        <v>0</v>
      </c>
    </row>
    <row r="456" spans="1:76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42">
        <v>0</v>
      </c>
      <c r="M456" s="42">
        <v>0</v>
      </c>
      <c r="O456" s="42">
        <v>0</v>
      </c>
      <c r="Q456" s="42">
        <v>0</v>
      </c>
      <c r="S456" s="42">
        <v>0</v>
      </c>
      <c r="U456" s="42">
        <v>0</v>
      </c>
      <c r="W456" s="42">
        <v>0</v>
      </c>
      <c r="Y456" s="42">
        <v>0</v>
      </c>
      <c r="AA456" s="42">
        <v>0</v>
      </c>
      <c r="AC456" s="42">
        <v>0</v>
      </c>
      <c r="AE456" s="42">
        <v>0</v>
      </c>
      <c r="AG456" s="42">
        <v>0</v>
      </c>
      <c r="AI456" s="42">
        <v>0</v>
      </c>
      <c r="AK456" s="42">
        <v>0</v>
      </c>
      <c r="AL456" s="9" t="s">
        <v>815</v>
      </c>
      <c r="AM456" s="9"/>
      <c r="AN456" s="9" t="s">
        <v>28</v>
      </c>
      <c r="AP456" s="42">
        <v>0</v>
      </c>
      <c r="AR456" s="42">
        <v>0</v>
      </c>
      <c r="AV456" s="42">
        <v>0</v>
      </c>
      <c r="AX456" s="42">
        <v>0</v>
      </c>
      <c r="AZ456" s="42">
        <v>0</v>
      </c>
      <c r="BB456" s="42">
        <f t="shared" si="77"/>
        <v>0</v>
      </c>
      <c r="BD456" s="42">
        <v>0</v>
      </c>
      <c r="BF456" s="42">
        <v>0</v>
      </c>
      <c r="BH456" s="42">
        <v>0</v>
      </c>
      <c r="BJ456" s="42">
        <v>0</v>
      </c>
      <c r="BL456" s="42">
        <f t="shared" si="84"/>
        <v>0</v>
      </c>
      <c r="BN456" s="42">
        <f>+'Gen Fd Rev'!AM456-'Gen Fd Exp'!BL456</f>
        <v>0</v>
      </c>
      <c r="BP456" s="42">
        <v>0</v>
      </c>
      <c r="BR456" s="42">
        <v>0</v>
      </c>
      <c r="BT456" s="42">
        <v>0</v>
      </c>
      <c r="BV456" s="42">
        <f t="shared" si="83"/>
        <v>0</v>
      </c>
      <c r="BX456" s="5">
        <f>+BV456-'Gen Fd BS'!AI456+BT456</f>
        <v>0</v>
      </c>
    </row>
    <row r="457" spans="1:76">
      <c r="A457" s="9" t="s">
        <v>422</v>
      </c>
      <c r="B457" s="9"/>
      <c r="C457" s="9" t="s">
        <v>48</v>
      </c>
      <c r="D457" s="9"/>
      <c r="E457" s="23">
        <v>44644</v>
      </c>
      <c r="G457" s="42">
        <v>19281200</v>
      </c>
      <c r="I457" s="42">
        <v>0</v>
      </c>
      <c r="K457" s="42">
        <v>0</v>
      </c>
      <c r="M457" s="42">
        <v>0</v>
      </c>
      <c r="O457" s="42">
        <v>0</v>
      </c>
      <c r="Q457" s="42">
        <v>924974</v>
      </c>
      <c r="S457" s="42">
        <v>1827220</v>
      </c>
      <c r="U457" s="42">
        <v>30160</v>
      </c>
      <c r="W457" s="42">
        <v>2258830</v>
      </c>
      <c r="Y457" s="42">
        <v>615258</v>
      </c>
      <c r="AA457" s="42">
        <v>261</v>
      </c>
      <c r="AC457" s="42">
        <v>2618058</v>
      </c>
      <c r="AE457" s="42">
        <v>1353581</v>
      </c>
      <c r="AG457" s="42">
        <v>207601</v>
      </c>
      <c r="AI457" s="42">
        <v>0</v>
      </c>
      <c r="AK457" s="42">
        <v>0</v>
      </c>
      <c r="AL457" s="9" t="s">
        <v>422</v>
      </c>
      <c r="AM457" s="9"/>
      <c r="AN457" s="9" t="s">
        <v>48</v>
      </c>
      <c r="AP457" s="42">
        <v>380216</v>
      </c>
      <c r="AR457" s="42">
        <v>0</v>
      </c>
      <c r="AV457" s="42">
        <v>0</v>
      </c>
      <c r="AX457" s="42">
        <v>0</v>
      </c>
      <c r="AZ457" s="42">
        <v>0</v>
      </c>
      <c r="BB457" s="42">
        <f t="shared" si="77"/>
        <v>29497359</v>
      </c>
      <c r="BD457" s="42">
        <v>0</v>
      </c>
      <c r="BF457" s="42">
        <v>0</v>
      </c>
      <c r="BH457" s="42">
        <v>0</v>
      </c>
      <c r="BJ457" s="42">
        <v>0</v>
      </c>
      <c r="BL457" s="42">
        <f t="shared" si="84"/>
        <v>29497359</v>
      </c>
      <c r="BN457" s="42">
        <f>+'Gen Fd Rev'!AM457-'Gen Fd Exp'!BL457</f>
        <v>903677</v>
      </c>
      <c r="BP457" s="42">
        <v>7782803</v>
      </c>
      <c r="BR457" s="42">
        <v>168</v>
      </c>
      <c r="BT457" s="42">
        <v>0</v>
      </c>
      <c r="BV457" s="42">
        <f t="shared" si="83"/>
        <v>8686312</v>
      </c>
      <c r="BX457" s="5">
        <f>+BV457-'Gen Fd BS'!AI457+BT457</f>
        <v>0</v>
      </c>
    </row>
    <row r="458" spans="1:76">
      <c r="A458" s="9" t="s">
        <v>304</v>
      </c>
      <c r="B458" s="9"/>
      <c r="C458" s="9" t="s">
        <v>62</v>
      </c>
      <c r="D458" s="9"/>
      <c r="E458" s="23">
        <v>49932</v>
      </c>
      <c r="G458" s="42">
        <v>23156478</v>
      </c>
      <c r="I458" s="42">
        <v>5748158</v>
      </c>
      <c r="K458" s="42">
        <v>1227744</v>
      </c>
      <c r="M458" s="42">
        <v>0</v>
      </c>
      <c r="O458" s="42">
        <v>228071</v>
      </c>
      <c r="Q458" s="42">
        <v>2409723</v>
      </c>
      <c r="S458" s="42">
        <v>1336252</v>
      </c>
      <c r="U458" s="42">
        <v>59207</v>
      </c>
      <c r="W458" s="42">
        <v>3300153</v>
      </c>
      <c r="Y458" s="42">
        <v>997239</v>
      </c>
      <c r="AA458" s="42">
        <v>162540</v>
      </c>
      <c r="AC458" s="42">
        <v>5212741</v>
      </c>
      <c r="AE458" s="42">
        <v>3094694</v>
      </c>
      <c r="AG458" s="42">
        <v>197566</v>
      </c>
      <c r="AI458" s="42">
        <v>0</v>
      </c>
      <c r="AK458" s="42">
        <v>0</v>
      </c>
      <c r="AL458" s="9" t="s">
        <v>304</v>
      </c>
      <c r="AM458" s="9"/>
      <c r="AN458" s="9" t="s">
        <v>62</v>
      </c>
      <c r="AP458" s="42">
        <v>927672</v>
      </c>
      <c r="AR458" s="42">
        <v>0</v>
      </c>
      <c r="AV458" s="42">
        <v>0</v>
      </c>
      <c r="AX458" s="42">
        <v>0</v>
      </c>
      <c r="AZ458" s="42">
        <v>0</v>
      </c>
      <c r="BB458" s="42">
        <f t="shared" si="77"/>
        <v>48058238</v>
      </c>
      <c r="BD458" s="42">
        <v>0</v>
      </c>
      <c r="BF458" s="42">
        <v>0</v>
      </c>
      <c r="BH458" s="42">
        <v>0</v>
      </c>
      <c r="BJ458" s="42">
        <v>0</v>
      </c>
      <c r="BL458" s="42">
        <f t="shared" si="84"/>
        <v>48058238</v>
      </c>
      <c r="BN458" s="42">
        <f>+'Gen Fd Rev'!AM458-'Gen Fd Exp'!BL458</f>
        <v>341076</v>
      </c>
      <c r="BP458" s="42">
        <v>7624178</v>
      </c>
      <c r="BR458" s="42">
        <v>11860</v>
      </c>
      <c r="BT458" s="42">
        <v>0</v>
      </c>
      <c r="BV458" s="42">
        <f t="shared" si="83"/>
        <v>7953394</v>
      </c>
      <c r="BX458" s="5">
        <f>+BV458-'Gen Fd BS'!AI458+BT458</f>
        <v>0</v>
      </c>
    </row>
    <row r="459" spans="1:76">
      <c r="A459" s="9" t="s">
        <v>408</v>
      </c>
      <c r="B459" s="9"/>
      <c r="C459" s="9" t="s">
        <v>46</v>
      </c>
      <c r="D459" s="9"/>
      <c r="E459" s="23">
        <v>48421</v>
      </c>
      <c r="G459" s="42">
        <v>6895451</v>
      </c>
      <c r="I459" s="42">
        <v>653760</v>
      </c>
      <c r="K459" s="42">
        <v>128578</v>
      </c>
      <c r="M459" s="42">
        <v>0</v>
      </c>
      <c r="O459" s="42">
        <v>0</v>
      </c>
      <c r="Q459" s="42">
        <v>137436</v>
      </c>
      <c r="S459" s="42">
        <v>304542</v>
      </c>
      <c r="U459" s="42">
        <v>73128</v>
      </c>
      <c r="W459" s="42">
        <v>839116</v>
      </c>
      <c r="Y459" s="42">
        <v>303139</v>
      </c>
      <c r="AA459" s="42">
        <v>0</v>
      </c>
      <c r="AC459" s="42">
        <v>790560</v>
      </c>
      <c r="AE459" s="42">
        <v>376364</v>
      </c>
      <c r="AG459" s="42">
        <v>0</v>
      </c>
      <c r="AI459" s="42">
        <v>0</v>
      </c>
      <c r="AK459" s="42">
        <v>0</v>
      </c>
      <c r="AL459" s="9" t="s">
        <v>408</v>
      </c>
      <c r="AM459" s="9"/>
      <c r="AN459" s="9" t="s">
        <v>46</v>
      </c>
      <c r="AP459" s="42">
        <v>259331</v>
      </c>
      <c r="AR459" s="42">
        <v>0</v>
      </c>
      <c r="AV459" s="42">
        <v>64876</v>
      </c>
      <c r="AX459" s="42">
        <v>10914</v>
      </c>
      <c r="AZ459" s="42">
        <v>0</v>
      </c>
      <c r="BB459" s="42">
        <f t="shared" ref="BB459:BB487" si="85">SUM(G459:AZ459)</f>
        <v>10837195</v>
      </c>
      <c r="BD459" s="42">
        <v>25596</v>
      </c>
      <c r="BF459" s="42">
        <v>0</v>
      </c>
      <c r="BH459" s="42">
        <v>0</v>
      </c>
      <c r="BJ459" s="42">
        <v>0</v>
      </c>
      <c r="BL459" s="42">
        <f t="shared" si="84"/>
        <v>10862791</v>
      </c>
      <c r="BN459" s="42">
        <f>+'Gen Fd Rev'!AM459-'Gen Fd Exp'!BL459</f>
        <v>-499931</v>
      </c>
      <c r="BP459" s="42">
        <v>2939103</v>
      </c>
      <c r="BR459" s="42">
        <v>0</v>
      </c>
      <c r="BT459" s="42">
        <v>0</v>
      </c>
      <c r="BV459" s="42">
        <f t="shared" si="83"/>
        <v>2439172</v>
      </c>
      <c r="BX459" s="5">
        <f>+BV459-'Gen Fd BS'!AI459+BT459</f>
        <v>0</v>
      </c>
    </row>
    <row r="460" spans="1:76" ht="12" customHeight="1">
      <c r="A460" s="9" t="s">
        <v>468</v>
      </c>
      <c r="B460" s="9"/>
      <c r="C460" s="9" t="s">
        <v>109</v>
      </c>
      <c r="D460" s="9"/>
      <c r="E460" s="23">
        <v>49460</v>
      </c>
      <c r="F460" s="7"/>
      <c r="G460" s="42">
        <v>3070054</v>
      </c>
      <c r="I460" s="42">
        <v>956909</v>
      </c>
      <c r="K460" s="42">
        <v>122067</v>
      </c>
      <c r="M460" s="42">
        <v>0</v>
      </c>
      <c r="O460" s="42">
        <v>491138</v>
      </c>
      <c r="Q460" s="42">
        <v>489508</v>
      </c>
      <c r="S460" s="42">
        <v>231230</v>
      </c>
      <c r="U460" s="42">
        <v>19361</v>
      </c>
      <c r="W460" s="42">
        <v>745286</v>
      </c>
      <c r="Y460" s="42">
        <v>231082</v>
      </c>
      <c r="AA460" s="42">
        <v>5450</v>
      </c>
      <c r="AC460" s="42">
        <v>806755</v>
      </c>
      <c r="AE460" s="42">
        <v>571171</v>
      </c>
      <c r="AG460" s="42">
        <v>15866</v>
      </c>
      <c r="AI460" s="42">
        <v>0</v>
      </c>
      <c r="AK460" s="42">
        <v>0</v>
      </c>
      <c r="AL460" s="9" t="s">
        <v>468</v>
      </c>
      <c r="AM460" s="9"/>
      <c r="AN460" s="9" t="s">
        <v>109</v>
      </c>
      <c r="AP460" s="42">
        <v>236071</v>
      </c>
      <c r="AR460" s="42">
        <v>149818</v>
      </c>
      <c r="AV460" s="42">
        <v>45365</v>
      </c>
      <c r="AX460" s="42">
        <v>39013</v>
      </c>
      <c r="AZ460" s="42">
        <v>0</v>
      </c>
      <c r="BB460" s="42">
        <f t="shared" si="85"/>
        <v>8226144</v>
      </c>
      <c r="BD460" s="42">
        <v>16000</v>
      </c>
      <c r="BF460" s="42">
        <v>0</v>
      </c>
      <c r="BH460" s="42">
        <v>0</v>
      </c>
      <c r="BJ460" s="42">
        <v>0</v>
      </c>
      <c r="BL460" s="42">
        <f t="shared" si="84"/>
        <v>8242144</v>
      </c>
      <c r="BN460" s="42">
        <f>+'Gen Fd Rev'!AM460-'Gen Fd Exp'!BL460</f>
        <v>30444</v>
      </c>
      <c r="BP460" s="42">
        <v>2629458</v>
      </c>
      <c r="BR460" s="42">
        <v>0</v>
      </c>
      <c r="BT460" s="42">
        <v>0</v>
      </c>
      <c r="BV460" s="42">
        <f t="shared" si="83"/>
        <v>2659902</v>
      </c>
      <c r="BX460" s="5">
        <f>+BV460-'Gen Fd BS'!AI460+BT460</f>
        <v>0</v>
      </c>
    </row>
    <row r="461" spans="1:76" ht="12" customHeight="1">
      <c r="A461" s="9" t="s">
        <v>718</v>
      </c>
      <c r="B461" s="9"/>
      <c r="C461" s="9" t="s">
        <v>45</v>
      </c>
      <c r="D461" s="9"/>
      <c r="E461" s="23">
        <v>48348</v>
      </c>
      <c r="G461" s="42">
        <v>9720196</v>
      </c>
      <c r="I461" s="42">
        <v>1819248</v>
      </c>
      <c r="K461" s="42">
        <v>139593</v>
      </c>
      <c r="M461" s="42">
        <v>128806</v>
      </c>
      <c r="O461" s="42">
        <v>5693</v>
      </c>
      <c r="Q461" s="42">
        <v>1189260</v>
      </c>
      <c r="S461" s="42">
        <v>482065</v>
      </c>
      <c r="U461" s="42">
        <v>25615</v>
      </c>
      <c r="W461" s="42">
        <v>1391500</v>
      </c>
      <c r="Y461" s="42">
        <v>531356</v>
      </c>
      <c r="AA461" s="42">
        <v>254</v>
      </c>
      <c r="AC461" s="42">
        <v>1811046</v>
      </c>
      <c r="AE461" s="42">
        <v>762396</v>
      </c>
      <c r="AG461" s="42">
        <v>0</v>
      </c>
      <c r="AI461" s="42">
        <v>0</v>
      </c>
      <c r="AK461" s="42">
        <v>0</v>
      </c>
      <c r="AL461" s="9" t="s">
        <v>718</v>
      </c>
      <c r="AM461" s="9"/>
      <c r="AN461" s="9" t="s">
        <v>45</v>
      </c>
      <c r="AP461" s="42">
        <v>541157</v>
      </c>
      <c r="AR461" s="42">
        <v>48300</v>
      </c>
      <c r="AV461" s="42">
        <v>123632</v>
      </c>
      <c r="AX461" s="42">
        <v>11562</v>
      </c>
      <c r="AZ461" s="42">
        <v>0</v>
      </c>
      <c r="BB461" s="42">
        <f t="shared" si="85"/>
        <v>18731679</v>
      </c>
      <c r="BD461" s="42">
        <v>65000</v>
      </c>
      <c r="BF461" s="42">
        <v>0</v>
      </c>
      <c r="BH461" s="42">
        <v>0</v>
      </c>
      <c r="BJ461" s="42">
        <v>0</v>
      </c>
      <c r="BL461" s="42">
        <f t="shared" si="84"/>
        <v>18796679</v>
      </c>
      <c r="BN461" s="42">
        <f>+'Gen Fd Rev'!AM461-'Gen Fd Exp'!BL461</f>
        <v>771388</v>
      </c>
      <c r="BP461" s="42">
        <v>-255743</v>
      </c>
      <c r="BR461" s="42">
        <v>0</v>
      </c>
      <c r="BT461" s="42">
        <v>0</v>
      </c>
      <c r="BV461" s="42">
        <f t="shared" si="83"/>
        <v>515645</v>
      </c>
      <c r="BX461" s="5">
        <f>+BV461-'Gen Fd BS'!AI461+BT461</f>
        <v>0</v>
      </c>
    </row>
    <row r="462" spans="1:76" ht="12" hidden="1" customHeight="1">
      <c r="A462" s="9" t="s">
        <v>816</v>
      </c>
      <c r="B462" s="9"/>
      <c r="C462" s="9" t="s">
        <v>53</v>
      </c>
      <c r="D462" s="9"/>
      <c r="E462" s="23">
        <v>44651</v>
      </c>
      <c r="G462" s="42">
        <v>0</v>
      </c>
      <c r="I462" s="42">
        <v>0</v>
      </c>
      <c r="K462" s="42">
        <v>0</v>
      </c>
      <c r="M462" s="42">
        <v>0</v>
      </c>
      <c r="O462" s="42">
        <v>0</v>
      </c>
      <c r="Q462" s="42">
        <v>0</v>
      </c>
      <c r="S462" s="42">
        <v>0</v>
      </c>
      <c r="U462" s="42">
        <v>0</v>
      </c>
      <c r="W462" s="42">
        <v>0</v>
      </c>
      <c r="Y462" s="42">
        <v>0</v>
      </c>
      <c r="AA462" s="42">
        <v>0</v>
      </c>
      <c r="AC462" s="42">
        <v>0</v>
      </c>
      <c r="AE462" s="42">
        <v>0</v>
      </c>
      <c r="AG462" s="42">
        <v>0</v>
      </c>
      <c r="AI462" s="42">
        <v>0</v>
      </c>
      <c r="AK462" s="42">
        <v>0</v>
      </c>
      <c r="AL462" s="9" t="s">
        <v>816</v>
      </c>
      <c r="AM462" s="9"/>
      <c r="AN462" s="9" t="s">
        <v>53</v>
      </c>
      <c r="AP462" s="42">
        <v>0</v>
      </c>
      <c r="AR462" s="42">
        <v>0</v>
      </c>
      <c r="AV462" s="42">
        <v>0</v>
      </c>
      <c r="AX462" s="42">
        <v>0</v>
      </c>
      <c r="AZ462" s="42">
        <v>0</v>
      </c>
      <c r="BB462" s="42">
        <f t="shared" si="85"/>
        <v>0</v>
      </c>
      <c r="BD462" s="42">
        <v>0</v>
      </c>
      <c r="BF462" s="42">
        <v>0</v>
      </c>
      <c r="BH462" s="42">
        <v>0</v>
      </c>
      <c r="BJ462" s="42">
        <v>0</v>
      </c>
      <c r="BL462" s="42">
        <f t="shared" si="84"/>
        <v>0</v>
      </c>
      <c r="BN462" s="42">
        <f>+'Gen Fd Rev'!AM462-'Gen Fd Exp'!BL462</f>
        <v>0</v>
      </c>
      <c r="BP462" s="42">
        <v>0</v>
      </c>
      <c r="BR462" s="42">
        <v>0</v>
      </c>
      <c r="BT462" s="42">
        <v>0</v>
      </c>
      <c r="BV462" s="42">
        <f t="shared" si="83"/>
        <v>0</v>
      </c>
      <c r="BX462" s="5">
        <f>+BV462-'Gen Fd BS'!AI462+BT462</f>
        <v>0</v>
      </c>
    </row>
    <row r="463" spans="1:76" ht="12" customHeight="1">
      <c r="A463" s="9" t="s">
        <v>481</v>
      </c>
      <c r="B463" s="9"/>
      <c r="C463" s="9" t="s">
        <v>59</v>
      </c>
      <c r="D463" s="9"/>
      <c r="E463" s="23">
        <v>44669</v>
      </c>
      <c r="G463" s="42">
        <v>12901297</v>
      </c>
      <c r="I463" s="42">
        <v>3785520</v>
      </c>
      <c r="K463" s="42">
        <v>314023</v>
      </c>
      <c r="M463" s="42">
        <v>0</v>
      </c>
      <c r="O463" s="42">
        <v>172259</v>
      </c>
      <c r="Q463" s="42">
        <v>1749323</v>
      </c>
      <c r="S463" s="42">
        <v>1328301</v>
      </c>
      <c r="U463" s="42">
        <v>28682</v>
      </c>
      <c r="W463" s="42">
        <v>1398652</v>
      </c>
      <c r="Y463" s="42">
        <v>576699</v>
      </c>
      <c r="AA463" s="42">
        <v>101286</v>
      </c>
      <c r="AC463" s="42">
        <v>2241788</v>
      </c>
      <c r="AE463" s="42">
        <v>515050</v>
      </c>
      <c r="AG463" s="42">
        <v>41843</v>
      </c>
      <c r="AI463" s="42">
        <v>0</v>
      </c>
      <c r="AK463" s="42">
        <v>1098</v>
      </c>
      <c r="AL463" s="9" t="s">
        <v>481</v>
      </c>
      <c r="AM463" s="9"/>
      <c r="AN463" s="9" t="s">
        <v>59</v>
      </c>
      <c r="AP463" s="42">
        <v>271124</v>
      </c>
      <c r="AR463" s="42">
        <v>179424</v>
      </c>
      <c r="AV463" s="42">
        <v>67755</v>
      </c>
      <c r="AX463" s="42">
        <v>5712</v>
      </c>
      <c r="AZ463" s="42">
        <v>0</v>
      </c>
      <c r="BB463" s="42">
        <f t="shared" si="85"/>
        <v>25679836</v>
      </c>
      <c r="BD463" s="42">
        <v>0</v>
      </c>
      <c r="BF463" s="42">
        <v>0</v>
      </c>
      <c r="BH463" s="42">
        <v>0</v>
      </c>
      <c r="BJ463" s="42">
        <v>0</v>
      </c>
      <c r="BL463" s="42">
        <f t="shared" si="84"/>
        <v>25679836</v>
      </c>
      <c r="BN463" s="42">
        <f>+'Gen Fd Rev'!AM463-'Gen Fd Exp'!BL463</f>
        <v>-1558596</v>
      </c>
      <c r="BP463" s="42">
        <v>1451283</v>
      </c>
      <c r="BR463" s="42">
        <v>0</v>
      </c>
      <c r="BT463" s="42">
        <v>0</v>
      </c>
      <c r="BV463" s="42">
        <f t="shared" si="83"/>
        <v>-107313</v>
      </c>
      <c r="BX463" s="5">
        <f>+BV463-'Gen Fd BS'!AI463+BT463</f>
        <v>0</v>
      </c>
    </row>
    <row r="464" spans="1:76" ht="12" hidden="1" customHeight="1">
      <c r="A464" s="9" t="s">
        <v>684</v>
      </c>
      <c r="B464" s="9"/>
      <c r="C464" s="9" t="s">
        <v>57</v>
      </c>
      <c r="D464" s="9"/>
      <c r="E464" s="23">
        <v>49288</v>
      </c>
      <c r="G464" s="42">
        <v>0</v>
      </c>
      <c r="I464" s="42">
        <v>0</v>
      </c>
      <c r="K464" s="42">
        <v>0</v>
      </c>
      <c r="M464" s="42">
        <v>0</v>
      </c>
      <c r="O464" s="42">
        <v>0</v>
      </c>
      <c r="Q464" s="42">
        <v>0</v>
      </c>
      <c r="S464" s="42">
        <v>0</v>
      </c>
      <c r="U464" s="42">
        <v>0</v>
      </c>
      <c r="W464" s="42">
        <v>0</v>
      </c>
      <c r="Y464" s="42">
        <v>0</v>
      </c>
      <c r="AA464" s="42">
        <v>0</v>
      </c>
      <c r="AC464" s="42">
        <v>0</v>
      </c>
      <c r="AE464" s="42">
        <v>0</v>
      </c>
      <c r="AG464" s="42">
        <v>0</v>
      </c>
      <c r="AI464" s="42">
        <v>0</v>
      </c>
      <c r="AK464" s="42">
        <v>0</v>
      </c>
      <c r="AL464" s="9" t="s">
        <v>684</v>
      </c>
      <c r="AM464" s="9"/>
      <c r="AN464" s="9" t="s">
        <v>57</v>
      </c>
      <c r="AP464" s="42">
        <v>0</v>
      </c>
      <c r="AR464" s="42">
        <v>0</v>
      </c>
      <c r="AV464" s="42">
        <v>0</v>
      </c>
      <c r="AX464" s="42">
        <v>0</v>
      </c>
      <c r="AZ464" s="42">
        <v>0</v>
      </c>
      <c r="BB464" s="42">
        <f t="shared" si="85"/>
        <v>0</v>
      </c>
      <c r="BD464" s="42">
        <v>0</v>
      </c>
      <c r="BF464" s="42">
        <v>0</v>
      </c>
      <c r="BH464" s="42">
        <v>0</v>
      </c>
      <c r="BJ464" s="42">
        <v>0</v>
      </c>
      <c r="BL464" s="42">
        <f t="shared" si="84"/>
        <v>0</v>
      </c>
      <c r="BN464" s="42">
        <f>+'Gen Fd Rev'!AM464-'Gen Fd Exp'!BL464</f>
        <v>0</v>
      </c>
      <c r="BP464" s="42">
        <v>0</v>
      </c>
      <c r="BR464" s="42">
        <v>0</v>
      </c>
      <c r="BT464" s="42">
        <v>0</v>
      </c>
      <c r="BV464" s="42">
        <f t="shared" si="83"/>
        <v>0</v>
      </c>
      <c r="BX464" s="5">
        <f>+BV464-'Gen Fd BS'!AI464+BT464</f>
        <v>0</v>
      </c>
    </row>
    <row r="465" spans="1:76" ht="12" customHeight="1">
      <c r="A465" s="9" t="s">
        <v>327</v>
      </c>
      <c r="B465" s="9"/>
      <c r="C465" s="9" t="s">
        <v>32</v>
      </c>
      <c r="D465" s="9"/>
      <c r="E465" s="23">
        <v>44677</v>
      </c>
      <c r="G465" s="42">
        <v>33826085</v>
      </c>
      <c r="I465" s="42">
        <v>8372473</v>
      </c>
      <c r="K465" s="42">
        <v>53388</v>
      </c>
      <c r="M465" s="42">
        <v>0</v>
      </c>
      <c r="O465" s="42">
        <v>2262059</v>
      </c>
      <c r="Q465" s="42">
        <v>3932768</v>
      </c>
      <c r="S465" s="42">
        <v>826700</v>
      </c>
      <c r="U465" s="42">
        <v>0</v>
      </c>
      <c r="W465" s="42">
        <f>222072+5885080</f>
        <v>6107152</v>
      </c>
      <c r="Y465" s="42">
        <v>1931817</v>
      </c>
      <c r="AA465" s="42">
        <v>215765</v>
      </c>
      <c r="AC465" s="42">
        <v>7379317</v>
      </c>
      <c r="AE465" s="42">
        <v>5263173</v>
      </c>
      <c r="AG465" s="42">
        <v>823591</v>
      </c>
      <c r="AI465" s="42">
        <v>0</v>
      </c>
      <c r="AK465" s="42">
        <v>159367</v>
      </c>
      <c r="AL465" s="9" t="s">
        <v>327</v>
      </c>
      <c r="AM465" s="9"/>
      <c r="AN465" s="9" t="s">
        <v>32</v>
      </c>
      <c r="AP465" s="42">
        <v>203096</v>
      </c>
      <c r="AR465" s="42">
        <v>217500</v>
      </c>
      <c r="AV465" s="42">
        <v>0</v>
      </c>
      <c r="AX465" s="42">
        <v>0</v>
      </c>
      <c r="AZ465" s="42">
        <v>0</v>
      </c>
      <c r="BB465" s="42">
        <f t="shared" si="85"/>
        <v>71574251</v>
      </c>
      <c r="BD465" s="42">
        <v>2480386</v>
      </c>
      <c r="BF465" s="42">
        <v>0</v>
      </c>
      <c r="BH465" s="42">
        <v>0</v>
      </c>
      <c r="BJ465" s="42">
        <v>0</v>
      </c>
      <c r="BL465" s="42">
        <f t="shared" si="84"/>
        <v>74054637</v>
      </c>
      <c r="BN465" s="42">
        <f>+'Gen Fd Rev'!AM465-'Gen Fd Exp'!BL465</f>
        <v>1223546</v>
      </c>
      <c r="BP465" s="42">
        <v>16403288</v>
      </c>
      <c r="BR465" s="42">
        <v>0</v>
      </c>
      <c r="BT465" s="42">
        <v>0</v>
      </c>
      <c r="BV465" s="42">
        <f t="shared" si="83"/>
        <v>17626834</v>
      </c>
      <c r="BX465" s="5">
        <f>+BV465-'Gen Fd BS'!AI465+BT465</f>
        <v>0</v>
      </c>
    </row>
    <row r="466" spans="1:76" ht="12" hidden="1" customHeight="1">
      <c r="A466" s="9" t="s">
        <v>817</v>
      </c>
      <c r="B466" s="9"/>
      <c r="C466" s="9" t="s">
        <v>53</v>
      </c>
      <c r="D466" s="9"/>
      <c r="E466" s="23">
        <v>48975</v>
      </c>
      <c r="G466" s="42">
        <v>0</v>
      </c>
      <c r="I466" s="42">
        <v>0</v>
      </c>
      <c r="K466" s="42">
        <v>0</v>
      </c>
      <c r="M466" s="42">
        <v>0</v>
      </c>
      <c r="O466" s="42">
        <v>0</v>
      </c>
      <c r="Q466" s="42">
        <v>0</v>
      </c>
      <c r="S466" s="42">
        <v>0</v>
      </c>
      <c r="U466" s="42">
        <v>0</v>
      </c>
      <c r="W466" s="42">
        <v>0</v>
      </c>
      <c r="Y466" s="42">
        <v>0</v>
      </c>
      <c r="AA466" s="42">
        <v>0</v>
      </c>
      <c r="AC466" s="42">
        <v>0</v>
      </c>
      <c r="AE466" s="42">
        <v>0</v>
      </c>
      <c r="AG466" s="42">
        <v>0</v>
      </c>
      <c r="AI466" s="42">
        <v>0</v>
      </c>
      <c r="AK466" s="42">
        <v>0</v>
      </c>
      <c r="AL466" s="9" t="s">
        <v>817</v>
      </c>
      <c r="AM466" s="9"/>
      <c r="AN466" s="9" t="s">
        <v>53</v>
      </c>
      <c r="AP466" s="42">
        <v>0</v>
      </c>
      <c r="AR466" s="42">
        <v>0</v>
      </c>
      <c r="AV466" s="42">
        <v>0</v>
      </c>
      <c r="AX466" s="42">
        <v>0</v>
      </c>
      <c r="AZ466" s="42">
        <v>0</v>
      </c>
      <c r="BB466" s="42">
        <f t="shared" ref="BB466" si="86">SUM(G466:AZ466)</f>
        <v>0</v>
      </c>
      <c r="BD466" s="42">
        <v>0</v>
      </c>
      <c r="BF466" s="42">
        <v>0</v>
      </c>
      <c r="BH466" s="42">
        <v>0</v>
      </c>
      <c r="BJ466" s="42">
        <v>0</v>
      </c>
      <c r="BL466" s="42">
        <f t="shared" ref="BL466" si="87">+BB466+BD466+BF466+BJ466</f>
        <v>0</v>
      </c>
      <c r="BN466" s="42">
        <f>+'Gen Fd Rev'!AM466-'Gen Fd Exp'!BL466</f>
        <v>0</v>
      </c>
      <c r="BP466" s="42">
        <v>0</v>
      </c>
      <c r="BR466" s="42">
        <v>0</v>
      </c>
      <c r="BT466" s="42">
        <v>0</v>
      </c>
      <c r="BV466" s="42">
        <f t="shared" si="83"/>
        <v>0</v>
      </c>
      <c r="BX466" s="5">
        <f>+BV466-'Gen Fd BS'!AI466+BT466</f>
        <v>0</v>
      </c>
    </row>
    <row r="467" spans="1:76" ht="12" hidden="1" customHeight="1">
      <c r="A467" s="9" t="s">
        <v>818</v>
      </c>
      <c r="B467" s="9"/>
      <c r="C467" s="9" t="s">
        <v>12</v>
      </c>
      <c r="D467" s="9"/>
      <c r="E467" s="23">
        <v>45880</v>
      </c>
      <c r="G467" s="42">
        <v>0</v>
      </c>
      <c r="I467" s="42">
        <v>0</v>
      </c>
      <c r="K467" s="42">
        <v>0</v>
      </c>
      <c r="M467" s="42">
        <v>0</v>
      </c>
      <c r="O467" s="42">
        <v>0</v>
      </c>
      <c r="Q467" s="42">
        <v>0</v>
      </c>
      <c r="S467" s="42">
        <v>0</v>
      </c>
      <c r="U467" s="42">
        <v>0</v>
      </c>
      <c r="W467" s="42">
        <v>0</v>
      </c>
      <c r="Y467" s="42">
        <v>0</v>
      </c>
      <c r="AA467" s="42">
        <v>0</v>
      </c>
      <c r="AC467" s="42">
        <v>0</v>
      </c>
      <c r="AE467" s="42">
        <v>0</v>
      </c>
      <c r="AG467" s="42">
        <v>0</v>
      </c>
      <c r="AI467" s="42">
        <v>0</v>
      </c>
      <c r="AK467" s="42">
        <v>0</v>
      </c>
      <c r="AL467" s="9" t="s">
        <v>818</v>
      </c>
      <c r="AM467" s="9"/>
      <c r="AN467" s="9" t="s">
        <v>12</v>
      </c>
      <c r="AP467" s="42">
        <v>0</v>
      </c>
      <c r="AR467" s="42">
        <v>0</v>
      </c>
      <c r="AV467" s="42">
        <v>0</v>
      </c>
      <c r="AX467" s="42">
        <v>0</v>
      </c>
      <c r="AZ467" s="42">
        <v>0</v>
      </c>
      <c r="BB467" s="42">
        <f t="shared" si="85"/>
        <v>0</v>
      </c>
      <c r="BD467" s="42">
        <v>0</v>
      </c>
      <c r="BF467" s="42">
        <v>0</v>
      </c>
      <c r="BH467" s="42">
        <v>0</v>
      </c>
      <c r="BJ467" s="42">
        <v>0</v>
      </c>
      <c r="BL467" s="42">
        <f t="shared" si="84"/>
        <v>0</v>
      </c>
      <c r="BN467" s="42">
        <f>+'Gen Fd Rev'!AM467-'Gen Fd Exp'!BL467</f>
        <v>0</v>
      </c>
      <c r="BP467" s="42">
        <v>0</v>
      </c>
      <c r="BR467" s="42">
        <v>0</v>
      </c>
      <c r="BT467" s="42">
        <v>0</v>
      </c>
      <c r="BV467" s="42">
        <f t="shared" si="83"/>
        <v>0</v>
      </c>
      <c r="BX467" s="5">
        <f>+BV467-'Gen Fd BS'!AI467+BT467</f>
        <v>0</v>
      </c>
    </row>
    <row r="468" spans="1:76" s="24" customFormat="1" ht="12" customHeight="1">
      <c r="A468" s="51" t="s">
        <v>627</v>
      </c>
      <c r="B468" s="51"/>
      <c r="C468" s="51" t="s">
        <v>56</v>
      </c>
      <c r="D468" s="51"/>
      <c r="E468" s="23">
        <v>44685</v>
      </c>
      <c r="G468" s="42">
        <v>10034473</v>
      </c>
      <c r="H468" s="42"/>
      <c r="I468" s="42">
        <v>4206407</v>
      </c>
      <c r="J468" s="42"/>
      <c r="K468" s="42">
        <v>313467</v>
      </c>
      <c r="L468" s="42"/>
      <c r="M468" s="42">
        <v>0</v>
      </c>
      <c r="N468" s="42"/>
      <c r="O468" s="42">
        <v>1874323</v>
      </c>
      <c r="P468" s="42"/>
      <c r="Q468" s="42">
        <v>1456658</v>
      </c>
      <c r="R468" s="42"/>
      <c r="S468" s="42">
        <v>738937</v>
      </c>
      <c r="T468" s="42"/>
      <c r="U468" s="42">
        <v>99802</v>
      </c>
      <c r="V468" s="42"/>
      <c r="W468" s="42">
        <v>2139300</v>
      </c>
      <c r="X468" s="42"/>
      <c r="Y468" s="42">
        <v>669753</v>
      </c>
      <c r="Z468" s="42"/>
      <c r="AA468" s="42">
        <v>208599</v>
      </c>
      <c r="AB468" s="42"/>
      <c r="AC468" s="42">
        <v>2499862</v>
      </c>
      <c r="AD468" s="42"/>
      <c r="AE468" s="42">
        <v>1236140</v>
      </c>
      <c r="AF468" s="42"/>
      <c r="AG468" s="42">
        <v>757004</v>
      </c>
      <c r="AH468" s="42"/>
      <c r="AI468" s="42">
        <v>0</v>
      </c>
      <c r="AJ468" s="42"/>
      <c r="AK468" s="42">
        <v>0</v>
      </c>
      <c r="AL468" s="51" t="s">
        <v>627</v>
      </c>
      <c r="AM468" s="51"/>
      <c r="AN468" s="51" t="s">
        <v>56</v>
      </c>
      <c r="AP468" s="42">
        <v>641555</v>
      </c>
      <c r="AQ468" s="42"/>
      <c r="AR468" s="42">
        <v>398697</v>
      </c>
      <c r="AS468" s="42"/>
      <c r="AT468" s="42"/>
      <c r="AU468" s="42"/>
      <c r="AV468" s="42">
        <v>0</v>
      </c>
      <c r="AW468" s="42"/>
      <c r="AX468" s="42">
        <v>0</v>
      </c>
      <c r="AY468" s="42"/>
      <c r="AZ468" s="42">
        <v>0</v>
      </c>
      <c r="BA468" s="42"/>
      <c r="BB468" s="42">
        <f t="shared" si="85"/>
        <v>27274977</v>
      </c>
      <c r="BC468" s="42"/>
      <c r="BD468" s="42">
        <v>242432</v>
      </c>
      <c r="BE468" s="42"/>
      <c r="BF468" s="42">
        <v>0</v>
      </c>
      <c r="BG468" s="42"/>
      <c r="BH468" s="42">
        <v>0</v>
      </c>
      <c r="BI468" s="42"/>
      <c r="BJ468" s="42">
        <v>0</v>
      </c>
      <c r="BK468" s="42"/>
      <c r="BL468" s="42">
        <f t="shared" si="84"/>
        <v>27517409</v>
      </c>
      <c r="BM468" s="42"/>
      <c r="BN468" s="42">
        <f>+'Gen Fd Rev'!AM468-'Gen Fd Exp'!BL468</f>
        <v>-1078380</v>
      </c>
      <c r="BO468" s="42"/>
      <c r="BP468" s="42">
        <v>-345225</v>
      </c>
      <c r="BQ468" s="42"/>
      <c r="BR468" s="42">
        <v>0</v>
      </c>
      <c r="BS468" s="42"/>
      <c r="BT468" s="42">
        <v>0</v>
      </c>
      <c r="BU468" s="42"/>
      <c r="BV468" s="42">
        <f t="shared" si="83"/>
        <v>-1423605</v>
      </c>
      <c r="BW468" s="42"/>
      <c r="BX468" s="5">
        <f>+BV468-'Gen Fd BS'!AI468+BT468</f>
        <v>0</v>
      </c>
    </row>
    <row r="469" spans="1:76" ht="12" customHeight="1">
      <c r="A469" s="9" t="s">
        <v>328</v>
      </c>
      <c r="B469" s="9"/>
      <c r="C469" s="9" t="s">
        <v>32</v>
      </c>
      <c r="D469" s="9"/>
      <c r="E469" s="23">
        <v>44693</v>
      </c>
      <c r="F469" s="7"/>
      <c r="G469" s="42">
        <v>7423675</v>
      </c>
      <c r="I469" s="42">
        <v>2159825</v>
      </c>
      <c r="K469" s="42">
        <v>0</v>
      </c>
      <c r="M469" s="42">
        <v>0</v>
      </c>
      <c r="O469" s="42">
        <v>537267</v>
      </c>
      <c r="Q469" s="42">
        <v>968488</v>
      </c>
      <c r="S469" s="42">
        <v>488368</v>
      </c>
      <c r="U469" s="42">
        <v>47352</v>
      </c>
      <c r="W469" s="42">
        <v>1480318</v>
      </c>
      <c r="Y469" s="42">
        <v>337842</v>
      </c>
      <c r="AA469" s="42">
        <v>0</v>
      </c>
      <c r="AC469" s="42">
        <v>1145612</v>
      </c>
      <c r="AE469" s="42">
        <v>206705</v>
      </c>
      <c r="AG469" s="42">
        <v>47521</v>
      </c>
      <c r="AI469" s="42">
        <v>0</v>
      </c>
      <c r="AK469" s="42">
        <v>103072</v>
      </c>
      <c r="AL469" s="9" t="s">
        <v>328</v>
      </c>
      <c r="AM469" s="9"/>
      <c r="AN469" s="9" t="s">
        <v>32</v>
      </c>
      <c r="AP469" s="42">
        <v>389892</v>
      </c>
      <c r="AR469" s="42">
        <v>528406</v>
      </c>
      <c r="AV469" s="42">
        <v>107421</v>
      </c>
      <c r="AX469" s="42">
        <v>71709</v>
      </c>
      <c r="AZ469" s="42">
        <v>0</v>
      </c>
      <c r="BB469" s="42">
        <f t="shared" si="85"/>
        <v>16043473</v>
      </c>
      <c r="BD469" s="42">
        <v>51600</v>
      </c>
      <c r="BF469" s="42">
        <v>0</v>
      </c>
      <c r="BH469" s="42">
        <v>0</v>
      </c>
      <c r="BJ469" s="42">
        <v>0</v>
      </c>
      <c r="BL469" s="42">
        <f t="shared" si="84"/>
        <v>16095073</v>
      </c>
      <c r="BN469" s="42">
        <f>+'Gen Fd Rev'!AM469-'Gen Fd Exp'!BL469</f>
        <v>-619439</v>
      </c>
      <c r="BP469" s="42">
        <v>4526731</v>
      </c>
      <c r="BR469" s="42">
        <v>0</v>
      </c>
      <c r="BT469" s="42">
        <v>0</v>
      </c>
      <c r="BV469" s="42">
        <f t="shared" si="83"/>
        <v>3907292</v>
      </c>
      <c r="BX469" s="5">
        <f>+BV469-'Gen Fd BS'!AI469+BT469</f>
        <v>0</v>
      </c>
    </row>
    <row r="470" spans="1:76" ht="12" customHeight="1">
      <c r="A470" s="9" t="s">
        <v>509</v>
      </c>
      <c r="B470" s="9"/>
      <c r="C470" s="9" t="s">
        <v>63</v>
      </c>
      <c r="D470" s="9"/>
      <c r="E470" s="23">
        <v>50054</v>
      </c>
      <c r="G470" s="42">
        <v>15354444</v>
      </c>
      <c r="I470" s="42">
        <v>2226633</v>
      </c>
      <c r="K470" s="42">
        <v>305312</v>
      </c>
      <c r="M470" s="42">
        <v>0</v>
      </c>
      <c r="O470" s="42">
        <f>488352+727819</f>
        <v>1216171</v>
      </c>
      <c r="Q470" s="42">
        <v>1422450</v>
      </c>
      <c r="S470" s="42">
        <v>1229898</v>
      </c>
      <c r="U470" s="42">
        <v>344109</v>
      </c>
      <c r="W470" s="42">
        <v>2080723</v>
      </c>
      <c r="Y470" s="42">
        <v>1145758</v>
      </c>
      <c r="AA470" s="42">
        <v>83073</v>
      </c>
      <c r="AC470" s="42">
        <v>3062177</v>
      </c>
      <c r="AE470" s="42">
        <v>2204591</v>
      </c>
      <c r="AG470" s="42">
        <v>317558</v>
      </c>
      <c r="AI470" s="42">
        <v>0</v>
      </c>
      <c r="AK470" s="42">
        <v>0</v>
      </c>
      <c r="AL470" s="9" t="s">
        <v>509</v>
      </c>
      <c r="AM470" s="9"/>
      <c r="AN470" s="9" t="s">
        <v>63</v>
      </c>
      <c r="AP470" s="42">
        <v>925392</v>
      </c>
      <c r="AR470" s="42">
        <v>8325</v>
      </c>
      <c r="AV470" s="42">
        <v>0</v>
      </c>
      <c r="AX470" s="42">
        <v>7213</v>
      </c>
      <c r="AZ470" s="42">
        <v>0</v>
      </c>
      <c r="BB470" s="42">
        <f t="shared" si="85"/>
        <v>31933827</v>
      </c>
      <c r="BD470" s="42">
        <v>171000</v>
      </c>
      <c r="BF470" s="42">
        <v>0</v>
      </c>
      <c r="BH470" s="42">
        <v>0</v>
      </c>
      <c r="BJ470" s="42">
        <v>0</v>
      </c>
      <c r="BL470" s="42">
        <f t="shared" si="84"/>
        <v>32104827</v>
      </c>
      <c r="BN470" s="42">
        <f>+'Gen Fd Rev'!AM470-'Gen Fd Exp'!BL470</f>
        <v>91495</v>
      </c>
      <c r="BP470" s="42">
        <v>14279810</v>
      </c>
      <c r="BR470" s="42">
        <v>0</v>
      </c>
      <c r="BT470" s="42">
        <v>0</v>
      </c>
      <c r="BV470" s="42">
        <f t="shared" si="83"/>
        <v>14371305</v>
      </c>
      <c r="BX470" s="5">
        <f>+BV470-'Gen Fd BS'!AI470+BT470</f>
        <v>0</v>
      </c>
    </row>
    <row r="471" spans="1:76" ht="12" hidden="1" customHeight="1">
      <c r="A471" s="9" t="s">
        <v>819</v>
      </c>
      <c r="B471" s="9"/>
      <c r="C471" s="9" t="s">
        <v>27</v>
      </c>
      <c r="D471" s="9"/>
      <c r="E471" s="23">
        <v>47001</v>
      </c>
      <c r="G471" s="42">
        <v>0</v>
      </c>
      <c r="I471" s="42">
        <v>0</v>
      </c>
      <c r="K471" s="42">
        <v>0</v>
      </c>
      <c r="M471" s="42">
        <v>0</v>
      </c>
      <c r="O471" s="42">
        <v>0</v>
      </c>
      <c r="Q471" s="42">
        <v>0</v>
      </c>
      <c r="S471" s="42">
        <v>0</v>
      </c>
      <c r="U471" s="42">
        <v>0</v>
      </c>
      <c r="W471" s="42">
        <v>0</v>
      </c>
      <c r="Y471" s="42">
        <v>0</v>
      </c>
      <c r="AA471" s="42">
        <v>0</v>
      </c>
      <c r="AC471" s="42">
        <v>0</v>
      </c>
      <c r="AE471" s="42">
        <v>0</v>
      </c>
      <c r="AG471" s="42">
        <v>0</v>
      </c>
      <c r="AI471" s="42">
        <v>0</v>
      </c>
      <c r="AK471" s="42">
        <v>0</v>
      </c>
      <c r="AL471" s="9" t="s">
        <v>819</v>
      </c>
      <c r="AM471" s="9"/>
      <c r="AN471" s="9" t="s">
        <v>27</v>
      </c>
      <c r="AP471" s="42">
        <v>0</v>
      </c>
      <c r="AR471" s="42">
        <v>0</v>
      </c>
      <c r="AV471" s="42">
        <v>0</v>
      </c>
      <c r="AX471" s="42">
        <v>0</v>
      </c>
      <c r="AZ471" s="42">
        <v>0</v>
      </c>
      <c r="BB471" s="42">
        <f t="shared" si="85"/>
        <v>0</v>
      </c>
      <c r="BD471" s="42">
        <v>0</v>
      </c>
      <c r="BF471" s="42">
        <v>0</v>
      </c>
      <c r="BH471" s="42">
        <v>0</v>
      </c>
      <c r="BJ471" s="42">
        <v>0</v>
      </c>
      <c r="BL471" s="42">
        <f t="shared" si="84"/>
        <v>0</v>
      </c>
      <c r="BN471" s="42">
        <f>+'Gen Fd Rev'!AM471-'Gen Fd Exp'!BL471</f>
        <v>0</v>
      </c>
      <c r="BP471" s="42">
        <v>0</v>
      </c>
      <c r="BR471" s="42">
        <v>0</v>
      </c>
      <c r="BT471" s="42">
        <v>0</v>
      </c>
      <c r="BV471" s="42">
        <f t="shared" si="83"/>
        <v>0</v>
      </c>
      <c r="BX471" s="5">
        <f>+BV471-'Gen Fd BS'!AI471+BT471</f>
        <v>0</v>
      </c>
    </row>
    <row r="472" spans="1:76" ht="12" customHeight="1">
      <c r="A472" s="9" t="s">
        <v>274</v>
      </c>
      <c r="B472" s="9"/>
      <c r="C472" s="9" t="s">
        <v>20</v>
      </c>
      <c r="D472" s="9"/>
      <c r="E472" s="23">
        <v>46599</v>
      </c>
      <c r="F472" s="7"/>
      <c r="G472" s="42">
        <v>6031096</v>
      </c>
      <c r="I472" s="42">
        <v>2247898</v>
      </c>
      <c r="K472" s="42">
        <v>151113</v>
      </c>
      <c r="M472" s="42">
        <v>0</v>
      </c>
      <c r="O472" s="42">
        <v>0</v>
      </c>
      <c r="Q472" s="42">
        <v>602203</v>
      </c>
      <c r="S472" s="42">
        <v>121949</v>
      </c>
      <c r="U472" s="42">
        <v>342231</v>
      </c>
      <c r="W472" s="42">
        <v>958980</v>
      </c>
      <c r="Y472" s="42">
        <v>465080</v>
      </c>
      <c r="AA472" s="42">
        <v>10505</v>
      </c>
      <c r="AC472" s="42">
        <v>947883</v>
      </c>
      <c r="AE472" s="42">
        <v>1028447</v>
      </c>
      <c r="AG472" s="42">
        <v>165229</v>
      </c>
      <c r="AI472" s="42">
        <v>0</v>
      </c>
      <c r="AK472" s="42">
        <v>0</v>
      </c>
      <c r="AL472" s="9" t="s">
        <v>274</v>
      </c>
      <c r="AM472" s="9"/>
      <c r="AN472" s="9" t="s">
        <v>20</v>
      </c>
      <c r="AP472" s="42">
        <v>190314</v>
      </c>
      <c r="AR472" s="42">
        <v>0</v>
      </c>
      <c r="AV472" s="42">
        <v>18222</v>
      </c>
      <c r="AX472" s="42">
        <v>535</v>
      </c>
      <c r="AZ472" s="42">
        <v>0</v>
      </c>
      <c r="BB472" s="42">
        <f t="shared" si="85"/>
        <v>13281685</v>
      </c>
      <c r="BD472" s="42">
        <v>139430</v>
      </c>
      <c r="BF472" s="42">
        <v>0</v>
      </c>
      <c r="BH472" s="42">
        <v>0</v>
      </c>
      <c r="BJ472" s="42">
        <v>0</v>
      </c>
      <c r="BL472" s="42">
        <f t="shared" si="84"/>
        <v>13421115</v>
      </c>
      <c r="BN472" s="42">
        <f>+'Gen Fd Rev'!AM472-'Gen Fd Exp'!BL472</f>
        <v>342985</v>
      </c>
      <c r="BP472" s="42">
        <v>18219</v>
      </c>
      <c r="BR472" s="42">
        <v>0</v>
      </c>
      <c r="BT472" s="42">
        <v>0</v>
      </c>
      <c r="BV472" s="42">
        <f t="shared" si="83"/>
        <v>361204</v>
      </c>
      <c r="BX472" s="5">
        <f>+BV472-'Gen Fd BS'!AI472+BT472</f>
        <v>0</v>
      </c>
    </row>
    <row r="473" spans="1:76" s="24" customFormat="1" ht="12" customHeight="1">
      <c r="A473" s="51" t="s">
        <v>409</v>
      </c>
      <c r="B473" s="51"/>
      <c r="C473" s="51" t="s">
        <v>46</v>
      </c>
      <c r="D473" s="51"/>
      <c r="E473" s="51">
        <v>48439</v>
      </c>
      <c r="G473" s="24">
        <v>3166542</v>
      </c>
      <c r="I473" s="24">
        <v>570824</v>
      </c>
      <c r="K473" s="24">
        <v>191028</v>
      </c>
      <c r="M473" s="24">
        <v>0</v>
      </c>
      <c r="O473" s="24">
        <f>5850+1109802</f>
        <v>1115652</v>
      </c>
      <c r="Q473" s="24">
        <v>174256</v>
      </c>
      <c r="S473" s="24">
        <v>250390</v>
      </c>
      <c r="U473" s="24">
        <v>47601</v>
      </c>
      <c r="W473" s="24">
        <v>646088</v>
      </c>
      <c r="Y473" s="24">
        <v>256923</v>
      </c>
      <c r="AA473" s="24">
        <v>0</v>
      </c>
      <c r="AC473" s="24">
        <v>662638</v>
      </c>
      <c r="AE473" s="24">
        <v>482317</v>
      </c>
      <c r="AG473" s="24">
        <v>33707</v>
      </c>
      <c r="AI473" s="24">
        <v>0</v>
      </c>
      <c r="AK473" s="24">
        <v>0</v>
      </c>
      <c r="AL473" s="51" t="s">
        <v>409</v>
      </c>
      <c r="AM473" s="51"/>
      <c r="AN473" s="51" t="s">
        <v>46</v>
      </c>
      <c r="AP473" s="24">
        <v>127047</v>
      </c>
      <c r="AR473" s="24">
        <v>222202</v>
      </c>
      <c r="AV473" s="24">
        <v>154011</v>
      </c>
      <c r="AX473" s="24">
        <v>19571</v>
      </c>
      <c r="AZ473" s="24">
        <v>0</v>
      </c>
      <c r="BB473" s="24">
        <f t="shared" si="85"/>
        <v>8120797</v>
      </c>
      <c r="BD473" s="24">
        <v>0</v>
      </c>
      <c r="BF473" s="24">
        <v>0</v>
      </c>
      <c r="BH473" s="24">
        <v>0</v>
      </c>
      <c r="BJ473" s="24">
        <v>0</v>
      </c>
      <c r="BL473" s="24">
        <f t="shared" si="84"/>
        <v>8120797</v>
      </c>
      <c r="BN473" s="24">
        <f>+'Gen Fd Rev'!AM473-'Gen Fd Exp'!BL473</f>
        <v>-167907</v>
      </c>
      <c r="BP473" s="24">
        <v>3315582</v>
      </c>
      <c r="BR473" s="24">
        <v>0</v>
      </c>
      <c r="BT473" s="24">
        <v>0</v>
      </c>
      <c r="BV473" s="24">
        <f t="shared" si="83"/>
        <v>3147675</v>
      </c>
      <c r="BX473" s="64">
        <f>+BV473-'Gen Fd BS'!AI473+BT473</f>
        <v>0</v>
      </c>
    </row>
    <row r="474" spans="1:76" ht="12" hidden="1" customHeight="1">
      <c r="A474" s="9" t="s">
        <v>885</v>
      </c>
      <c r="B474" s="9"/>
      <c r="C474" s="9" t="s">
        <v>337</v>
      </c>
      <c r="D474" s="9"/>
      <c r="E474" s="23">
        <v>47506</v>
      </c>
      <c r="G474" s="42">
        <v>0</v>
      </c>
      <c r="I474" s="42">
        <v>0</v>
      </c>
      <c r="K474" s="42">
        <v>0</v>
      </c>
      <c r="M474" s="42">
        <v>0</v>
      </c>
      <c r="O474" s="42">
        <v>0</v>
      </c>
      <c r="Q474" s="42">
        <v>0</v>
      </c>
      <c r="S474" s="42">
        <v>0</v>
      </c>
      <c r="U474" s="42">
        <v>0</v>
      </c>
      <c r="W474" s="42">
        <v>0</v>
      </c>
      <c r="Y474" s="42">
        <v>0</v>
      </c>
      <c r="AA474" s="42">
        <v>0</v>
      </c>
      <c r="AC474" s="42">
        <v>0</v>
      </c>
      <c r="AE474" s="42">
        <v>0</v>
      </c>
      <c r="AG474" s="42">
        <v>0</v>
      </c>
      <c r="AI474" s="42">
        <v>0</v>
      </c>
      <c r="AK474" s="42">
        <v>0</v>
      </c>
      <c r="AL474" s="9" t="s">
        <v>885</v>
      </c>
      <c r="AM474" s="9"/>
      <c r="AN474" s="9" t="s">
        <v>337</v>
      </c>
      <c r="AP474" s="42">
        <v>0</v>
      </c>
      <c r="AR474" s="42">
        <v>0</v>
      </c>
      <c r="AV474" s="42">
        <v>0</v>
      </c>
      <c r="AX474" s="42">
        <v>0</v>
      </c>
      <c r="AZ474" s="42">
        <v>0</v>
      </c>
      <c r="BB474" s="42">
        <f t="shared" si="85"/>
        <v>0</v>
      </c>
      <c r="BD474" s="42">
        <v>0</v>
      </c>
      <c r="BF474" s="42">
        <v>0</v>
      </c>
      <c r="BH474" s="42">
        <v>0</v>
      </c>
      <c r="BJ474" s="42">
        <v>0</v>
      </c>
      <c r="BL474" s="42">
        <f t="shared" si="84"/>
        <v>0</v>
      </c>
      <c r="BN474" s="42">
        <f>+'Gen Fd Rev'!AM474-'Gen Fd Exp'!BL474</f>
        <v>0</v>
      </c>
      <c r="BP474" s="42">
        <v>0</v>
      </c>
      <c r="BR474" s="42">
        <v>0</v>
      </c>
      <c r="BT474" s="42">
        <v>0</v>
      </c>
      <c r="BV474" s="42">
        <f t="shared" si="83"/>
        <v>0</v>
      </c>
      <c r="BX474" s="5">
        <f>+BV474-'Gen Fd BS'!AI474+BT474</f>
        <v>0</v>
      </c>
    </row>
    <row r="475" spans="1:76" ht="12" customHeight="1">
      <c r="A475" s="9" t="s">
        <v>252</v>
      </c>
      <c r="B475" s="9"/>
      <c r="C475" s="9" t="s">
        <v>19</v>
      </c>
      <c r="D475" s="9"/>
      <c r="E475" s="23">
        <v>46474</v>
      </c>
      <c r="G475" s="42">
        <v>4858512</v>
      </c>
      <c r="I475" s="42">
        <v>497810</v>
      </c>
      <c r="K475" s="42">
        <v>246510</v>
      </c>
      <c r="M475" s="42">
        <v>0</v>
      </c>
      <c r="O475" s="42">
        <v>36676</v>
      </c>
      <c r="Q475" s="42">
        <v>461474</v>
      </c>
      <c r="S475" s="42">
        <v>519077</v>
      </c>
      <c r="U475" s="42">
        <v>30491</v>
      </c>
      <c r="W475" s="42">
        <v>630639</v>
      </c>
      <c r="Y475" s="42">
        <v>355995</v>
      </c>
      <c r="AA475" s="42">
        <v>32635</v>
      </c>
      <c r="AC475" s="42">
        <v>1244126</v>
      </c>
      <c r="AE475" s="42">
        <v>851226</v>
      </c>
      <c r="AG475" s="42">
        <v>3558</v>
      </c>
      <c r="AI475" s="42">
        <v>0</v>
      </c>
      <c r="AK475" s="42">
        <v>0</v>
      </c>
      <c r="AL475" s="9" t="s">
        <v>252</v>
      </c>
      <c r="AM475" s="9"/>
      <c r="AN475" s="9" t="s">
        <v>19</v>
      </c>
      <c r="AP475" s="42">
        <v>306965</v>
      </c>
      <c r="AR475" s="42">
        <v>0</v>
      </c>
      <c r="AV475" s="42">
        <v>30157</v>
      </c>
      <c r="AX475" s="42">
        <v>12813</v>
      </c>
      <c r="AZ475" s="42">
        <v>0</v>
      </c>
      <c r="BB475" s="42">
        <f t="shared" si="85"/>
        <v>10118664</v>
      </c>
      <c r="BD475" s="42">
        <v>0</v>
      </c>
      <c r="BF475" s="42">
        <v>0</v>
      </c>
      <c r="BH475" s="42">
        <v>0</v>
      </c>
      <c r="BJ475" s="42">
        <v>0</v>
      </c>
      <c r="BL475" s="42">
        <f t="shared" si="84"/>
        <v>10118664</v>
      </c>
      <c r="BN475" s="42">
        <f>+'Gen Fd Rev'!AM475-'Gen Fd Exp'!BL475</f>
        <v>444283</v>
      </c>
      <c r="BP475" s="42">
        <v>2682497</v>
      </c>
      <c r="BR475" s="42">
        <v>0</v>
      </c>
      <c r="BT475" s="42">
        <v>0</v>
      </c>
      <c r="BV475" s="42">
        <f t="shared" si="83"/>
        <v>3126780</v>
      </c>
      <c r="BX475" s="5">
        <f>+BV475-'Gen Fd BS'!AI475+BT475</f>
        <v>0</v>
      </c>
    </row>
    <row r="476" spans="1:76" ht="12" hidden="1" customHeight="1">
      <c r="A476" s="9" t="s">
        <v>820</v>
      </c>
      <c r="B476" s="9"/>
      <c r="C476" s="9" t="s">
        <v>77</v>
      </c>
      <c r="D476" s="9"/>
      <c r="E476" s="23">
        <v>46078</v>
      </c>
      <c r="G476" s="42">
        <v>0</v>
      </c>
      <c r="I476" s="42">
        <v>0</v>
      </c>
      <c r="K476" s="42">
        <v>0</v>
      </c>
      <c r="M476" s="42">
        <v>0</v>
      </c>
      <c r="O476" s="42">
        <v>0</v>
      </c>
      <c r="Q476" s="42">
        <v>0</v>
      </c>
      <c r="S476" s="42">
        <v>0</v>
      </c>
      <c r="U476" s="42">
        <v>0</v>
      </c>
      <c r="W476" s="42">
        <v>0</v>
      </c>
      <c r="Y476" s="42">
        <v>0</v>
      </c>
      <c r="AA476" s="42">
        <v>0</v>
      </c>
      <c r="AC476" s="42">
        <v>0</v>
      </c>
      <c r="AE476" s="42">
        <v>0</v>
      </c>
      <c r="AG476" s="42">
        <v>0</v>
      </c>
      <c r="AI476" s="42">
        <v>0</v>
      </c>
      <c r="AK476" s="42">
        <v>0</v>
      </c>
      <c r="AL476" s="9" t="s">
        <v>820</v>
      </c>
      <c r="AM476" s="9"/>
      <c r="AN476" s="9" t="s">
        <v>77</v>
      </c>
      <c r="AP476" s="42">
        <v>0</v>
      </c>
      <c r="AR476" s="42">
        <v>0</v>
      </c>
      <c r="AV476" s="42">
        <v>0</v>
      </c>
      <c r="AX476" s="42">
        <v>0</v>
      </c>
      <c r="AZ476" s="42">
        <v>0</v>
      </c>
      <c r="BB476" s="42">
        <f t="shared" si="85"/>
        <v>0</v>
      </c>
      <c r="BD476" s="42">
        <v>0</v>
      </c>
      <c r="BF476" s="42">
        <v>0</v>
      </c>
      <c r="BH476" s="42">
        <v>0</v>
      </c>
      <c r="BJ476" s="42">
        <v>0</v>
      </c>
      <c r="BL476" s="42">
        <f t="shared" si="84"/>
        <v>0</v>
      </c>
      <c r="BN476" s="42">
        <f>+'Gen Fd Rev'!AM476-'Gen Fd Exp'!BL476</f>
        <v>0</v>
      </c>
      <c r="BP476" s="42">
        <v>0</v>
      </c>
      <c r="BR476" s="42">
        <v>0</v>
      </c>
      <c r="BT476" s="42">
        <v>0</v>
      </c>
      <c r="BV476" s="42">
        <f t="shared" si="83"/>
        <v>0</v>
      </c>
      <c r="BX476" s="5">
        <f>+BV476-'Gen Fd BS'!AI476+BT476</f>
        <v>0</v>
      </c>
    </row>
    <row r="477" spans="1:76" ht="12" hidden="1" customHeight="1">
      <c r="A477" s="9" t="s">
        <v>821</v>
      </c>
      <c r="B477" s="9"/>
      <c r="C477" s="9" t="s">
        <v>71</v>
      </c>
      <c r="D477" s="9"/>
      <c r="E477" s="23">
        <v>45591</v>
      </c>
      <c r="G477" s="42">
        <v>0</v>
      </c>
      <c r="I477" s="42">
        <v>0</v>
      </c>
      <c r="K477" s="42">
        <v>0</v>
      </c>
      <c r="M477" s="42">
        <v>0</v>
      </c>
      <c r="O477" s="42">
        <v>0</v>
      </c>
      <c r="Q477" s="42">
        <v>0</v>
      </c>
      <c r="S477" s="42">
        <v>0</v>
      </c>
      <c r="U477" s="42">
        <v>0</v>
      </c>
      <c r="W477" s="42">
        <v>0</v>
      </c>
      <c r="Y477" s="42">
        <v>0</v>
      </c>
      <c r="AA477" s="42">
        <v>0</v>
      </c>
      <c r="AC477" s="42">
        <v>0</v>
      </c>
      <c r="AE477" s="42">
        <v>0</v>
      </c>
      <c r="AG477" s="42">
        <v>0</v>
      </c>
      <c r="AI477" s="42">
        <v>0</v>
      </c>
      <c r="AK477" s="42">
        <v>0</v>
      </c>
      <c r="AL477" s="9" t="s">
        <v>821</v>
      </c>
      <c r="AM477" s="9"/>
      <c r="AN477" s="9" t="s">
        <v>71</v>
      </c>
      <c r="AP477" s="42">
        <v>0</v>
      </c>
      <c r="AR477" s="42">
        <v>0</v>
      </c>
      <c r="AV477" s="42">
        <v>0</v>
      </c>
      <c r="AX477" s="42">
        <v>0</v>
      </c>
      <c r="AZ477" s="42">
        <v>0</v>
      </c>
      <c r="BB477" s="42">
        <f t="shared" si="85"/>
        <v>0</v>
      </c>
      <c r="BD477" s="42">
        <v>0</v>
      </c>
      <c r="BF477" s="42">
        <v>0</v>
      </c>
      <c r="BH477" s="42">
        <v>0</v>
      </c>
      <c r="BJ477" s="42">
        <v>0</v>
      </c>
      <c r="BL477" s="42">
        <f t="shared" si="84"/>
        <v>0</v>
      </c>
      <c r="BN477" s="42">
        <f>+'Gen Fd Rev'!AM477-'Gen Fd Exp'!BL477</f>
        <v>0</v>
      </c>
      <c r="BP477" s="42">
        <v>0</v>
      </c>
      <c r="BR477" s="42">
        <v>0</v>
      </c>
      <c r="BT477" s="42">
        <v>0</v>
      </c>
      <c r="BV477" s="42">
        <f t="shared" si="83"/>
        <v>0</v>
      </c>
      <c r="BX477" s="5">
        <f>+BV477-'Gen Fd BS'!AI477+BT477</f>
        <v>0</v>
      </c>
    </row>
    <row r="478" spans="1:76" ht="12" customHeight="1">
      <c r="A478" s="9" t="s">
        <v>410</v>
      </c>
      <c r="B478" s="9"/>
      <c r="C478" s="9" t="s">
        <v>46</v>
      </c>
      <c r="D478" s="9"/>
      <c r="E478" s="23">
        <v>48447</v>
      </c>
      <c r="G478" s="42">
        <v>8300286</v>
      </c>
      <c r="I478" s="42">
        <v>1170672</v>
      </c>
      <c r="K478" s="42">
        <v>266507</v>
      </c>
      <c r="M478" s="42">
        <v>0</v>
      </c>
      <c r="O478" s="42">
        <v>0</v>
      </c>
      <c r="Q478" s="42">
        <v>465146</v>
      </c>
      <c r="S478" s="42">
        <v>743569</v>
      </c>
      <c r="U478" s="42">
        <v>26741</v>
      </c>
      <c r="W478" s="42">
        <v>1491667</v>
      </c>
      <c r="Y478" s="42">
        <v>424940</v>
      </c>
      <c r="AA478" s="42">
        <v>87623</v>
      </c>
      <c r="AC478" s="42">
        <v>1223274</v>
      </c>
      <c r="AE478" s="42">
        <v>1074644</v>
      </c>
      <c r="AG478" s="42">
        <v>80307</v>
      </c>
      <c r="AI478" s="42">
        <v>0</v>
      </c>
      <c r="AK478" s="42">
        <v>0</v>
      </c>
      <c r="AL478" s="9" t="s">
        <v>410</v>
      </c>
      <c r="AM478" s="9"/>
      <c r="AN478" s="9" t="s">
        <v>46</v>
      </c>
      <c r="AP478" s="42">
        <v>17129</v>
      </c>
      <c r="AR478" s="42">
        <v>0</v>
      </c>
      <c r="AV478" s="42">
        <v>83844</v>
      </c>
      <c r="AX478" s="42">
        <v>10927</v>
      </c>
      <c r="AZ478" s="42">
        <v>0</v>
      </c>
      <c r="BB478" s="42">
        <f t="shared" si="85"/>
        <v>15467276</v>
      </c>
      <c r="BD478" s="42">
        <v>45873</v>
      </c>
      <c r="BF478" s="42">
        <v>0</v>
      </c>
      <c r="BH478" s="42">
        <v>0</v>
      </c>
      <c r="BJ478" s="42">
        <v>0</v>
      </c>
      <c r="BL478" s="42">
        <f t="shared" si="84"/>
        <v>15513149</v>
      </c>
      <c r="BN478" s="42">
        <f>+'Gen Fd Rev'!AM478-'Gen Fd Exp'!BL478</f>
        <v>-318239</v>
      </c>
      <c r="BP478" s="42">
        <v>2934876</v>
      </c>
      <c r="BR478" s="42">
        <v>0</v>
      </c>
      <c r="BT478" s="42">
        <v>0</v>
      </c>
      <c r="BV478" s="42">
        <f t="shared" si="83"/>
        <v>2616637</v>
      </c>
      <c r="BX478" s="5">
        <f>+BV478-'Gen Fd BS'!AI478+BT478</f>
        <v>0</v>
      </c>
    </row>
    <row r="479" spans="1:76" ht="12" customHeight="1">
      <c r="A479" s="9" t="s">
        <v>253</v>
      </c>
      <c r="B479" s="9"/>
      <c r="C479" s="9" t="s">
        <v>19</v>
      </c>
      <c r="D479" s="9"/>
      <c r="E479" s="23">
        <v>46482</v>
      </c>
      <c r="F479" s="7"/>
      <c r="G479" s="42">
        <v>9408942</v>
      </c>
      <c r="I479" s="42">
        <v>2201483</v>
      </c>
      <c r="K479" s="42">
        <v>373022</v>
      </c>
      <c r="M479" s="42">
        <v>0</v>
      </c>
      <c r="O479" s="42">
        <v>0</v>
      </c>
      <c r="Q479" s="42">
        <v>799100</v>
      </c>
      <c r="S479" s="42">
        <v>743036</v>
      </c>
      <c r="U479" s="42">
        <v>139712</v>
      </c>
      <c r="W479" s="42">
        <v>1307398</v>
      </c>
      <c r="Y479" s="42">
        <v>592922</v>
      </c>
      <c r="AA479" s="42">
        <v>0</v>
      </c>
      <c r="AC479" s="42">
        <v>1688716</v>
      </c>
      <c r="AE479" s="42">
        <v>1534886</v>
      </c>
      <c r="AG479" s="42">
        <v>293738</v>
      </c>
      <c r="AI479" s="42">
        <v>0</v>
      </c>
      <c r="AK479" s="42">
        <v>0</v>
      </c>
      <c r="AL479" s="9" t="s">
        <v>253</v>
      </c>
      <c r="AM479" s="9"/>
      <c r="AN479" s="9" t="s">
        <v>19</v>
      </c>
      <c r="AP479" s="42">
        <v>285859</v>
      </c>
      <c r="AR479" s="42">
        <v>0</v>
      </c>
      <c r="AV479" s="42">
        <v>169674</v>
      </c>
      <c r="AX479" s="42">
        <v>52240</v>
      </c>
      <c r="AZ479" s="42">
        <v>0</v>
      </c>
      <c r="BB479" s="42">
        <f t="shared" si="85"/>
        <v>19590728</v>
      </c>
      <c r="BD479" s="42">
        <v>7015</v>
      </c>
      <c r="BF479" s="42">
        <v>0</v>
      </c>
      <c r="BH479" s="42">
        <v>0</v>
      </c>
      <c r="BJ479" s="42">
        <v>0</v>
      </c>
      <c r="BL479" s="42">
        <f t="shared" si="84"/>
        <v>19597743</v>
      </c>
      <c r="BN479" s="42">
        <f>+'Gen Fd Rev'!AM479-'Gen Fd Exp'!BL479</f>
        <v>-136635</v>
      </c>
      <c r="BP479" s="42">
        <v>4910727</v>
      </c>
      <c r="BR479" s="42">
        <v>0</v>
      </c>
      <c r="BT479" s="42">
        <v>0</v>
      </c>
      <c r="BV479" s="42">
        <f t="shared" si="83"/>
        <v>4774092</v>
      </c>
      <c r="BX479" s="5">
        <f>+BV479-'Gen Fd BS'!AI479+BT479</f>
        <v>0</v>
      </c>
    </row>
    <row r="480" spans="1:76" hidden="1">
      <c r="A480" s="9" t="s">
        <v>822</v>
      </c>
      <c r="B480" s="9"/>
      <c r="C480" s="9" t="s">
        <v>337</v>
      </c>
      <c r="D480" s="9"/>
      <c r="E480" s="23">
        <v>47514</v>
      </c>
      <c r="G480" s="42">
        <v>0</v>
      </c>
      <c r="I480" s="42">
        <v>0</v>
      </c>
      <c r="K480" s="42">
        <v>0</v>
      </c>
      <c r="M480" s="42">
        <v>0</v>
      </c>
      <c r="O480" s="42">
        <v>0</v>
      </c>
      <c r="Q480" s="42">
        <v>0</v>
      </c>
      <c r="S480" s="42">
        <v>0</v>
      </c>
      <c r="U480" s="42">
        <v>0</v>
      </c>
      <c r="W480" s="42">
        <v>0</v>
      </c>
      <c r="Y480" s="42">
        <v>0</v>
      </c>
      <c r="AA480" s="42">
        <v>0</v>
      </c>
      <c r="AC480" s="42">
        <v>0</v>
      </c>
      <c r="AE480" s="42">
        <v>0</v>
      </c>
      <c r="AG480" s="42">
        <v>0</v>
      </c>
      <c r="AI480" s="42">
        <v>0</v>
      </c>
      <c r="AK480" s="42">
        <v>0</v>
      </c>
      <c r="AL480" s="9" t="s">
        <v>822</v>
      </c>
      <c r="AM480" s="9"/>
      <c r="AN480" s="9" t="s">
        <v>337</v>
      </c>
      <c r="AP480" s="42">
        <v>0</v>
      </c>
      <c r="AR480" s="42">
        <v>0</v>
      </c>
      <c r="AV480" s="42">
        <v>0</v>
      </c>
      <c r="AX480" s="42">
        <v>0</v>
      </c>
      <c r="AZ480" s="42">
        <v>0</v>
      </c>
      <c r="BB480" s="42">
        <f t="shared" si="85"/>
        <v>0</v>
      </c>
      <c r="BD480" s="42">
        <v>0</v>
      </c>
      <c r="BF480" s="42">
        <v>0</v>
      </c>
      <c r="BH480" s="42">
        <v>0</v>
      </c>
      <c r="BJ480" s="42">
        <v>0</v>
      </c>
      <c r="BL480" s="42">
        <f t="shared" si="84"/>
        <v>0</v>
      </c>
      <c r="BN480" s="42">
        <f>+'Gen Fd Rev'!AM480-'Gen Fd Exp'!BL480</f>
        <v>0</v>
      </c>
      <c r="BP480" s="42">
        <v>0</v>
      </c>
      <c r="BR480" s="42">
        <v>0</v>
      </c>
      <c r="BT480" s="42">
        <v>0</v>
      </c>
      <c r="BV480" s="42">
        <f t="shared" si="83"/>
        <v>0</v>
      </c>
      <c r="BX480" s="5">
        <f>+BV480-'Gen Fd BS'!AI480+BT480</f>
        <v>0</v>
      </c>
    </row>
    <row r="481" spans="1:76">
      <c r="A481" s="9" t="s">
        <v>377</v>
      </c>
      <c r="B481" s="9"/>
      <c r="C481" s="9" t="s">
        <v>41</v>
      </c>
      <c r="D481" s="9"/>
      <c r="E481" s="23">
        <v>47894</v>
      </c>
      <c r="G481" s="42">
        <v>17067712</v>
      </c>
      <c r="I481" s="42">
        <v>3386662</v>
      </c>
      <c r="K481" s="42">
        <v>0</v>
      </c>
      <c r="M481" s="42">
        <v>0</v>
      </c>
      <c r="O481" s="42">
        <v>5937</v>
      </c>
      <c r="Q481" s="42">
        <v>1878668</v>
      </c>
      <c r="S481" s="42">
        <v>852356</v>
      </c>
      <c r="U481" s="42">
        <v>36483</v>
      </c>
      <c r="W481" s="42">
        <v>4067698</v>
      </c>
      <c r="Y481" s="42">
        <v>1083856</v>
      </c>
      <c r="AA481" s="42">
        <v>0</v>
      </c>
      <c r="AC481" s="42">
        <v>2968936</v>
      </c>
      <c r="AE481" s="42">
        <v>3206371</v>
      </c>
      <c r="AG481" s="42">
        <v>47362</v>
      </c>
      <c r="AI481" s="42">
        <v>39639</v>
      </c>
      <c r="AK481" s="42">
        <v>0</v>
      </c>
      <c r="AL481" s="9" t="s">
        <v>377</v>
      </c>
      <c r="AM481" s="9"/>
      <c r="AN481" s="9" t="s">
        <v>41</v>
      </c>
      <c r="AP481" s="42">
        <v>301363</v>
      </c>
      <c r="AR481" s="42">
        <v>0</v>
      </c>
      <c r="AV481" s="42">
        <v>0</v>
      </c>
      <c r="AX481" s="42">
        <v>6139</v>
      </c>
      <c r="AZ481" s="42">
        <v>0</v>
      </c>
      <c r="BB481" s="42">
        <f t="shared" si="85"/>
        <v>34949182</v>
      </c>
      <c r="BD481" s="42">
        <v>0</v>
      </c>
      <c r="BF481" s="42">
        <v>0</v>
      </c>
      <c r="BH481" s="42">
        <v>0</v>
      </c>
      <c r="BJ481" s="42">
        <v>0</v>
      </c>
      <c r="BL481" s="42">
        <f t="shared" si="84"/>
        <v>34949182</v>
      </c>
      <c r="BN481" s="42">
        <f>+'Gen Fd Rev'!AM481-'Gen Fd Exp'!BL481</f>
        <v>1760897</v>
      </c>
      <c r="BP481" s="42">
        <v>-1614865</v>
      </c>
      <c r="BR481" s="42">
        <v>0</v>
      </c>
      <c r="BT481" s="42">
        <v>0</v>
      </c>
      <c r="BV481" s="42">
        <f t="shared" si="83"/>
        <v>146032</v>
      </c>
      <c r="BX481" s="5">
        <f>+BV481-'Gen Fd BS'!AI481+BT481</f>
        <v>0</v>
      </c>
    </row>
    <row r="482" spans="1:76">
      <c r="A482" s="9" t="s">
        <v>377</v>
      </c>
      <c r="B482" s="9"/>
      <c r="C482" s="9" t="s">
        <v>43</v>
      </c>
      <c r="D482" s="9"/>
      <c r="E482" s="23">
        <v>48090</v>
      </c>
      <c r="G482" s="42">
        <v>3267451</v>
      </c>
      <c r="I482" s="42">
        <v>790902</v>
      </c>
      <c r="K482" s="42">
        <v>137769</v>
      </c>
      <c r="M482" s="42">
        <v>0</v>
      </c>
      <c r="O482" s="42">
        <v>0</v>
      </c>
      <c r="Q482" s="42">
        <v>192094</v>
      </c>
      <c r="S482" s="42">
        <v>191371</v>
      </c>
      <c r="U482" s="42">
        <v>14311</v>
      </c>
      <c r="W482" s="42">
        <v>427036</v>
      </c>
      <c r="Y482" s="42">
        <v>270558</v>
      </c>
      <c r="AA482" s="42">
        <v>1280</v>
      </c>
      <c r="AC482" s="42">
        <v>611691</v>
      </c>
      <c r="AE482" s="42">
        <v>405932</v>
      </c>
      <c r="AG482" s="42">
        <v>0</v>
      </c>
      <c r="AI482" s="42">
        <v>0</v>
      </c>
      <c r="AK482" s="42">
        <v>500</v>
      </c>
      <c r="AL482" s="9" t="s">
        <v>377</v>
      </c>
      <c r="AM482" s="9"/>
      <c r="AN482" s="9" t="s">
        <v>43</v>
      </c>
      <c r="AP482" s="42">
        <v>136259</v>
      </c>
      <c r="AR482" s="42">
        <v>158707</v>
      </c>
      <c r="AV482" s="42">
        <v>9393</v>
      </c>
      <c r="AX482" s="42">
        <v>3705</v>
      </c>
      <c r="AZ482" s="42">
        <v>0</v>
      </c>
      <c r="BB482" s="42">
        <f t="shared" si="85"/>
        <v>6618959</v>
      </c>
      <c r="BD482" s="42">
        <v>3</v>
      </c>
      <c r="BF482" s="42">
        <v>0</v>
      </c>
      <c r="BH482" s="42">
        <v>0</v>
      </c>
      <c r="BJ482" s="42">
        <v>0</v>
      </c>
      <c r="BL482" s="42">
        <f t="shared" si="84"/>
        <v>6618962</v>
      </c>
      <c r="BN482" s="42">
        <f>+'Gen Fd Rev'!AM482-'Gen Fd Exp'!BL482</f>
        <v>794952</v>
      </c>
      <c r="BP482" s="42">
        <v>374159</v>
      </c>
      <c r="BR482" s="42">
        <v>0</v>
      </c>
      <c r="BT482" s="42">
        <v>0</v>
      </c>
      <c r="BV482" s="42">
        <f t="shared" si="83"/>
        <v>1169111</v>
      </c>
      <c r="BX482" s="5">
        <f>+BV482-'Gen Fd BS'!AI482+BT482</f>
        <v>0</v>
      </c>
    </row>
    <row r="483" spans="1:76">
      <c r="A483" s="9" t="s">
        <v>368</v>
      </c>
      <c r="B483" s="9"/>
      <c r="C483" s="9" t="s">
        <v>364</v>
      </c>
      <c r="D483" s="9"/>
      <c r="E483" s="23">
        <v>47944</v>
      </c>
      <c r="G483" s="42">
        <v>5696981</v>
      </c>
      <c r="I483" s="42">
        <v>1895886</v>
      </c>
      <c r="K483" s="42">
        <v>218106</v>
      </c>
      <c r="M483" s="42">
        <v>0</v>
      </c>
      <c r="O483" s="42">
        <v>1846296</v>
      </c>
      <c r="Q483" s="42">
        <v>613998</v>
      </c>
      <c r="S483" s="42">
        <v>357277</v>
      </c>
      <c r="U483" s="42">
        <v>358646</v>
      </c>
      <c r="W483" s="42">
        <v>1158028</v>
      </c>
      <c r="Y483" s="42">
        <v>350238</v>
      </c>
      <c r="AA483" s="42">
        <v>0</v>
      </c>
      <c r="AC483" s="42">
        <v>1852786</v>
      </c>
      <c r="AE483" s="42">
        <v>1141216</v>
      </c>
      <c r="AG483" s="42">
        <v>132690</v>
      </c>
      <c r="AI483" s="42">
        <v>0</v>
      </c>
      <c r="AK483" s="42">
        <v>0</v>
      </c>
      <c r="AL483" s="9" t="s">
        <v>368</v>
      </c>
      <c r="AM483" s="9"/>
      <c r="AN483" s="9" t="s">
        <v>364</v>
      </c>
      <c r="AP483" s="42">
        <v>259968</v>
      </c>
      <c r="AR483" s="42">
        <v>0</v>
      </c>
      <c r="AV483" s="42">
        <v>295000</v>
      </c>
      <c r="AX483" s="42">
        <v>74646</v>
      </c>
      <c r="AZ483" s="42">
        <v>0</v>
      </c>
      <c r="BB483" s="42">
        <f t="shared" si="85"/>
        <v>16251762</v>
      </c>
      <c r="BD483" s="42">
        <v>170000</v>
      </c>
      <c r="BF483" s="42">
        <v>0</v>
      </c>
      <c r="BH483" s="42">
        <v>0</v>
      </c>
      <c r="BJ483" s="42">
        <v>0</v>
      </c>
      <c r="BL483" s="42">
        <f t="shared" si="84"/>
        <v>16421762</v>
      </c>
      <c r="BN483" s="42">
        <f>+'Gen Fd Rev'!AM483-'Gen Fd Exp'!BL483</f>
        <v>613998</v>
      </c>
      <c r="BP483" s="42">
        <v>1413108</v>
      </c>
      <c r="BR483" s="42">
        <v>0</v>
      </c>
      <c r="BT483" s="42">
        <v>0</v>
      </c>
      <c r="BV483" s="42">
        <f t="shared" si="83"/>
        <v>2027106</v>
      </c>
      <c r="BX483" s="5">
        <f>+BV483-'Gen Fd BS'!AI483+BT483</f>
        <v>0</v>
      </c>
    </row>
    <row r="484" spans="1:76" ht="12" customHeight="1">
      <c r="A484" s="9" t="s">
        <v>707</v>
      </c>
      <c r="B484" s="9"/>
      <c r="C484" s="9" t="s">
        <v>20</v>
      </c>
      <c r="D484" s="9"/>
      <c r="E484" s="23">
        <v>44701</v>
      </c>
      <c r="G484" s="42">
        <v>14588814</v>
      </c>
      <c r="I484" s="42">
        <v>3768477</v>
      </c>
      <c r="K484" s="42">
        <v>509236</v>
      </c>
      <c r="M484" s="42">
        <v>0</v>
      </c>
      <c r="O484" s="42">
        <v>39439</v>
      </c>
      <c r="Q484" s="42">
        <v>1982705</v>
      </c>
      <c r="S484" s="42">
        <v>1298522</v>
      </c>
      <c r="U484" s="42">
        <v>32012</v>
      </c>
      <c r="W484" s="42">
        <v>1879234</v>
      </c>
      <c r="Y484" s="42">
        <v>895213</v>
      </c>
      <c r="AA484" s="42">
        <v>494771</v>
      </c>
      <c r="AC484" s="42">
        <v>3642982</v>
      </c>
      <c r="AE484" s="42">
        <v>1632831</v>
      </c>
      <c r="AG484" s="42">
        <v>763930</v>
      </c>
      <c r="AI484" s="42">
        <v>0</v>
      </c>
      <c r="AK484" s="42">
        <v>42015</v>
      </c>
      <c r="AL484" s="9" t="s">
        <v>707</v>
      </c>
      <c r="AM484" s="9"/>
      <c r="AN484" s="9" t="s">
        <v>20</v>
      </c>
      <c r="AP484" s="42">
        <v>1030105</v>
      </c>
      <c r="AR484" s="42">
        <v>0</v>
      </c>
      <c r="AV484" s="42">
        <v>308871</v>
      </c>
      <c r="AX484" s="42">
        <v>8105</v>
      </c>
      <c r="AZ484" s="42">
        <v>0</v>
      </c>
      <c r="BB484" s="42">
        <f t="shared" si="85"/>
        <v>32917262</v>
      </c>
      <c r="BD484" s="42">
        <v>60000</v>
      </c>
      <c r="BF484" s="42">
        <v>0</v>
      </c>
      <c r="BH484" s="42">
        <v>0</v>
      </c>
      <c r="BJ484" s="42">
        <v>0</v>
      </c>
      <c r="BL484" s="42">
        <f t="shared" si="84"/>
        <v>32977262</v>
      </c>
      <c r="BN484" s="42">
        <f>+'Gen Fd Rev'!AM484-'Gen Fd Exp'!BL484</f>
        <v>1124758</v>
      </c>
      <c r="BP484" s="42">
        <v>2008502</v>
      </c>
      <c r="BR484" s="42">
        <v>0</v>
      </c>
      <c r="BT484" s="42">
        <v>0</v>
      </c>
      <c r="BV484" s="42">
        <f t="shared" si="83"/>
        <v>3133260</v>
      </c>
      <c r="BX484" s="5">
        <f>+BV484-'Gen Fd BS'!AI484+BT484</f>
        <v>0</v>
      </c>
    </row>
    <row r="485" spans="1:76" ht="12" customHeight="1">
      <c r="A485" s="9" t="s">
        <v>319</v>
      </c>
      <c r="B485" s="9"/>
      <c r="C485" s="9" t="s">
        <v>31</v>
      </c>
      <c r="D485" s="9"/>
      <c r="E485" s="23">
        <v>47308</v>
      </c>
      <c r="G485" s="42">
        <v>7062280</v>
      </c>
      <c r="I485" s="42">
        <v>1785628</v>
      </c>
      <c r="K485" s="42">
        <v>219235</v>
      </c>
      <c r="M485" s="42">
        <v>0</v>
      </c>
      <c r="O485" s="42">
        <v>1461856</v>
      </c>
      <c r="Q485" s="42">
        <v>548585</v>
      </c>
      <c r="S485" s="42">
        <v>500768</v>
      </c>
      <c r="U485" s="42">
        <v>27683</v>
      </c>
      <c r="W485" s="42">
        <v>1471733</v>
      </c>
      <c r="Y485" s="42">
        <v>638523</v>
      </c>
      <c r="AA485" s="42">
        <v>0</v>
      </c>
      <c r="AC485" s="42">
        <v>1427052</v>
      </c>
      <c r="AE485" s="42">
        <v>844669</v>
      </c>
      <c r="AG485" s="42">
        <v>88420</v>
      </c>
      <c r="AI485" s="42">
        <v>0</v>
      </c>
      <c r="AK485" s="42">
        <v>1566</v>
      </c>
      <c r="AL485" s="9" t="s">
        <v>319</v>
      </c>
      <c r="AM485" s="9"/>
      <c r="AN485" s="9" t="s">
        <v>31</v>
      </c>
      <c r="AP485" s="42">
        <v>61639</v>
      </c>
      <c r="AR485" s="42">
        <v>140632</v>
      </c>
      <c r="AV485" s="42">
        <v>0</v>
      </c>
      <c r="AX485" s="42">
        <v>0</v>
      </c>
      <c r="AZ485" s="42">
        <v>0</v>
      </c>
      <c r="BB485" s="42">
        <f t="shared" si="85"/>
        <v>16280269</v>
      </c>
      <c r="BD485" s="42">
        <v>183967</v>
      </c>
      <c r="BF485" s="42">
        <v>0</v>
      </c>
      <c r="BH485" s="42">
        <v>0</v>
      </c>
      <c r="BJ485" s="42">
        <v>0</v>
      </c>
      <c r="BL485" s="42">
        <f t="shared" si="84"/>
        <v>16464236</v>
      </c>
      <c r="BN485" s="42">
        <f>+'Gen Fd Rev'!AM485-'Gen Fd Exp'!BL485</f>
        <v>332020</v>
      </c>
      <c r="BP485" s="42">
        <v>3615096</v>
      </c>
      <c r="BR485" s="42">
        <v>0</v>
      </c>
      <c r="BT485" s="42">
        <v>0</v>
      </c>
      <c r="BV485" s="42">
        <f t="shared" si="83"/>
        <v>3947116</v>
      </c>
      <c r="BX485" s="5">
        <f>+BV485-'Gen Fd BS'!AI485+BT485</f>
        <v>0</v>
      </c>
    </row>
    <row r="486" spans="1:76" ht="12" customHeight="1">
      <c r="A486" s="9" t="s">
        <v>459</v>
      </c>
      <c r="B486" s="9"/>
      <c r="C486" s="9" t="s">
        <v>56</v>
      </c>
      <c r="D486" s="9"/>
      <c r="E486" s="23">
        <v>49213</v>
      </c>
      <c r="G486" s="42">
        <v>4672931</v>
      </c>
      <c r="I486" s="42">
        <v>1078708</v>
      </c>
      <c r="K486" s="42">
        <v>190991</v>
      </c>
      <c r="M486" s="42">
        <v>0</v>
      </c>
      <c r="O486" s="42">
        <f>219+811301</f>
        <v>811520</v>
      </c>
      <c r="Q486" s="42">
        <v>575661</v>
      </c>
      <c r="S486" s="42">
        <v>432564</v>
      </c>
      <c r="U486" s="42">
        <v>25569</v>
      </c>
      <c r="W486" s="42">
        <v>860465</v>
      </c>
      <c r="Y486" s="42">
        <v>410610</v>
      </c>
      <c r="AA486" s="42">
        <v>8650</v>
      </c>
      <c r="AC486" s="42">
        <v>997218</v>
      </c>
      <c r="AE486" s="42">
        <v>663292</v>
      </c>
      <c r="AG486" s="42">
        <v>4762</v>
      </c>
      <c r="AI486" s="42">
        <v>0</v>
      </c>
      <c r="AK486" s="42">
        <v>0</v>
      </c>
      <c r="AL486" s="9" t="s">
        <v>459</v>
      </c>
      <c r="AM486" s="9"/>
      <c r="AN486" s="9" t="s">
        <v>56</v>
      </c>
      <c r="AP486" s="42">
        <v>257870</v>
      </c>
      <c r="AR486" s="42">
        <v>0</v>
      </c>
      <c r="AV486" s="42">
        <v>0</v>
      </c>
      <c r="AX486" s="42">
        <v>0</v>
      </c>
      <c r="AZ486" s="42">
        <v>0</v>
      </c>
      <c r="BB486" s="42">
        <f>SUM(G486:AZ486)</f>
        <v>10990811</v>
      </c>
      <c r="BD486" s="42">
        <v>0</v>
      </c>
      <c r="BF486" s="42">
        <v>0</v>
      </c>
      <c r="BH486" s="42">
        <v>0</v>
      </c>
      <c r="BJ486" s="42">
        <v>0</v>
      </c>
      <c r="BL486" s="42">
        <f t="shared" si="84"/>
        <v>10990811</v>
      </c>
      <c r="BN486" s="42">
        <f>+'Gen Fd Rev'!AM486-'Gen Fd Exp'!BL486</f>
        <v>167353</v>
      </c>
      <c r="BP486" s="42">
        <v>660819</v>
      </c>
      <c r="BR486" s="42">
        <v>0</v>
      </c>
      <c r="BT486" s="42">
        <v>0</v>
      </c>
      <c r="BV486" s="42">
        <f>+BP486+BN486-BR486</f>
        <v>828172</v>
      </c>
      <c r="BX486" s="5">
        <f>+BV486-'Gen Fd BS'!AI486+BT486</f>
        <v>0</v>
      </c>
    </row>
    <row r="487" spans="1:76" ht="12" customHeight="1">
      <c r="A487" s="9" t="s">
        <v>708</v>
      </c>
      <c r="B487" s="9"/>
      <c r="C487" s="9" t="s">
        <v>220</v>
      </c>
      <c r="D487" s="9"/>
      <c r="E487" s="23">
        <v>46144</v>
      </c>
      <c r="G487" s="42">
        <v>10937303</v>
      </c>
      <c r="I487" s="42">
        <v>1387614</v>
      </c>
      <c r="K487" s="42">
        <v>0</v>
      </c>
      <c r="M487" s="42">
        <v>0</v>
      </c>
      <c r="O487" s="42">
        <v>873337</v>
      </c>
      <c r="Q487" s="42">
        <v>815353</v>
      </c>
      <c r="S487" s="42">
        <v>915972</v>
      </c>
      <c r="U487" s="42">
        <v>30201</v>
      </c>
      <c r="W487" s="42">
        <v>1916703</v>
      </c>
      <c r="Y487" s="42">
        <v>639754</v>
      </c>
      <c r="AA487" s="42">
        <v>0</v>
      </c>
      <c r="AC487" s="42">
        <v>1928890</v>
      </c>
      <c r="AE487" s="42">
        <v>1545723</v>
      </c>
      <c r="AG487" s="42">
        <v>282</v>
      </c>
      <c r="AI487" s="42">
        <v>0</v>
      </c>
      <c r="AK487" s="42">
        <v>0</v>
      </c>
      <c r="AL487" s="9" t="s">
        <v>708</v>
      </c>
      <c r="AM487" s="9"/>
      <c r="AN487" s="9" t="s">
        <v>220</v>
      </c>
      <c r="AP487" s="42">
        <v>498318</v>
      </c>
      <c r="AR487" s="42">
        <v>306521</v>
      </c>
      <c r="AV487" s="42">
        <v>263301</v>
      </c>
      <c r="AX487" s="42">
        <v>14021</v>
      </c>
      <c r="AZ487" s="42">
        <v>0</v>
      </c>
      <c r="BB487" s="42">
        <f t="shared" si="85"/>
        <v>22073293</v>
      </c>
      <c r="BD487" s="42">
        <v>0</v>
      </c>
      <c r="BF487" s="42">
        <v>0</v>
      </c>
      <c r="BH487" s="42">
        <v>0</v>
      </c>
      <c r="BJ487" s="42">
        <v>0</v>
      </c>
      <c r="BL487" s="42">
        <f t="shared" si="84"/>
        <v>22073293</v>
      </c>
      <c r="BN487" s="42">
        <f>+'Gen Fd Rev'!AM487-'Gen Fd Exp'!BL487</f>
        <v>1182406</v>
      </c>
      <c r="BP487" s="42">
        <v>4987037</v>
      </c>
      <c r="BR487" s="42">
        <v>0</v>
      </c>
      <c r="BT487" s="42">
        <v>0</v>
      </c>
      <c r="BV487" s="42">
        <f t="shared" si="83"/>
        <v>6169443</v>
      </c>
      <c r="BX487" s="5">
        <f>+BV487-'Gen Fd BS'!AI487+BT487</f>
        <v>0</v>
      </c>
    </row>
    <row r="488" spans="1:76" ht="12" customHeight="1">
      <c r="A488" s="9" t="s">
        <v>771</v>
      </c>
      <c r="B488" s="9"/>
      <c r="C488" s="9" t="s">
        <v>72</v>
      </c>
      <c r="D488" s="9"/>
      <c r="E488" s="23">
        <v>45609</v>
      </c>
      <c r="F488" s="7"/>
      <c r="G488" s="42">
        <v>11050385</v>
      </c>
      <c r="I488" s="42">
        <v>1865059</v>
      </c>
      <c r="K488" s="42">
        <v>212442</v>
      </c>
      <c r="M488" s="42">
        <v>15408</v>
      </c>
      <c r="O488" s="42">
        <v>0</v>
      </c>
      <c r="Q488" s="42">
        <v>1671364</v>
      </c>
      <c r="S488" s="42">
        <v>1467817</v>
      </c>
      <c r="U488" s="42">
        <v>220915</v>
      </c>
      <c r="W488" s="42">
        <v>2040389</v>
      </c>
      <c r="Y488" s="42">
        <v>455203</v>
      </c>
      <c r="AA488" s="42">
        <v>125041</v>
      </c>
      <c r="AC488" s="42">
        <v>2302341</v>
      </c>
      <c r="AE488" s="42">
        <v>941629</v>
      </c>
      <c r="AG488" s="42">
        <v>521932</v>
      </c>
      <c r="AI488" s="42">
        <v>0</v>
      </c>
      <c r="AK488" s="42">
        <v>6667</v>
      </c>
      <c r="AL488" s="9" t="s">
        <v>771</v>
      </c>
      <c r="AM488" s="9"/>
      <c r="AN488" s="9" t="s">
        <v>72</v>
      </c>
      <c r="AP488" s="42">
        <v>498079</v>
      </c>
      <c r="AR488" s="42">
        <v>32320</v>
      </c>
      <c r="AV488" s="42">
        <v>0</v>
      </c>
      <c r="AX488" s="42">
        <v>0</v>
      </c>
      <c r="AZ488" s="42">
        <v>0</v>
      </c>
      <c r="BB488" s="42">
        <f>SUM(G488:AZ488)</f>
        <v>23426991</v>
      </c>
      <c r="BD488" s="42">
        <v>77000</v>
      </c>
      <c r="BF488" s="42">
        <v>0</v>
      </c>
      <c r="BH488" s="42">
        <v>0</v>
      </c>
      <c r="BJ488" s="42">
        <v>0</v>
      </c>
      <c r="BL488" s="42">
        <f>+BB488+BD488+BF488+BJ488</f>
        <v>23503991</v>
      </c>
      <c r="BN488" s="42">
        <f>+'Gen Fd Rev'!AM488-'Gen Fd Exp'!BL488</f>
        <v>216182</v>
      </c>
      <c r="BP488" s="42">
        <v>8266157</v>
      </c>
      <c r="BR488" s="42">
        <v>0</v>
      </c>
      <c r="BT488" s="42">
        <v>0</v>
      </c>
      <c r="BV488" s="42">
        <f>+BP488+BN488-BR488</f>
        <v>8482339</v>
      </c>
      <c r="BX488" s="5">
        <f>+BV488-'Gen Fd BS'!AI488+BT488</f>
        <v>0</v>
      </c>
    </row>
    <row r="489" spans="1:76">
      <c r="A489" s="9" t="s">
        <v>488</v>
      </c>
      <c r="B489" s="9"/>
      <c r="C489" s="9" t="s">
        <v>61</v>
      </c>
      <c r="D489" s="9"/>
      <c r="E489" s="23">
        <v>49817</v>
      </c>
      <c r="G489" s="42">
        <v>2062675</v>
      </c>
      <c r="I489" s="42">
        <v>330079</v>
      </c>
      <c r="K489" s="42">
        <v>0</v>
      </c>
      <c r="M489" s="42">
        <v>0</v>
      </c>
      <c r="O489" s="42">
        <v>5712</v>
      </c>
      <c r="Q489" s="42">
        <v>73675</v>
      </c>
      <c r="S489" s="42">
        <v>54689</v>
      </c>
      <c r="U489" s="42">
        <v>6493</v>
      </c>
      <c r="W489" s="42">
        <v>350278</v>
      </c>
      <c r="Y489" s="42">
        <v>160171</v>
      </c>
      <c r="AA489" s="42">
        <v>473</v>
      </c>
      <c r="AC489" s="42">
        <v>309923</v>
      </c>
      <c r="AE489" s="42">
        <v>147517</v>
      </c>
      <c r="AG489" s="42">
        <v>93980</v>
      </c>
      <c r="AI489" s="42">
        <v>0</v>
      </c>
      <c r="AK489" s="42">
        <v>2452</v>
      </c>
      <c r="AL489" s="9" t="s">
        <v>488</v>
      </c>
      <c r="AM489" s="9"/>
      <c r="AN489" s="9" t="s">
        <v>61</v>
      </c>
      <c r="AP489" s="42">
        <v>134206</v>
      </c>
      <c r="AR489" s="42">
        <v>0</v>
      </c>
      <c r="AV489" s="42">
        <v>0</v>
      </c>
      <c r="AX489" s="42">
        <v>0</v>
      </c>
      <c r="AZ489" s="42">
        <v>0</v>
      </c>
      <c r="BB489" s="42">
        <f>SUM(G489:AZ489)</f>
        <v>3732323</v>
      </c>
      <c r="BD489" s="42">
        <v>0</v>
      </c>
      <c r="BF489" s="42">
        <v>0</v>
      </c>
      <c r="BH489" s="42">
        <v>0</v>
      </c>
      <c r="BJ489" s="42">
        <v>0</v>
      </c>
      <c r="BL489" s="42">
        <f>+BB489+BD489+BF489+BJ489</f>
        <v>3732323</v>
      </c>
      <c r="BN489" s="42">
        <f>+'Gen Fd Rev'!AM489-'Gen Fd Exp'!BL489</f>
        <v>234419</v>
      </c>
      <c r="BP489" s="42">
        <v>1276942</v>
      </c>
      <c r="BR489" s="42">
        <v>0</v>
      </c>
      <c r="BT489" s="42">
        <v>0</v>
      </c>
      <c r="BV489" s="42">
        <f>+BP489+BN489-BR489</f>
        <v>1511361</v>
      </c>
      <c r="BX489" s="5">
        <f>+BV489-'Gen Fd BS'!AI489+BT489</f>
        <v>0</v>
      </c>
    </row>
    <row r="490" spans="1:76">
      <c r="A490" s="9" t="s">
        <v>602</v>
      </c>
      <c r="B490" s="9"/>
      <c r="C490" s="9" t="s">
        <v>111</v>
      </c>
      <c r="D490" s="9"/>
      <c r="E490" s="23">
        <v>44735</v>
      </c>
      <c r="G490" s="42">
        <v>7969837</v>
      </c>
      <c r="I490" s="42">
        <v>1938070</v>
      </c>
      <c r="K490" s="42">
        <v>221744</v>
      </c>
      <c r="M490" s="42">
        <v>627281</v>
      </c>
      <c r="O490" s="42">
        <v>1657193</v>
      </c>
      <c r="Q490" s="42">
        <v>990959</v>
      </c>
      <c r="S490" s="42">
        <v>418014</v>
      </c>
      <c r="U490" s="42">
        <v>29811</v>
      </c>
      <c r="W490" s="42">
        <v>1723460</v>
      </c>
      <c r="Y490" s="42">
        <v>582546</v>
      </c>
      <c r="AA490" s="42">
        <v>7409</v>
      </c>
      <c r="AC490" s="42">
        <v>1632245</v>
      </c>
      <c r="AE490" s="42">
        <v>632690</v>
      </c>
      <c r="AG490" s="42">
        <v>143696</v>
      </c>
      <c r="AI490" s="42">
        <v>0</v>
      </c>
      <c r="AK490" s="42">
        <v>46354</v>
      </c>
      <c r="AL490" s="9" t="s">
        <v>602</v>
      </c>
      <c r="AM490" s="9"/>
      <c r="AN490" s="9" t="s">
        <v>111</v>
      </c>
      <c r="AP490" s="42">
        <v>441173</v>
      </c>
      <c r="AR490" s="42">
        <v>0</v>
      </c>
      <c r="AV490" s="42">
        <v>172141</v>
      </c>
      <c r="AX490" s="42">
        <v>93317</v>
      </c>
      <c r="AZ490" s="42">
        <v>0</v>
      </c>
      <c r="BB490" s="42">
        <f t="shared" ref="BB490:BB507" si="88">SUM(G490:AZ490)</f>
        <v>19327940</v>
      </c>
      <c r="BD490" s="42">
        <v>0</v>
      </c>
      <c r="BF490" s="42">
        <v>0</v>
      </c>
      <c r="BH490" s="42">
        <v>0</v>
      </c>
      <c r="BJ490" s="42">
        <v>0</v>
      </c>
      <c r="BL490" s="42">
        <f t="shared" ref="BL490:BL539" si="89">+BB490+BD490+BF490+BJ490</f>
        <v>19327940</v>
      </c>
      <c r="BN490" s="42">
        <f>+'Gen Fd Rev'!AM490-'Gen Fd Exp'!BL490</f>
        <v>118201</v>
      </c>
      <c r="BP490" s="42">
        <v>447822</v>
      </c>
      <c r="BR490" s="42">
        <v>0</v>
      </c>
      <c r="BT490" s="42">
        <v>0</v>
      </c>
      <c r="BV490" s="42">
        <f t="shared" ref="BV490:BV539" si="90">+BP490+BN490-BR490</f>
        <v>566023</v>
      </c>
      <c r="BX490" s="5">
        <f>+BV490-'Gen Fd BS'!AI490+BT490</f>
        <v>0</v>
      </c>
    </row>
    <row r="491" spans="1:76">
      <c r="A491" s="9" t="s">
        <v>288</v>
      </c>
      <c r="B491" s="9"/>
      <c r="C491" s="9" t="s">
        <v>24</v>
      </c>
      <c r="D491" s="9"/>
      <c r="E491" s="23">
        <v>44743</v>
      </c>
      <c r="G491" s="42">
        <v>19779346</v>
      </c>
      <c r="I491" s="42">
        <v>5411738</v>
      </c>
      <c r="K491" s="42">
        <v>1263788</v>
      </c>
      <c r="M491" s="42">
        <v>696789</v>
      </c>
      <c r="O491" s="42">
        <v>357186</v>
      </c>
      <c r="Q491" s="42">
        <v>1716558</v>
      </c>
      <c r="S491" s="42">
        <v>2003332</v>
      </c>
      <c r="U491" s="42">
        <v>0</v>
      </c>
      <c r="W491" s="42">
        <f>162727+2508079</f>
        <v>2670806</v>
      </c>
      <c r="Y491" s="42">
        <v>744703</v>
      </c>
      <c r="AA491" s="42">
        <v>123227</v>
      </c>
      <c r="AC491" s="42">
        <v>2881079</v>
      </c>
      <c r="AE491" s="42">
        <v>1416422</v>
      </c>
      <c r="AG491" s="42">
        <v>758190</v>
      </c>
      <c r="AI491" s="42">
        <v>0</v>
      </c>
      <c r="AK491" s="42">
        <v>0</v>
      </c>
      <c r="AL491" s="9" t="s">
        <v>288</v>
      </c>
      <c r="AM491" s="9"/>
      <c r="AN491" s="9" t="s">
        <v>24</v>
      </c>
      <c r="AP491" s="42">
        <v>810763</v>
      </c>
      <c r="AR491" s="42">
        <v>0</v>
      </c>
      <c r="AV491" s="42">
        <v>284554</v>
      </c>
      <c r="AX491" s="42">
        <v>69213</v>
      </c>
      <c r="AZ491" s="42">
        <v>0</v>
      </c>
      <c r="BB491" s="42">
        <f t="shared" si="88"/>
        <v>40987694</v>
      </c>
      <c r="BD491" s="42">
        <v>719</v>
      </c>
      <c r="BF491" s="42">
        <v>0</v>
      </c>
      <c r="BH491" s="42">
        <v>0</v>
      </c>
      <c r="BJ491" s="42">
        <v>0</v>
      </c>
      <c r="BL491" s="42">
        <f t="shared" si="89"/>
        <v>40988413</v>
      </c>
      <c r="BN491" s="42">
        <f>+'Gen Fd Rev'!AM491-'Gen Fd Exp'!BL491</f>
        <v>256058</v>
      </c>
      <c r="BP491" s="42">
        <v>-956058</v>
      </c>
      <c r="BR491" s="42">
        <v>0</v>
      </c>
      <c r="BT491" s="42">
        <v>0</v>
      </c>
      <c r="BV491" s="42">
        <f t="shared" si="90"/>
        <v>-700000</v>
      </c>
      <c r="BX491" s="5">
        <f>+BV491-'Gen Fd BS'!AI491+BT491</f>
        <v>0</v>
      </c>
    </row>
    <row r="492" spans="1:76">
      <c r="A492" s="9" t="s">
        <v>500</v>
      </c>
      <c r="B492" s="9"/>
      <c r="C492" s="9" t="s">
        <v>62</v>
      </c>
      <c r="D492" s="9"/>
      <c r="E492" s="23">
        <v>49940</v>
      </c>
      <c r="G492" s="42">
        <v>4719553</v>
      </c>
      <c r="I492" s="42">
        <v>1852070</v>
      </c>
      <c r="K492" s="42">
        <v>588385</v>
      </c>
      <c r="M492" s="42">
        <v>0</v>
      </c>
      <c r="O492" s="42">
        <v>594734</v>
      </c>
      <c r="Q492" s="42">
        <v>958575</v>
      </c>
      <c r="S492" s="42">
        <v>121489</v>
      </c>
      <c r="U492" s="42">
        <v>14678</v>
      </c>
      <c r="W492" s="42">
        <v>1175796</v>
      </c>
      <c r="Y492" s="42">
        <v>371771</v>
      </c>
      <c r="AA492" s="42">
        <v>77817</v>
      </c>
      <c r="AC492" s="42">
        <v>934012</v>
      </c>
      <c r="AE492" s="42">
        <v>1106424</v>
      </c>
      <c r="AG492" s="42">
        <v>7997</v>
      </c>
      <c r="AI492" s="42">
        <v>0</v>
      </c>
      <c r="AK492" s="42">
        <v>0</v>
      </c>
      <c r="AL492" s="9" t="s">
        <v>500</v>
      </c>
      <c r="AM492" s="9"/>
      <c r="AN492" s="9" t="s">
        <v>62</v>
      </c>
      <c r="AP492" s="42">
        <v>326329</v>
      </c>
      <c r="AR492" s="42">
        <v>0</v>
      </c>
      <c r="AV492" s="42">
        <v>0</v>
      </c>
      <c r="AX492" s="42">
        <v>0</v>
      </c>
      <c r="AZ492" s="42">
        <v>0</v>
      </c>
      <c r="BB492" s="42">
        <f t="shared" si="88"/>
        <v>12849630</v>
      </c>
      <c r="BD492" s="42">
        <v>0</v>
      </c>
      <c r="BF492" s="42">
        <v>0</v>
      </c>
      <c r="BH492" s="42">
        <v>0</v>
      </c>
      <c r="BJ492" s="42">
        <v>0</v>
      </c>
      <c r="BL492" s="42">
        <f t="shared" si="89"/>
        <v>12849630</v>
      </c>
      <c r="BN492" s="42">
        <f>+'Gen Fd Rev'!AM492-'Gen Fd Exp'!BL492</f>
        <v>434842</v>
      </c>
      <c r="BP492" s="42">
        <v>1585435</v>
      </c>
      <c r="BR492" s="42">
        <v>0</v>
      </c>
      <c r="BT492" s="42">
        <v>0</v>
      </c>
      <c r="BV492" s="42">
        <f t="shared" si="90"/>
        <v>2020277</v>
      </c>
      <c r="BX492" s="5">
        <f>+BV492-'Gen Fd BS'!AI492+BT492</f>
        <v>0</v>
      </c>
    </row>
    <row r="493" spans="1:76">
      <c r="A493" s="9" t="s">
        <v>453</v>
      </c>
      <c r="B493" s="9"/>
      <c r="C493" s="9" t="s">
        <v>55</v>
      </c>
      <c r="D493" s="9"/>
      <c r="E493" s="23">
        <v>49130</v>
      </c>
      <c r="G493" s="42">
        <v>5760057</v>
      </c>
      <c r="I493" s="42">
        <v>1341572</v>
      </c>
      <c r="K493" s="42">
        <v>0</v>
      </c>
      <c r="M493" s="42">
        <v>0</v>
      </c>
      <c r="O493" s="42">
        <v>16113</v>
      </c>
      <c r="Q493" s="42">
        <v>697505</v>
      </c>
      <c r="S493" s="42">
        <v>556256</v>
      </c>
      <c r="U493" s="42">
        <v>14738</v>
      </c>
      <c r="W493" s="42">
        <v>2008330</v>
      </c>
      <c r="Y493" s="42">
        <v>365214</v>
      </c>
      <c r="AA493" s="42">
        <v>0</v>
      </c>
      <c r="AC493" s="42">
        <v>1376579</v>
      </c>
      <c r="AE493" s="42">
        <v>1031456</v>
      </c>
      <c r="AG493" s="42">
        <v>101206</v>
      </c>
      <c r="AI493" s="42">
        <v>0</v>
      </c>
      <c r="AK493" s="42">
        <v>0</v>
      </c>
      <c r="AL493" s="9" t="s">
        <v>453</v>
      </c>
      <c r="AM493" s="9"/>
      <c r="AN493" s="9" t="s">
        <v>55</v>
      </c>
      <c r="AP493" s="42">
        <v>241838</v>
      </c>
      <c r="AR493" s="42">
        <v>45936</v>
      </c>
      <c r="AV493" s="42">
        <v>63170</v>
      </c>
      <c r="AX493" s="42">
        <v>18375</v>
      </c>
      <c r="AZ493" s="42">
        <v>0</v>
      </c>
      <c r="BB493" s="42">
        <f t="shared" si="88"/>
        <v>13638345</v>
      </c>
      <c r="BD493" s="42">
        <v>0</v>
      </c>
      <c r="BF493" s="42">
        <v>0</v>
      </c>
      <c r="BH493" s="42">
        <v>0</v>
      </c>
      <c r="BJ493" s="42">
        <v>252925</v>
      </c>
      <c r="BL493" s="42">
        <f t="shared" si="89"/>
        <v>13891270</v>
      </c>
      <c r="BN493" s="42">
        <f>+'Gen Fd Rev'!AM493-'Gen Fd Exp'!BL493</f>
        <v>-43146</v>
      </c>
      <c r="BP493" s="42">
        <v>5760553</v>
      </c>
      <c r="BR493" s="42">
        <v>0</v>
      </c>
      <c r="BT493" s="42">
        <v>0</v>
      </c>
      <c r="BV493" s="42">
        <f t="shared" si="90"/>
        <v>5717407</v>
      </c>
      <c r="BX493" s="5">
        <f>+BV493-'Gen Fd BS'!AI493+BT493</f>
        <v>0</v>
      </c>
    </row>
    <row r="494" spans="1:76">
      <c r="A494" s="9" t="s">
        <v>402</v>
      </c>
      <c r="B494" s="9"/>
      <c r="C494" s="9" t="s">
        <v>45</v>
      </c>
      <c r="D494" s="9"/>
      <c r="E494" s="23">
        <v>48355</v>
      </c>
      <c r="G494" s="42">
        <v>2392699</v>
      </c>
      <c r="I494" s="42">
        <v>1645467</v>
      </c>
      <c r="K494" s="42">
        <v>4720</v>
      </c>
      <c r="M494" s="42">
        <v>0</v>
      </c>
      <c r="O494" s="42">
        <v>0</v>
      </c>
      <c r="Q494" s="42">
        <v>176380</v>
      </c>
      <c r="S494" s="42">
        <v>235005</v>
      </c>
      <c r="U494" s="42">
        <v>15451</v>
      </c>
      <c r="W494" s="42">
        <v>748517</v>
      </c>
      <c r="Y494" s="42">
        <v>265802</v>
      </c>
      <c r="AA494" s="42">
        <v>0</v>
      </c>
      <c r="AC494" s="42">
        <v>686465</v>
      </c>
      <c r="AE494" s="42">
        <v>188813</v>
      </c>
      <c r="AG494" s="42">
        <v>2215</v>
      </c>
      <c r="AI494" s="42">
        <v>0</v>
      </c>
      <c r="AK494" s="42">
        <v>0</v>
      </c>
      <c r="AL494" s="9" t="s">
        <v>402</v>
      </c>
      <c r="AM494" s="9"/>
      <c r="AN494" s="9" t="s">
        <v>45</v>
      </c>
      <c r="AP494" s="42">
        <v>142698</v>
      </c>
      <c r="AR494" s="42">
        <v>0</v>
      </c>
      <c r="AV494" s="42">
        <v>0</v>
      </c>
      <c r="AX494" s="42">
        <v>0</v>
      </c>
      <c r="AZ494" s="42">
        <v>0</v>
      </c>
      <c r="BB494" s="42">
        <f t="shared" si="88"/>
        <v>6504232</v>
      </c>
      <c r="BD494" s="42">
        <v>18281</v>
      </c>
      <c r="BF494" s="42">
        <v>0</v>
      </c>
      <c r="BH494" s="42">
        <v>0</v>
      </c>
      <c r="BJ494" s="42">
        <v>0</v>
      </c>
      <c r="BL494" s="42">
        <f>+BB494+BD494+BF494+BJ494</f>
        <v>6522513</v>
      </c>
      <c r="BN494" s="42">
        <f>+'Gen Fd Rev'!AM494-'Gen Fd Exp'!BL494</f>
        <v>-355723</v>
      </c>
      <c r="BP494" s="42">
        <v>287094</v>
      </c>
      <c r="BR494" s="42">
        <v>0</v>
      </c>
      <c r="BT494" s="42">
        <v>0</v>
      </c>
      <c r="BV494" s="42">
        <f t="shared" si="90"/>
        <v>-68629</v>
      </c>
      <c r="BX494" s="5">
        <f>+BV494-'Gen Fd BS'!AI494+BT494</f>
        <v>0</v>
      </c>
    </row>
    <row r="495" spans="1:76">
      <c r="A495" s="9" t="s">
        <v>484</v>
      </c>
      <c r="B495" s="9"/>
      <c r="C495" s="9" t="s">
        <v>60</v>
      </c>
      <c r="D495" s="9"/>
      <c r="E495" s="23">
        <v>49684</v>
      </c>
      <c r="G495" s="42">
        <v>4230681</v>
      </c>
      <c r="I495" s="42">
        <v>907133</v>
      </c>
      <c r="K495" s="42">
        <v>193038</v>
      </c>
      <c r="M495" s="42">
        <v>0</v>
      </c>
      <c r="O495" s="42">
        <v>0</v>
      </c>
      <c r="Q495" s="42">
        <v>158327</v>
      </c>
      <c r="S495" s="42">
        <v>369537</v>
      </c>
      <c r="U495" s="42">
        <v>47218</v>
      </c>
      <c r="W495" s="42">
        <v>547914</v>
      </c>
      <c r="Y495" s="42">
        <v>300124</v>
      </c>
      <c r="AA495" s="42">
        <v>2972</v>
      </c>
      <c r="AC495" s="42">
        <v>838992</v>
      </c>
      <c r="AE495" s="42">
        <v>597980</v>
      </c>
      <c r="AG495" s="42">
        <v>30185</v>
      </c>
      <c r="AI495" s="42">
        <v>0</v>
      </c>
      <c r="AK495" s="42">
        <v>4506</v>
      </c>
      <c r="AL495" s="9" t="s">
        <v>484</v>
      </c>
      <c r="AM495" s="9"/>
      <c r="AN495" s="9" t="s">
        <v>60</v>
      </c>
      <c r="AP495" s="42">
        <v>219406</v>
      </c>
      <c r="AR495" s="42">
        <v>184991</v>
      </c>
      <c r="AV495" s="42">
        <v>40273</v>
      </c>
      <c r="AX495" s="42">
        <v>9681</v>
      </c>
      <c r="AZ495" s="42">
        <v>0</v>
      </c>
      <c r="BB495" s="42">
        <f t="shared" si="88"/>
        <v>8682958</v>
      </c>
      <c r="BD495" s="42">
        <v>15000</v>
      </c>
      <c r="BF495" s="42">
        <v>0</v>
      </c>
      <c r="BH495" s="42">
        <v>0</v>
      </c>
      <c r="BJ495" s="42">
        <v>0</v>
      </c>
      <c r="BL495" s="42">
        <f t="shared" si="89"/>
        <v>8697958</v>
      </c>
      <c r="BN495" s="42">
        <f>+'Gen Fd Rev'!AM495-'Gen Fd Exp'!BL495</f>
        <v>55304</v>
      </c>
      <c r="BP495" s="42">
        <v>627953</v>
      </c>
      <c r="BR495" s="42">
        <v>0</v>
      </c>
      <c r="BT495" s="42">
        <v>0</v>
      </c>
      <c r="BV495" s="42">
        <f>+BP495+BN495-BR495</f>
        <v>683257</v>
      </c>
      <c r="BX495" s="5">
        <f>+BV495-'Gen Fd BS'!AI495+BT495</f>
        <v>0</v>
      </c>
    </row>
    <row r="496" spans="1:76">
      <c r="A496" s="9" t="s">
        <v>216</v>
      </c>
      <c r="B496" s="9"/>
      <c r="C496" s="9" t="s">
        <v>15</v>
      </c>
      <c r="D496" s="9"/>
      <c r="E496" s="23">
        <v>46003</v>
      </c>
      <c r="G496" s="42">
        <v>3337079</v>
      </c>
      <c r="I496" s="42">
        <v>513713</v>
      </c>
      <c r="K496" s="42">
        <v>30236</v>
      </c>
      <c r="M496" s="42">
        <v>0</v>
      </c>
      <c r="O496" s="42">
        <v>0</v>
      </c>
      <c r="Q496" s="42">
        <v>169193</v>
      </c>
      <c r="S496" s="42">
        <v>136033</v>
      </c>
      <c r="U496" s="42">
        <v>22973</v>
      </c>
      <c r="W496" s="42">
        <v>697636</v>
      </c>
      <c r="Y496" s="42">
        <v>276160</v>
      </c>
      <c r="AA496" s="42">
        <v>0</v>
      </c>
      <c r="AC496" s="42">
        <v>570581</v>
      </c>
      <c r="AE496" s="42">
        <v>225067</v>
      </c>
      <c r="AG496" s="42">
        <v>0</v>
      </c>
      <c r="AI496" s="42">
        <v>0</v>
      </c>
      <c r="AK496" s="42">
        <v>0</v>
      </c>
      <c r="AL496" s="9" t="s">
        <v>216</v>
      </c>
      <c r="AM496" s="9"/>
      <c r="AN496" s="9" t="s">
        <v>15</v>
      </c>
      <c r="AP496" s="42">
        <v>95802</v>
      </c>
      <c r="AR496" s="42">
        <v>0</v>
      </c>
      <c r="AV496" s="42">
        <v>0</v>
      </c>
      <c r="AX496" s="42">
        <v>0</v>
      </c>
      <c r="AZ496" s="42">
        <v>0</v>
      </c>
      <c r="BB496" s="42">
        <f t="shared" si="88"/>
        <v>6074473</v>
      </c>
      <c r="BD496" s="42">
        <v>13182</v>
      </c>
      <c r="BF496" s="42">
        <v>0</v>
      </c>
      <c r="BH496" s="42">
        <v>0</v>
      </c>
      <c r="BJ496" s="42">
        <v>0</v>
      </c>
      <c r="BL496" s="42">
        <f t="shared" si="89"/>
        <v>6087655</v>
      </c>
      <c r="BN496" s="42">
        <f>+'Gen Fd Rev'!AM496-'Gen Fd Exp'!BL496</f>
        <v>-136173</v>
      </c>
      <c r="BP496" s="42">
        <v>1111478</v>
      </c>
      <c r="BR496" s="42">
        <v>0</v>
      </c>
      <c r="BT496" s="42">
        <v>0</v>
      </c>
      <c r="BV496" s="42">
        <f t="shared" si="90"/>
        <v>975305</v>
      </c>
      <c r="BX496" s="5">
        <f>+BV496-'Gen Fd BS'!AI496+BT496</f>
        <v>0</v>
      </c>
    </row>
    <row r="497" spans="1:76">
      <c r="A497" s="9" t="s">
        <v>709</v>
      </c>
      <c r="B497" s="9"/>
      <c r="C497" s="9" t="s">
        <v>20</v>
      </c>
      <c r="D497" s="9"/>
      <c r="E497" s="23">
        <v>44750</v>
      </c>
      <c r="G497" s="42">
        <v>35666981</v>
      </c>
      <c r="I497" s="42">
        <v>11759943</v>
      </c>
      <c r="K497" s="42">
        <v>73704</v>
      </c>
      <c r="M497" s="42">
        <v>0</v>
      </c>
      <c r="O497" s="42">
        <v>9541</v>
      </c>
      <c r="Q497" s="42">
        <v>5755271</v>
      </c>
      <c r="S497" s="42">
        <v>6992390</v>
      </c>
      <c r="U497" s="42">
        <v>65876</v>
      </c>
      <c r="W497" s="42">
        <v>5894461</v>
      </c>
      <c r="Y497" s="42">
        <v>2368150</v>
      </c>
      <c r="AA497" s="42">
        <v>1026069</v>
      </c>
      <c r="AC497" s="42">
        <v>12298650</v>
      </c>
      <c r="AE497" s="42">
        <v>4444158</v>
      </c>
      <c r="AG497" s="42">
        <v>1640547</v>
      </c>
      <c r="AI497" s="42">
        <v>0</v>
      </c>
      <c r="AK497" s="42">
        <v>46925</v>
      </c>
      <c r="AL497" s="9" t="s">
        <v>709</v>
      </c>
      <c r="AM497" s="9"/>
      <c r="AN497" s="9" t="s">
        <v>20</v>
      </c>
      <c r="AP497" s="42">
        <v>1016782</v>
      </c>
      <c r="AR497" s="42">
        <v>566999</v>
      </c>
      <c r="AV497" s="42">
        <v>0</v>
      </c>
      <c r="AX497" s="42">
        <v>41266</v>
      </c>
      <c r="AZ497" s="42">
        <v>0</v>
      </c>
      <c r="BB497" s="42">
        <f t="shared" si="88"/>
        <v>89667713</v>
      </c>
      <c r="BD497" s="42">
        <v>200000</v>
      </c>
      <c r="BF497" s="42">
        <v>0</v>
      </c>
      <c r="BH497" s="42">
        <v>0</v>
      </c>
      <c r="BJ497" s="42">
        <v>0</v>
      </c>
      <c r="BL497" s="42">
        <f t="shared" si="89"/>
        <v>89867713</v>
      </c>
      <c r="BN497" s="42">
        <f>+'Gen Fd Rev'!AM497-'Gen Fd Exp'!BL497</f>
        <v>-824796</v>
      </c>
      <c r="BP497" s="42">
        <v>23701067</v>
      </c>
      <c r="BR497" s="42">
        <v>0</v>
      </c>
      <c r="BT497" s="42">
        <v>0</v>
      </c>
      <c r="BV497" s="42">
        <f t="shared" si="90"/>
        <v>22876271</v>
      </c>
      <c r="BX497" s="5">
        <f>+BV497-'Gen Fd BS'!AI497+BT497</f>
        <v>0</v>
      </c>
    </row>
    <row r="498" spans="1:76" hidden="1">
      <c r="A498" s="9" t="s">
        <v>694</v>
      </c>
      <c r="B498" s="9"/>
      <c r="C498" s="9" t="s">
        <v>10</v>
      </c>
      <c r="D498" s="9"/>
      <c r="E498" s="23">
        <v>45779</v>
      </c>
      <c r="G498" s="42">
        <v>0</v>
      </c>
      <c r="I498" s="42">
        <v>0</v>
      </c>
      <c r="K498" s="42">
        <v>0</v>
      </c>
      <c r="M498" s="42">
        <v>0</v>
      </c>
      <c r="O498" s="42">
        <v>0</v>
      </c>
      <c r="Q498" s="42">
        <v>0</v>
      </c>
      <c r="S498" s="42">
        <v>0</v>
      </c>
      <c r="U498" s="42">
        <v>0</v>
      </c>
      <c r="W498" s="42">
        <v>0</v>
      </c>
      <c r="Y498" s="42">
        <v>0</v>
      </c>
      <c r="AA498" s="42">
        <v>0</v>
      </c>
      <c r="AC498" s="42">
        <v>0</v>
      </c>
      <c r="AE498" s="42">
        <v>0</v>
      </c>
      <c r="AG498" s="42">
        <v>0</v>
      </c>
      <c r="AI498" s="42">
        <v>0</v>
      </c>
      <c r="AK498" s="42">
        <v>0</v>
      </c>
      <c r="AL498" s="9" t="s">
        <v>694</v>
      </c>
      <c r="AM498" s="9"/>
      <c r="AN498" s="9" t="s">
        <v>10</v>
      </c>
      <c r="AP498" s="42">
        <v>0</v>
      </c>
      <c r="AR498" s="42">
        <v>0</v>
      </c>
      <c r="AV498" s="42">
        <v>0</v>
      </c>
      <c r="AX498" s="42">
        <v>0</v>
      </c>
      <c r="AZ498" s="42">
        <v>0</v>
      </c>
      <c r="BB498" s="42">
        <f t="shared" si="88"/>
        <v>0</v>
      </c>
      <c r="BD498" s="42">
        <v>0</v>
      </c>
      <c r="BF498" s="42">
        <v>0</v>
      </c>
      <c r="BH498" s="42">
        <v>0</v>
      </c>
      <c r="BJ498" s="42">
        <v>0</v>
      </c>
      <c r="BL498" s="42">
        <f t="shared" si="89"/>
        <v>0</v>
      </c>
      <c r="BN498" s="42">
        <f>+'Gen Fd Rev'!AM498-'Gen Fd Exp'!BL498</f>
        <v>0</v>
      </c>
      <c r="BP498" s="42">
        <v>0</v>
      </c>
      <c r="BR498" s="42">
        <v>0</v>
      </c>
      <c r="BT498" s="42">
        <v>0</v>
      </c>
      <c r="BV498" s="42">
        <f t="shared" si="90"/>
        <v>0</v>
      </c>
      <c r="BX498" s="5">
        <f>+BV498-'Gen Fd BS'!AI498+BT498</f>
        <v>0</v>
      </c>
    </row>
    <row r="499" spans="1:76">
      <c r="A499" s="9" t="s">
        <v>783</v>
      </c>
      <c r="B499" s="9"/>
      <c r="C499" s="9" t="s">
        <v>44</v>
      </c>
      <c r="D499" s="9"/>
      <c r="E499" s="23">
        <v>44768</v>
      </c>
      <c r="G499" s="42">
        <v>9150605</v>
      </c>
      <c r="I499" s="42">
        <v>2561662</v>
      </c>
      <c r="K499" s="42">
        <v>147660</v>
      </c>
      <c r="M499" s="42">
        <v>0</v>
      </c>
      <c r="O499" s="42">
        <v>40669</v>
      </c>
      <c r="Q499" s="42">
        <v>1031253</v>
      </c>
      <c r="S499" s="42">
        <v>766209</v>
      </c>
      <c r="U499" s="42">
        <v>42348</v>
      </c>
      <c r="W499" s="42">
        <v>1607275</v>
      </c>
      <c r="Y499" s="42">
        <v>621612</v>
      </c>
      <c r="AA499" s="42">
        <v>243201</v>
      </c>
      <c r="AC499" s="42">
        <v>1636795</v>
      </c>
      <c r="AE499" s="42">
        <v>1035082</v>
      </c>
      <c r="AG499" s="42">
        <v>305029</v>
      </c>
      <c r="AI499" s="42">
        <v>0</v>
      </c>
      <c r="AK499" s="42">
        <v>0</v>
      </c>
      <c r="AL499" s="9" t="s">
        <v>783</v>
      </c>
      <c r="AM499" s="9"/>
      <c r="AN499" s="9" t="s">
        <v>44</v>
      </c>
      <c r="AP499" s="42">
        <v>488523</v>
      </c>
      <c r="AR499" s="42">
        <v>0</v>
      </c>
      <c r="AV499" s="42">
        <v>34928</v>
      </c>
      <c r="AX499" s="42">
        <v>113743</v>
      </c>
      <c r="AZ499" s="42">
        <v>0</v>
      </c>
      <c r="BB499" s="42">
        <f t="shared" si="88"/>
        <v>19826594</v>
      </c>
      <c r="BD499" s="42">
        <v>1100000</v>
      </c>
      <c r="BF499" s="42">
        <v>0</v>
      </c>
      <c r="BH499" s="42">
        <v>0</v>
      </c>
      <c r="BJ499" s="42">
        <v>0</v>
      </c>
      <c r="BL499" s="42">
        <f t="shared" si="89"/>
        <v>20926594</v>
      </c>
      <c r="BN499" s="42">
        <f>+'Gen Fd Rev'!AM499-'Gen Fd Exp'!BL499</f>
        <v>-2599170</v>
      </c>
      <c r="BP499" s="42">
        <v>9725993</v>
      </c>
      <c r="BR499" s="42">
        <v>0</v>
      </c>
      <c r="BT499" s="42">
        <v>0</v>
      </c>
      <c r="BV499" s="42">
        <f t="shared" si="90"/>
        <v>7126823</v>
      </c>
      <c r="BX499" s="5">
        <f>+BV499-'Gen Fd BS'!AI499+BT499</f>
        <v>0</v>
      </c>
    </row>
    <row r="500" spans="1:76">
      <c r="A500" s="9" t="s">
        <v>469</v>
      </c>
      <c r="B500" s="9"/>
      <c r="C500" s="9" t="s">
        <v>109</v>
      </c>
      <c r="D500" s="9"/>
      <c r="E500" s="23">
        <v>44776</v>
      </c>
      <c r="F500" s="7"/>
      <c r="G500" s="42">
        <v>8372862</v>
      </c>
      <c r="I500" s="42">
        <v>1911060</v>
      </c>
      <c r="K500" s="42">
        <v>159188</v>
      </c>
      <c r="M500" s="42">
        <v>0</v>
      </c>
      <c r="O500" s="42">
        <v>0</v>
      </c>
      <c r="Q500" s="42">
        <v>825800</v>
      </c>
      <c r="S500" s="42">
        <v>787470</v>
      </c>
      <c r="U500" s="42">
        <v>89259</v>
      </c>
      <c r="W500" s="42">
        <v>1312672</v>
      </c>
      <c r="Y500" s="42">
        <v>680280</v>
      </c>
      <c r="AA500" s="42">
        <v>0</v>
      </c>
      <c r="AC500" s="42">
        <v>1743698</v>
      </c>
      <c r="AE500" s="42">
        <v>891820</v>
      </c>
      <c r="AG500" s="42">
        <v>107370</v>
      </c>
      <c r="AI500" s="42">
        <v>0</v>
      </c>
      <c r="AK500" s="42">
        <v>6638</v>
      </c>
      <c r="AL500" s="9" t="s">
        <v>469</v>
      </c>
      <c r="AM500" s="9"/>
      <c r="AN500" s="9" t="s">
        <v>109</v>
      </c>
      <c r="AP500" s="42">
        <v>446466</v>
      </c>
      <c r="AR500" s="42">
        <v>0</v>
      </c>
      <c r="AV500" s="42">
        <v>156940</v>
      </c>
      <c r="AX500" s="42">
        <v>8358</v>
      </c>
      <c r="AZ500" s="42">
        <v>0</v>
      </c>
      <c r="BB500" s="42">
        <f t="shared" si="88"/>
        <v>17499881</v>
      </c>
      <c r="BD500" s="42">
        <v>0</v>
      </c>
      <c r="BF500" s="42">
        <v>0</v>
      </c>
      <c r="BH500" s="42">
        <v>0</v>
      </c>
      <c r="BJ500" s="42">
        <v>0</v>
      </c>
      <c r="BL500" s="42">
        <f t="shared" si="89"/>
        <v>17499881</v>
      </c>
      <c r="BN500" s="42">
        <f>+'Gen Fd Rev'!AM500-'Gen Fd Exp'!BL500</f>
        <v>-46012</v>
      </c>
      <c r="BP500" s="42">
        <v>4610347</v>
      </c>
      <c r="BR500" s="42">
        <v>0</v>
      </c>
      <c r="BT500" s="42">
        <v>0</v>
      </c>
      <c r="BV500" s="42">
        <f t="shared" si="90"/>
        <v>4564335</v>
      </c>
      <c r="BX500" s="5">
        <f>+BV500-'Gen Fd BS'!AI500+BT500</f>
        <v>0</v>
      </c>
    </row>
    <row r="501" spans="1:76" hidden="1">
      <c r="A501" s="9" t="s">
        <v>827</v>
      </c>
      <c r="B501" s="9"/>
      <c r="C501" s="9" t="s">
        <v>61</v>
      </c>
      <c r="D501" s="9"/>
      <c r="E501" s="23">
        <v>44784</v>
      </c>
      <c r="G501" s="42">
        <v>0</v>
      </c>
      <c r="I501" s="42">
        <v>0</v>
      </c>
      <c r="K501" s="42">
        <v>0</v>
      </c>
      <c r="M501" s="42">
        <v>0</v>
      </c>
      <c r="O501" s="42">
        <v>0</v>
      </c>
      <c r="Q501" s="42">
        <v>0</v>
      </c>
      <c r="S501" s="42">
        <v>0</v>
      </c>
      <c r="U501" s="42">
        <v>0</v>
      </c>
      <c r="W501" s="42">
        <v>0</v>
      </c>
      <c r="Y501" s="42">
        <v>0</v>
      </c>
      <c r="AA501" s="42">
        <v>0</v>
      </c>
      <c r="AC501" s="42">
        <v>0</v>
      </c>
      <c r="AE501" s="42">
        <v>0</v>
      </c>
      <c r="AG501" s="42">
        <v>0</v>
      </c>
      <c r="AI501" s="42">
        <v>0</v>
      </c>
      <c r="AK501" s="42">
        <v>0</v>
      </c>
      <c r="AL501" s="9" t="s">
        <v>827</v>
      </c>
      <c r="AM501" s="9"/>
      <c r="AN501" s="9" t="s">
        <v>61</v>
      </c>
      <c r="AP501" s="42">
        <v>0</v>
      </c>
      <c r="AR501" s="42">
        <v>0</v>
      </c>
      <c r="AV501" s="42">
        <v>0</v>
      </c>
      <c r="AX501" s="42">
        <v>0</v>
      </c>
      <c r="AZ501" s="42">
        <v>0</v>
      </c>
      <c r="BB501" s="42">
        <f t="shared" si="88"/>
        <v>0</v>
      </c>
      <c r="BD501" s="42">
        <v>0</v>
      </c>
      <c r="BF501" s="42">
        <v>0</v>
      </c>
      <c r="BH501" s="42">
        <v>0</v>
      </c>
      <c r="BJ501" s="42">
        <v>0</v>
      </c>
      <c r="BL501" s="42">
        <f t="shared" si="89"/>
        <v>0</v>
      </c>
      <c r="BN501" s="42">
        <f>+'Gen Fd Rev'!AM501-'Gen Fd Exp'!BL501</f>
        <v>0</v>
      </c>
      <c r="BP501" s="42">
        <v>0</v>
      </c>
      <c r="BR501" s="42">
        <v>0</v>
      </c>
      <c r="BT501" s="42">
        <v>0</v>
      </c>
      <c r="BV501" s="42">
        <f t="shared" si="90"/>
        <v>0</v>
      </c>
      <c r="BX501" s="5">
        <f>+BV501-'Gen Fd BS'!AI501+BT501</f>
        <v>0</v>
      </c>
    </row>
    <row r="502" spans="1:76">
      <c r="A502" s="9" t="s">
        <v>275</v>
      </c>
      <c r="B502" s="9"/>
      <c r="C502" s="9" t="s">
        <v>20</v>
      </c>
      <c r="D502" s="9"/>
      <c r="E502" s="23">
        <v>46607</v>
      </c>
      <c r="F502" s="7"/>
      <c r="G502" s="42">
        <v>30109340</v>
      </c>
      <c r="I502" s="42">
        <v>7061863</v>
      </c>
      <c r="K502" s="42">
        <v>532301</v>
      </c>
      <c r="M502" s="42">
        <v>0</v>
      </c>
      <c r="O502" s="42">
        <v>834883</v>
      </c>
      <c r="Q502" s="42">
        <v>2994091</v>
      </c>
      <c r="S502" s="42">
        <v>1484462</v>
      </c>
      <c r="U502" s="42">
        <v>42111</v>
      </c>
      <c r="W502" s="42">
        <v>3420689</v>
      </c>
      <c r="Y502" s="42">
        <v>1708713</v>
      </c>
      <c r="AA502" s="42">
        <v>1181648</v>
      </c>
      <c r="AC502" s="42">
        <v>6562068</v>
      </c>
      <c r="AE502" s="42">
        <v>3228095</v>
      </c>
      <c r="AG502" s="42">
        <v>1054347</v>
      </c>
      <c r="AI502" s="42">
        <v>0</v>
      </c>
      <c r="AK502" s="42">
        <v>99517</v>
      </c>
      <c r="AL502" s="9" t="s">
        <v>275</v>
      </c>
      <c r="AM502" s="9"/>
      <c r="AN502" s="9" t="s">
        <v>20</v>
      </c>
      <c r="AP502" s="42">
        <v>1411014</v>
      </c>
      <c r="AR502" s="42">
        <f>69650+90570</f>
        <v>160220</v>
      </c>
      <c r="AV502" s="42">
        <v>86288</v>
      </c>
      <c r="AX502" s="42">
        <v>12002</v>
      </c>
      <c r="AZ502" s="42">
        <v>0</v>
      </c>
      <c r="BB502" s="42">
        <f t="shared" si="88"/>
        <v>61983652</v>
      </c>
      <c r="BD502" s="42">
        <v>150000</v>
      </c>
      <c r="BF502" s="42">
        <v>0</v>
      </c>
      <c r="BH502" s="42">
        <v>0</v>
      </c>
      <c r="BJ502" s="42">
        <v>0</v>
      </c>
      <c r="BL502" s="42">
        <f t="shared" si="89"/>
        <v>62133652</v>
      </c>
      <c r="BN502" s="42">
        <f>+'Gen Fd Rev'!AM502-'Gen Fd Exp'!BL502</f>
        <v>5233178</v>
      </c>
      <c r="BP502" s="42">
        <v>19309215</v>
      </c>
      <c r="BR502" s="42">
        <v>0</v>
      </c>
      <c r="BT502" s="42">
        <v>0</v>
      </c>
      <c r="BV502" s="42">
        <f t="shared" si="90"/>
        <v>24542393</v>
      </c>
      <c r="BX502" s="5">
        <f>+BV502-'Gen Fd BS'!AI502+BT502</f>
        <v>0</v>
      </c>
    </row>
    <row r="503" spans="1:76">
      <c r="A503" s="9" t="s">
        <v>628</v>
      </c>
      <c r="B503" s="9"/>
      <c r="C503" s="9" t="s">
        <v>37</v>
      </c>
      <c r="D503" s="9"/>
      <c r="E503" s="23">
        <v>47738</v>
      </c>
      <c r="G503" s="42">
        <v>3649497</v>
      </c>
      <c r="I503" s="42">
        <v>330837</v>
      </c>
      <c r="K503" s="42">
        <v>176259</v>
      </c>
      <c r="M503" s="42">
        <v>0</v>
      </c>
      <c r="O503" s="42">
        <v>931711</v>
      </c>
      <c r="Q503" s="42">
        <v>354510</v>
      </c>
      <c r="S503" s="42">
        <v>335716</v>
      </c>
      <c r="U503" s="42">
        <v>33422</v>
      </c>
      <c r="W503" s="42">
        <v>704569</v>
      </c>
      <c r="Y503" s="42">
        <v>223855</v>
      </c>
      <c r="AA503" s="42">
        <v>0</v>
      </c>
      <c r="AC503" s="42">
        <v>730953</v>
      </c>
      <c r="AE503" s="42">
        <v>624040</v>
      </c>
      <c r="AG503" s="42">
        <v>1729</v>
      </c>
      <c r="AI503" s="42">
        <v>0</v>
      </c>
      <c r="AK503" s="42">
        <v>8700</v>
      </c>
      <c r="AL503" s="9" t="s">
        <v>628</v>
      </c>
      <c r="AM503" s="9"/>
      <c r="AN503" s="9" t="s">
        <v>37</v>
      </c>
      <c r="AP503" s="42">
        <v>208947</v>
      </c>
      <c r="AR503" s="42">
        <v>120007</v>
      </c>
      <c r="AV503" s="42">
        <v>18490</v>
      </c>
      <c r="AX503" s="42">
        <v>4781</v>
      </c>
      <c r="AZ503" s="42">
        <v>0</v>
      </c>
      <c r="BB503" s="42">
        <f t="shared" si="88"/>
        <v>8458023</v>
      </c>
      <c r="BD503" s="42">
        <v>11293</v>
      </c>
      <c r="BF503" s="42">
        <v>0</v>
      </c>
      <c r="BH503" s="42">
        <v>0</v>
      </c>
      <c r="BJ503" s="42">
        <v>0</v>
      </c>
      <c r="BL503" s="42">
        <f>+BB503+BD503+BF503+BJ503</f>
        <v>8469316</v>
      </c>
      <c r="BN503" s="42">
        <f>+'Gen Fd Rev'!AM503-'Gen Fd Exp'!BL503</f>
        <v>-561146</v>
      </c>
      <c r="BP503" s="42">
        <v>2428618</v>
      </c>
      <c r="BR503" s="42">
        <v>0</v>
      </c>
      <c r="BT503" s="42">
        <v>0</v>
      </c>
      <c r="BV503" s="42">
        <f t="shared" si="90"/>
        <v>1867472</v>
      </c>
      <c r="BX503" s="5">
        <f>+BV503-'Gen Fd BS'!AI503+BT503</f>
        <v>0</v>
      </c>
    </row>
    <row r="504" spans="1:76">
      <c r="A504" s="9" t="s">
        <v>276</v>
      </c>
      <c r="B504" s="9"/>
      <c r="C504" s="9" t="s">
        <v>20</v>
      </c>
      <c r="D504" s="9"/>
      <c r="E504" s="23">
        <v>44792</v>
      </c>
      <c r="G504" s="42">
        <v>22147085</v>
      </c>
      <c r="I504" s="42">
        <v>7954659</v>
      </c>
      <c r="K504" s="42">
        <v>1907984</v>
      </c>
      <c r="M504" s="42">
        <v>0</v>
      </c>
      <c r="O504" s="42">
        <v>0</v>
      </c>
      <c r="Q504" s="42">
        <v>3861402</v>
      </c>
      <c r="S504" s="42">
        <v>1042176</v>
      </c>
      <c r="U504" s="42">
        <v>300257</v>
      </c>
      <c r="W504" s="42">
        <v>3508697</v>
      </c>
      <c r="Y504" s="42">
        <v>2177389</v>
      </c>
      <c r="AA504" s="42">
        <v>367012</v>
      </c>
      <c r="AC504" s="42">
        <v>6434274</v>
      </c>
      <c r="AE504" s="42">
        <v>3097832</v>
      </c>
      <c r="AG504" s="42">
        <v>986263</v>
      </c>
      <c r="AI504" s="42">
        <v>0</v>
      </c>
      <c r="AK504" s="42">
        <v>34110</v>
      </c>
      <c r="AL504" s="9" t="s">
        <v>276</v>
      </c>
      <c r="AM504" s="9"/>
      <c r="AN504" s="9" t="s">
        <v>20</v>
      </c>
      <c r="AP504" s="42">
        <v>946252</v>
      </c>
      <c r="AR504" s="42">
        <v>420034</v>
      </c>
      <c r="AV504" s="42">
        <v>0</v>
      </c>
      <c r="AX504" s="42">
        <v>0</v>
      </c>
      <c r="AZ504" s="42">
        <v>0</v>
      </c>
      <c r="BB504" s="42">
        <f t="shared" si="88"/>
        <v>55185426</v>
      </c>
      <c r="BD504" s="42">
        <v>332500</v>
      </c>
      <c r="BF504" s="42">
        <v>0</v>
      </c>
      <c r="BH504" s="42">
        <v>0</v>
      </c>
      <c r="BJ504" s="42">
        <v>0</v>
      </c>
      <c r="BL504" s="42">
        <f t="shared" si="89"/>
        <v>55517926</v>
      </c>
      <c r="BN504" s="42">
        <f>+'Gen Fd Rev'!AM504-'Gen Fd Exp'!BL504</f>
        <v>5515088</v>
      </c>
      <c r="BP504" s="42">
        <v>8509477</v>
      </c>
      <c r="BR504" s="42">
        <v>0</v>
      </c>
      <c r="BT504" s="42">
        <v>0</v>
      </c>
      <c r="BV504" s="42">
        <f t="shared" si="90"/>
        <v>14024565</v>
      </c>
      <c r="BX504" s="5">
        <f>+BV504-'Gen Fd BS'!AI504+BT504</f>
        <v>0</v>
      </c>
    </row>
    <row r="505" spans="1:76">
      <c r="A505" s="9" t="s">
        <v>369</v>
      </c>
      <c r="B505" s="9"/>
      <c r="C505" s="9" t="s">
        <v>364</v>
      </c>
      <c r="D505" s="9"/>
      <c r="E505" s="23">
        <v>47951</v>
      </c>
      <c r="G505" s="42">
        <v>7706957</v>
      </c>
      <c r="I505" s="42">
        <v>1285115</v>
      </c>
      <c r="K505" s="42">
        <v>234570</v>
      </c>
      <c r="M505" s="42">
        <v>0</v>
      </c>
      <c r="O505" s="42">
        <f>34297+4368</f>
        <v>38665</v>
      </c>
      <c r="Q505" s="42">
        <v>495374</v>
      </c>
      <c r="S505" s="42">
        <v>682293</v>
      </c>
      <c r="U505" s="42">
        <v>87031</v>
      </c>
      <c r="W505" s="42">
        <v>1025343</v>
      </c>
      <c r="Y505" s="42">
        <v>376213</v>
      </c>
      <c r="AA505" s="42">
        <v>0</v>
      </c>
      <c r="AC505" s="42">
        <v>1785270</v>
      </c>
      <c r="AE505" s="42">
        <v>1037718</v>
      </c>
      <c r="AG505" s="42">
        <v>72542</v>
      </c>
      <c r="AI505" s="42">
        <v>7519</v>
      </c>
      <c r="AK505" s="42">
        <v>0</v>
      </c>
      <c r="AL505" s="9" t="s">
        <v>369</v>
      </c>
      <c r="AM505" s="9"/>
      <c r="AN505" s="9" t="s">
        <v>364</v>
      </c>
      <c r="AP505" s="42">
        <v>239866</v>
      </c>
      <c r="AR505" s="42">
        <v>83510</v>
      </c>
      <c r="AV505" s="42">
        <v>406069</v>
      </c>
      <c r="AX505" s="42">
        <v>31014</v>
      </c>
      <c r="AZ505" s="42">
        <v>0</v>
      </c>
      <c r="BB505" s="42">
        <f t="shared" si="88"/>
        <v>15595069</v>
      </c>
      <c r="BD505" s="42">
        <v>189500</v>
      </c>
      <c r="BF505" s="42">
        <v>0</v>
      </c>
      <c r="BH505" s="42">
        <v>0</v>
      </c>
      <c r="BJ505" s="42">
        <v>0</v>
      </c>
      <c r="BL505" s="42">
        <f t="shared" si="89"/>
        <v>15784569</v>
      </c>
      <c r="BN505" s="42">
        <f>+'Gen Fd Rev'!AM505-'Gen Fd Exp'!BL505</f>
        <v>431768</v>
      </c>
      <c r="BP505" s="42">
        <v>6457896</v>
      </c>
      <c r="BR505" s="42">
        <v>0</v>
      </c>
      <c r="BT505" s="42">
        <v>0</v>
      </c>
      <c r="BV505" s="42">
        <f t="shared" si="90"/>
        <v>6889664</v>
      </c>
      <c r="BX505" s="5">
        <f>+BV505-'Gen Fd BS'!AI505+BT505</f>
        <v>0</v>
      </c>
    </row>
    <row r="506" spans="1:76">
      <c r="A506" s="9" t="s">
        <v>403</v>
      </c>
      <c r="B506" s="9"/>
      <c r="C506" s="9" t="s">
        <v>45</v>
      </c>
      <c r="D506" s="9"/>
      <c r="E506" s="23">
        <v>48363</v>
      </c>
      <c r="G506" s="42">
        <v>5054439</v>
      </c>
      <c r="I506" s="42">
        <v>1260974</v>
      </c>
      <c r="K506" s="42">
        <v>163592</v>
      </c>
      <c r="M506" s="42">
        <v>0</v>
      </c>
      <c r="O506" s="42">
        <v>373264</v>
      </c>
      <c r="Q506" s="42">
        <v>311452</v>
      </c>
      <c r="S506" s="42">
        <v>537009</v>
      </c>
      <c r="U506" s="42">
        <v>27926</v>
      </c>
      <c r="W506" s="42">
        <v>826437</v>
      </c>
      <c r="Y506" s="42">
        <v>381783</v>
      </c>
      <c r="AA506" s="42">
        <v>0</v>
      </c>
      <c r="AC506" s="42">
        <v>1081277</v>
      </c>
      <c r="AE506" s="42">
        <v>1077125</v>
      </c>
      <c r="AG506" s="42">
        <v>82287</v>
      </c>
      <c r="AI506" s="42">
        <v>0</v>
      </c>
      <c r="AK506" s="42">
        <v>2624</v>
      </c>
      <c r="AL506" s="9" t="s">
        <v>403</v>
      </c>
      <c r="AM506" s="9"/>
      <c r="AN506" s="9" t="s">
        <v>45</v>
      </c>
      <c r="AP506" s="42">
        <v>342101</v>
      </c>
      <c r="AR506" s="42">
        <v>10915</v>
      </c>
      <c r="AV506" s="42">
        <v>6731</v>
      </c>
      <c r="AX506" s="42">
        <v>56</v>
      </c>
      <c r="AZ506" s="42">
        <v>0</v>
      </c>
      <c r="BB506" s="42">
        <f t="shared" si="88"/>
        <v>11539992</v>
      </c>
      <c r="BD506" s="42">
        <v>76441</v>
      </c>
      <c r="BF506" s="42">
        <v>0</v>
      </c>
      <c r="BH506" s="42">
        <v>0</v>
      </c>
      <c r="BJ506" s="42">
        <v>0</v>
      </c>
      <c r="BL506" s="42">
        <f t="shared" si="89"/>
        <v>11616433</v>
      </c>
      <c r="BN506" s="42">
        <f>+'Gen Fd Rev'!AM506-'Gen Fd Exp'!BL506</f>
        <v>-1239194</v>
      </c>
      <c r="BP506" s="42">
        <v>931788</v>
      </c>
      <c r="BR506" s="42">
        <v>0</v>
      </c>
      <c r="BT506" s="42">
        <v>0</v>
      </c>
      <c r="BV506" s="42">
        <f t="shared" si="90"/>
        <v>-307406</v>
      </c>
      <c r="BX506" s="5">
        <f>+BV506-'Gen Fd BS'!AI506+BT506</f>
        <v>0</v>
      </c>
    </row>
    <row r="507" spans="1:76">
      <c r="A507" s="9" t="s">
        <v>460</v>
      </c>
      <c r="B507" s="9"/>
      <c r="C507" s="9" t="s">
        <v>56</v>
      </c>
      <c r="D507" s="9"/>
      <c r="E507" s="23">
        <v>49221</v>
      </c>
      <c r="G507" s="42">
        <v>6867149</v>
      </c>
      <c r="I507" s="42">
        <v>2171873</v>
      </c>
      <c r="K507" s="42">
        <v>118274</v>
      </c>
      <c r="M507" s="42">
        <v>0</v>
      </c>
      <c r="O507" s="42">
        <f>33415+1010715</f>
        <v>1044130</v>
      </c>
      <c r="Q507" s="42">
        <v>906413</v>
      </c>
      <c r="S507" s="42">
        <v>274118</v>
      </c>
      <c r="U507" s="42">
        <v>32337</v>
      </c>
      <c r="W507" s="42">
        <v>1325931</v>
      </c>
      <c r="Y507" s="42">
        <v>450759</v>
      </c>
      <c r="AA507" s="42">
        <v>95504</v>
      </c>
      <c r="AC507" s="42">
        <v>1346492</v>
      </c>
      <c r="AE507" s="42">
        <v>1582612</v>
      </c>
      <c r="AG507" s="42">
        <v>82697</v>
      </c>
      <c r="AI507" s="42">
        <v>0</v>
      </c>
      <c r="AK507" s="42">
        <v>0</v>
      </c>
      <c r="AL507" s="9" t="s">
        <v>460</v>
      </c>
      <c r="AM507" s="9"/>
      <c r="AN507" s="9" t="s">
        <v>56</v>
      </c>
      <c r="AP507" s="42">
        <v>415978</v>
      </c>
      <c r="AR507" s="42">
        <v>72637</v>
      </c>
      <c r="AV507" s="42">
        <v>13595</v>
      </c>
      <c r="AX507" s="42">
        <v>2794</v>
      </c>
      <c r="AZ507" s="42">
        <v>0</v>
      </c>
      <c r="BB507" s="42">
        <f t="shared" si="88"/>
        <v>16803293</v>
      </c>
      <c r="BD507" s="42">
        <v>0</v>
      </c>
      <c r="BF507" s="42">
        <v>0</v>
      </c>
      <c r="BH507" s="42">
        <v>0</v>
      </c>
      <c r="BJ507" s="42">
        <v>0</v>
      </c>
      <c r="BL507" s="42">
        <f t="shared" si="89"/>
        <v>16803293</v>
      </c>
      <c r="BN507" s="42">
        <f>+'Gen Fd Rev'!AM507-'Gen Fd Exp'!BL507</f>
        <v>2360807</v>
      </c>
      <c r="BP507" s="42">
        <v>8557454</v>
      </c>
      <c r="BR507" s="42">
        <v>0</v>
      </c>
      <c r="BT507" s="42">
        <v>0</v>
      </c>
      <c r="BV507" s="42">
        <f t="shared" si="90"/>
        <v>10918261</v>
      </c>
      <c r="BX507" s="5">
        <f>+BV507-'Gen Fd BS'!AI507+BT507</f>
        <v>0</v>
      </c>
    </row>
    <row r="508" spans="1:76">
      <c r="A508" s="9" t="s">
        <v>460</v>
      </c>
      <c r="B508" s="9"/>
      <c r="C508" s="9" t="s">
        <v>71</v>
      </c>
      <c r="D508" s="9"/>
      <c r="E508" s="23">
        <v>50583</v>
      </c>
      <c r="G508" s="42">
        <v>2806792</v>
      </c>
      <c r="I508" s="42">
        <v>616381</v>
      </c>
      <c r="K508" s="42">
        <v>159970</v>
      </c>
      <c r="M508" s="42">
        <v>0</v>
      </c>
      <c r="O508" s="42">
        <v>961761</v>
      </c>
      <c r="Q508" s="42">
        <v>516181</v>
      </c>
      <c r="S508" s="42">
        <v>241839</v>
      </c>
      <c r="U508" s="42">
        <v>35829</v>
      </c>
      <c r="W508" s="42">
        <v>1017436</v>
      </c>
      <c r="Y508" s="42">
        <v>392862</v>
      </c>
      <c r="AA508" s="42">
        <v>0</v>
      </c>
      <c r="AC508" s="42">
        <v>996797</v>
      </c>
      <c r="AE508" s="42">
        <v>1123810</v>
      </c>
      <c r="AG508" s="42">
        <v>194937</v>
      </c>
      <c r="AI508" s="42">
        <v>0</v>
      </c>
      <c r="AK508" s="42">
        <v>43698</v>
      </c>
      <c r="AL508" s="9" t="s">
        <v>460</v>
      </c>
      <c r="AM508" s="9"/>
      <c r="AN508" s="9" t="s">
        <v>71</v>
      </c>
      <c r="AP508" s="42">
        <v>387011</v>
      </c>
      <c r="AR508" s="42">
        <v>0</v>
      </c>
      <c r="AV508" s="42">
        <v>44810</v>
      </c>
      <c r="AX508" s="42">
        <v>1206</v>
      </c>
      <c r="AZ508" s="42">
        <v>0</v>
      </c>
      <c r="BB508" s="42">
        <f t="shared" ref="BB508:BB539" si="91">SUM(G508:AZ508)</f>
        <v>9541320</v>
      </c>
      <c r="BD508" s="42">
        <v>3773210</v>
      </c>
      <c r="BF508" s="42">
        <v>0</v>
      </c>
      <c r="BH508" s="42">
        <v>0</v>
      </c>
      <c r="BJ508" s="42">
        <v>0</v>
      </c>
      <c r="BL508" s="42">
        <f t="shared" si="89"/>
        <v>13314530</v>
      </c>
      <c r="BN508" s="42">
        <f>+'Gen Fd Rev'!AM508-'Gen Fd Exp'!BL508</f>
        <v>1269307</v>
      </c>
      <c r="BP508" s="42">
        <v>596160</v>
      </c>
      <c r="BR508" s="42">
        <v>0</v>
      </c>
      <c r="BT508" s="42">
        <v>0</v>
      </c>
      <c r="BV508" s="42">
        <f t="shared" si="90"/>
        <v>1865467</v>
      </c>
      <c r="BX508" s="5">
        <f>+BV508-'Gen Fd BS'!AI508+BT508</f>
        <v>0</v>
      </c>
    </row>
    <row r="509" spans="1:76">
      <c r="A509" s="9" t="s">
        <v>233</v>
      </c>
      <c r="B509" s="9"/>
      <c r="C509" s="9" t="s">
        <v>17</v>
      </c>
      <c r="D509" s="9"/>
      <c r="E509" s="23">
        <v>46276</v>
      </c>
      <c r="F509" s="7"/>
      <c r="G509" s="42">
        <v>3681485</v>
      </c>
      <c r="I509" s="42">
        <v>807530</v>
      </c>
      <c r="K509" s="42">
        <v>191753</v>
      </c>
      <c r="M509" s="42">
        <v>0</v>
      </c>
      <c r="O509" s="42">
        <v>14605</v>
      </c>
      <c r="Q509" s="42">
        <v>426514</v>
      </c>
      <c r="S509" s="42">
        <v>256151</v>
      </c>
      <c r="U509" s="42">
        <v>20222</v>
      </c>
      <c r="W509" s="42">
        <v>518216</v>
      </c>
      <c r="Y509" s="42">
        <v>262171</v>
      </c>
      <c r="AA509" s="42">
        <v>0</v>
      </c>
      <c r="AC509" s="42">
        <v>516867</v>
      </c>
      <c r="AE509" s="42">
        <v>431317</v>
      </c>
      <c r="AG509" s="42">
        <v>38052</v>
      </c>
      <c r="AI509" s="42">
        <v>0</v>
      </c>
      <c r="AK509" s="42">
        <v>0</v>
      </c>
      <c r="AL509" s="9" t="s">
        <v>233</v>
      </c>
      <c r="AM509" s="9"/>
      <c r="AN509" s="9" t="s">
        <v>17</v>
      </c>
      <c r="AP509" s="42">
        <v>175347</v>
      </c>
      <c r="AR509" s="42">
        <v>104280</v>
      </c>
      <c r="AV509" s="42">
        <v>16110</v>
      </c>
      <c r="AX509" s="42">
        <v>4616</v>
      </c>
      <c r="AZ509" s="42">
        <v>0</v>
      </c>
      <c r="BB509" s="42">
        <f t="shared" si="91"/>
        <v>7465236</v>
      </c>
      <c r="BD509" s="42">
        <v>0</v>
      </c>
      <c r="BF509" s="42">
        <v>0</v>
      </c>
      <c r="BH509" s="42">
        <v>0</v>
      </c>
      <c r="BJ509" s="42">
        <v>0</v>
      </c>
      <c r="BL509" s="42">
        <f t="shared" si="89"/>
        <v>7465236</v>
      </c>
      <c r="BN509" s="42">
        <f>+'Gen Fd Rev'!AM509-'Gen Fd Exp'!BL509</f>
        <v>-300838</v>
      </c>
      <c r="BP509" s="42">
        <v>5776368</v>
      </c>
      <c r="BR509" s="42">
        <v>0</v>
      </c>
      <c r="BT509" s="42">
        <v>0</v>
      </c>
      <c r="BV509" s="42">
        <f t="shared" si="90"/>
        <v>5475530</v>
      </c>
      <c r="BX509" s="5">
        <f>+BV509-'Gen Fd BS'!AI509+BT509</f>
        <v>0</v>
      </c>
    </row>
    <row r="510" spans="1:76">
      <c r="A510" s="9" t="s">
        <v>233</v>
      </c>
      <c r="B510" s="9"/>
      <c r="C510" s="9" t="s">
        <v>58</v>
      </c>
      <c r="D510" s="9"/>
      <c r="E510" s="23">
        <v>49528</v>
      </c>
      <c r="G510" s="42">
        <v>4992822</v>
      </c>
      <c r="I510" s="42">
        <v>1213110</v>
      </c>
      <c r="K510" s="42">
        <v>0</v>
      </c>
      <c r="M510" s="42">
        <v>0</v>
      </c>
      <c r="O510" s="42">
        <v>0</v>
      </c>
      <c r="Q510" s="42">
        <v>541530</v>
      </c>
      <c r="S510" s="42">
        <v>215216</v>
      </c>
      <c r="U510" s="42">
        <v>0</v>
      </c>
      <c r="W510" s="42">
        <v>689846</v>
      </c>
      <c r="Y510" s="42">
        <v>189835</v>
      </c>
      <c r="AA510" s="42">
        <v>168253</v>
      </c>
      <c r="AC510" s="42">
        <v>1093068</v>
      </c>
      <c r="AE510" s="42">
        <v>903226</v>
      </c>
      <c r="AG510" s="42">
        <v>111783</v>
      </c>
      <c r="AI510" s="42">
        <v>0</v>
      </c>
      <c r="AK510" s="42">
        <v>0</v>
      </c>
      <c r="AL510" s="9" t="s">
        <v>233</v>
      </c>
      <c r="AM510" s="9"/>
      <c r="AN510" s="9" t="s">
        <v>58</v>
      </c>
      <c r="AP510" s="42">
        <v>191967</v>
      </c>
      <c r="AR510" s="42">
        <v>8500</v>
      </c>
      <c r="AV510" s="42">
        <v>39000</v>
      </c>
      <c r="AX510" s="42">
        <v>66876</v>
      </c>
      <c r="AZ510" s="42">
        <v>0</v>
      </c>
      <c r="BB510" s="42">
        <f t="shared" si="91"/>
        <v>10425032</v>
      </c>
      <c r="BD510" s="42">
        <v>22500</v>
      </c>
      <c r="BF510" s="42">
        <v>0</v>
      </c>
      <c r="BH510" s="42">
        <v>0</v>
      </c>
      <c r="BJ510" s="42">
        <v>0</v>
      </c>
      <c r="BL510" s="42">
        <f t="shared" si="89"/>
        <v>10447532</v>
      </c>
      <c r="BN510" s="42">
        <f>+'Gen Fd Rev'!AM510-'Gen Fd Exp'!BL510</f>
        <v>232226</v>
      </c>
      <c r="BP510" s="42">
        <v>6865451</v>
      </c>
      <c r="BR510" s="42">
        <v>0</v>
      </c>
      <c r="BT510" s="42">
        <v>0</v>
      </c>
      <c r="BV510" s="42">
        <f t="shared" si="90"/>
        <v>7097677</v>
      </c>
      <c r="BX510" s="5">
        <f>+BV510-'Gen Fd BS'!AI510+BT510</f>
        <v>0</v>
      </c>
    </row>
    <row r="511" spans="1:76">
      <c r="A511" s="9" t="s">
        <v>640</v>
      </c>
      <c r="B511" s="9"/>
      <c r="C511" s="9" t="s">
        <v>111</v>
      </c>
      <c r="D511" s="9"/>
      <c r="E511" s="23">
        <v>46441</v>
      </c>
      <c r="G511" s="42">
        <v>3117933</v>
      </c>
      <c r="I511" s="42">
        <v>764376</v>
      </c>
      <c r="K511" s="42">
        <v>227733</v>
      </c>
      <c r="M511" s="42">
        <v>0</v>
      </c>
      <c r="O511" s="42">
        <v>18840</v>
      </c>
      <c r="Q511" s="42">
        <v>535169</v>
      </c>
      <c r="S511" s="42">
        <v>176198</v>
      </c>
      <c r="U511" s="42">
        <v>1267077</v>
      </c>
      <c r="W511" s="42">
        <v>659868</v>
      </c>
      <c r="Y511" s="42">
        <v>237438</v>
      </c>
      <c r="AA511" s="42">
        <v>58759</v>
      </c>
      <c r="AC511" s="42">
        <v>838677</v>
      </c>
      <c r="AE511" s="42">
        <v>760523</v>
      </c>
      <c r="AG511" s="42">
        <v>31789</v>
      </c>
      <c r="AI511" s="42">
        <v>0</v>
      </c>
      <c r="AK511" s="42">
        <v>0</v>
      </c>
      <c r="AL511" s="9" t="s">
        <v>640</v>
      </c>
      <c r="AM511" s="9"/>
      <c r="AN511" s="9" t="s">
        <v>111</v>
      </c>
      <c r="AP511" s="42">
        <v>186786</v>
      </c>
      <c r="AR511" s="42">
        <v>0</v>
      </c>
      <c r="AV511" s="42">
        <v>9283</v>
      </c>
      <c r="AX511" s="42">
        <v>1352</v>
      </c>
      <c r="AZ511" s="42">
        <v>0</v>
      </c>
      <c r="BB511" s="42">
        <f>SUM(G511:AZ511)</f>
        <v>8891801</v>
      </c>
      <c r="BD511" s="42">
        <v>195000</v>
      </c>
      <c r="BF511" s="42">
        <v>0</v>
      </c>
      <c r="BH511" s="42">
        <v>0</v>
      </c>
      <c r="BJ511" s="42">
        <v>0</v>
      </c>
      <c r="BL511" s="42">
        <f>+BB511+BD511+BF511+BJ511</f>
        <v>9086801</v>
      </c>
      <c r="BN511" s="42">
        <f>+'Gen Fd Rev'!AM511-'Gen Fd Exp'!BL511</f>
        <v>-384023</v>
      </c>
      <c r="BP511" s="42">
        <v>-316648</v>
      </c>
      <c r="BR511" s="42">
        <v>0</v>
      </c>
      <c r="BT511" s="42">
        <v>0</v>
      </c>
      <c r="BV511" s="42">
        <f>+BP511+BN511-BR511</f>
        <v>-700671</v>
      </c>
      <c r="BX511" s="5">
        <f>+BV511-'Gen Fd BS'!AI511+BT511</f>
        <v>0</v>
      </c>
    </row>
    <row r="512" spans="1:76">
      <c r="A512" s="9" t="s">
        <v>248</v>
      </c>
      <c r="B512" s="9"/>
      <c r="C512" s="9" t="s">
        <v>417</v>
      </c>
      <c r="D512" s="9"/>
      <c r="E512" s="23">
        <v>48538</v>
      </c>
      <c r="G512" s="42">
        <v>2543582</v>
      </c>
      <c r="I512" s="42">
        <v>622942</v>
      </c>
      <c r="K512" s="42">
        <v>172738</v>
      </c>
      <c r="M512" s="42">
        <v>0</v>
      </c>
      <c r="O512" s="42">
        <f>93952+694047</f>
        <v>787999</v>
      </c>
      <c r="Q512" s="42">
        <v>404541</v>
      </c>
      <c r="S512" s="42">
        <v>372915</v>
      </c>
      <c r="U512" s="42">
        <v>29166</v>
      </c>
      <c r="W512" s="42">
        <v>420078</v>
      </c>
      <c r="Y512" s="42">
        <v>303252</v>
      </c>
      <c r="AA512" s="42">
        <v>0</v>
      </c>
      <c r="AC512" s="42">
        <v>564215</v>
      </c>
      <c r="AE512" s="42">
        <v>612253</v>
      </c>
      <c r="AG512" s="42">
        <v>198760</v>
      </c>
      <c r="AI512" s="42">
        <v>0</v>
      </c>
      <c r="AK512" s="42">
        <v>6558</v>
      </c>
      <c r="AL512" s="9" t="s">
        <v>248</v>
      </c>
      <c r="AM512" s="9"/>
      <c r="AN512" s="9" t="s">
        <v>417</v>
      </c>
      <c r="AP512" s="42">
        <v>110736</v>
      </c>
      <c r="AR512" s="42">
        <v>0</v>
      </c>
      <c r="AV512" s="42">
        <v>0</v>
      </c>
      <c r="AX512" s="42">
        <v>0</v>
      </c>
      <c r="AZ512" s="42">
        <v>0</v>
      </c>
      <c r="BB512" s="42">
        <f t="shared" si="91"/>
        <v>7149735</v>
      </c>
      <c r="BD512" s="42">
        <v>132710</v>
      </c>
      <c r="BF512" s="42">
        <v>0</v>
      </c>
      <c r="BH512" s="42">
        <v>0</v>
      </c>
      <c r="BJ512" s="42">
        <v>0</v>
      </c>
      <c r="BL512" s="42">
        <f t="shared" si="89"/>
        <v>7282445</v>
      </c>
      <c r="BN512" s="42">
        <f>+'Gen Fd Rev'!AM512-'Gen Fd Exp'!BL512</f>
        <v>-363508</v>
      </c>
      <c r="BP512" s="42">
        <v>1949353</v>
      </c>
      <c r="BR512" s="42">
        <v>0</v>
      </c>
      <c r="BT512" s="42">
        <v>0</v>
      </c>
      <c r="BV512" s="42">
        <f t="shared" si="90"/>
        <v>1585845</v>
      </c>
      <c r="BX512" s="5">
        <f>+BV512-'Gen Fd BS'!AI512+BT512</f>
        <v>0</v>
      </c>
    </row>
    <row r="513" spans="1:76" hidden="1">
      <c r="A513" s="9" t="s">
        <v>695</v>
      </c>
      <c r="B513" s="9"/>
      <c r="C513" s="9" t="s">
        <v>448</v>
      </c>
      <c r="D513" s="9"/>
      <c r="E513" s="23">
        <v>49064</v>
      </c>
      <c r="G513" s="42">
        <v>0</v>
      </c>
      <c r="I513" s="42">
        <v>0</v>
      </c>
      <c r="K513" s="42">
        <v>0</v>
      </c>
      <c r="M513" s="42">
        <v>0</v>
      </c>
      <c r="O513" s="42">
        <v>0</v>
      </c>
      <c r="Q513" s="42">
        <v>0</v>
      </c>
      <c r="S513" s="42">
        <v>0</v>
      </c>
      <c r="U513" s="42">
        <v>0</v>
      </c>
      <c r="W513" s="42">
        <v>0</v>
      </c>
      <c r="Y513" s="42">
        <v>0</v>
      </c>
      <c r="AA513" s="42">
        <v>0</v>
      </c>
      <c r="AC513" s="42">
        <v>0</v>
      </c>
      <c r="AE513" s="42">
        <v>0</v>
      </c>
      <c r="AG513" s="42">
        <v>0</v>
      </c>
      <c r="AI513" s="42">
        <v>0</v>
      </c>
      <c r="AK513" s="42">
        <v>0</v>
      </c>
      <c r="AL513" s="9" t="s">
        <v>695</v>
      </c>
      <c r="AM513" s="9"/>
      <c r="AN513" s="9" t="s">
        <v>448</v>
      </c>
      <c r="AP513" s="42">
        <v>0</v>
      </c>
      <c r="AR513" s="42">
        <v>0</v>
      </c>
      <c r="AV513" s="42">
        <v>0</v>
      </c>
      <c r="AX513" s="42">
        <v>0</v>
      </c>
      <c r="AZ513" s="42">
        <v>0</v>
      </c>
      <c r="BB513" s="42">
        <f t="shared" si="91"/>
        <v>0</v>
      </c>
      <c r="BD513" s="42">
        <v>0</v>
      </c>
      <c r="BF513" s="42">
        <v>0</v>
      </c>
      <c r="BH513" s="42">
        <v>0</v>
      </c>
      <c r="BJ513" s="42">
        <v>0</v>
      </c>
      <c r="BL513" s="42">
        <f t="shared" si="89"/>
        <v>0</v>
      </c>
      <c r="BN513" s="42">
        <f>+'Gen Fd Rev'!AM513-'Gen Fd Exp'!BL513</f>
        <v>0</v>
      </c>
      <c r="BP513" s="42">
        <v>0</v>
      </c>
      <c r="BR513" s="42">
        <v>0</v>
      </c>
      <c r="BT513" s="42">
        <v>0</v>
      </c>
      <c r="BV513" s="42">
        <f t="shared" si="90"/>
        <v>0</v>
      </c>
      <c r="BX513" s="5">
        <f>+BV513-'Gen Fd BS'!AI513+BT513</f>
        <v>0</v>
      </c>
    </row>
    <row r="514" spans="1:76">
      <c r="A514" s="9" t="s">
        <v>526</v>
      </c>
      <c r="B514" s="9"/>
      <c r="C514" s="9" t="s">
        <v>64</v>
      </c>
      <c r="D514" s="9"/>
      <c r="E514" s="23">
        <v>50237</v>
      </c>
      <c r="G514" s="42">
        <v>2674304</v>
      </c>
      <c r="I514" s="42">
        <v>347877</v>
      </c>
      <c r="K514" s="42">
        <v>16824</v>
      </c>
      <c r="M514" s="42">
        <v>0</v>
      </c>
      <c r="O514" s="42">
        <v>0</v>
      </c>
      <c r="Q514" s="42">
        <v>226691</v>
      </c>
      <c r="S514" s="42">
        <v>31403</v>
      </c>
      <c r="U514" s="42">
        <v>51436</v>
      </c>
      <c r="W514" s="42">
        <v>363927</v>
      </c>
      <c r="Y514" s="42">
        <v>246045</v>
      </c>
      <c r="AA514" s="42">
        <v>26533</v>
      </c>
      <c r="AC514" s="42">
        <v>436575</v>
      </c>
      <c r="AE514" s="42">
        <v>318395</v>
      </c>
      <c r="AG514" s="42">
        <v>14499</v>
      </c>
      <c r="AI514" s="42">
        <v>0</v>
      </c>
      <c r="AK514" s="42">
        <v>31784</v>
      </c>
      <c r="AL514" s="9" t="s">
        <v>526</v>
      </c>
      <c r="AM514" s="9"/>
      <c r="AN514" s="9" t="s">
        <v>64</v>
      </c>
      <c r="AP514" s="42">
        <v>100620</v>
      </c>
      <c r="AR514" s="42">
        <v>0</v>
      </c>
      <c r="AV514" s="42">
        <v>0</v>
      </c>
      <c r="AX514" s="42">
        <v>0</v>
      </c>
      <c r="AZ514" s="42">
        <v>0</v>
      </c>
      <c r="BB514" s="42">
        <f t="shared" si="91"/>
        <v>4886913</v>
      </c>
      <c r="BD514" s="42">
        <v>48545</v>
      </c>
      <c r="BF514" s="42">
        <v>0</v>
      </c>
      <c r="BH514" s="42">
        <v>0</v>
      </c>
      <c r="BJ514" s="42">
        <v>0</v>
      </c>
      <c r="BL514" s="42">
        <f t="shared" si="89"/>
        <v>4935458</v>
      </c>
      <c r="BN514" s="42">
        <f>+'Gen Fd Rev'!AM514-'Gen Fd Exp'!BL514</f>
        <v>150510</v>
      </c>
      <c r="BP514" s="42">
        <v>1017546</v>
      </c>
      <c r="BR514" s="42">
        <v>0</v>
      </c>
      <c r="BT514" s="42">
        <v>0</v>
      </c>
      <c r="BV514" s="42">
        <f t="shared" si="90"/>
        <v>1168056</v>
      </c>
      <c r="BX514" s="5">
        <f>+BV514-'Gen Fd BS'!AI514+BT514</f>
        <v>0</v>
      </c>
    </row>
    <row r="515" spans="1:76" hidden="1">
      <c r="A515" s="9" t="s">
        <v>823</v>
      </c>
      <c r="B515" s="9"/>
      <c r="C515" s="9" t="s">
        <v>42</v>
      </c>
      <c r="D515" s="9"/>
      <c r="E515" s="23">
        <v>48041</v>
      </c>
      <c r="F515" s="7"/>
      <c r="G515" s="42">
        <v>0</v>
      </c>
      <c r="I515" s="42">
        <v>0</v>
      </c>
      <c r="K515" s="42">
        <v>0</v>
      </c>
      <c r="M515" s="42">
        <v>0</v>
      </c>
      <c r="O515" s="42">
        <v>0</v>
      </c>
      <c r="Q515" s="42">
        <v>0</v>
      </c>
      <c r="S515" s="42">
        <v>0</v>
      </c>
      <c r="U515" s="42">
        <v>0</v>
      </c>
      <c r="W515" s="42">
        <v>0</v>
      </c>
      <c r="Y515" s="42">
        <v>0</v>
      </c>
      <c r="AA515" s="42">
        <v>0</v>
      </c>
      <c r="AC515" s="42">
        <v>0</v>
      </c>
      <c r="AE515" s="42">
        <v>0</v>
      </c>
      <c r="AG515" s="42">
        <v>0</v>
      </c>
      <c r="AI515" s="42">
        <v>0</v>
      </c>
      <c r="AK515" s="42">
        <v>0</v>
      </c>
      <c r="AL515" s="9" t="s">
        <v>823</v>
      </c>
      <c r="AM515" s="9"/>
      <c r="AN515" s="9" t="s">
        <v>42</v>
      </c>
      <c r="AP515" s="42">
        <v>0</v>
      </c>
      <c r="AR515" s="42">
        <v>0</v>
      </c>
      <c r="AV515" s="42">
        <v>0</v>
      </c>
      <c r="AX515" s="42">
        <v>0</v>
      </c>
      <c r="AZ515" s="42">
        <v>0</v>
      </c>
      <c r="BB515" s="42">
        <f t="shared" si="91"/>
        <v>0</v>
      </c>
      <c r="BD515" s="42">
        <v>0</v>
      </c>
      <c r="BF515" s="42">
        <v>0</v>
      </c>
      <c r="BH515" s="42">
        <v>0</v>
      </c>
      <c r="BJ515" s="42">
        <v>0</v>
      </c>
      <c r="BL515" s="42">
        <f t="shared" si="89"/>
        <v>0</v>
      </c>
      <c r="BN515" s="42">
        <f>+'Gen Fd Rev'!AM515-'Gen Fd Exp'!BL515</f>
        <v>0</v>
      </c>
      <c r="BP515" s="42">
        <v>0</v>
      </c>
      <c r="BR515" s="42">
        <v>0</v>
      </c>
      <c r="BT515" s="42">
        <v>0</v>
      </c>
      <c r="BV515" s="42">
        <f t="shared" si="90"/>
        <v>0</v>
      </c>
      <c r="BX515" s="5">
        <f>+BV515-'Gen Fd BS'!AI515+BT515</f>
        <v>0</v>
      </c>
    </row>
    <row r="516" spans="1:76">
      <c r="A516" s="9" t="s">
        <v>329</v>
      </c>
      <c r="B516" s="9"/>
      <c r="C516" s="9" t="s">
        <v>32</v>
      </c>
      <c r="D516" s="9"/>
      <c r="E516" s="23">
        <v>47381</v>
      </c>
      <c r="G516" s="42">
        <v>13651600</v>
      </c>
      <c r="I516" s="42">
        <v>3746523</v>
      </c>
      <c r="K516" s="42">
        <v>0</v>
      </c>
      <c r="M516" s="42">
        <v>0</v>
      </c>
      <c r="O516" s="42">
        <v>797162</v>
      </c>
      <c r="Q516" s="42">
        <v>1518831</v>
      </c>
      <c r="S516" s="42">
        <v>288691</v>
      </c>
      <c r="U516" s="42">
        <v>0</v>
      </c>
      <c r="W516" s="42">
        <f>33590+2428027</f>
        <v>2461617</v>
      </c>
      <c r="Y516" s="42">
        <v>893619</v>
      </c>
      <c r="AA516" s="42">
        <v>100</v>
      </c>
      <c r="AC516" s="42">
        <v>2890527</v>
      </c>
      <c r="AE516" s="42">
        <v>1300743</v>
      </c>
      <c r="AG516" s="42">
        <v>96078</v>
      </c>
      <c r="AI516" s="42">
        <v>0</v>
      </c>
      <c r="AK516" s="42">
        <v>0</v>
      </c>
      <c r="AL516" s="9" t="s">
        <v>329</v>
      </c>
      <c r="AM516" s="9"/>
      <c r="AN516" s="9" t="s">
        <v>32</v>
      </c>
      <c r="AP516" s="42">
        <v>516324</v>
      </c>
      <c r="AR516" s="42">
        <v>0</v>
      </c>
      <c r="AV516" s="42">
        <v>0</v>
      </c>
      <c r="AX516" s="42">
        <v>7287</v>
      </c>
      <c r="AZ516" s="42">
        <v>0</v>
      </c>
      <c r="BB516" s="42">
        <f t="shared" si="91"/>
        <v>28169102</v>
      </c>
      <c r="BD516" s="42">
        <v>218416</v>
      </c>
      <c r="BF516" s="42">
        <v>0</v>
      </c>
      <c r="BH516" s="42">
        <v>0</v>
      </c>
      <c r="BJ516" s="42">
        <v>0</v>
      </c>
      <c r="BL516" s="42">
        <f t="shared" si="89"/>
        <v>28387518</v>
      </c>
      <c r="BN516" s="42">
        <f>+'Gen Fd Rev'!AM516-'Gen Fd Exp'!BL516</f>
        <v>1500414</v>
      </c>
      <c r="BP516" s="42">
        <v>4012204</v>
      </c>
      <c r="BR516" s="42">
        <v>0</v>
      </c>
      <c r="BT516" s="42">
        <v>0</v>
      </c>
      <c r="BV516" s="42">
        <f t="shared" si="90"/>
        <v>5512618</v>
      </c>
      <c r="BX516" s="5">
        <f>+BV516-'Gen Fd BS'!AI516+BT516</f>
        <v>0</v>
      </c>
    </row>
    <row r="517" spans="1:76">
      <c r="A517" s="9" t="s">
        <v>305</v>
      </c>
      <c r="B517" s="9"/>
      <c r="C517" s="9" t="s">
        <v>27</v>
      </c>
      <c r="D517" s="9"/>
      <c r="E517" s="23">
        <v>44800</v>
      </c>
      <c r="F517" s="7"/>
      <c r="G517" s="42">
        <v>96977614</v>
      </c>
      <c r="I517" s="42">
        <v>26967793</v>
      </c>
      <c r="K517" s="42">
        <v>4883034</v>
      </c>
      <c r="M517" s="42">
        <v>0</v>
      </c>
      <c r="O517" s="42">
        <v>692910</v>
      </c>
      <c r="Q517" s="42">
        <v>9096803</v>
      </c>
      <c r="S517" s="42">
        <v>9732813</v>
      </c>
      <c r="U517" s="42">
        <v>38433</v>
      </c>
      <c r="W517" s="42">
        <v>14069362</v>
      </c>
      <c r="Y517" s="42">
        <v>3346357</v>
      </c>
      <c r="AA517" s="42">
        <v>751230</v>
      </c>
      <c r="AC517" s="42">
        <v>14501322</v>
      </c>
      <c r="AE517" s="42">
        <v>11727362</v>
      </c>
      <c r="AG517" s="42">
        <v>3491666</v>
      </c>
      <c r="AI517" s="42">
        <v>0</v>
      </c>
      <c r="AK517" s="42">
        <f>124380+68734</f>
        <v>193114</v>
      </c>
      <c r="AL517" s="9" t="s">
        <v>305</v>
      </c>
      <c r="AM517" s="9"/>
      <c r="AN517" s="9" t="s">
        <v>27</v>
      </c>
      <c r="AP517" s="42">
        <v>3261612</v>
      </c>
      <c r="AR517" s="42">
        <v>1184415</v>
      </c>
      <c r="AV517" s="42">
        <v>0</v>
      </c>
      <c r="AX517" s="42">
        <v>0</v>
      </c>
      <c r="AZ517" s="42">
        <v>0</v>
      </c>
      <c r="BB517" s="42">
        <f t="shared" si="91"/>
        <v>200915840</v>
      </c>
      <c r="BD517" s="42">
        <v>1511661</v>
      </c>
      <c r="BF517" s="42">
        <v>0</v>
      </c>
      <c r="BH517" s="42">
        <v>0</v>
      </c>
      <c r="BJ517" s="42">
        <v>0</v>
      </c>
      <c r="BL517" s="42">
        <f t="shared" si="89"/>
        <v>202427501</v>
      </c>
      <c r="BN517" s="42">
        <f>+'Gen Fd Rev'!AM517-'Gen Fd Exp'!BL517</f>
        <v>-1373581</v>
      </c>
      <c r="BP517" s="42">
        <v>102115228</v>
      </c>
      <c r="BR517" s="42">
        <v>0</v>
      </c>
      <c r="BT517" s="42">
        <v>0</v>
      </c>
      <c r="BV517" s="42">
        <f t="shared" si="90"/>
        <v>100741647</v>
      </c>
      <c r="BX517" s="5">
        <f>+BV517-'Gen Fd BS'!AI517+BT517</f>
        <v>0</v>
      </c>
    </row>
    <row r="518" spans="1:76" hidden="1">
      <c r="A518" s="9" t="s">
        <v>696</v>
      </c>
      <c r="B518" s="9"/>
      <c r="C518" s="9" t="s">
        <v>10</v>
      </c>
      <c r="D518" s="9"/>
      <c r="E518" s="23">
        <v>45807</v>
      </c>
      <c r="G518" s="42">
        <v>0</v>
      </c>
      <c r="I518" s="42">
        <v>0</v>
      </c>
      <c r="K518" s="42">
        <v>0</v>
      </c>
      <c r="M518" s="42">
        <v>0</v>
      </c>
      <c r="O518" s="42">
        <v>0</v>
      </c>
      <c r="Q518" s="42">
        <v>0</v>
      </c>
      <c r="S518" s="42">
        <v>0</v>
      </c>
      <c r="U518" s="42">
        <v>0</v>
      </c>
      <c r="W518" s="42">
        <v>0</v>
      </c>
      <c r="Y518" s="42">
        <v>0</v>
      </c>
      <c r="AA518" s="42">
        <v>0</v>
      </c>
      <c r="AC518" s="42">
        <v>0</v>
      </c>
      <c r="AE518" s="42">
        <v>0</v>
      </c>
      <c r="AG518" s="42">
        <v>0</v>
      </c>
      <c r="AI518" s="42">
        <v>0</v>
      </c>
      <c r="AK518" s="42">
        <v>0</v>
      </c>
      <c r="AL518" s="9" t="s">
        <v>696</v>
      </c>
      <c r="AM518" s="9"/>
      <c r="AN518" s="9" t="s">
        <v>10</v>
      </c>
      <c r="AP518" s="42">
        <v>0</v>
      </c>
      <c r="AR518" s="42">
        <v>0</v>
      </c>
      <c r="AV518" s="42">
        <v>0</v>
      </c>
      <c r="AX518" s="42">
        <v>0</v>
      </c>
      <c r="AZ518" s="42">
        <v>0</v>
      </c>
      <c r="BB518" s="42">
        <f t="shared" si="91"/>
        <v>0</v>
      </c>
      <c r="BD518" s="42">
        <v>0</v>
      </c>
      <c r="BF518" s="42">
        <v>0</v>
      </c>
      <c r="BH518" s="42">
        <v>0</v>
      </c>
      <c r="BJ518" s="42">
        <v>0</v>
      </c>
      <c r="BL518" s="42">
        <f t="shared" si="89"/>
        <v>0</v>
      </c>
      <c r="BN518" s="42">
        <f>+'Gen Fd Rev'!AM518-'Gen Fd Exp'!BL518</f>
        <v>0</v>
      </c>
      <c r="BP518" s="42">
        <v>0</v>
      </c>
      <c r="BR518" s="42">
        <v>0</v>
      </c>
      <c r="BT518" s="42">
        <v>0</v>
      </c>
      <c r="BV518" s="42">
        <f t="shared" si="90"/>
        <v>0</v>
      </c>
      <c r="BX518" s="5">
        <f>+BV518-'Gen Fd BS'!AI518+BT518</f>
        <v>0</v>
      </c>
    </row>
    <row r="519" spans="1:76">
      <c r="A519" s="8" t="s">
        <v>838</v>
      </c>
      <c r="B519" s="9"/>
      <c r="C519" s="9" t="s">
        <v>69</v>
      </c>
      <c r="D519" s="9"/>
      <c r="E519" s="23">
        <v>50427</v>
      </c>
      <c r="G519" s="42">
        <v>20677869</v>
      </c>
      <c r="I519" s="42">
        <v>3366098</v>
      </c>
      <c r="K519" s="42">
        <v>0</v>
      </c>
      <c r="M519" s="42">
        <v>0</v>
      </c>
      <c r="O519" s="42">
        <v>582059</v>
      </c>
      <c r="Q519" s="42">
        <v>2108050</v>
      </c>
      <c r="S519" s="42">
        <v>3117102</v>
      </c>
      <c r="U519" s="42">
        <v>238535</v>
      </c>
      <c r="W519" s="42">
        <v>2962437</v>
      </c>
      <c r="Y519" s="42">
        <v>706969</v>
      </c>
      <c r="AA519" s="42">
        <v>227002</v>
      </c>
      <c r="AC519" s="42">
        <v>3189863</v>
      </c>
      <c r="AE519" s="42">
        <v>2894554</v>
      </c>
      <c r="AG519" s="42">
        <v>266802</v>
      </c>
      <c r="AI519" s="42">
        <v>0</v>
      </c>
      <c r="AK519" s="42">
        <v>29801</v>
      </c>
      <c r="AL519" s="8" t="s">
        <v>838</v>
      </c>
      <c r="AM519" s="9"/>
      <c r="AN519" s="9" t="s">
        <v>69</v>
      </c>
      <c r="AP519" s="42">
        <v>257287</v>
      </c>
      <c r="AR519" s="42">
        <v>932233</v>
      </c>
      <c r="AV519" s="42">
        <v>685722</v>
      </c>
      <c r="AX519" s="42">
        <v>774367</v>
      </c>
      <c r="AZ519" s="42">
        <v>0</v>
      </c>
      <c r="BB519" s="42">
        <f t="shared" si="91"/>
        <v>43016750</v>
      </c>
      <c r="BD519" s="42">
        <v>123077</v>
      </c>
      <c r="BF519" s="42">
        <v>0</v>
      </c>
      <c r="BH519" s="42">
        <v>0</v>
      </c>
      <c r="BJ519" s="42">
        <v>0</v>
      </c>
      <c r="BL519" s="42">
        <f t="shared" si="89"/>
        <v>43139827</v>
      </c>
      <c r="BN519" s="42">
        <f>+'Gen Fd Rev'!AM519-'Gen Fd Exp'!BL519</f>
        <v>3086869</v>
      </c>
      <c r="BP519" s="42">
        <v>5896287</v>
      </c>
      <c r="BR519" s="42">
        <v>0</v>
      </c>
      <c r="BT519" s="42">
        <v>0</v>
      </c>
      <c r="BV519" s="42">
        <f t="shared" si="90"/>
        <v>8983156</v>
      </c>
      <c r="BX519" s="5">
        <f>+BV519-'Gen Fd BS'!AI519+BT519</f>
        <v>0</v>
      </c>
    </row>
    <row r="520" spans="1:76">
      <c r="A520" s="9" t="s">
        <v>624</v>
      </c>
      <c r="B520" s="9"/>
      <c r="C520" s="9" t="s">
        <v>17</v>
      </c>
      <c r="D520" s="9"/>
      <c r="E520" s="23">
        <v>44818</v>
      </c>
      <c r="G520" s="42">
        <v>29592598</v>
      </c>
      <c r="I520" s="42">
        <v>8079302</v>
      </c>
      <c r="K520" s="42">
        <v>235148</v>
      </c>
      <c r="M520" s="42">
        <v>189766</v>
      </c>
      <c r="O520" s="42">
        <v>14119458</v>
      </c>
      <c r="Q520" s="42">
        <v>5842857</v>
      </c>
      <c r="S520" s="42">
        <v>3052397</v>
      </c>
      <c r="U520" s="42">
        <v>264601</v>
      </c>
      <c r="W520" s="42">
        <v>6540856</v>
      </c>
      <c r="Y520" s="42">
        <v>2086361</v>
      </c>
      <c r="AA520" s="42">
        <v>395968</v>
      </c>
      <c r="AC520" s="42">
        <v>6765193</v>
      </c>
      <c r="AE520" s="42">
        <v>2683906</v>
      </c>
      <c r="AG520" s="42">
        <v>1323411</v>
      </c>
      <c r="AI520" s="42">
        <v>0</v>
      </c>
      <c r="AK520" s="42">
        <v>16398</v>
      </c>
      <c r="AL520" s="9" t="s">
        <v>624</v>
      </c>
      <c r="AM520" s="9"/>
      <c r="AN520" s="9" t="s">
        <v>17</v>
      </c>
      <c r="AP520" s="42">
        <v>720801</v>
      </c>
      <c r="AR520" s="42">
        <v>0</v>
      </c>
      <c r="AV520" s="42">
        <v>60671</v>
      </c>
      <c r="AX520" s="42">
        <v>12787</v>
      </c>
      <c r="AZ520" s="42">
        <v>0</v>
      </c>
      <c r="BB520" s="42">
        <f t="shared" si="91"/>
        <v>81982479</v>
      </c>
      <c r="BD520" s="42">
        <v>0</v>
      </c>
      <c r="BF520" s="42">
        <v>0</v>
      </c>
      <c r="BH520" s="42">
        <v>0</v>
      </c>
      <c r="BJ520" s="42">
        <v>0</v>
      </c>
      <c r="BL520" s="42">
        <f t="shared" si="89"/>
        <v>81982479</v>
      </c>
      <c r="BN520" s="42">
        <f>+'Gen Fd Rev'!AM520-'Gen Fd Exp'!BL520</f>
        <v>-1784456</v>
      </c>
      <c r="BP520" s="42">
        <v>25891221</v>
      </c>
      <c r="BR520" s="42">
        <v>0</v>
      </c>
      <c r="BT520" s="42">
        <v>0</v>
      </c>
      <c r="BV520" s="42">
        <f t="shared" si="90"/>
        <v>24106765</v>
      </c>
      <c r="BX520" s="5">
        <f>+BV520-'Gen Fd BS'!AI520+BT520</f>
        <v>0</v>
      </c>
    </row>
    <row r="521" spans="1:76">
      <c r="A521" s="9" t="s">
        <v>710</v>
      </c>
      <c r="B521" s="9"/>
      <c r="C521" s="9" t="s">
        <v>114</v>
      </c>
      <c r="D521" s="9"/>
      <c r="E521" s="23">
        <v>48223</v>
      </c>
      <c r="G521" s="42">
        <v>16341702</v>
      </c>
      <c r="I521" s="42">
        <v>3983268</v>
      </c>
      <c r="K521" s="42">
        <v>223638</v>
      </c>
      <c r="M521" s="42">
        <v>0</v>
      </c>
      <c r="O521" s="42">
        <v>3536915</v>
      </c>
      <c r="Q521" s="42">
        <v>1199746</v>
      </c>
      <c r="S521" s="42">
        <v>447929</v>
      </c>
      <c r="U521" s="42">
        <v>100482</v>
      </c>
      <c r="W521" s="42">
        <v>2601529</v>
      </c>
      <c r="Y521" s="42">
        <v>762341</v>
      </c>
      <c r="AA521" s="42">
        <v>0</v>
      </c>
      <c r="AC521" s="42">
        <v>2907834</v>
      </c>
      <c r="AE521" s="42">
        <v>1929955</v>
      </c>
      <c r="AG521" s="42">
        <v>66039</v>
      </c>
      <c r="AI521" s="42">
        <v>0</v>
      </c>
      <c r="AK521" s="42">
        <v>0</v>
      </c>
      <c r="AL521" s="9" t="s">
        <v>710</v>
      </c>
      <c r="AM521" s="9"/>
      <c r="AN521" s="9" t="s">
        <v>114</v>
      </c>
      <c r="AP521" s="42">
        <v>728328</v>
      </c>
      <c r="AR521" s="42">
        <v>0</v>
      </c>
      <c r="AV521" s="42">
        <v>0</v>
      </c>
      <c r="AX521" s="42">
        <v>0</v>
      </c>
      <c r="AZ521" s="42">
        <v>0</v>
      </c>
      <c r="BB521" s="42">
        <f t="shared" si="91"/>
        <v>34829706</v>
      </c>
      <c r="BD521" s="42">
        <v>11164</v>
      </c>
      <c r="BF521" s="42">
        <v>0</v>
      </c>
      <c r="BH521" s="42">
        <v>0</v>
      </c>
      <c r="BJ521" s="42">
        <v>0</v>
      </c>
      <c r="BL521" s="42">
        <f t="shared" si="89"/>
        <v>34840870</v>
      </c>
      <c r="BN521" s="42">
        <f>+'Gen Fd Rev'!AM521-'Gen Fd Exp'!BL521</f>
        <v>-89125</v>
      </c>
      <c r="BP521" s="42">
        <v>1178559</v>
      </c>
      <c r="BR521" s="42">
        <v>0</v>
      </c>
      <c r="BT521" s="42">
        <v>0</v>
      </c>
      <c r="BV521" s="42">
        <f t="shared" si="90"/>
        <v>1089434</v>
      </c>
      <c r="BX521" s="5">
        <f>+BV521-'Gen Fd BS'!AI521+BT521</f>
        <v>0</v>
      </c>
    </row>
    <row r="522" spans="1:76">
      <c r="A522" s="9" t="s">
        <v>390</v>
      </c>
      <c r="B522" s="9"/>
      <c r="C522" s="9" t="s">
        <v>45</v>
      </c>
      <c r="D522" s="9"/>
      <c r="E522" s="23">
        <v>48371</v>
      </c>
      <c r="G522" s="42">
        <v>4839543</v>
      </c>
      <c r="I522" s="42">
        <v>897004</v>
      </c>
      <c r="K522" s="42">
        <v>194997</v>
      </c>
      <c r="M522" s="42">
        <v>0</v>
      </c>
      <c r="O522" s="42">
        <v>19022</v>
      </c>
      <c r="Q522" s="42">
        <v>453848</v>
      </c>
      <c r="S522" s="42">
        <v>372472</v>
      </c>
      <c r="U522" s="42">
        <v>26287</v>
      </c>
      <c r="W522" s="42">
        <v>1328579</v>
      </c>
      <c r="Y522" s="42">
        <v>318413</v>
      </c>
      <c r="AA522" s="42">
        <v>4558</v>
      </c>
      <c r="AC522" s="42">
        <v>819250</v>
      </c>
      <c r="AE522" s="42">
        <v>514523</v>
      </c>
      <c r="AG522" s="42">
        <v>23341</v>
      </c>
      <c r="AI522" s="42">
        <v>0</v>
      </c>
      <c r="AK522" s="42">
        <v>1553</v>
      </c>
      <c r="AL522" s="9" t="s">
        <v>390</v>
      </c>
      <c r="AM522" s="9"/>
      <c r="AN522" s="9" t="s">
        <v>45</v>
      </c>
      <c r="AP522" s="42">
        <v>374689</v>
      </c>
      <c r="AR522" s="42">
        <v>400</v>
      </c>
      <c r="AV522" s="42">
        <v>0</v>
      </c>
      <c r="AX522" s="42">
        <v>0</v>
      </c>
      <c r="AZ522" s="42">
        <v>0</v>
      </c>
      <c r="BB522" s="42">
        <f t="shared" si="91"/>
        <v>10188479</v>
      </c>
      <c r="BD522" s="42">
        <v>56000</v>
      </c>
      <c r="BF522" s="42">
        <v>0</v>
      </c>
      <c r="BH522" s="42">
        <v>0</v>
      </c>
      <c r="BJ522" s="42">
        <v>0</v>
      </c>
      <c r="BL522" s="42">
        <f t="shared" si="89"/>
        <v>10244479</v>
      </c>
      <c r="BN522" s="42">
        <f>+'Gen Fd Rev'!AM522-'Gen Fd Exp'!BL522</f>
        <v>346016</v>
      </c>
      <c r="BP522" s="42">
        <v>1148872</v>
      </c>
      <c r="BR522" s="42">
        <v>0</v>
      </c>
      <c r="BT522" s="42">
        <v>0</v>
      </c>
      <c r="BV522" s="42">
        <f t="shared" si="90"/>
        <v>1494888</v>
      </c>
      <c r="BX522" s="5">
        <f>+BV522-'Gen Fd BS'!AI522+BT522</f>
        <v>0</v>
      </c>
    </row>
    <row r="523" spans="1:76">
      <c r="A523" s="9" t="s">
        <v>390</v>
      </c>
      <c r="B523" s="9"/>
      <c r="C523" s="9" t="s">
        <v>63</v>
      </c>
      <c r="D523" s="9"/>
      <c r="E523" s="23">
        <v>50062</v>
      </c>
      <c r="G523" s="42">
        <v>10757937</v>
      </c>
      <c r="I523" s="42">
        <v>2440788</v>
      </c>
      <c r="K523" s="42">
        <v>275824</v>
      </c>
      <c r="M523" s="42">
        <v>0</v>
      </c>
      <c r="O523" s="42">
        <v>2304781</v>
      </c>
      <c r="Q523" s="42">
        <v>1265886</v>
      </c>
      <c r="S523" s="42">
        <v>1173315</v>
      </c>
      <c r="U523" s="42">
        <v>37500</v>
      </c>
      <c r="W523" s="42">
        <v>1595970</v>
      </c>
      <c r="Y523" s="42">
        <v>871636</v>
      </c>
      <c r="AA523" s="42">
        <v>138887</v>
      </c>
      <c r="AC523" s="42">
        <v>1859742</v>
      </c>
      <c r="AE523" s="42">
        <v>1457356</v>
      </c>
      <c r="AG523" s="42">
        <v>58436</v>
      </c>
      <c r="AI523" s="42">
        <v>0</v>
      </c>
      <c r="AK523" s="42">
        <v>0</v>
      </c>
      <c r="AL523" s="9" t="s">
        <v>390</v>
      </c>
      <c r="AM523" s="9"/>
      <c r="AN523" s="9" t="s">
        <v>63</v>
      </c>
      <c r="AP523" s="42">
        <v>568482</v>
      </c>
      <c r="AR523" s="42">
        <v>32384</v>
      </c>
      <c r="AV523" s="42">
        <v>23400</v>
      </c>
      <c r="AX523" s="42">
        <v>4368</v>
      </c>
      <c r="AZ523" s="42">
        <v>0</v>
      </c>
      <c r="BB523" s="42">
        <f t="shared" si="91"/>
        <v>24866692</v>
      </c>
      <c r="BD523" s="42">
        <v>0</v>
      </c>
      <c r="BF523" s="42">
        <v>0</v>
      </c>
      <c r="BH523" s="42">
        <v>0</v>
      </c>
      <c r="BJ523" s="42">
        <v>0</v>
      </c>
      <c r="BL523" s="42">
        <f t="shared" si="89"/>
        <v>24866692</v>
      </c>
      <c r="BN523" s="42">
        <f>+'Gen Fd Rev'!AM523-'Gen Fd Exp'!BL523</f>
        <v>-19039</v>
      </c>
      <c r="BP523" s="42">
        <v>5118135</v>
      </c>
      <c r="BR523" s="42">
        <v>0</v>
      </c>
      <c r="BT523" s="42">
        <v>0</v>
      </c>
      <c r="BV523" s="42">
        <f t="shared" si="90"/>
        <v>5099096</v>
      </c>
      <c r="BX523" s="5">
        <f>+BV523-'Gen Fd BS'!AI523+BT523</f>
        <v>0</v>
      </c>
    </row>
    <row r="524" spans="1:76">
      <c r="A524" s="9" t="s">
        <v>780</v>
      </c>
      <c r="B524" s="9"/>
      <c r="C524" s="9" t="s">
        <v>32</v>
      </c>
      <c r="D524" s="9"/>
      <c r="E524" s="23">
        <v>44719</v>
      </c>
      <c r="G524" s="42">
        <v>5495568</v>
      </c>
      <c r="I524" s="42">
        <v>1857328</v>
      </c>
      <c r="K524" s="42">
        <v>0</v>
      </c>
      <c r="M524" s="42">
        <v>0</v>
      </c>
      <c r="O524" s="42">
        <v>0</v>
      </c>
      <c r="Q524" s="42">
        <v>664285</v>
      </c>
      <c r="S524" s="42">
        <v>341438</v>
      </c>
      <c r="U524" s="42">
        <v>16996</v>
      </c>
      <c r="W524" s="42">
        <v>889351</v>
      </c>
      <c r="Y524" s="42">
        <v>439295</v>
      </c>
      <c r="AA524" s="42">
        <v>0</v>
      </c>
      <c r="AC524" s="42">
        <v>1176348</v>
      </c>
      <c r="AE524" s="42">
        <v>332032</v>
      </c>
      <c r="AG524" s="42">
        <v>185094</v>
      </c>
      <c r="AI524" s="42">
        <v>0</v>
      </c>
      <c r="AK524" s="42">
        <v>0</v>
      </c>
      <c r="AL524" s="9" t="s">
        <v>780</v>
      </c>
      <c r="AM524" s="9"/>
      <c r="AN524" s="9" t="s">
        <v>32</v>
      </c>
      <c r="AP524" s="42">
        <v>171214</v>
      </c>
      <c r="AR524" s="42">
        <v>0</v>
      </c>
      <c r="AV524" s="42">
        <v>0</v>
      </c>
      <c r="AX524" s="42">
        <v>0</v>
      </c>
      <c r="AZ524" s="42">
        <v>0</v>
      </c>
      <c r="BB524" s="42">
        <f t="shared" si="91"/>
        <v>11568949</v>
      </c>
      <c r="BD524" s="42">
        <v>251265</v>
      </c>
      <c r="BF524" s="42">
        <v>0</v>
      </c>
      <c r="BH524" s="42">
        <v>0</v>
      </c>
      <c r="BJ524" s="42">
        <v>0</v>
      </c>
      <c r="BL524" s="42">
        <f t="shared" si="89"/>
        <v>11820214</v>
      </c>
      <c r="BN524" s="42">
        <f>+'Gen Fd Rev'!AM524-'Gen Fd Exp'!BL524</f>
        <v>422934</v>
      </c>
      <c r="BP524" s="42">
        <v>6357411</v>
      </c>
      <c r="BR524" s="42">
        <v>0</v>
      </c>
      <c r="BT524" s="42">
        <v>0</v>
      </c>
      <c r="BV524" s="42">
        <f t="shared" si="90"/>
        <v>6780345</v>
      </c>
      <c r="BX524" s="5">
        <f>+BV524-'Gen Fd BS'!AI524+BT524</f>
        <v>0</v>
      </c>
    </row>
    <row r="525" spans="1:76">
      <c r="A525" s="9" t="s">
        <v>781</v>
      </c>
      <c r="B525" s="9"/>
      <c r="C525" s="9" t="s">
        <v>15</v>
      </c>
      <c r="D525" s="9"/>
      <c r="E525" s="23">
        <v>45997</v>
      </c>
      <c r="G525" s="42">
        <v>5741888</v>
      </c>
      <c r="I525" s="42">
        <v>1209576</v>
      </c>
      <c r="K525" s="42">
        <v>6809</v>
      </c>
      <c r="M525" s="42">
        <v>0</v>
      </c>
      <c r="O525" s="42">
        <v>0</v>
      </c>
      <c r="Q525" s="42">
        <v>746283</v>
      </c>
      <c r="S525" s="42">
        <v>64316</v>
      </c>
      <c r="U525" s="42">
        <v>16936</v>
      </c>
      <c r="W525" s="42">
        <v>813125</v>
      </c>
      <c r="Y525" s="42">
        <v>507738</v>
      </c>
      <c r="AA525" s="42">
        <v>0</v>
      </c>
      <c r="AC525" s="42">
        <v>1134765</v>
      </c>
      <c r="AE525" s="42">
        <v>655270</v>
      </c>
      <c r="AG525" s="42">
        <v>253933</v>
      </c>
      <c r="AI525" s="42">
        <v>0</v>
      </c>
      <c r="AK525" s="42">
        <v>0</v>
      </c>
      <c r="AL525" s="9" t="s">
        <v>781</v>
      </c>
      <c r="AM525" s="9"/>
      <c r="AN525" s="9" t="s">
        <v>15</v>
      </c>
      <c r="AP525" s="42">
        <v>299421</v>
      </c>
      <c r="AR525" s="42">
        <v>65356</v>
      </c>
      <c r="AV525" s="42">
        <v>47332</v>
      </c>
      <c r="AX525" s="42">
        <v>15323</v>
      </c>
      <c r="AZ525" s="42">
        <v>0</v>
      </c>
      <c r="BB525" s="42">
        <f t="shared" si="91"/>
        <v>11578071</v>
      </c>
      <c r="BD525" s="42">
        <v>1706686</v>
      </c>
      <c r="BF525" s="42">
        <v>0</v>
      </c>
      <c r="BH525" s="42">
        <v>0</v>
      </c>
      <c r="BJ525" s="42">
        <v>0</v>
      </c>
      <c r="BL525" s="42">
        <f t="shared" si="89"/>
        <v>13284757</v>
      </c>
      <c r="BN525" s="42">
        <f>+'Gen Fd Rev'!AM525-'Gen Fd Exp'!BL525</f>
        <v>-121753</v>
      </c>
      <c r="BP525" s="42">
        <v>-39745</v>
      </c>
      <c r="BR525" s="42">
        <v>0</v>
      </c>
      <c r="BT525" s="42">
        <v>0</v>
      </c>
      <c r="BV525" s="42">
        <f t="shared" si="90"/>
        <v>-161498</v>
      </c>
      <c r="BX525" s="5">
        <f>+BV525-'Gen Fd BS'!AI525+BT525</f>
        <v>0</v>
      </c>
    </row>
    <row r="526" spans="1:76" hidden="1">
      <c r="A526" s="9" t="s">
        <v>697</v>
      </c>
      <c r="B526" s="9"/>
      <c r="C526" s="9" t="s">
        <v>419</v>
      </c>
      <c r="D526" s="9"/>
      <c r="E526" s="23">
        <v>48587</v>
      </c>
      <c r="G526" s="42">
        <v>0</v>
      </c>
      <c r="I526" s="42">
        <v>0</v>
      </c>
      <c r="K526" s="42">
        <v>0</v>
      </c>
      <c r="M526" s="42">
        <v>0</v>
      </c>
      <c r="O526" s="42">
        <v>0</v>
      </c>
      <c r="Q526" s="42">
        <v>0</v>
      </c>
      <c r="S526" s="42">
        <v>0</v>
      </c>
      <c r="U526" s="42">
        <v>0</v>
      </c>
      <c r="W526" s="42">
        <v>0</v>
      </c>
      <c r="Y526" s="42">
        <v>0</v>
      </c>
      <c r="AA526" s="42">
        <v>0</v>
      </c>
      <c r="AC526" s="42">
        <v>0</v>
      </c>
      <c r="AE526" s="42">
        <v>0</v>
      </c>
      <c r="AG526" s="42">
        <v>0</v>
      </c>
      <c r="AI526" s="42">
        <v>0</v>
      </c>
      <c r="AK526" s="42">
        <v>0</v>
      </c>
      <c r="AL526" s="9" t="s">
        <v>697</v>
      </c>
      <c r="AM526" s="9"/>
      <c r="AN526" s="9" t="s">
        <v>419</v>
      </c>
      <c r="AP526" s="42">
        <v>0</v>
      </c>
      <c r="AR526" s="42">
        <v>0</v>
      </c>
      <c r="AV526" s="42">
        <v>0</v>
      </c>
      <c r="AX526" s="42">
        <v>0</v>
      </c>
      <c r="AZ526" s="42">
        <v>0</v>
      </c>
      <c r="BB526" s="42">
        <f t="shared" si="91"/>
        <v>0</v>
      </c>
      <c r="BD526" s="42">
        <v>0</v>
      </c>
      <c r="BF526" s="42">
        <v>0</v>
      </c>
      <c r="BH526" s="42">
        <v>0</v>
      </c>
      <c r="BJ526" s="42">
        <v>0</v>
      </c>
      <c r="BL526" s="42">
        <f t="shared" si="89"/>
        <v>0</v>
      </c>
      <c r="BN526" s="42">
        <f>+'Gen Fd Rev'!AM526-'Gen Fd Exp'!BL526</f>
        <v>0</v>
      </c>
      <c r="BP526" s="42">
        <v>0</v>
      </c>
      <c r="BR526" s="42">
        <v>0</v>
      </c>
      <c r="BT526" s="42">
        <v>0</v>
      </c>
      <c r="BV526" s="42">
        <f t="shared" si="90"/>
        <v>0</v>
      </c>
      <c r="BX526" s="5">
        <f>+BV526-'Gen Fd BS'!AI526+BT526</f>
        <v>0</v>
      </c>
    </row>
    <row r="527" spans="1:76" hidden="1">
      <c r="A527" s="9" t="s">
        <v>698</v>
      </c>
      <c r="B527" s="9"/>
      <c r="C527" s="9" t="s">
        <v>14</v>
      </c>
      <c r="D527" s="9"/>
      <c r="E527" s="23">
        <v>44727</v>
      </c>
      <c r="G527" s="42">
        <v>0</v>
      </c>
      <c r="I527" s="42">
        <v>0</v>
      </c>
      <c r="K527" s="42">
        <v>0</v>
      </c>
      <c r="M527" s="42">
        <v>0</v>
      </c>
      <c r="O527" s="42">
        <v>0</v>
      </c>
      <c r="Q527" s="42">
        <v>0</v>
      </c>
      <c r="S527" s="42">
        <v>0</v>
      </c>
      <c r="U527" s="42">
        <v>0</v>
      </c>
      <c r="W527" s="42">
        <v>0</v>
      </c>
      <c r="Y527" s="42">
        <v>0</v>
      </c>
      <c r="AA527" s="42">
        <v>0</v>
      </c>
      <c r="AC527" s="42">
        <v>0</v>
      </c>
      <c r="AE527" s="42">
        <v>0</v>
      </c>
      <c r="AG527" s="42">
        <v>0</v>
      </c>
      <c r="AI527" s="42">
        <v>0</v>
      </c>
      <c r="AK527" s="42">
        <v>0</v>
      </c>
      <c r="AL527" s="9" t="s">
        <v>698</v>
      </c>
      <c r="AM527" s="9"/>
      <c r="AN527" s="9" t="s">
        <v>14</v>
      </c>
      <c r="AP527" s="42">
        <v>0</v>
      </c>
      <c r="AR527" s="42">
        <v>0</v>
      </c>
      <c r="AV527" s="42">
        <v>0</v>
      </c>
      <c r="AX527" s="42">
        <v>0</v>
      </c>
      <c r="AZ527" s="42">
        <v>0</v>
      </c>
      <c r="BB527" s="42">
        <f t="shared" si="91"/>
        <v>0</v>
      </c>
      <c r="BD527" s="42">
        <v>0</v>
      </c>
      <c r="BF527" s="42">
        <v>0</v>
      </c>
      <c r="BH527" s="42">
        <v>0</v>
      </c>
      <c r="BJ527" s="42">
        <v>0</v>
      </c>
      <c r="BL527" s="42">
        <f t="shared" si="89"/>
        <v>0</v>
      </c>
      <c r="BN527" s="42">
        <f>+'Gen Fd Rev'!AM527-'Gen Fd Exp'!BL527</f>
        <v>0</v>
      </c>
      <c r="BP527" s="42">
        <v>0</v>
      </c>
      <c r="BR527" s="42">
        <v>0</v>
      </c>
      <c r="BT527" s="42">
        <v>0</v>
      </c>
      <c r="BV527" s="42">
        <f t="shared" si="90"/>
        <v>0</v>
      </c>
      <c r="BX527" s="5">
        <f>+BV527-'Gen Fd BS'!AI527+BT527</f>
        <v>0</v>
      </c>
    </row>
    <row r="528" spans="1:76">
      <c r="A528" s="9" t="s">
        <v>362</v>
      </c>
      <c r="B528" s="9"/>
      <c r="C528" s="9" t="s">
        <v>39</v>
      </c>
      <c r="D528" s="9"/>
      <c r="E528" s="23">
        <v>44826</v>
      </c>
      <c r="G528" s="42">
        <v>9934083</v>
      </c>
      <c r="I528" s="42">
        <v>2237984</v>
      </c>
      <c r="K528" s="42">
        <v>658269</v>
      </c>
      <c r="M528" s="42">
        <v>0</v>
      </c>
      <c r="O528" s="42">
        <v>81505</v>
      </c>
      <c r="Q528" s="42">
        <v>507043</v>
      </c>
      <c r="S528" s="42">
        <v>248548</v>
      </c>
      <c r="U528" s="42">
        <v>105686</v>
      </c>
      <c r="W528" s="42">
        <v>1646074</v>
      </c>
      <c r="Y528" s="42">
        <v>393125</v>
      </c>
      <c r="AA528" s="42">
        <v>274311</v>
      </c>
      <c r="AC528" s="42">
        <v>2765424</v>
      </c>
      <c r="AE528" s="42">
        <v>419627</v>
      </c>
      <c r="AG528" s="42">
        <v>7941</v>
      </c>
      <c r="AI528" s="42">
        <v>0</v>
      </c>
      <c r="AK528" s="42">
        <v>14554</v>
      </c>
      <c r="AL528" s="9" t="s">
        <v>362</v>
      </c>
      <c r="AM528" s="9"/>
      <c r="AN528" s="9" t="s">
        <v>39</v>
      </c>
      <c r="AP528" s="42">
        <v>301118</v>
      </c>
      <c r="AR528" s="42">
        <v>0</v>
      </c>
      <c r="AV528" s="42">
        <v>0</v>
      </c>
      <c r="AX528" s="42">
        <v>0</v>
      </c>
      <c r="AZ528" s="42">
        <v>0</v>
      </c>
      <c r="BB528" s="42">
        <f t="shared" si="91"/>
        <v>19595292</v>
      </c>
      <c r="BD528" s="42">
        <v>142742</v>
      </c>
      <c r="BF528" s="42">
        <v>0</v>
      </c>
      <c r="BH528" s="42">
        <v>0</v>
      </c>
      <c r="BJ528" s="42">
        <v>0</v>
      </c>
      <c r="BL528" s="42">
        <f t="shared" si="89"/>
        <v>19738034</v>
      </c>
      <c r="BN528" s="42">
        <f>+'Gen Fd Rev'!AM528-'Gen Fd Exp'!BL528</f>
        <v>-672528</v>
      </c>
      <c r="BP528" s="42">
        <v>2244575</v>
      </c>
      <c r="BR528" s="42">
        <v>0</v>
      </c>
      <c r="BT528" s="42">
        <v>0</v>
      </c>
      <c r="BV528" s="42">
        <f t="shared" si="90"/>
        <v>1572047</v>
      </c>
      <c r="BX528" s="5">
        <f>+BV528-'Gen Fd BS'!AI528+BT528</f>
        <v>0</v>
      </c>
    </row>
    <row r="529" spans="1:76">
      <c r="A529" s="9" t="s">
        <v>510</v>
      </c>
      <c r="B529" s="9"/>
      <c r="C529" s="9" t="s">
        <v>63</v>
      </c>
      <c r="D529" s="9"/>
      <c r="E529" s="23">
        <v>44834</v>
      </c>
      <c r="G529" s="42">
        <v>23070115</v>
      </c>
      <c r="I529" s="42">
        <v>4390737</v>
      </c>
      <c r="K529" s="42">
        <v>1914386</v>
      </c>
      <c r="M529" s="42">
        <v>0</v>
      </c>
      <c r="O529" s="42">
        <v>189941</v>
      </c>
      <c r="Q529" s="42">
        <v>2860973</v>
      </c>
      <c r="S529" s="42">
        <v>2604147</v>
      </c>
      <c r="U529" s="42">
        <v>748634</v>
      </c>
      <c r="W529" s="42">
        <v>2978211</v>
      </c>
      <c r="Y529" s="42">
        <v>1309529</v>
      </c>
      <c r="AA529" s="42">
        <v>66133</v>
      </c>
      <c r="AC529" s="42">
        <v>4856702</v>
      </c>
      <c r="AE529" s="42">
        <v>3320935</v>
      </c>
      <c r="AG529" s="42">
        <v>491715</v>
      </c>
      <c r="AI529" s="42">
        <v>0</v>
      </c>
      <c r="AK529" s="42">
        <v>0</v>
      </c>
      <c r="AL529" s="9" t="s">
        <v>510</v>
      </c>
      <c r="AM529" s="9"/>
      <c r="AN529" s="9" t="s">
        <v>63</v>
      </c>
      <c r="AP529" s="42">
        <v>901461</v>
      </c>
      <c r="AR529" s="42">
        <v>404188</v>
      </c>
      <c r="AV529" s="42">
        <v>95000</v>
      </c>
      <c r="AX529" s="42">
        <v>47956</v>
      </c>
      <c r="AZ529" s="42">
        <v>0</v>
      </c>
      <c r="BB529" s="42">
        <f t="shared" si="91"/>
        <v>50250763</v>
      </c>
      <c r="BD529" s="42">
        <v>42988</v>
      </c>
      <c r="BF529" s="42">
        <v>0</v>
      </c>
      <c r="BH529" s="42">
        <v>0</v>
      </c>
      <c r="BJ529" s="42">
        <v>0</v>
      </c>
      <c r="BL529" s="42">
        <f t="shared" si="89"/>
        <v>50293751</v>
      </c>
      <c r="BN529" s="42">
        <f>+'Gen Fd Rev'!AM529-'Gen Fd Exp'!BL529</f>
        <v>3079000</v>
      </c>
      <c r="BP529" s="42">
        <v>14979906</v>
      </c>
      <c r="BR529" s="42">
        <v>0</v>
      </c>
      <c r="BT529" s="42">
        <v>0</v>
      </c>
      <c r="BV529" s="42">
        <f t="shared" si="90"/>
        <v>18058906</v>
      </c>
      <c r="BX529" s="5">
        <f>+BV529-'Gen Fd BS'!AI529+BT529</f>
        <v>0</v>
      </c>
    </row>
    <row r="530" spans="1:76" hidden="1">
      <c r="A530" s="9" t="s">
        <v>699</v>
      </c>
      <c r="B530" s="9"/>
      <c r="C530" s="9" t="s">
        <v>65</v>
      </c>
      <c r="D530" s="9"/>
      <c r="E530" s="23">
        <v>50294</v>
      </c>
      <c r="G530" s="42">
        <v>0</v>
      </c>
      <c r="I530" s="42">
        <v>0</v>
      </c>
      <c r="K530" s="42">
        <v>0</v>
      </c>
      <c r="M530" s="42">
        <v>0</v>
      </c>
      <c r="O530" s="42">
        <v>0</v>
      </c>
      <c r="Q530" s="42">
        <v>0</v>
      </c>
      <c r="S530" s="42">
        <v>0</v>
      </c>
      <c r="U530" s="42">
        <v>0</v>
      </c>
      <c r="W530" s="42">
        <v>0</v>
      </c>
      <c r="Y530" s="42">
        <v>0</v>
      </c>
      <c r="AA530" s="42">
        <v>0</v>
      </c>
      <c r="AC530" s="42">
        <v>0</v>
      </c>
      <c r="AE530" s="42">
        <v>0</v>
      </c>
      <c r="AG530" s="42">
        <v>0</v>
      </c>
      <c r="AI530" s="42">
        <v>0</v>
      </c>
      <c r="AK530" s="42">
        <v>0</v>
      </c>
      <c r="AL530" s="9" t="s">
        <v>699</v>
      </c>
      <c r="AM530" s="9"/>
      <c r="AN530" s="9" t="s">
        <v>65</v>
      </c>
      <c r="AP530" s="42">
        <v>0</v>
      </c>
      <c r="AR530" s="42">
        <v>0</v>
      </c>
      <c r="AV530" s="42">
        <v>0</v>
      </c>
      <c r="AX530" s="42">
        <v>0</v>
      </c>
      <c r="AZ530" s="42">
        <v>0</v>
      </c>
      <c r="BB530" s="42">
        <f t="shared" si="91"/>
        <v>0</v>
      </c>
      <c r="BD530" s="42">
        <v>0</v>
      </c>
      <c r="BF530" s="42">
        <v>0</v>
      </c>
      <c r="BH530" s="42">
        <v>0</v>
      </c>
      <c r="BJ530" s="42">
        <v>0</v>
      </c>
      <c r="BL530" s="42">
        <f t="shared" si="89"/>
        <v>0</v>
      </c>
      <c r="BN530" s="42">
        <f>+'Gen Fd Rev'!AM530-'Gen Fd Exp'!BL530</f>
        <v>0</v>
      </c>
      <c r="BP530" s="42">
        <v>0</v>
      </c>
      <c r="BR530" s="42">
        <v>0</v>
      </c>
      <c r="BT530" s="42">
        <v>0</v>
      </c>
      <c r="BV530" s="42">
        <f t="shared" si="90"/>
        <v>0</v>
      </c>
      <c r="BX530" s="5">
        <f>+BV530-'Gen Fd BS'!AI530+BT530</f>
        <v>0</v>
      </c>
    </row>
    <row r="531" spans="1:76">
      <c r="A531" s="9" t="s">
        <v>461</v>
      </c>
      <c r="B531" s="9"/>
      <c r="C531" s="9" t="s">
        <v>56</v>
      </c>
      <c r="D531" s="9"/>
      <c r="E531" s="23">
        <v>49239</v>
      </c>
      <c r="G531" s="42">
        <v>9252182</v>
      </c>
      <c r="I531" s="42">
        <v>2002295</v>
      </c>
      <c r="K531" s="42">
        <v>17540</v>
      </c>
      <c r="M531" s="42">
        <v>0</v>
      </c>
      <c r="O531" s="42">
        <f>104409+1035539</f>
        <v>1139948</v>
      </c>
      <c r="Q531" s="42">
        <v>1266620</v>
      </c>
      <c r="S531" s="42">
        <v>660653</v>
      </c>
      <c r="U531" s="42">
        <v>220240</v>
      </c>
      <c r="W531" s="42">
        <v>1752557</v>
      </c>
      <c r="Y531" s="42">
        <v>657115</v>
      </c>
      <c r="AA531" s="42">
        <v>199226</v>
      </c>
      <c r="AC531" s="42">
        <v>1745972</v>
      </c>
      <c r="AE531" s="42">
        <v>1187792</v>
      </c>
      <c r="AG531" s="42">
        <v>6413</v>
      </c>
      <c r="AI531" s="42">
        <v>31708</v>
      </c>
      <c r="AK531" s="42">
        <v>26</v>
      </c>
      <c r="AL531" s="9" t="s">
        <v>461</v>
      </c>
      <c r="AM531" s="9"/>
      <c r="AN531" s="9" t="s">
        <v>56</v>
      </c>
      <c r="AP531" s="42">
        <v>463120</v>
      </c>
      <c r="AR531" s="42">
        <v>0</v>
      </c>
      <c r="AV531" s="42">
        <v>0</v>
      </c>
      <c r="AX531" s="42">
        <v>0</v>
      </c>
      <c r="AZ531" s="42">
        <v>0</v>
      </c>
      <c r="BB531" s="42">
        <f t="shared" si="91"/>
        <v>20603407</v>
      </c>
      <c r="BD531" s="42">
        <v>23493</v>
      </c>
      <c r="BF531" s="42">
        <v>0</v>
      </c>
      <c r="BH531" s="42">
        <v>0</v>
      </c>
      <c r="BJ531" s="42">
        <v>0</v>
      </c>
      <c r="BL531" s="42">
        <f>+BB531+BD531+BF531+BJ531</f>
        <v>20626900</v>
      </c>
      <c r="BN531" s="42">
        <f>+'Gen Fd Rev'!AM531-'Gen Fd Exp'!BL531</f>
        <v>871596</v>
      </c>
      <c r="BP531" s="42">
        <v>2167282</v>
      </c>
      <c r="BR531" s="42">
        <v>0</v>
      </c>
      <c r="BT531" s="42">
        <v>0</v>
      </c>
      <c r="BV531" s="42">
        <f t="shared" si="90"/>
        <v>3038878</v>
      </c>
      <c r="BX531" s="5">
        <f>+BV531-'Gen Fd BS'!AI531+BT531</f>
        <v>0</v>
      </c>
    </row>
    <row r="532" spans="1:76">
      <c r="A532" s="9" t="s">
        <v>277</v>
      </c>
      <c r="B532" s="9"/>
      <c r="C532" s="9" t="s">
        <v>20</v>
      </c>
      <c r="D532" s="9"/>
      <c r="E532" s="23">
        <v>44842</v>
      </c>
      <c r="G532" s="42">
        <v>32819792</v>
      </c>
      <c r="I532" s="42">
        <v>4443168</v>
      </c>
      <c r="K532" s="42">
        <v>586515</v>
      </c>
      <c r="M532" s="42">
        <v>0</v>
      </c>
      <c r="O532" s="42">
        <v>0</v>
      </c>
      <c r="Q532" s="42">
        <v>2367202</v>
      </c>
      <c r="S532" s="42">
        <v>3115196</v>
      </c>
      <c r="U532" s="42">
        <v>35890</v>
      </c>
      <c r="W532" s="42">
        <v>2722792</v>
      </c>
      <c r="Y532" s="42">
        <v>4602546</v>
      </c>
      <c r="AA532" s="42">
        <v>1027367</v>
      </c>
      <c r="AC532" s="42">
        <v>8080798</v>
      </c>
      <c r="AE532" s="42">
        <v>3695209</v>
      </c>
      <c r="AG532" s="42">
        <v>1563117</v>
      </c>
      <c r="AI532" s="42">
        <v>0</v>
      </c>
      <c r="AK532" s="42">
        <v>0</v>
      </c>
      <c r="AL532" s="9" t="s">
        <v>277</v>
      </c>
      <c r="AM532" s="9"/>
      <c r="AN532" s="9" t="s">
        <v>20</v>
      </c>
      <c r="AP532" s="42">
        <v>472260</v>
      </c>
      <c r="AR532" s="42">
        <v>0</v>
      </c>
      <c r="AV532" s="42">
        <v>626148</v>
      </c>
      <c r="AX532" s="42">
        <v>246072</v>
      </c>
      <c r="AZ532" s="42">
        <v>0</v>
      </c>
      <c r="BB532" s="42">
        <f t="shared" si="91"/>
        <v>66404072</v>
      </c>
      <c r="BD532" s="42">
        <v>422250</v>
      </c>
      <c r="BF532" s="42">
        <v>0</v>
      </c>
      <c r="BH532" s="42">
        <v>0</v>
      </c>
      <c r="BJ532" s="42">
        <v>0</v>
      </c>
      <c r="BL532" s="42">
        <f t="shared" si="89"/>
        <v>66826322</v>
      </c>
      <c r="BN532" s="42">
        <f>+'Gen Fd Rev'!AM532-'Gen Fd Exp'!BL532</f>
        <v>2415367</v>
      </c>
      <c r="BP532" s="42">
        <v>2552863</v>
      </c>
      <c r="BR532" s="42">
        <v>0</v>
      </c>
      <c r="BT532" s="42">
        <v>0</v>
      </c>
      <c r="BV532" s="42">
        <f t="shared" si="90"/>
        <v>4968230</v>
      </c>
      <c r="BX532" s="5">
        <f>+BV532-'Gen Fd BS'!AI532+BT532</f>
        <v>0</v>
      </c>
    </row>
    <row r="533" spans="1:76">
      <c r="A533" s="9" t="s">
        <v>404</v>
      </c>
      <c r="B533" s="9"/>
      <c r="C533" s="9" t="s">
        <v>45</v>
      </c>
      <c r="D533" s="9"/>
      <c r="E533" s="23">
        <v>44859</v>
      </c>
      <c r="F533" s="7"/>
      <c r="G533" s="42">
        <v>7768005</v>
      </c>
      <c r="I533" s="42">
        <v>2229621</v>
      </c>
      <c r="K533" s="42">
        <v>255618</v>
      </c>
      <c r="M533" s="42">
        <v>0</v>
      </c>
      <c r="O533" s="42">
        <v>1317956</v>
      </c>
      <c r="Q533" s="42">
        <v>671244</v>
      </c>
      <c r="S533" s="42">
        <v>369473</v>
      </c>
      <c r="U533" s="42">
        <v>131004</v>
      </c>
      <c r="W533" s="42">
        <v>1304430</v>
      </c>
      <c r="Y533" s="42">
        <v>370453</v>
      </c>
      <c r="AA533" s="42">
        <v>73046</v>
      </c>
      <c r="AC533" s="42">
        <v>1492294</v>
      </c>
      <c r="AE533" s="42">
        <v>412709</v>
      </c>
      <c r="AG533" s="42">
        <v>181082</v>
      </c>
      <c r="AI533" s="42">
        <v>0</v>
      </c>
      <c r="AK533" s="42">
        <v>1494</v>
      </c>
      <c r="AL533" s="9" t="s">
        <v>404</v>
      </c>
      <c r="AM533" s="9"/>
      <c r="AN533" s="9" t="s">
        <v>45</v>
      </c>
      <c r="AP533" s="42">
        <v>443480</v>
      </c>
      <c r="AR533" s="42">
        <v>53705</v>
      </c>
      <c r="AV533" s="42">
        <v>0</v>
      </c>
      <c r="AX533" s="42">
        <v>0</v>
      </c>
      <c r="AZ533" s="42">
        <v>0</v>
      </c>
      <c r="BB533" s="42">
        <f t="shared" si="91"/>
        <v>17075614</v>
      </c>
      <c r="BD533" s="42">
        <v>77912</v>
      </c>
      <c r="BF533" s="42">
        <v>0</v>
      </c>
      <c r="BH533" s="42">
        <v>0</v>
      </c>
      <c r="BJ533" s="42">
        <v>0</v>
      </c>
      <c r="BL533" s="42">
        <f t="shared" si="89"/>
        <v>17153526</v>
      </c>
      <c r="BN533" s="42">
        <f>+'Gen Fd Rev'!AM533-'Gen Fd Exp'!BL533</f>
        <v>-94221</v>
      </c>
      <c r="BP533" s="42">
        <v>4798238</v>
      </c>
      <c r="BR533" s="42">
        <v>0</v>
      </c>
      <c r="BT533" s="42">
        <v>0</v>
      </c>
      <c r="BV533" s="42">
        <f t="shared" si="90"/>
        <v>4704017</v>
      </c>
      <c r="BX533" s="5">
        <f>+BV533-'Gen Fd BS'!AI533+BT533</f>
        <v>0</v>
      </c>
    </row>
    <row r="534" spans="1:76" hidden="1">
      <c r="A534" s="9" t="s">
        <v>906</v>
      </c>
      <c r="B534" s="9"/>
      <c r="C534" s="9" t="s">
        <v>548</v>
      </c>
      <c r="D534" s="9"/>
      <c r="E534" s="23">
        <v>50658</v>
      </c>
      <c r="G534" s="42">
        <v>0</v>
      </c>
      <c r="I534" s="42">
        <v>0</v>
      </c>
      <c r="K534" s="42">
        <v>0</v>
      </c>
      <c r="M534" s="42">
        <v>0</v>
      </c>
      <c r="O534" s="42">
        <v>0</v>
      </c>
      <c r="Q534" s="42">
        <v>0</v>
      </c>
      <c r="S534" s="42">
        <v>0</v>
      </c>
      <c r="U534" s="42">
        <v>0</v>
      </c>
      <c r="W534" s="42">
        <v>0</v>
      </c>
      <c r="Y534" s="42">
        <v>0</v>
      </c>
      <c r="AA534" s="42">
        <v>0</v>
      </c>
      <c r="AC534" s="42">
        <v>0</v>
      </c>
      <c r="AE534" s="42">
        <v>0</v>
      </c>
      <c r="AG534" s="42">
        <v>0</v>
      </c>
      <c r="AI534" s="42">
        <v>0</v>
      </c>
      <c r="AK534" s="42">
        <v>0</v>
      </c>
      <c r="AL534" s="9" t="s">
        <v>906</v>
      </c>
      <c r="AM534" s="9"/>
      <c r="AN534" s="9" t="s">
        <v>548</v>
      </c>
      <c r="AP534" s="42">
        <v>0</v>
      </c>
      <c r="AR534" s="42">
        <v>0</v>
      </c>
      <c r="AV534" s="42">
        <v>0</v>
      </c>
      <c r="AX534" s="42">
        <v>0</v>
      </c>
      <c r="AZ534" s="42">
        <v>0</v>
      </c>
      <c r="BB534" s="42">
        <f t="shared" si="91"/>
        <v>0</v>
      </c>
      <c r="BD534" s="42">
        <v>0</v>
      </c>
      <c r="BF534" s="42">
        <v>0</v>
      </c>
      <c r="BH534" s="42">
        <v>0</v>
      </c>
      <c r="BJ534" s="42">
        <v>0</v>
      </c>
      <c r="BL534" s="42">
        <f t="shared" si="89"/>
        <v>0</v>
      </c>
      <c r="BN534" s="42">
        <f>+'Gen Fd Rev'!AM534-'Gen Fd Exp'!BL534</f>
        <v>0</v>
      </c>
      <c r="BP534" s="42">
        <v>0</v>
      </c>
      <c r="BR534" s="42">
        <v>0</v>
      </c>
      <c r="BT534" s="42">
        <v>0</v>
      </c>
      <c r="BV534" s="42">
        <f t="shared" si="90"/>
        <v>0</v>
      </c>
      <c r="BX534" s="5">
        <f>+BV534-'Gen Fd BS'!AI534+BT534</f>
        <v>0</v>
      </c>
    </row>
    <row r="535" spans="1:76">
      <c r="A535" s="9" t="s">
        <v>310</v>
      </c>
      <c r="B535" s="9"/>
      <c r="C535" s="9" t="s">
        <v>28</v>
      </c>
      <c r="D535" s="9"/>
      <c r="E535" s="23">
        <v>47092</v>
      </c>
      <c r="G535" s="42">
        <v>5684801</v>
      </c>
      <c r="I535" s="42">
        <v>1469924</v>
      </c>
      <c r="K535" s="42">
        <v>240</v>
      </c>
      <c r="M535" s="42">
        <v>0</v>
      </c>
      <c r="O535" s="42">
        <v>0</v>
      </c>
      <c r="Q535" s="42">
        <v>724745</v>
      </c>
      <c r="S535" s="42">
        <v>619137</v>
      </c>
      <c r="U535" s="42">
        <v>55465</v>
      </c>
      <c r="W535" s="42">
        <v>1332088</v>
      </c>
      <c r="Y535" s="42">
        <v>436352</v>
      </c>
      <c r="AA535" s="42">
        <v>6148</v>
      </c>
      <c r="AC535" s="42">
        <v>1334578</v>
      </c>
      <c r="AE535" s="42">
        <v>801695</v>
      </c>
      <c r="AG535" s="42">
        <v>92894</v>
      </c>
      <c r="AI535" s="42">
        <v>0</v>
      </c>
      <c r="AK535" s="42">
        <v>16411</v>
      </c>
      <c r="AL535" s="9" t="s">
        <v>310</v>
      </c>
      <c r="AM535" s="9"/>
      <c r="AN535" s="9" t="s">
        <v>28</v>
      </c>
      <c r="AP535" s="42">
        <v>328774</v>
      </c>
      <c r="AR535" s="42">
        <v>0</v>
      </c>
      <c r="AV535" s="42">
        <v>0</v>
      </c>
      <c r="AX535" s="42">
        <v>0</v>
      </c>
      <c r="AZ535" s="42">
        <v>0</v>
      </c>
      <c r="BB535" s="42">
        <f t="shared" si="91"/>
        <v>12903252</v>
      </c>
      <c r="BD535" s="42">
        <v>22000</v>
      </c>
      <c r="BF535" s="42">
        <v>0</v>
      </c>
      <c r="BH535" s="42">
        <v>0</v>
      </c>
      <c r="BJ535" s="42">
        <v>0</v>
      </c>
      <c r="BL535" s="42">
        <f t="shared" si="89"/>
        <v>12925252</v>
      </c>
      <c r="BN535" s="42">
        <f>+'Gen Fd Rev'!AM535-'Gen Fd Exp'!BL535</f>
        <v>-1108718</v>
      </c>
      <c r="BP535" s="42">
        <v>8247254</v>
      </c>
      <c r="BR535" s="42">
        <v>0</v>
      </c>
      <c r="BT535" s="42">
        <v>0</v>
      </c>
      <c r="BV535" s="42">
        <f t="shared" si="90"/>
        <v>7138536</v>
      </c>
      <c r="BX535" s="5">
        <f>+BV535-'Gen Fd BS'!AI535+BT535</f>
        <v>0</v>
      </c>
    </row>
    <row r="536" spans="1:76">
      <c r="A536" s="9" t="s">
        <v>623</v>
      </c>
      <c r="B536" s="9"/>
      <c r="C536" s="9" t="s">
        <v>49</v>
      </c>
      <c r="D536" s="9"/>
      <c r="E536" s="23">
        <v>48652</v>
      </c>
      <c r="G536" s="42">
        <v>10428455</v>
      </c>
      <c r="I536" s="42">
        <v>2299333</v>
      </c>
      <c r="K536" s="42">
        <v>2177173</v>
      </c>
      <c r="M536" s="42">
        <v>0</v>
      </c>
      <c r="O536" s="42">
        <v>0</v>
      </c>
      <c r="Q536" s="42">
        <v>829890</v>
      </c>
      <c r="S536" s="42">
        <v>365310</v>
      </c>
      <c r="U536" s="42">
        <v>34035</v>
      </c>
      <c r="W536" s="42">
        <v>2176180</v>
      </c>
      <c r="Y536" s="42">
        <v>816559</v>
      </c>
      <c r="AA536" s="42">
        <v>0</v>
      </c>
      <c r="AC536" s="42">
        <v>2520509</v>
      </c>
      <c r="AE536" s="42">
        <v>2681933</v>
      </c>
      <c r="AG536" s="42">
        <v>104267</v>
      </c>
      <c r="AI536" s="42">
        <v>0</v>
      </c>
      <c r="AK536" s="42">
        <v>0</v>
      </c>
      <c r="AL536" s="9" t="s">
        <v>623</v>
      </c>
      <c r="AM536" s="9"/>
      <c r="AN536" s="9" t="s">
        <v>49</v>
      </c>
      <c r="AP536" s="42">
        <v>353186</v>
      </c>
      <c r="AR536" s="42">
        <v>34902</v>
      </c>
      <c r="AV536" s="42">
        <v>801</v>
      </c>
      <c r="AX536" s="42">
        <v>469</v>
      </c>
      <c r="AZ536" s="42">
        <v>0</v>
      </c>
      <c r="BB536" s="42">
        <f t="shared" si="91"/>
        <v>24823002</v>
      </c>
      <c r="BD536" s="42">
        <v>63</v>
      </c>
      <c r="BF536" s="42">
        <v>0</v>
      </c>
      <c r="BH536" s="42">
        <v>0</v>
      </c>
      <c r="BJ536" s="42">
        <v>0</v>
      </c>
      <c r="BL536" s="42">
        <f t="shared" si="89"/>
        <v>24823065</v>
      </c>
      <c r="BN536" s="42">
        <f>+'Gen Fd Rev'!AM536-'Gen Fd Exp'!BL536</f>
        <v>379526</v>
      </c>
      <c r="BP536" s="42">
        <v>-1489773</v>
      </c>
      <c r="BR536" s="42">
        <v>0</v>
      </c>
      <c r="BT536" s="42">
        <v>0</v>
      </c>
      <c r="BV536" s="42">
        <f t="shared" si="90"/>
        <v>-1110247</v>
      </c>
      <c r="BX536" s="5">
        <f>+BV536-'Gen Fd BS'!AI536+BT536</f>
        <v>0</v>
      </c>
    </row>
    <row r="537" spans="1:76">
      <c r="A537" s="8" t="s">
        <v>828</v>
      </c>
      <c r="B537" s="9"/>
      <c r="C537" s="9" t="s">
        <v>32</v>
      </c>
      <c r="D537" s="9"/>
      <c r="E537" s="23">
        <v>44867</v>
      </c>
      <c r="G537" s="42">
        <v>31831510</v>
      </c>
      <c r="I537" s="42">
        <v>9826122</v>
      </c>
      <c r="K537" s="42">
        <v>0</v>
      </c>
      <c r="M537" s="42">
        <v>0</v>
      </c>
      <c r="O537" s="42">
        <v>607950</v>
      </c>
      <c r="Q537" s="42">
        <v>4843109</v>
      </c>
      <c r="S537" s="42">
        <v>1930585</v>
      </c>
      <c r="U537" s="42">
        <v>36753</v>
      </c>
      <c r="W537" s="42">
        <v>5158826</v>
      </c>
      <c r="Y537" s="42">
        <v>1625797</v>
      </c>
      <c r="AA537" s="42">
        <v>75295</v>
      </c>
      <c r="AC537" s="42">
        <v>6753776</v>
      </c>
      <c r="AE537" s="42">
        <v>4409774</v>
      </c>
      <c r="AG537" s="42">
        <v>798799</v>
      </c>
      <c r="AI537" s="42">
        <v>0</v>
      </c>
      <c r="AK537" s="42">
        <v>2509</v>
      </c>
      <c r="AL537" s="8" t="s">
        <v>828</v>
      </c>
      <c r="AM537" s="9"/>
      <c r="AN537" s="9" t="s">
        <v>32</v>
      </c>
      <c r="AP537" s="42">
        <v>932300</v>
      </c>
      <c r="AR537" s="42">
        <v>39624</v>
      </c>
      <c r="AV537" s="42">
        <v>680000</v>
      </c>
      <c r="AX537" s="42">
        <v>407797</v>
      </c>
      <c r="AZ537" s="42">
        <v>0</v>
      </c>
      <c r="BB537" s="42">
        <f t="shared" si="91"/>
        <v>69960526</v>
      </c>
      <c r="BD537" s="42">
        <v>3421334</v>
      </c>
      <c r="BF537" s="42">
        <v>0</v>
      </c>
      <c r="BH537" s="42">
        <v>0</v>
      </c>
      <c r="BJ537" s="42">
        <v>0</v>
      </c>
      <c r="BL537" s="42">
        <f t="shared" si="89"/>
        <v>73381860</v>
      </c>
      <c r="BN537" s="42">
        <f>+'Gen Fd Rev'!AM537-'Gen Fd Exp'!BL537</f>
        <v>-3133808</v>
      </c>
      <c r="BP537" s="42">
        <v>53639650</v>
      </c>
      <c r="BR537" s="42">
        <v>0</v>
      </c>
      <c r="BT537" s="42">
        <v>0</v>
      </c>
      <c r="BV537" s="42">
        <f t="shared" si="90"/>
        <v>50505842</v>
      </c>
      <c r="BX537" s="5">
        <f>+BV537-'Gen Fd BS'!AI537+BT537</f>
        <v>0</v>
      </c>
    </row>
    <row r="538" spans="1:76">
      <c r="A538" s="9" t="s">
        <v>391</v>
      </c>
      <c r="B538" s="9"/>
      <c r="C538" s="9" t="s">
        <v>114</v>
      </c>
      <c r="D538" s="9"/>
      <c r="E538" s="23">
        <v>44875</v>
      </c>
      <c r="F538" s="7"/>
      <c r="G538" s="42">
        <v>34025967</v>
      </c>
      <c r="I538" s="42">
        <v>8367211</v>
      </c>
      <c r="K538" s="42">
        <v>1618338</v>
      </c>
      <c r="M538" s="42">
        <v>0</v>
      </c>
      <c r="O538" s="42">
        <v>2021759</v>
      </c>
      <c r="Q538" s="42">
        <v>5219154</v>
      </c>
      <c r="S538" s="42">
        <v>2992884</v>
      </c>
      <c r="U538" s="42">
        <v>24426</v>
      </c>
      <c r="W538" s="42">
        <v>6131009</v>
      </c>
      <c r="Y538" s="42">
        <v>1671325</v>
      </c>
      <c r="AA538" s="42">
        <v>229131</v>
      </c>
      <c r="AC538" s="42">
        <v>8642942</v>
      </c>
      <c r="AE538" s="42">
        <v>4359212</v>
      </c>
      <c r="AG538" s="42">
        <v>919778</v>
      </c>
      <c r="AI538" s="42">
        <v>0</v>
      </c>
      <c r="AK538" s="42">
        <v>126454</v>
      </c>
      <c r="AL538" s="9" t="s">
        <v>391</v>
      </c>
      <c r="AM538" s="9"/>
      <c r="AN538" s="9" t="s">
        <v>114</v>
      </c>
      <c r="AP538" s="42">
        <v>1716489</v>
      </c>
      <c r="AR538" s="42">
        <v>77900</v>
      </c>
      <c r="AV538" s="42">
        <v>23486</v>
      </c>
      <c r="AX538" s="42">
        <v>172</v>
      </c>
      <c r="AZ538" s="42">
        <v>0</v>
      </c>
      <c r="BB538" s="42">
        <f t="shared" si="91"/>
        <v>78167637</v>
      </c>
      <c r="BD538" s="42">
        <v>184934</v>
      </c>
      <c r="BF538" s="42">
        <v>0</v>
      </c>
      <c r="BH538" s="42">
        <v>0</v>
      </c>
      <c r="BJ538" s="42">
        <v>0</v>
      </c>
      <c r="BL538" s="42">
        <f t="shared" si="89"/>
        <v>78352571</v>
      </c>
      <c r="BN538" s="42">
        <f>+'Gen Fd Rev'!AM538-'Gen Fd Exp'!BL538</f>
        <v>-77752</v>
      </c>
      <c r="BP538" s="42">
        <v>-982632</v>
      </c>
      <c r="BR538" s="42">
        <v>0</v>
      </c>
      <c r="BT538" s="42">
        <v>0</v>
      </c>
      <c r="BV538" s="42">
        <f t="shared" si="90"/>
        <v>-1060384</v>
      </c>
      <c r="BX538" s="5">
        <f>+BV538-'Gen Fd BS'!AI538+BT538</f>
        <v>0</v>
      </c>
    </row>
    <row r="539" spans="1:76">
      <c r="A539" s="9" t="s">
        <v>370</v>
      </c>
      <c r="B539" s="9"/>
      <c r="C539" s="9" t="s">
        <v>364</v>
      </c>
      <c r="D539" s="9"/>
      <c r="E539" s="23">
        <v>47969</v>
      </c>
      <c r="G539" s="42">
        <v>3590664</v>
      </c>
      <c r="I539" s="42">
        <v>523464</v>
      </c>
      <c r="K539" s="42">
        <v>151189</v>
      </c>
      <c r="M539" s="42">
        <v>0</v>
      </c>
      <c r="O539" s="42">
        <v>0</v>
      </c>
      <c r="Q539" s="42">
        <v>278126</v>
      </c>
      <c r="S539" s="42">
        <v>205861</v>
      </c>
      <c r="U539" s="42">
        <v>83605</v>
      </c>
      <c r="W539" s="42">
        <v>422093</v>
      </c>
      <c r="Y539" s="42">
        <v>394942</v>
      </c>
      <c r="AA539" s="42">
        <v>0</v>
      </c>
      <c r="AC539" s="42">
        <v>847449</v>
      </c>
      <c r="AE539" s="42">
        <v>954123</v>
      </c>
      <c r="AG539" s="42">
        <v>106890</v>
      </c>
      <c r="AI539" s="42">
        <v>0</v>
      </c>
      <c r="AK539" s="42">
        <v>0</v>
      </c>
      <c r="AL539" s="9" t="s">
        <v>370</v>
      </c>
      <c r="AM539" s="9"/>
      <c r="AN539" s="9" t="s">
        <v>364</v>
      </c>
      <c r="AP539" s="42">
        <v>172667</v>
      </c>
      <c r="AR539" s="42">
        <v>0</v>
      </c>
      <c r="AV539" s="42">
        <v>0</v>
      </c>
      <c r="AX539" s="42">
        <v>0</v>
      </c>
      <c r="AZ539" s="42">
        <v>0</v>
      </c>
      <c r="BB539" s="42">
        <f t="shared" si="91"/>
        <v>7731073</v>
      </c>
      <c r="BD539" s="42">
        <v>4401</v>
      </c>
      <c r="BF539" s="42">
        <v>0</v>
      </c>
      <c r="BH539" s="42">
        <v>0</v>
      </c>
      <c r="BJ539" s="42">
        <v>0</v>
      </c>
      <c r="BL539" s="42">
        <f t="shared" si="89"/>
        <v>7735474</v>
      </c>
      <c r="BN539" s="42">
        <f>+'Gen Fd Rev'!AM539-'Gen Fd Exp'!BL539</f>
        <v>12968</v>
      </c>
      <c r="BP539" s="42">
        <v>2496490</v>
      </c>
      <c r="BR539" s="42">
        <v>0</v>
      </c>
      <c r="BT539" s="42">
        <v>0</v>
      </c>
      <c r="BV539" s="42">
        <f t="shared" si="90"/>
        <v>2509458</v>
      </c>
      <c r="BX539" s="5">
        <f>+BV539-'Gen Fd BS'!AI539+BT539</f>
        <v>0</v>
      </c>
    </row>
    <row r="540" spans="1:76">
      <c r="A540" s="9" t="s">
        <v>711</v>
      </c>
      <c r="B540" s="9"/>
      <c r="C540" s="9" t="s">
        <v>220</v>
      </c>
      <c r="D540" s="9"/>
      <c r="E540" s="23">
        <v>46151</v>
      </c>
      <c r="F540" s="7"/>
      <c r="G540" s="42">
        <v>13644024</v>
      </c>
      <c r="I540" s="42">
        <v>2083064</v>
      </c>
      <c r="K540" s="42">
        <v>0</v>
      </c>
      <c r="M540" s="42">
        <v>0</v>
      </c>
      <c r="O540" s="42">
        <v>1179096</v>
      </c>
      <c r="Q540" s="42">
        <v>1487396</v>
      </c>
      <c r="S540" s="42">
        <v>2204050</v>
      </c>
      <c r="U540" s="42">
        <v>60014</v>
      </c>
      <c r="W540" s="42">
        <v>2197542</v>
      </c>
      <c r="Y540" s="42">
        <v>1221257</v>
      </c>
      <c r="AA540" s="42">
        <v>802</v>
      </c>
      <c r="AC540" s="42">
        <v>2744625</v>
      </c>
      <c r="AE540" s="42">
        <v>2858037</v>
      </c>
      <c r="AG540" s="42">
        <v>226896</v>
      </c>
      <c r="AI540" s="42">
        <v>0</v>
      </c>
      <c r="AK540" s="42">
        <v>56162</v>
      </c>
      <c r="AL540" s="9" t="s">
        <v>711</v>
      </c>
      <c r="AM540" s="9"/>
      <c r="AN540" s="9" t="s">
        <v>220</v>
      </c>
      <c r="AP540" s="42">
        <v>632140</v>
      </c>
      <c r="AR540" s="42">
        <v>11800</v>
      </c>
      <c r="AV540" s="42">
        <v>0</v>
      </c>
      <c r="AX540" s="42">
        <v>0</v>
      </c>
      <c r="AZ540" s="42">
        <v>0</v>
      </c>
      <c r="BB540" s="42">
        <f t="shared" ref="BB540:BB573" si="92">SUM(G540:AZ540)</f>
        <v>30606905</v>
      </c>
      <c r="BD540" s="42">
        <v>0</v>
      </c>
      <c r="BF540" s="42">
        <v>0</v>
      </c>
      <c r="BH540" s="42">
        <v>0</v>
      </c>
      <c r="BJ540" s="42">
        <v>0</v>
      </c>
      <c r="BL540" s="42">
        <f t="shared" ref="BL540:BL554" si="93">+BB540+BD540+BF540+BJ540</f>
        <v>30606905</v>
      </c>
      <c r="BN540" s="42">
        <f>+'Gen Fd Rev'!AM540-'Gen Fd Exp'!BL540</f>
        <v>1382266</v>
      </c>
      <c r="BP540" s="42">
        <v>19505379</v>
      </c>
      <c r="BR540" s="42">
        <v>0</v>
      </c>
      <c r="BT540" s="42">
        <v>0</v>
      </c>
      <c r="BV540" s="42">
        <f t="shared" ref="BV540:BV555" si="94">+BP540+BN540-BR540</f>
        <v>20887645</v>
      </c>
      <c r="BX540" s="5">
        <f>+BV540-'Gen Fd BS'!AI540+BT540</f>
        <v>0</v>
      </c>
    </row>
    <row r="541" spans="1:76">
      <c r="A541" s="9" t="s">
        <v>511</v>
      </c>
      <c r="B541" s="9"/>
      <c r="C541" s="9" t="s">
        <v>63</v>
      </c>
      <c r="D541" s="9"/>
      <c r="E541" s="23">
        <v>44883</v>
      </c>
      <c r="G541" s="42">
        <v>12478471</v>
      </c>
      <c r="I541" s="42">
        <v>2224101</v>
      </c>
      <c r="K541" s="42">
        <v>650273</v>
      </c>
      <c r="M541" s="42">
        <v>0</v>
      </c>
      <c r="O541" s="42">
        <v>0</v>
      </c>
      <c r="Q541" s="42">
        <v>1157044</v>
      </c>
      <c r="S541" s="42">
        <v>459772</v>
      </c>
      <c r="U541" s="42">
        <v>41893</v>
      </c>
      <c r="W541" s="42">
        <v>1841332</v>
      </c>
      <c r="Y541" s="42">
        <v>869496</v>
      </c>
      <c r="AA541" s="42">
        <v>129933</v>
      </c>
      <c r="AC541" s="42">
        <v>1962246</v>
      </c>
      <c r="AE541" s="42">
        <v>1784980</v>
      </c>
      <c r="AG541" s="42">
        <v>955206</v>
      </c>
      <c r="AI541" s="42">
        <v>0</v>
      </c>
      <c r="AK541" s="42">
        <v>0</v>
      </c>
      <c r="AL541" s="9" t="s">
        <v>511</v>
      </c>
      <c r="AM541" s="9"/>
      <c r="AN541" s="9" t="s">
        <v>63</v>
      </c>
      <c r="AP541" s="42">
        <v>761375</v>
      </c>
      <c r="AR541" s="42">
        <v>0</v>
      </c>
      <c r="AV541" s="42">
        <v>0</v>
      </c>
      <c r="AX541" s="42">
        <v>0</v>
      </c>
      <c r="AZ541" s="42">
        <v>0</v>
      </c>
      <c r="BB541" s="42">
        <f t="shared" si="92"/>
        <v>25316122</v>
      </c>
      <c r="BD541" s="42">
        <v>300000</v>
      </c>
      <c r="BF541" s="42">
        <v>0</v>
      </c>
      <c r="BH541" s="42">
        <v>0</v>
      </c>
      <c r="BJ541" s="42">
        <v>0</v>
      </c>
      <c r="BL541" s="42">
        <f t="shared" si="93"/>
        <v>25616122</v>
      </c>
      <c r="BN541" s="42">
        <f>+'Gen Fd Rev'!AM541-'Gen Fd Exp'!BL541</f>
        <v>-561029</v>
      </c>
      <c r="BP541" s="42">
        <v>2674124</v>
      </c>
      <c r="BR541" s="42">
        <v>0</v>
      </c>
      <c r="BT541" s="42">
        <v>0</v>
      </c>
      <c r="BV541" s="42">
        <f t="shared" si="94"/>
        <v>2113095</v>
      </c>
      <c r="BX541" s="5">
        <f>+BV541-'Gen Fd BS'!AI541+BT541</f>
        <v>0</v>
      </c>
    </row>
    <row r="542" spans="1:76">
      <c r="A542" s="9" t="s">
        <v>451</v>
      </c>
      <c r="B542" s="9"/>
      <c r="C542" s="9" t="s">
        <v>54</v>
      </c>
      <c r="D542" s="9"/>
      <c r="E542" s="23">
        <v>49098</v>
      </c>
      <c r="G542" s="42">
        <v>14341601</v>
      </c>
      <c r="I542" s="42">
        <v>3373485</v>
      </c>
      <c r="K542" s="42">
        <v>376865</v>
      </c>
      <c r="M542" s="42">
        <v>0</v>
      </c>
      <c r="O542" s="42">
        <v>661171</v>
      </c>
      <c r="Q542" s="42">
        <v>1197109</v>
      </c>
      <c r="S542" s="42">
        <v>404415</v>
      </c>
      <c r="U542" s="42">
        <v>202379</v>
      </c>
      <c r="W542" s="42">
        <v>2803859</v>
      </c>
      <c r="Y542" s="42">
        <v>682556</v>
      </c>
      <c r="AA542" s="42">
        <v>183495</v>
      </c>
      <c r="AC542" s="42">
        <v>2739067</v>
      </c>
      <c r="AE542" s="42">
        <v>1824843</v>
      </c>
      <c r="AG542" s="42">
        <v>552692</v>
      </c>
      <c r="AI542" s="42">
        <v>0</v>
      </c>
      <c r="AK542" s="42">
        <v>21998</v>
      </c>
      <c r="AL542" s="9" t="s">
        <v>451</v>
      </c>
      <c r="AM542" s="9"/>
      <c r="AN542" s="9" t="s">
        <v>54</v>
      </c>
      <c r="AP542" s="42">
        <v>529054</v>
      </c>
      <c r="AR542" s="42">
        <v>0</v>
      </c>
      <c r="AV542" s="42">
        <v>76000</v>
      </c>
      <c r="AX542" s="42">
        <v>12404</v>
      </c>
      <c r="AZ542" s="42">
        <v>0</v>
      </c>
      <c r="BB542" s="42">
        <f t="shared" si="92"/>
        <v>29982993</v>
      </c>
      <c r="BD542" s="42">
        <v>0</v>
      </c>
      <c r="BF542" s="42">
        <v>0</v>
      </c>
      <c r="BH542" s="42">
        <v>0</v>
      </c>
      <c r="BJ542" s="42">
        <v>0</v>
      </c>
      <c r="BL542" s="42">
        <f t="shared" si="93"/>
        <v>29982993</v>
      </c>
      <c r="BN542" s="42">
        <f>+'Gen Fd Rev'!AM542-'Gen Fd Exp'!BL542</f>
        <v>926939</v>
      </c>
      <c r="BP542" s="42">
        <v>3528471</v>
      </c>
      <c r="BR542" s="42">
        <v>40362</v>
      </c>
      <c r="BT542" s="42">
        <v>0</v>
      </c>
      <c r="BV542" s="42">
        <f t="shared" si="94"/>
        <v>4415048</v>
      </c>
      <c r="BX542" s="5">
        <f>+BV542-'Gen Fd BS'!AI542+BT542</f>
        <v>0</v>
      </c>
    </row>
    <row r="543" spans="1:76" ht="12.75" customHeight="1">
      <c r="A543" s="9" t="s">
        <v>234</v>
      </c>
      <c r="B543" s="9"/>
      <c r="C543" s="9" t="s">
        <v>17</v>
      </c>
      <c r="D543" s="9"/>
      <c r="E543" s="23">
        <v>46243</v>
      </c>
      <c r="G543" s="42">
        <v>11343157</v>
      </c>
      <c r="I543" s="42">
        <v>3350663</v>
      </c>
      <c r="K543" s="42">
        <v>373995</v>
      </c>
      <c r="M543" s="42">
        <v>0</v>
      </c>
      <c r="O543" s="42">
        <f>2268+1137710</f>
        <v>1139978</v>
      </c>
      <c r="Q543" s="42">
        <v>1537610</v>
      </c>
      <c r="S543" s="42">
        <v>1079775</v>
      </c>
      <c r="U543" s="42">
        <v>78942</v>
      </c>
      <c r="W543" s="42">
        <v>2301514</v>
      </c>
      <c r="Y543" s="42">
        <v>579446</v>
      </c>
      <c r="AA543" s="42">
        <v>63585</v>
      </c>
      <c r="AC543" s="42">
        <v>2899128</v>
      </c>
      <c r="AE543" s="42">
        <v>1388728</v>
      </c>
      <c r="AG543" s="42">
        <v>162085</v>
      </c>
      <c r="AI543" s="42">
        <v>0</v>
      </c>
      <c r="AK543" s="42">
        <v>106824</v>
      </c>
      <c r="AL543" s="9" t="s">
        <v>234</v>
      </c>
      <c r="AM543" s="9"/>
      <c r="AN543" s="9" t="s">
        <v>17</v>
      </c>
      <c r="AP543" s="42">
        <v>372095</v>
      </c>
      <c r="AR543" s="42">
        <v>0</v>
      </c>
      <c r="AV543" s="42">
        <v>0</v>
      </c>
      <c r="AX543" s="42">
        <v>0</v>
      </c>
      <c r="AZ543" s="42">
        <v>0</v>
      </c>
      <c r="BB543" s="42">
        <f t="shared" si="92"/>
        <v>26777525</v>
      </c>
      <c r="BD543" s="42">
        <v>0</v>
      </c>
      <c r="BF543" s="42">
        <v>0</v>
      </c>
      <c r="BH543" s="42">
        <v>0</v>
      </c>
      <c r="BJ543" s="42">
        <v>798224</v>
      </c>
      <c r="BL543" s="42">
        <f t="shared" si="93"/>
        <v>27575749</v>
      </c>
      <c r="BN543" s="42">
        <f>+'Gen Fd Rev'!AM543-'Gen Fd Exp'!BL543</f>
        <v>-627427</v>
      </c>
      <c r="BP543" s="42">
        <v>1457407</v>
      </c>
      <c r="BR543" s="42">
        <v>0</v>
      </c>
      <c r="BT543" s="42">
        <v>0</v>
      </c>
      <c r="BV543" s="42">
        <f t="shared" si="94"/>
        <v>829980</v>
      </c>
      <c r="BX543" s="5">
        <f>+BV543-'Gen Fd BS'!AI543+BT543</f>
        <v>0</v>
      </c>
    </row>
    <row r="544" spans="1:76">
      <c r="A544" s="9" t="s">
        <v>719</v>
      </c>
      <c r="B544" s="9"/>
      <c r="C544" s="9" t="s">
        <v>32</v>
      </c>
      <c r="D544" s="9"/>
      <c r="E544" s="23">
        <v>47399</v>
      </c>
      <c r="G544" s="42">
        <v>8539300</v>
      </c>
      <c r="I544" s="42">
        <v>3048142</v>
      </c>
      <c r="K544" s="42">
        <v>0</v>
      </c>
      <c r="M544" s="42">
        <v>0</v>
      </c>
      <c r="O544" s="42">
        <v>517676</v>
      </c>
      <c r="Q544" s="42">
        <v>1243558</v>
      </c>
      <c r="S544" s="42">
        <v>680803</v>
      </c>
      <c r="U544" s="42">
        <v>49047</v>
      </c>
      <c r="W544" s="42">
        <v>1667566</v>
      </c>
      <c r="Y544" s="42">
        <v>572878</v>
      </c>
      <c r="AA544" s="42">
        <v>0</v>
      </c>
      <c r="AC544" s="42">
        <v>1302924</v>
      </c>
      <c r="AE544" s="42">
        <v>1432190</v>
      </c>
      <c r="AG544" s="42">
        <v>104718</v>
      </c>
      <c r="AI544" s="42">
        <v>0</v>
      </c>
      <c r="AK544" s="42">
        <v>143264</v>
      </c>
      <c r="AL544" s="9" t="s">
        <v>719</v>
      </c>
      <c r="AM544" s="9"/>
      <c r="AN544" s="9" t="s">
        <v>32</v>
      </c>
      <c r="AP544" s="42">
        <v>386970</v>
      </c>
      <c r="AR544" s="42">
        <v>33436</v>
      </c>
      <c r="AV544" s="42">
        <v>0</v>
      </c>
      <c r="AX544" s="42">
        <v>84383</v>
      </c>
      <c r="AZ544" s="42">
        <v>0</v>
      </c>
      <c r="BB544" s="42">
        <f t="shared" si="92"/>
        <v>19806855</v>
      </c>
      <c r="BD544" s="42">
        <v>10000</v>
      </c>
      <c r="BF544" s="42">
        <v>0</v>
      </c>
      <c r="BH544" s="42">
        <v>0</v>
      </c>
      <c r="BJ544" s="42">
        <v>0</v>
      </c>
      <c r="BL544" s="42">
        <f t="shared" si="93"/>
        <v>19816855</v>
      </c>
      <c r="BN544" s="42">
        <f>+'Gen Fd Rev'!AM544-'Gen Fd Exp'!BL544</f>
        <v>671900</v>
      </c>
      <c r="BP544" s="42">
        <v>11715764</v>
      </c>
      <c r="BR544" s="42">
        <v>0</v>
      </c>
      <c r="BT544" s="42">
        <v>0</v>
      </c>
      <c r="BV544" s="42">
        <f t="shared" si="94"/>
        <v>12387664</v>
      </c>
      <c r="BX544" s="5">
        <f>+BV544-'Gen Fd BS'!AI544+BT544</f>
        <v>0</v>
      </c>
    </row>
    <row r="545" spans="1:76">
      <c r="A545" s="9" t="s">
        <v>485</v>
      </c>
      <c r="B545" s="9"/>
      <c r="C545" s="9" t="s">
        <v>60</v>
      </c>
      <c r="D545" s="9"/>
      <c r="E545" s="23">
        <v>44891</v>
      </c>
      <c r="G545" s="42">
        <v>10694923</v>
      </c>
      <c r="I545" s="42">
        <v>2727136</v>
      </c>
      <c r="K545" s="42">
        <v>140796</v>
      </c>
      <c r="M545" s="42">
        <v>0</v>
      </c>
      <c r="O545" s="42">
        <v>35166</v>
      </c>
      <c r="Q545" s="42">
        <v>1111400</v>
      </c>
      <c r="S545" s="42">
        <v>842813</v>
      </c>
      <c r="U545" s="42">
        <v>32549</v>
      </c>
      <c r="W545" s="42">
        <v>1765661</v>
      </c>
      <c r="Y545" s="42">
        <v>620975</v>
      </c>
      <c r="AA545" s="42">
        <v>19958</v>
      </c>
      <c r="AC545" s="42">
        <v>1894121</v>
      </c>
      <c r="AE545" s="42">
        <v>1031183</v>
      </c>
      <c r="AG545" s="42">
        <v>5071</v>
      </c>
      <c r="AI545" s="42">
        <v>0</v>
      </c>
      <c r="AK545" s="42">
        <v>109</v>
      </c>
      <c r="AL545" s="9" t="s">
        <v>485</v>
      </c>
      <c r="AM545" s="9"/>
      <c r="AN545" s="9" t="s">
        <v>60</v>
      </c>
      <c r="AP545" s="42">
        <v>323364</v>
      </c>
      <c r="AR545" s="42">
        <v>0</v>
      </c>
      <c r="AV545" s="42">
        <v>71498</v>
      </c>
      <c r="AX545" s="42">
        <v>15321</v>
      </c>
      <c r="AZ545" s="42">
        <v>0</v>
      </c>
      <c r="BB545" s="42">
        <f t="shared" si="92"/>
        <v>21332044</v>
      </c>
      <c r="BD545" s="42">
        <v>0</v>
      </c>
      <c r="BF545" s="42">
        <v>0</v>
      </c>
      <c r="BH545" s="42">
        <v>0</v>
      </c>
      <c r="BJ545" s="42">
        <v>0</v>
      </c>
      <c r="BL545" s="42">
        <f t="shared" si="93"/>
        <v>21332044</v>
      </c>
      <c r="BN545" s="42">
        <f>+'Gen Fd Rev'!AM545-'Gen Fd Exp'!BL545</f>
        <v>-1322578</v>
      </c>
      <c r="BP545" s="42">
        <v>4128055</v>
      </c>
      <c r="BR545" s="42">
        <v>0</v>
      </c>
      <c r="BT545" s="42">
        <v>0</v>
      </c>
      <c r="BV545" s="42">
        <f t="shared" si="94"/>
        <v>2805477</v>
      </c>
      <c r="BX545" s="5">
        <f>+BV545-'Gen Fd BS'!AI545+BT545</f>
        <v>0</v>
      </c>
    </row>
    <row r="546" spans="1:76">
      <c r="A546" s="9" t="s">
        <v>772</v>
      </c>
      <c r="B546" s="9"/>
      <c r="C546" s="9" t="s">
        <v>48</v>
      </c>
      <c r="D546" s="9"/>
      <c r="E546" s="23">
        <v>45617</v>
      </c>
      <c r="G546" s="42">
        <v>12240071</v>
      </c>
      <c r="I546" s="42">
        <v>0</v>
      </c>
      <c r="K546" s="42">
        <v>0</v>
      </c>
      <c r="M546" s="42">
        <v>0</v>
      </c>
      <c r="O546" s="42">
        <v>0</v>
      </c>
      <c r="Q546" s="42">
        <v>799126</v>
      </c>
      <c r="S546" s="42">
        <v>1023067</v>
      </c>
      <c r="U546" s="42">
        <v>22704</v>
      </c>
      <c r="W546" s="42">
        <v>1627801</v>
      </c>
      <c r="Y546" s="42">
        <v>582301</v>
      </c>
      <c r="AA546" s="42">
        <v>142288</v>
      </c>
      <c r="AC546" s="42">
        <v>1924742</v>
      </c>
      <c r="AE546" s="42">
        <v>935736</v>
      </c>
      <c r="AG546" s="42">
        <v>176497</v>
      </c>
      <c r="AI546" s="42">
        <v>0</v>
      </c>
      <c r="AK546" s="42">
        <v>9195</v>
      </c>
      <c r="AL546" s="9" t="s">
        <v>772</v>
      </c>
      <c r="AM546" s="9"/>
      <c r="AN546" s="9" t="s">
        <v>48</v>
      </c>
      <c r="AP546" s="42">
        <v>633951</v>
      </c>
      <c r="AR546" s="42">
        <v>0</v>
      </c>
      <c r="AV546" s="42">
        <v>56830</v>
      </c>
      <c r="AX546" s="42">
        <v>20949</v>
      </c>
      <c r="AZ546" s="42">
        <v>0</v>
      </c>
      <c r="BB546" s="42">
        <f t="shared" si="92"/>
        <v>20195258</v>
      </c>
      <c r="BD546" s="42">
        <v>49</v>
      </c>
      <c r="BF546" s="42">
        <v>0</v>
      </c>
      <c r="BH546" s="42">
        <v>0</v>
      </c>
      <c r="BJ546" s="42">
        <v>0</v>
      </c>
      <c r="BL546" s="42">
        <f t="shared" si="93"/>
        <v>20195307</v>
      </c>
      <c r="BN546" s="42">
        <f>+'Gen Fd Rev'!AM546-'Gen Fd Exp'!BL546</f>
        <v>921032</v>
      </c>
      <c r="BP546" s="42">
        <v>178388</v>
      </c>
      <c r="BR546" s="42">
        <v>0</v>
      </c>
      <c r="BT546" s="42">
        <v>0</v>
      </c>
      <c r="BV546" s="42">
        <f t="shared" si="94"/>
        <v>1099420</v>
      </c>
      <c r="BX546" s="5">
        <f>+BV546-'Gen Fd BS'!AI546+BT546</f>
        <v>0</v>
      </c>
    </row>
    <row r="547" spans="1:76">
      <c r="A547" s="9" t="s">
        <v>392</v>
      </c>
      <c r="B547" s="9"/>
      <c r="C547" s="9" t="s">
        <v>114</v>
      </c>
      <c r="D547" s="9"/>
      <c r="E547" s="23">
        <v>44909</v>
      </c>
      <c r="G547" s="42">
        <v>201584119</v>
      </c>
      <c r="I547" s="42">
        <v>0</v>
      </c>
      <c r="K547" s="42">
        <v>0</v>
      </c>
      <c r="M547" s="42">
        <v>0</v>
      </c>
      <c r="O547" s="42">
        <v>0</v>
      </c>
      <c r="Q547" s="42">
        <v>94993655</v>
      </c>
      <c r="S547" s="42">
        <v>0</v>
      </c>
      <c r="U547" s="42">
        <v>0</v>
      </c>
      <c r="W547" s="42">
        <v>0</v>
      </c>
      <c r="Y547" s="42">
        <v>0</v>
      </c>
      <c r="AA547" s="42">
        <v>0</v>
      </c>
      <c r="AC547" s="42">
        <v>0</v>
      </c>
      <c r="AE547" s="42">
        <v>0</v>
      </c>
      <c r="AG547" s="42">
        <v>0</v>
      </c>
      <c r="AI547" s="42">
        <v>0</v>
      </c>
      <c r="AK547" s="42">
        <v>6123392</v>
      </c>
      <c r="AL547" s="9" t="s">
        <v>392</v>
      </c>
      <c r="AM547" s="9"/>
      <c r="AN547" s="9" t="s">
        <v>114</v>
      </c>
      <c r="AP547" s="42">
        <v>2256444</v>
      </c>
      <c r="AR547" s="42">
        <v>289562</v>
      </c>
      <c r="AV547" s="42">
        <v>0</v>
      </c>
      <c r="AX547" s="42">
        <v>0</v>
      </c>
      <c r="AZ547" s="42">
        <v>0</v>
      </c>
      <c r="BB547" s="42">
        <f t="shared" si="92"/>
        <v>305247172</v>
      </c>
      <c r="BD547" s="42">
        <v>525022</v>
      </c>
      <c r="BF547" s="42">
        <v>0</v>
      </c>
      <c r="BH547" s="42">
        <v>0</v>
      </c>
      <c r="BJ547" s="42">
        <v>0</v>
      </c>
      <c r="BL547" s="42">
        <f t="shared" si="93"/>
        <v>305772194</v>
      </c>
      <c r="BN547" s="42">
        <f>+'Gen Fd Rev'!AM547-'Gen Fd Exp'!BL547</f>
        <v>1288410</v>
      </c>
      <c r="BP547" s="42">
        <v>-1163953</v>
      </c>
      <c r="BR547" s="42">
        <v>0</v>
      </c>
      <c r="BT547" s="42">
        <v>0</v>
      </c>
      <c r="BV547" s="42">
        <f t="shared" si="94"/>
        <v>124457</v>
      </c>
      <c r="BX547" s="5">
        <f>+BV547-'Gen Fd BS'!AI547+BT547</f>
        <v>0</v>
      </c>
    </row>
    <row r="548" spans="1:76" hidden="1">
      <c r="A548" s="9" t="s">
        <v>882</v>
      </c>
      <c r="B548" s="9"/>
      <c r="C548" s="9" t="s">
        <v>114</v>
      </c>
      <c r="D548" s="9"/>
      <c r="E548" s="23"/>
      <c r="G548" s="42">
        <v>0</v>
      </c>
      <c r="I548" s="42">
        <v>0</v>
      </c>
      <c r="K548" s="42">
        <v>0</v>
      </c>
      <c r="M548" s="42">
        <v>0</v>
      </c>
      <c r="O548" s="42">
        <v>0</v>
      </c>
      <c r="Q548" s="42">
        <v>0</v>
      </c>
      <c r="S548" s="42">
        <v>0</v>
      </c>
      <c r="U548" s="42">
        <v>0</v>
      </c>
      <c r="W548" s="42">
        <v>0</v>
      </c>
      <c r="Y548" s="42">
        <v>0</v>
      </c>
      <c r="AA548" s="42">
        <v>0</v>
      </c>
      <c r="AC548" s="42">
        <v>0</v>
      </c>
      <c r="AE548" s="42">
        <v>0</v>
      </c>
      <c r="AG548" s="42">
        <v>0</v>
      </c>
      <c r="AI548" s="42">
        <v>0</v>
      </c>
      <c r="AK548" s="42">
        <v>0</v>
      </c>
      <c r="AL548" s="9" t="s">
        <v>882</v>
      </c>
      <c r="AM548" s="9"/>
      <c r="AN548" s="9" t="s">
        <v>114</v>
      </c>
      <c r="AP548" s="42">
        <v>0</v>
      </c>
      <c r="AR548" s="42">
        <v>0</v>
      </c>
      <c r="AV548" s="42">
        <v>0</v>
      </c>
      <c r="AX548" s="42">
        <v>0</v>
      </c>
      <c r="AZ548" s="42">
        <v>0</v>
      </c>
      <c r="BB548" s="42">
        <f t="shared" si="92"/>
        <v>0</v>
      </c>
      <c r="BD548" s="42">
        <v>0</v>
      </c>
      <c r="BF548" s="42">
        <v>0</v>
      </c>
      <c r="BH548" s="42">
        <v>0</v>
      </c>
      <c r="BJ548" s="42">
        <v>0</v>
      </c>
      <c r="BL548" s="42">
        <f t="shared" si="93"/>
        <v>0</v>
      </c>
      <c r="BN548" s="42">
        <f>+'Gen Fd Rev'!AM548-'Gen Fd Exp'!BL548</f>
        <v>0</v>
      </c>
      <c r="BP548" s="42">
        <v>0</v>
      </c>
      <c r="BR548" s="42">
        <v>0</v>
      </c>
      <c r="BT548" s="42">
        <v>0</v>
      </c>
      <c r="BV548" s="42">
        <f t="shared" si="94"/>
        <v>0</v>
      </c>
      <c r="BX548" s="5">
        <f>+BV548-'Gen Fd BS'!AI548+BT548</f>
        <v>0</v>
      </c>
    </row>
    <row r="549" spans="1:76">
      <c r="A549" s="9" t="s">
        <v>720</v>
      </c>
      <c r="B549" s="9"/>
      <c r="C549" s="9" t="s">
        <v>39</v>
      </c>
      <c r="D549" s="9"/>
      <c r="E549" s="23">
        <v>44917</v>
      </c>
      <c r="G549" s="42">
        <v>2845811</v>
      </c>
      <c r="I549" s="42">
        <v>712066</v>
      </c>
      <c r="K549" s="42">
        <v>103825</v>
      </c>
      <c r="M549" s="42">
        <v>0</v>
      </c>
      <c r="O549" s="42">
        <f>45079+594087</f>
        <v>639166</v>
      </c>
      <c r="Q549" s="42">
        <v>258018</v>
      </c>
      <c r="S549" s="42">
        <v>180424</v>
      </c>
      <c r="U549" s="42">
        <v>11976</v>
      </c>
      <c r="W549" s="42">
        <v>778591</v>
      </c>
      <c r="Y549" s="42">
        <v>305911</v>
      </c>
      <c r="AA549" s="42">
        <v>79200</v>
      </c>
      <c r="AC549" s="42">
        <v>739787</v>
      </c>
      <c r="AE549" s="42">
        <v>136391</v>
      </c>
      <c r="AG549" s="42">
        <v>0</v>
      </c>
      <c r="AI549" s="42">
        <v>0</v>
      </c>
      <c r="AK549" s="42">
        <v>0</v>
      </c>
      <c r="AL549" s="9" t="s">
        <v>720</v>
      </c>
      <c r="AM549" s="9"/>
      <c r="AN549" s="9" t="s">
        <v>39</v>
      </c>
      <c r="AP549" s="42">
        <v>181470</v>
      </c>
      <c r="AR549" s="42">
        <v>0</v>
      </c>
      <c r="AV549" s="42">
        <v>10331</v>
      </c>
      <c r="AX549" s="42">
        <v>736</v>
      </c>
      <c r="AZ549" s="42">
        <v>0</v>
      </c>
      <c r="BB549" s="42">
        <f t="shared" si="92"/>
        <v>6983703</v>
      </c>
      <c r="BD549" s="42">
        <v>26000</v>
      </c>
      <c r="BF549" s="42">
        <v>0</v>
      </c>
      <c r="BH549" s="42">
        <v>0</v>
      </c>
      <c r="BJ549" s="42">
        <v>0</v>
      </c>
      <c r="BL549" s="42">
        <f t="shared" si="93"/>
        <v>7009703</v>
      </c>
      <c r="BN549" s="42">
        <f>+'Gen Fd Rev'!AM549-'Gen Fd Exp'!BL549</f>
        <v>-543300</v>
      </c>
      <c r="BP549" s="42">
        <v>955457</v>
      </c>
      <c r="BR549" s="42">
        <v>0</v>
      </c>
      <c r="BT549" s="42">
        <v>0</v>
      </c>
      <c r="BV549" s="42">
        <f t="shared" si="94"/>
        <v>412157</v>
      </c>
      <c r="BX549" s="5">
        <f>+BV549-'Gen Fd BS'!AI549+BT549</f>
        <v>0</v>
      </c>
    </row>
    <row r="550" spans="1:76">
      <c r="A550" s="9" t="s">
        <v>228</v>
      </c>
      <c r="B550" s="9"/>
      <c r="C550" s="9" t="s">
        <v>227</v>
      </c>
      <c r="D550" s="9"/>
      <c r="E550" s="23">
        <v>46201</v>
      </c>
      <c r="G550" s="42">
        <v>4721214</v>
      </c>
      <c r="I550" s="42">
        <v>1027147</v>
      </c>
      <c r="K550" s="42">
        <v>150005</v>
      </c>
      <c r="M550" s="42">
        <v>0</v>
      </c>
      <c r="O550" s="42">
        <v>0</v>
      </c>
      <c r="Q550" s="42">
        <v>369597</v>
      </c>
      <c r="S550" s="42">
        <v>176869</v>
      </c>
      <c r="U550" s="42">
        <v>49568</v>
      </c>
      <c r="W550" s="42">
        <v>843741</v>
      </c>
      <c r="Y550" s="42">
        <v>293447</v>
      </c>
      <c r="AA550" s="42">
        <v>7288</v>
      </c>
      <c r="AC550" s="42">
        <v>901692</v>
      </c>
      <c r="AE550" s="42">
        <v>675152</v>
      </c>
      <c r="AG550" s="42">
        <v>208998</v>
      </c>
      <c r="AI550" s="42">
        <v>0</v>
      </c>
      <c r="AK550" s="42">
        <v>0</v>
      </c>
      <c r="AL550" s="9" t="s">
        <v>228</v>
      </c>
      <c r="AM550" s="9"/>
      <c r="AN550" s="9" t="s">
        <v>227</v>
      </c>
      <c r="AP550" s="42">
        <v>259695</v>
      </c>
      <c r="AR550" s="42">
        <v>0</v>
      </c>
      <c r="AV550" s="42">
        <v>47046</v>
      </c>
      <c r="AX550" s="42">
        <v>8531</v>
      </c>
      <c r="AZ550" s="42">
        <v>0</v>
      </c>
      <c r="BB550" s="42">
        <f t="shared" si="92"/>
        <v>9739990</v>
      </c>
      <c r="BD550" s="42">
        <v>218067</v>
      </c>
      <c r="BF550" s="42">
        <v>0</v>
      </c>
      <c r="BH550" s="42">
        <v>0</v>
      </c>
      <c r="BJ550" s="42">
        <v>0</v>
      </c>
      <c r="BL550" s="42">
        <f t="shared" si="93"/>
        <v>9958057</v>
      </c>
      <c r="BN550" s="42">
        <f>+'Gen Fd Rev'!AM550-'Gen Fd Exp'!BL550</f>
        <v>-69952</v>
      </c>
      <c r="BP550" s="42">
        <v>554033</v>
      </c>
      <c r="BR550" s="42">
        <v>0</v>
      </c>
      <c r="BT550" s="42">
        <v>0</v>
      </c>
      <c r="BV550" s="42">
        <f t="shared" si="94"/>
        <v>484081</v>
      </c>
      <c r="BX550" s="5">
        <f>+BV550-'Gen Fd BS'!AI550+BT550</f>
        <v>0</v>
      </c>
    </row>
    <row r="551" spans="1:76" s="24" customFormat="1">
      <c r="A551" s="51" t="s">
        <v>463</v>
      </c>
      <c r="B551" s="51"/>
      <c r="C551" s="51" t="s">
        <v>57</v>
      </c>
      <c r="D551" s="51"/>
      <c r="E551" s="23">
        <v>91397</v>
      </c>
      <c r="F551" s="52"/>
      <c r="G551" s="42">
        <v>4702999</v>
      </c>
      <c r="H551" s="42"/>
      <c r="I551" s="42">
        <v>882228</v>
      </c>
      <c r="J551" s="42"/>
      <c r="K551" s="42">
        <v>57949</v>
      </c>
      <c r="L551" s="42"/>
      <c r="M551" s="42">
        <v>0</v>
      </c>
      <c r="N551" s="42"/>
      <c r="O551" s="42">
        <v>0</v>
      </c>
      <c r="P551" s="42"/>
      <c r="Q551" s="42">
        <v>377271</v>
      </c>
      <c r="R551" s="42"/>
      <c r="S551" s="42">
        <v>558830</v>
      </c>
      <c r="T551" s="42"/>
      <c r="U551" s="42">
        <v>18795</v>
      </c>
      <c r="V551" s="42"/>
      <c r="W551" s="42">
        <v>961224</v>
      </c>
      <c r="X551" s="42"/>
      <c r="Y551" s="42">
        <v>181747</v>
      </c>
      <c r="Z551" s="42"/>
      <c r="AA551" s="42">
        <v>0</v>
      </c>
      <c r="AB551" s="42"/>
      <c r="AC551" s="42">
        <v>700856</v>
      </c>
      <c r="AD551" s="42"/>
      <c r="AE551" s="42">
        <v>506132</v>
      </c>
      <c r="AF551" s="42"/>
      <c r="AG551" s="42">
        <v>22613</v>
      </c>
      <c r="AH551" s="42"/>
      <c r="AI551" s="42">
        <v>0</v>
      </c>
      <c r="AJ551" s="42"/>
      <c r="AK551" s="42">
        <v>0</v>
      </c>
      <c r="AL551" s="51" t="s">
        <v>463</v>
      </c>
      <c r="AM551" s="51"/>
      <c r="AN551" s="51" t="s">
        <v>57</v>
      </c>
      <c r="AP551" s="42">
        <v>296721</v>
      </c>
      <c r="AQ551" s="42"/>
      <c r="AR551" s="42">
        <v>0</v>
      </c>
      <c r="AS551" s="42"/>
      <c r="AT551" s="42"/>
      <c r="AU551" s="42"/>
      <c r="AV551" s="42">
        <v>0</v>
      </c>
      <c r="AW551" s="42"/>
      <c r="AX551" s="42">
        <v>0</v>
      </c>
      <c r="AY551" s="42"/>
      <c r="AZ551" s="42">
        <v>0</v>
      </c>
      <c r="BA551" s="42"/>
      <c r="BB551" s="42">
        <f t="shared" si="92"/>
        <v>9267365</v>
      </c>
      <c r="BC551" s="42"/>
      <c r="BD551" s="42">
        <v>30553</v>
      </c>
      <c r="BE551" s="42"/>
      <c r="BF551" s="42">
        <v>0</v>
      </c>
      <c r="BG551" s="42"/>
      <c r="BH551" s="42">
        <v>0</v>
      </c>
      <c r="BI551" s="42"/>
      <c r="BJ551" s="42">
        <v>0</v>
      </c>
      <c r="BK551" s="42"/>
      <c r="BL551" s="42">
        <f t="shared" si="93"/>
        <v>9297918</v>
      </c>
      <c r="BM551" s="42"/>
      <c r="BN551" s="42">
        <f>+'Gen Fd Rev'!AM551-'Gen Fd Exp'!BL551</f>
        <v>-872004</v>
      </c>
      <c r="BO551" s="42"/>
      <c r="BP551" s="42">
        <v>1311547</v>
      </c>
      <c r="BQ551" s="42"/>
      <c r="BR551" s="42">
        <v>0</v>
      </c>
      <c r="BS551" s="42"/>
      <c r="BT551" s="42">
        <v>0</v>
      </c>
      <c r="BU551" s="42"/>
      <c r="BV551" s="42">
        <f t="shared" si="94"/>
        <v>439543</v>
      </c>
      <c r="BW551" s="42"/>
      <c r="BX551" s="5">
        <f>+BV551-'Gen Fd BS'!AI551+BT551</f>
        <v>0</v>
      </c>
    </row>
    <row r="552" spans="1:76">
      <c r="A552" s="9" t="s">
        <v>211</v>
      </c>
      <c r="B552" s="9"/>
      <c r="C552" s="9" t="s">
        <v>13</v>
      </c>
      <c r="D552" s="9"/>
      <c r="E552" s="23">
        <v>45922</v>
      </c>
      <c r="G552" s="42">
        <v>3566279</v>
      </c>
      <c r="I552" s="42">
        <v>1068563</v>
      </c>
      <c r="K552" s="42">
        <v>0</v>
      </c>
      <c r="M552" s="42">
        <v>0</v>
      </c>
      <c r="O552" s="42">
        <v>104037</v>
      </c>
      <c r="Q552" s="42">
        <v>360427</v>
      </c>
      <c r="S552" s="42">
        <v>246766</v>
      </c>
      <c r="U552" s="42">
        <v>86466</v>
      </c>
      <c r="W552" s="42">
        <v>631315</v>
      </c>
      <c r="Y552" s="42">
        <v>245460</v>
      </c>
      <c r="AA552" s="42">
        <v>0</v>
      </c>
      <c r="AC552" s="42">
        <v>897461</v>
      </c>
      <c r="AE552" s="42">
        <v>530496</v>
      </c>
      <c r="AG552" s="42">
        <v>40854</v>
      </c>
      <c r="AI552" s="42">
        <v>0</v>
      </c>
      <c r="AK552" s="42">
        <v>60997</v>
      </c>
      <c r="AL552" s="9" t="s">
        <v>211</v>
      </c>
      <c r="AM552" s="9"/>
      <c r="AN552" s="9" t="s">
        <v>13</v>
      </c>
      <c r="AP552" s="42">
        <v>91798</v>
      </c>
      <c r="AR552" s="42">
        <v>0</v>
      </c>
      <c r="AV552" s="42">
        <v>5633</v>
      </c>
      <c r="AX552" s="42">
        <v>1271</v>
      </c>
      <c r="AZ552" s="42">
        <v>0</v>
      </c>
      <c r="BB552" s="42">
        <f t="shared" si="92"/>
        <v>7937823</v>
      </c>
      <c r="BD552" s="42">
        <v>68839</v>
      </c>
      <c r="BF552" s="42">
        <v>0</v>
      </c>
      <c r="BH552" s="42">
        <v>0</v>
      </c>
      <c r="BJ552" s="42">
        <v>0</v>
      </c>
      <c r="BL552" s="42">
        <f t="shared" si="93"/>
        <v>8006662</v>
      </c>
      <c r="BN552" s="42">
        <f>+'Gen Fd Rev'!AM552-'Gen Fd Exp'!BL552</f>
        <v>574821</v>
      </c>
      <c r="BP552" s="42">
        <v>1476093</v>
      </c>
      <c r="BR552" s="42">
        <v>0</v>
      </c>
      <c r="BT552" s="42">
        <v>0</v>
      </c>
      <c r="BV552" s="42">
        <f t="shared" si="94"/>
        <v>2050914</v>
      </c>
      <c r="BX552" s="5">
        <f>+BV552-'Gen Fd BS'!AI552+BT552</f>
        <v>0</v>
      </c>
    </row>
    <row r="553" spans="1:76">
      <c r="A553" s="9" t="s">
        <v>443</v>
      </c>
      <c r="B553" s="9"/>
      <c r="C553" s="9" t="s">
        <v>51</v>
      </c>
      <c r="D553" s="9"/>
      <c r="E553" s="23">
        <v>48876</v>
      </c>
      <c r="F553" s="7"/>
      <c r="G553" s="42">
        <v>12006182</v>
      </c>
      <c r="I553" s="42">
        <v>2843535</v>
      </c>
      <c r="K553" s="42">
        <v>270434</v>
      </c>
      <c r="M553" s="42">
        <v>0</v>
      </c>
      <c r="O553" s="42">
        <f>15667+3435</f>
        <v>19102</v>
      </c>
      <c r="Q553" s="42">
        <v>593623</v>
      </c>
      <c r="S553" s="42">
        <v>1003536</v>
      </c>
      <c r="U553" s="42">
        <v>543346</v>
      </c>
      <c r="W553" s="42">
        <v>2218089</v>
      </c>
      <c r="Y553" s="42">
        <v>461793</v>
      </c>
      <c r="AA553" s="42">
        <v>0</v>
      </c>
      <c r="AC553" s="42">
        <v>2080831</v>
      </c>
      <c r="AE553" s="42">
        <v>1943505</v>
      </c>
      <c r="AG553" s="42">
        <v>367124</v>
      </c>
      <c r="AI553" s="42">
        <v>0</v>
      </c>
      <c r="AK553" s="42">
        <v>0</v>
      </c>
      <c r="AL553" s="9" t="s">
        <v>443</v>
      </c>
      <c r="AM553" s="9"/>
      <c r="AN553" s="9" t="s">
        <v>51</v>
      </c>
      <c r="AP553" s="42">
        <v>9801</v>
      </c>
      <c r="AR553" s="42">
        <v>25544</v>
      </c>
      <c r="AV553" s="42">
        <v>0</v>
      </c>
      <c r="AX553" s="42">
        <v>0</v>
      </c>
      <c r="AZ553" s="42">
        <v>43282</v>
      </c>
      <c r="BB553" s="42">
        <f t="shared" si="92"/>
        <v>24429727</v>
      </c>
      <c r="BD553" s="42">
        <v>0</v>
      </c>
      <c r="BF553" s="42">
        <v>0</v>
      </c>
      <c r="BH553" s="42">
        <v>0</v>
      </c>
      <c r="BJ553" s="42">
        <v>0</v>
      </c>
      <c r="BL553" s="42">
        <f t="shared" si="93"/>
        <v>24429727</v>
      </c>
      <c r="BN553" s="42">
        <f>+'Gen Fd Rev'!AM553-'Gen Fd Exp'!BL553</f>
        <v>-808020</v>
      </c>
      <c r="BP553" s="42">
        <v>3543850</v>
      </c>
      <c r="BR553" s="42">
        <v>0</v>
      </c>
      <c r="BT553" s="42">
        <v>0</v>
      </c>
      <c r="BV553" s="42">
        <f t="shared" si="94"/>
        <v>2735830</v>
      </c>
      <c r="BX553" s="5">
        <f>+BV553-'Gen Fd BS'!AI553+BT553</f>
        <v>0</v>
      </c>
    </row>
    <row r="554" spans="1:76" hidden="1">
      <c r="A554" s="9" t="s">
        <v>685</v>
      </c>
      <c r="B554" s="9"/>
      <c r="C554" s="9" t="s">
        <v>21</v>
      </c>
      <c r="D554" s="9"/>
      <c r="E554" s="23">
        <v>46680</v>
      </c>
      <c r="G554" s="42">
        <v>0</v>
      </c>
      <c r="I554" s="42">
        <v>0</v>
      </c>
      <c r="K554" s="42">
        <v>0</v>
      </c>
      <c r="M554" s="42">
        <v>0</v>
      </c>
      <c r="O554" s="42">
        <v>0</v>
      </c>
      <c r="Q554" s="42">
        <v>0</v>
      </c>
      <c r="S554" s="42">
        <v>0</v>
      </c>
      <c r="U554" s="42">
        <v>0</v>
      </c>
      <c r="W554" s="42">
        <v>0</v>
      </c>
      <c r="Y554" s="42">
        <v>0</v>
      </c>
      <c r="AA554" s="42">
        <v>0</v>
      </c>
      <c r="AC554" s="42">
        <v>0</v>
      </c>
      <c r="AE554" s="42">
        <v>0</v>
      </c>
      <c r="AG554" s="42">
        <v>0</v>
      </c>
      <c r="AI554" s="42">
        <v>0</v>
      </c>
      <c r="AK554" s="42">
        <v>0</v>
      </c>
      <c r="AL554" s="9" t="s">
        <v>685</v>
      </c>
      <c r="AM554" s="9"/>
      <c r="AN554" s="9" t="s">
        <v>21</v>
      </c>
      <c r="AP554" s="42">
        <v>0</v>
      </c>
      <c r="AR554" s="42">
        <v>0</v>
      </c>
      <c r="AV554" s="42">
        <v>0</v>
      </c>
      <c r="AX554" s="42">
        <v>0</v>
      </c>
      <c r="AZ554" s="42">
        <v>0</v>
      </c>
      <c r="BB554" s="42">
        <f t="shared" si="92"/>
        <v>0</v>
      </c>
      <c r="BD554" s="42">
        <v>0</v>
      </c>
      <c r="BF554" s="42">
        <v>0</v>
      </c>
      <c r="BH554" s="42">
        <v>0</v>
      </c>
      <c r="BJ554" s="42">
        <v>0</v>
      </c>
      <c r="BL554" s="42">
        <f t="shared" si="93"/>
        <v>0</v>
      </c>
      <c r="BN554" s="42">
        <f>+'Gen Fd Rev'!AM554-'Gen Fd Exp'!BL554</f>
        <v>0</v>
      </c>
      <c r="BP554" s="42">
        <v>0</v>
      </c>
      <c r="BR554" s="42">
        <v>0</v>
      </c>
      <c r="BT554" s="42">
        <v>0</v>
      </c>
      <c r="BV554" s="42">
        <f t="shared" si="94"/>
        <v>0</v>
      </c>
      <c r="BX554" s="5">
        <f>+BV554-'Gen Fd BS'!AI554+BT554</f>
        <v>0</v>
      </c>
    </row>
    <row r="555" spans="1:76" hidden="1">
      <c r="A555" s="8" t="s">
        <v>829</v>
      </c>
      <c r="B555" s="9"/>
      <c r="C555" s="9" t="s">
        <v>71</v>
      </c>
      <c r="D555" s="9"/>
      <c r="E555" s="23">
        <v>50591</v>
      </c>
      <c r="G555" s="42">
        <v>0</v>
      </c>
      <c r="I555" s="42">
        <v>0</v>
      </c>
      <c r="K555" s="42">
        <v>0</v>
      </c>
      <c r="M555" s="42">
        <v>0</v>
      </c>
      <c r="O555" s="42">
        <v>0</v>
      </c>
      <c r="Q555" s="42">
        <v>0</v>
      </c>
      <c r="S555" s="42">
        <v>0</v>
      </c>
      <c r="U555" s="42">
        <v>0</v>
      </c>
      <c r="W555" s="42">
        <v>0</v>
      </c>
      <c r="Y555" s="42">
        <v>0</v>
      </c>
      <c r="AA555" s="42">
        <v>0</v>
      </c>
      <c r="AC555" s="42">
        <v>0</v>
      </c>
      <c r="AE555" s="42">
        <v>0</v>
      </c>
      <c r="AG555" s="42">
        <v>0</v>
      </c>
      <c r="AI555" s="42">
        <v>0</v>
      </c>
      <c r="AK555" s="42">
        <v>0</v>
      </c>
      <c r="AL555" s="8" t="s">
        <v>829</v>
      </c>
      <c r="AM555" s="9"/>
      <c r="AN555" s="9" t="s">
        <v>71</v>
      </c>
      <c r="AP555" s="42">
        <v>0</v>
      </c>
      <c r="AR555" s="42">
        <v>0</v>
      </c>
      <c r="AV555" s="42">
        <v>0</v>
      </c>
      <c r="AX555" s="42">
        <v>0</v>
      </c>
      <c r="AZ555" s="42">
        <v>0</v>
      </c>
      <c r="BB555" s="42">
        <f t="shared" si="92"/>
        <v>0</v>
      </c>
      <c r="BD555" s="42">
        <v>0</v>
      </c>
      <c r="BF555" s="42">
        <v>0</v>
      </c>
      <c r="BH555" s="42">
        <v>0</v>
      </c>
      <c r="BJ555" s="42">
        <v>0</v>
      </c>
      <c r="BL555" s="42">
        <f t="shared" ref="BL555:BL572" si="95">+BB555+BD555+BF555+BJ555</f>
        <v>0</v>
      </c>
      <c r="BN555" s="42">
        <f>+'Gen Fd Rev'!AM555-'Gen Fd Exp'!BL555</f>
        <v>0</v>
      </c>
      <c r="BP555" s="42">
        <v>0</v>
      </c>
      <c r="BR555" s="42">
        <v>0</v>
      </c>
      <c r="BT555" s="42">
        <v>0</v>
      </c>
      <c r="BV555" s="42">
        <f t="shared" si="94"/>
        <v>0</v>
      </c>
      <c r="BX555" s="5">
        <f>+BV555-'Gen Fd BS'!AI555+BT555</f>
        <v>0</v>
      </c>
    </row>
    <row r="556" spans="1:76">
      <c r="A556" s="9" t="s">
        <v>433</v>
      </c>
      <c r="B556" s="9"/>
      <c r="C556" s="9" t="s">
        <v>50</v>
      </c>
      <c r="D556" s="9"/>
      <c r="E556" s="23">
        <v>48694</v>
      </c>
      <c r="G556" s="42">
        <v>7754297</v>
      </c>
      <c r="I556" s="42">
        <v>2910276</v>
      </c>
      <c r="K556" s="42">
        <v>0</v>
      </c>
      <c r="M556" s="42">
        <v>0</v>
      </c>
      <c r="O556" s="42">
        <v>1295</v>
      </c>
      <c r="Q556" s="42">
        <v>1656561</v>
      </c>
      <c r="S556" s="42">
        <v>927236</v>
      </c>
      <c r="U556" s="42">
        <v>54152</v>
      </c>
      <c r="W556" s="42">
        <v>2050337</v>
      </c>
      <c r="Y556" s="42">
        <v>858249</v>
      </c>
      <c r="AA556" s="42">
        <v>414317</v>
      </c>
      <c r="AC556" s="42">
        <v>2303322</v>
      </c>
      <c r="AE556" s="42">
        <v>1544629</v>
      </c>
      <c r="AG556" s="42">
        <v>540332</v>
      </c>
      <c r="AI556" s="42">
        <v>0</v>
      </c>
      <c r="AK556" s="42">
        <v>4794011</v>
      </c>
      <c r="AL556" s="9" t="s">
        <v>433</v>
      </c>
      <c r="AM556" s="9"/>
      <c r="AN556" s="9" t="s">
        <v>50</v>
      </c>
      <c r="AP556" s="42">
        <v>435776</v>
      </c>
      <c r="AR556" s="42">
        <v>28148</v>
      </c>
      <c r="AV556" s="42">
        <v>96796</v>
      </c>
      <c r="AX556" s="42">
        <v>11733</v>
      </c>
      <c r="AZ556" s="42">
        <v>0</v>
      </c>
      <c r="BB556" s="42">
        <f t="shared" si="92"/>
        <v>26381467</v>
      </c>
      <c r="BD556" s="42">
        <v>366882</v>
      </c>
      <c r="BF556" s="42">
        <v>0</v>
      </c>
      <c r="BH556" s="42">
        <v>0</v>
      </c>
      <c r="BJ556" s="42">
        <v>0</v>
      </c>
      <c r="BL556" s="42">
        <f t="shared" si="95"/>
        <v>26748349</v>
      </c>
      <c r="BN556" s="42">
        <f>+'Gen Fd Rev'!AM556-'Gen Fd Exp'!BL556</f>
        <v>4123901</v>
      </c>
      <c r="BP556" s="42">
        <v>14712441</v>
      </c>
      <c r="BR556" s="42">
        <v>0</v>
      </c>
      <c r="BT556" s="42">
        <v>0</v>
      </c>
      <c r="BV556" s="42">
        <f t="shared" ref="BV556:BV577" si="96">+BP556+BN556-BR556</f>
        <v>18836342</v>
      </c>
      <c r="BX556" s="5">
        <f>+BV556-'Gen Fd BS'!AI556+BT556</f>
        <v>0</v>
      </c>
    </row>
    <row r="557" spans="1:76" s="24" customFormat="1">
      <c r="A557" s="51" t="s">
        <v>423</v>
      </c>
      <c r="B557" s="51"/>
      <c r="C557" s="51" t="s">
        <v>48</v>
      </c>
      <c r="D557" s="51"/>
      <c r="E557" s="51">
        <v>44925</v>
      </c>
      <c r="F557" s="52"/>
      <c r="G557" s="24">
        <v>20799608</v>
      </c>
      <c r="I557" s="24">
        <v>5035348</v>
      </c>
      <c r="K557" s="24">
        <v>19858</v>
      </c>
      <c r="M557" s="24">
        <v>0</v>
      </c>
      <c r="O557" s="24">
        <f>222839+2186496</f>
        <v>2409335</v>
      </c>
      <c r="Q557" s="24">
        <v>2092200</v>
      </c>
      <c r="S557" s="24">
        <v>1086699</v>
      </c>
      <c r="U557" s="24">
        <v>597316</v>
      </c>
      <c r="W557" s="24">
        <v>3332144</v>
      </c>
      <c r="Y557" s="24">
        <v>520851</v>
      </c>
      <c r="AA557" s="24">
        <v>451607</v>
      </c>
      <c r="AC557" s="24">
        <v>3257567</v>
      </c>
      <c r="AE557" s="24">
        <v>1822328</v>
      </c>
      <c r="AG557" s="24">
        <v>113703</v>
      </c>
      <c r="AI557" s="24">
        <v>0</v>
      </c>
      <c r="AK557" s="24">
        <v>3680</v>
      </c>
      <c r="AL557" s="51" t="s">
        <v>423</v>
      </c>
      <c r="AM557" s="51"/>
      <c r="AN557" s="51" t="s">
        <v>48</v>
      </c>
      <c r="AP557" s="24">
        <v>9815</v>
      </c>
      <c r="AR557" s="24">
        <v>0</v>
      </c>
      <c r="AV557" s="24">
        <v>75964</v>
      </c>
      <c r="AX557" s="24">
        <v>0</v>
      </c>
      <c r="AZ557" s="24">
        <v>0</v>
      </c>
      <c r="BB557" s="24">
        <f t="shared" si="92"/>
        <v>41628023</v>
      </c>
      <c r="BD557" s="24">
        <v>250000</v>
      </c>
      <c r="BF557" s="24">
        <v>0</v>
      </c>
      <c r="BH557" s="24">
        <v>0</v>
      </c>
      <c r="BJ557" s="24">
        <v>0</v>
      </c>
      <c r="BL557" s="24">
        <f t="shared" si="95"/>
        <v>41878023</v>
      </c>
      <c r="BN557" s="24">
        <f>+'Gen Fd Rev'!AM557-'Gen Fd Exp'!BL557</f>
        <v>-1312720</v>
      </c>
      <c r="BP557" s="24">
        <v>11591230</v>
      </c>
      <c r="BR557" s="24">
        <v>0</v>
      </c>
      <c r="BT557" s="24">
        <v>0</v>
      </c>
      <c r="BV557" s="24">
        <f t="shared" si="96"/>
        <v>10278510</v>
      </c>
      <c r="BX557" s="64">
        <f>+BV557-'Gen Fd BS'!AI557+BT557</f>
        <v>0</v>
      </c>
    </row>
    <row r="558" spans="1:76">
      <c r="A558" s="9" t="s">
        <v>534</v>
      </c>
      <c r="B558" s="9"/>
      <c r="C558" s="9" t="s">
        <v>65</v>
      </c>
      <c r="D558" s="9"/>
      <c r="E558" s="23">
        <v>50302</v>
      </c>
      <c r="G558" s="42">
        <v>5607180</v>
      </c>
      <c r="I558" s="42">
        <v>597682</v>
      </c>
      <c r="K558" s="42">
        <v>135447</v>
      </c>
      <c r="M558" s="42">
        <v>0</v>
      </c>
      <c r="O558" s="42">
        <v>1214585</v>
      </c>
      <c r="Q558" s="42">
        <v>329851</v>
      </c>
      <c r="S558" s="42">
        <v>444401</v>
      </c>
      <c r="U558" s="42">
        <v>19114</v>
      </c>
      <c r="W558" s="42">
        <v>1253805</v>
      </c>
      <c r="Y558" s="42">
        <v>381106</v>
      </c>
      <c r="AA558" s="42">
        <v>0</v>
      </c>
      <c r="AC558" s="42">
        <v>976449</v>
      </c>
      <c r="AE558" s="42">
        <v>965874</v>
      </c>
      <c r="AG558" s="42">
        <v>117</v>
      </c>
      <c r="AI558" s="42">
        <v>0</v>
      </c>
      <c r="AK558" s="42">
        <v>109021</v>
      </c>
      <c r="AL558" s="9" t="s">
        <v>534</v>
      </c>
      <c r="AM558" s="9"/>
      <c r="AN558" s="9" t="s">
        <v>65</v>
      </c>
      <c r="AP558" s="42">
        <v>321151</v>
      </c>
      <c r="AR558" s="42">
        <v>135423</v>
      </c>
      <c r="AV558" s="42">
        <v>127933</v>
      </c>
      <c r="AX558" s="42">
        <v>17876</v>
      </c>
      <c r="AZ558" s="42">
        <v>0</v>
      </c>
      <c r="BB558" s="42">
        <f t="shared" si="92"/>
        <v>12637015</v>
      </c>
      <c r="BD558" s="42">
        <v>79529</v>
      </c>
      <c r="BF558" s="42">
        <v>0</v>
      </c>
      <c r="BH558" s="42">
        <v>0</v>
      </c>
      <c r="BJ558" s="42">
        <v>0</v>
      </c>
      <c r="BL558" s="42">
        <f t="shared" si="95"/>
        <v>12716544</v>
      </c>
      <c r="BN558" s="42">
        <f>+'Gen Fd Rev'!AM558-'Gen Fd Exp'!BL558</f>
        <v>-616006</v>
      </c>
      <c r="BP558" s="42">
        <v>1853700</v>
      </c>
      <c r="BR558" s="42">
        <v>5263</v>
      </c>
      <c r="BT558" s="42">
        <v>0</v>
      </c>
      <c r="BV558" s="42">
        <f t="shared" si="96"/>
        <v>1232431</v>
      </c>
      <c r="BX558" s="5">
        <f>+BV558-'Gen Fd BS'!AI558+BT558</f>
        <v>0</v>
      </c>
    </row>
    <row r="559" spans="1:76">
      <c r="A559" s="9" t="s">
        <v>501</v>
      </c>
      <c r="B559" s="9"/>
      <c r="C559" s="9" t="s">
        <v>62</v>
      </c>
      <c r="D559" s="9"/>
      <c r="E559" s="23">
        <v>49957</v>
      </c>
      <c r="G559" s="42">
        <v>5399032</v>
      </c>
      <c r="I559" s="42">
        <v>1330255</v>
      </c>
      <c r="K559" s="42">
        <v>106460</v>
      </c>
      <c r="M559" s="42">
        <v>0</v>
      </c>
      <c r="O559" s="42">
        <v>1940</v>
      </c>
      <c r="Q559" s="42">
        <v>584692</v>
      </c>
      <c r="S559" s="42">
        <v>447259</v>
      </c>
      <c r="U559" s="42">
        <v>16532</v>
      </c>
      <c r="W559" s="42">
        <v>850799</v>
      </c>
      <c r="Y559" s="42">
        <v>338665</v>
      </c>
      <c r="AA559" s="42">
        <v>41958</v>
      </c>
      <c r="AC559" s="42">
        <v>1083203</v>
      </c>
      <c r="AE559" s="42">
        <v>888884</v>
      </c>
      <c r="AG559" s="42">
        <v>49706</v>
      </c>
      <c r="AI559" s="42">
        <v>0</v>
      </c>
      <c r="AK559" s="42">
        <v>38604</v>
      </c>
      <c r="AL559" s="9" t="s">
        <v>501</v>
      </c>
      <c r="AM559" s="9"/>
      <c r="AN559" s="9" t="s">
        <v>62</v>
      </c>
      <c r="AP559" s="42">
        <v>493262</v>
      </c>
      <c r="AR559" s="42">
        <v>0</v>
      </c>
      <c r="AV559" s="42">
        <v>52911</v>
      </c>
      <c r="AX559" s="42">
        <v>16140</v>
      </c>
      <c r="AZ559" s="42">
        <v>0</v>
      </c>
      <c r="BB559" s="42">
        <f t="shared" si="92"/>
        <v>11740302</v>
      </c>
      <c r="BD559" s="42">
        <v>0</v>
      </c>
      <c r="BF559" s="42">
        <v>0</v>
      </c>
      <c r="BH559" s="42">
        <v>0</v>
      </c>
      <c r="BJ559" s="42">
        <v>0</v>
      </c>
      <c r="BL559" s="42">
        <f t="shared" si="95"/>
        <v>11740302</v>
      </c>
      <c r="BN559" s="42">
        <f>+'Gen Fd Rev'!AM559-'Gen Fd Exp'!BL559</f>
        <v>371229</v>
      </c>
      <c r="BP559" s="42">
        <v>1599248</v>
      </c>
      <c r="BR559" s="42">
        <v>0</v>
      </c>
      <c r="BT559" s="42">
        <v>0</v>
      </c>
      <c r="BV559" s="42">
        <f t="shared" si="96"/>
        <v>1970477</v>
      </c>
      <c r="BX559" s="5">
        <f>+BV559-'Gen Fd BS'!AI559+BT559</f>
        <v>0</v>
      </c>
    </row>
    <row r="560" spans="1:76" hidden="1">
      <c r="A560" s="9" t="s">
        <v>689</v>
      </c>
      <c r="B560" s="9"/>
      <c r="C560" s="9" t="s">
        <v>57</v>
      </c>
      <c r="D560" s="9"/>
      <c r="E560" s="23">
        <v>49296</v>
      </c>
      <c r="G560" s="42">
        <v>0</v>
      </c>
      <c r="I560" s="42">
        <v>0</v>
      </c>
      <c r="K560" s="42">
        <v>0</v>
      </c>
      <c r="M560" s="42">
        <v>0</v>
      </c>
      <c r="O560" s="42">
        <v>0</v>
      </c>
      <c r="Q560" s="42">
        <v>0</v>
      </c>
      <c r="S560" s="42">
        <v>0</v>
      </c>
      <c r="U560" s="42">
        <v>0</v>
      </c>
      <c r="W560" s="42">
        <v>0</v>
      </c>
      <c r="Y560" s="42">
        <v>0</v>
      </c>
      <c r="AA560" s="42">
        <v>0</v>
      </c>
      <c r="AC560" s="42">
        <v>0</v>
      </c>
      <c r="AE560" s="42">
        <v>0</v>
      </c>
      <c r="AG560" s="42">
        <v>0</v>
      </c>
      <c r="AI560" s="42">
        <v>0</v>
      </c>
      <c r="AK560" s="42">
        <v>0</v>
      </c>
      <c r="AL560" s="9" t="s">
        <v>689</v>
      </c>
      <c r="AM560" s="9"/>
      <c r="AN560" s="9" t="s">
        <v>57</v>
      </c>
      <c r="AP560" s="42">
        <v>0</v>
      </c>
      <c r="AR560" s="42">
        <v>0</v>
      </c>
      <c r="AV560" s="42">
        <v>0</v>
      </c>
      <c r="AX560" s="42">
        <v>0</v>
      </c>
      <c r="AZ560" s="42">
        <v>0</v>
      </c>
      <c r="BB560" s="42">
        <f t="shared" si="92"/>
        <v>0</v>
      </c>
      <c r="BD560" s="42">
        <v>0</v>
      </c>
      <c r="BF560" s="42">
        <v>0</v>
      </c>
      <c r="BH560" s="42">
        <v>0</v>
      </c>
      <c r="BJ560" s="42">
        <v>0</v>
      </c>
      <c r="BL560" s="42">
        <f t="shared" si="95"/>
        <v>0</v>
      </c>
      <c r="BN560" s="42">
        <f>+'Gen Fd Rev'!AM560-'Gen Fd Exp'!BL560</f>
        <v>0</v>
      </c>
      <c r="BP560" s="42">
        <v>0</v>
      </c>
      <c r="BR560" s="42">
        <v>0</v>
      </c>
      <c r="BT560" s="42">
        <v>0</v>
      </c>
      <c r="BV560" s="42">
        <f t="shared" si="96"/>
        <v>0</v>
      </c>
      <c r="BX560" s="5">
        <f>+BV560-'Gen Fd BS'!AI560+BT560</f>
        <v>0</v>
      </c>
    </row>
    <row r="561" spans="1:76">
      <c r="A561" s="9" t="s">
        <v>512</v>
      </c>
      <c r="B561" s="9"/>
      <c r="C561" s="9" t="s">
        <v>63</v>
      </c>
      <c r="D561" s="9"/>
      <c r="E561" s="23">
        <v>50070</v>
      </c>
      <c r="G561" s="42">
        <v>19705624</v>
      </c>
      <c r="I561" s="42">
        <v>2800339</v>
      </c>
      <c r="K561" s="42">
        <v>112695</v>
      </c>
      <c r="M561" s="42">
        <v>0</v>
      </c>
      <c r="O561" s="42">
        <f>72647+15201</f>
        <v>87848</v>
      </c>
      <c r="Q561" s="42">
        <v>2147224</v>
      </c>
      <c r="S561" s="42">
        <v>1510053</v>
      </c>
      <c r="U561" s="42">
        <v>374348</v>
      </c>
      <c r="W561" s="42">
        <v>2841333</v>
      </c>
      <c r="Y561" s="42">
        <v>1152608</v>
      </c>
      <c r="AA561" s="42">
        <v>127481</v>
      </c>
      <c r="AC561" s="42">
        <v>3293786</v>
      </c>
      <c r="AE561" s="42">
        <v>2594918</v>
      </c>
      <c r="AG561" s="42">
        <v>572323</v>
      </c>
      <c r="AI561" s="42">
        <v>0</v>
      </c>
      <c r="AK561" s="42">
        <v>0</v>
      </c>
      <c r="AL561" s="9" t="s">
        <v>512</v>
      </c>
      <c r="AM561" s="9"/>
      <c r="AN561" s="9" t="s">
        <v>63</v>
      </c>
      <c r="AP561" s="42">
        <v>899872</v>
      </c>
      <c r="AR561" s="42">
        <v>0</v>
      </c>
      <c r="AV561" s="42">
        <v>262191</v>
      </c>
      <c r="AX561" s="42">
        <v>143192</v>
      </c>
      <c r="AZ561" s="42">
        <v>0</v>
      </c>
      <c r="BB561" s="42">
        <f t="shared" si="92"/>
        <v>38625835</v>
      </c>
      <c r="BD561" s="42">
        <v>0</v>
      </c>
      <c r="BF561" s="42">
        <v>0</v>
      </c>
      <c r="BH561" s="42">
        <v>0</v>
      </c>
      <c r="BJ561" s="42">
        <v>0</v>
      </c>
      <c r="BL561" s="42">
        <f t="shared" si="95"/>
        <v>38625835</v>
      </c>
      <c r="BN561" s="42">
        <f>+'Gen Fd Rev'!AM561-'Gen Fd Exp'!BL561</f>
        <v>-609689</v>
      </c>
      <c r="BP561" s="42">
        <v>24709727</v>
      </c>
      <c r="BR561" s="42">
        <v>0</v>
      </c>
      <c r="BT561" s="42">
        <v>0</v>
      </c>
      <c r="BV561" s="42">
        <f t="shared" si="96"/>
        <v>24100038</v>
      </c>
      <c r="BX561" s="5">
        <f>+BV561-'Gen Fd BS'!AI561+BT561</f>
        <v>0</v>
      </c>
    </row>
    <row r="562" spans="1:76">
      <c r="A562" s="8" t="s">
        <v>907</v>
      </c>
      <c r="B562" s="9"/>
      <c r="C562" s="9" t="s">
        <v>15</v>
      </c>
      <c r="D562" s="9"/>
      <c r="E562" s="23">
        <v>46011</v>
      </c>
      <c r="G562" s="42">
        <v>6061174</v>
      </c>
      <c r="I562" s="42">
        <v>1511637</v>
      </c>
      <c r="K562" s="42">
        <v>481413</v>
      </c>
      <c r="M562" s="42">
        <v>0</v>
      </c>
      <c r="O562" s="42">
        <v>45</v>
      </c>
      <c r="Q562" s="42">
        <v>396613</v>
      </c>
      <c r="S562" s="42">
        <v>188697</v>
      </c>
      <c r="U562" s="42">
        <v>70751</v>
      </c>
      <c r="W562" s="42">
        <v>805085</v>
      </c>
      <c r="Y562" s="42">
        <v>307708</v>
      </c>
      <c r="AA562" s="42">
        <v>0</v>
      </c>
      <c r="AC562" s="42">
        <v>1095223</v>
      </c>
      <c r="AE562" s="42">
        <v>732094</v>
      </c>
      <c r="AG562" s="42">
        <v>38706</v>
      </c>
      <c r="AI562" s="42">
        <v>0</v>
      </c>
      <c r="AK562" s="42">
        <v>0</v>
      </c>
      <c r="AL562" s="8" t="s">
        <v>907</v>
      </c>
      <c r="AM562" s="9"/>
      <c r="AN562" s="9" t="s">
        <v>15</v>
      </c>
      <c r="AP562" s="42">
        <v>220994</v>
      </c>
      <c r="AR562" s="42">
        <v>0</v>
      </c>
      <c r="AV562" s="42">
        <v>68351</v>
      </c>
      <c r="AX562" s="42">
        <v>21954</v>
      </c>
      <c r="AZ562" s="42">
        <v>0</v>
      </c>
      <c r="BB562" s="42">
        <f t="shared" si="92"/>
        <v>12000445</v>
      </c>
      <c r="BD562" s="42">
        <v>6414</v>
      </c>
      <c r="BF562" s="42">
        <v>0</v>
      </c>
      <c r="BH562" s="42">
        <v>0</v>
      </c>
      <c r="BJ562" s="42">
        <v>0</v>
      </c>
      <c r="BL562" s="42">
        <f t="shared" si="95"/>
        <v>12006859</v>
      </c>
      <c r="BN562" s="42">
        <f>+'Gen Fd Rev'!AM562-'Gen Fd Exp'!BL562</f>
        <v>892946</v>
      </c>
      <c r="BP562" s="42">
        <v>-1501301</v>
      </c>
      <c r="BR562" s="42">
        <v>0</v>
      </c>
      <c r="BT562" s="42">
        <v>0</v>
      </c>
      <c r="BV562" s="42">
        <f t="shared" si="96"/>
        <v>-608355</v>
      </c>
      <c r="BX562" s="5">
        <f>+BV562-'Gen Fd BS'!AI562+BT562</f>
        <v>0</v>
      </c>
    </row>
    <row r="563" spans="1:76">
      <c r="A563" s="9" t="s">
        <v>473</v>
      </c>
      <c r="B563" s="9"/>
      <c r="C563" s="9" t="s">
        <v>58</v>
      </c>
      <c r="D563" s="9"/>
      <c r="E563" s="23">
        <v>49536</v>
      </c>
      <c r="G563" s="42">
        <v>10114124</v>
      </c>
      <c r="I563" s="42">
        <v>1138045</v>
      </c>
      <c r="K563" s="42">
        <v>10204</v>
      </c>
      <c r="M563" s="42">
        <v>0</v>
      </c>
      <c r="O563" s="42">
        <v>0</v>
      </c>
      <c r="Q563" s="42">
        <v>458776</v>
      </c>
      <c r="S563" s="42">
        <v>544258</v>
      </c>
      <c r="U563" s="42">
        <v>915129</v>
      </c>
      <c r="W563" s="42">
        <v>1037112</v>
      </c>
      <c r="Y563" s="42">
        <v>446843</v>
      </c>
      <c r="AA563" s="42">
        <v>20556</v>
      </c>
      <c r="AC563" s="42">
        <v>1451013</v>
      </c>
      <c r="AE563" s="42">
        <v>819879</v>
      </c>
      <c r="AG563" s="42">
        <v>0</v>
      </c>
      <c r="AI563" s="42">
        <v>0</v>
      </c>
      <c r="AK563" s="42">
        <v>2076</v>
      </c>
      <c r="AL563" s="9" t="s">
        <v>473</v>
      </c>
      <c r="AM563" s="9"/>
      <c r="AN563" s="9" t="s">
        <v>58</v>
      </c>
      <c r="AP563" s="42">
        <v>140693</v>
      </c>
      <c r="AR563" s="42">
        <v>0</v>
      </c>
      <c r="AV563" s="42">
        <v>326145</v>
      </c>
      <c r="AX563" s="42">
        <v>49915</v>
      </c>
      <c r="AZ563" s="42">
        <v>70365</v>
      </c>
      <c r="BB563" s="42">
        <f t="shared" si="92"/>
        <v>17545133</v>
      </c>
      <c r="BD563" s="42">
        <v>306718</v>
      </c>
      <c r="BF563" s="42">
        <v>0</v>
      </c>
      <c r="BH563" s="42">
        <v>0</v>
      </c>
      <c r="BJ563" s="42">
        <v>0</v>
      </c>
      <c r="BL563" s="42">
        <f t="shared" si="95"/>
        <v>17851851</v>
      </c>
      <c r="BN563" s="42">
        <f>+'Gen Fd Rev'!AM563-'Gen Fd Exp'!BL563</f>
        <v>194622</v>
      </c>
      <c r="BP563" s="42">
        <v>11366968</v>
      </c>
      <c r="BR563" s="42">
        <v>0</v>
      </c>
      <c r="BT563" s="42">
        <v>0</v>
      </c>
      <c r="BV563" s="42">
        <f t="shared" si="96"/>
        <v>11561590</v>
      </c>
      <c r="BX563" s="5">
        <f>+BV563-'Gen Fd BS'!AI563+BT563</f>
        <v>0</v>
      </c>
    </row>
    <row r="564" spans="1:76">
      <c r="A564" s="9" t="s">
        <v>249</v>
      </c>
      <c r="B564" s="9"/>
      <c r="C564" s="9" t="s">
        <v>111</v>
      </c>
      <c r="D564" s="9"/>
      <c r="E564" s="23">
        <v>46458</v>
      </c>
      <c r="G564" s="42">
        <v>5354408</v>
      </c>
      <c r="I564" s="42">
        <v>1272640</v>
      </c>
      <c r="K564" s="42">
        <v>202839</v>
      </c>
      <c r="M564" s="42">
        <v>8251</v>
      </c>
      <c r="O564" s="42">
        <v>5611</v>
      </c>
      <c r="Q564" s="42">
        <v>445378</v>
      </c>
      <c r="S564" s="42">
        <v>495963</v>
      </c>
      <c r="U564" s="42">
        <v>73647</v>
      </c>
      <c r="W564" s="42">
        <v>885962</v>
      </c>
      <c r="Y564" s="42">
        <v>301092</v>
      </c>
      <c r="AA564" s="42">
        <v>0</v>
      </c>
      <c r="AC564" s="42">
        <v>1004575</v>
      </c>
      <c r="AE564" s="42">
        <v>767815</v>
      </c>
      <c r="AG564" s="42">
        <v>40579</v>
      </c>
      <c r="AI564" s="42">
        <v>0</v>
      </c>
      <c r="AK564" s="42">
        <v>884</v>
      </c>
      <c r="AL564" s="9" t="s">
        <v>249</v>
      </c>
      <c r="AM564" s="9"/>
      <c r="AN564" s="9" t="s">
        <v>111</v>
      </c>
      <c r="AP564" s="42">
        <v>354400</v>
      </c>
      <c r="AR564" s="42">
        <v>0</v>
      </c>
      <c r="AV564" s="42">
        <v>16766</v>
      </c>
      <c r="AX564" s="42">
        <v>7150</v>
      </c>
      <c r="AZ564" s="42">
        <v>0</v>
      </c>
      <c r="BB564" s="42">
        <f t="shared" si="92"/>
        <v>11237960</v>
      </c>
      <c r="BD564" s="42">
        <v>289355</v>
      </c>
      <c r="BF564" s="42">
        <v>0</v>
      </c>
      <c r="BH564" s="42">
        <v>0</v>
      </c>
      <c r="BJ564" s="42">
        <v>0</v>
      </c>
      <c r="BL564" s="42">
        <f t="shared" si="95"/>
        <v>11527315</v>
      </c>
      <c r="BN564" s="42">
        <f>+'Gen Fd Rev'!AM564-'Gen Fd Exp'!BL564</f>
        <v>-179216</v>
      </c>
      <c r="BP564" s="42">
        <v>3831358</v>
      </c>
      <c r="BR564" s="42">
        <v>0</v>
      </c>
      <c r="BT564" s="42">
        <v>0</v>
      </c>
      <c r="BV564" s="42">
        <f t="shared" si="96"/>
        <v>3652142</v>
      </c>
      <c r="BX564" s="5">
        <f>+BV564-'Gen Fd BS'!AI564+BT564</f>
        <v>0</v>
      </c>
    </row>
    <row r="565" spans="1:76">
      <c r="A565" s="9" t="s">
        <v>306</v>
      </c>
      <c r="B565" s="9"/>
      <c r="C565" s="9" t="s">
        <v>27</v>
      </c>
      <c r="D565" s="9"/>
      <c r="E565" s="23">
        <v>44933</v>
      </c>
      <c r="G565" s="42">
        <v>41492418</v>
      </c>
      <c r="I565" s="42">
        <v>9732332</v>
      </c>
      <c r="K565" s="42">
        <v>55666</v>
      </c>
      <c r="M565" s="42">
        <v>0</v>
      </c>
      <c r="O565" s="42">
        <v>0</v>
      </c>
      <c r="Q565" s="42">
        <v>5259212</v>
      </c>
      <c r="S565" s="42">
        <v>4928588</v>
      </c>
      <c r="U565" s="42">
        <v>28847</v>
      </c>
      <c r="W565" s="42">
        <v>4816816</v>
      </c>
      <c r="Y565" s="42">
        <v>1805595</v>
      </c>
      <c r="AA565" s="42">
        <v>686225</v>
      </c>
      <c r="AC565" s="42">
        <v>6759641</v>
      </c>
      <c r="AE565" s="42">
        <v>1692039</v>
      </c>
      <c r="AG565" s="42">
        <v>1059260</v>
      </c>
      <c r="AI565" s="42">
        <v>0</v>
      </c>
      <c r="AK565" s="42">
        <v>0</v>
      </c>
      <c r="AL565" s="9" t="s">
        <v>306</v>
      </c>
      <c r="AM565" s="9"/>
      <c r="AN565" s="9" t="s">
        <v>27</v>
      </c>
      <c r="AP565" s="42">
        <v>1385536</v>
      </c>
      <c r="AR565" s="42">
        <v>0</v>
      </c>
      <c r="AV565" s="42">
        <v>0</v>
      </c>
      <c r="AX565" s="42">
        <v>0</v>
      </c>
      <c r="AZ565" s="42">
        <v>0</v>
      </c>
      <c r="BB565" s="42">
        <f t="shared" si="92"/>
        <v>79702175</v>
      </c>
      <c r="BD565" s="42">
        <v>676250</v>
      </c>
      <c r="BF565" s="42">
        <v>0</v>
      </c>
      <c r="BH565" s="42">
        <v>0</v>
      </c>
      <c r="BJ565" s="42">
        <v>0</v>
      </c>
      <c r="BL565" s="42">
        <f t="shared" si="95"/>
        <v>80378425</v>
      </c>
      <c r="BN565" s="42">
        <f>+'Gen Fd Rev'!AM565-'Gen Fd Exp'!BL565</f>
        <v>-3069721</v>
      </c>
      <c r="BP565" s="42">
        <v>51183672</v>
      </c>
      <c r="BR565" s="42">
        <v>0</v>
      </c>
      <c r="BT565" s="42">
        <v>0</v>
      </c>
      <c r="BV565" s="42">
        <f t="shared" si="96"/>
        <v>48113951</v>
      </c>
      <c r="BX565" s="5">
        <f>+BV565-'Gen Fd BS'!AI565+BT565</f>
        <v>0</v>
      </c>
    </row>
    <row r="566" spans="1:76" hidden="1">
      <c r="A566" s="9" t="s">
        <v>773</v>
      </c>
      <c r="B566" s="9"/>
      <c r="C566" s="9" t="s">
        <v>553</v>
      </c>
      <c r="D566" s="9"/>
      <c r="E566" s="23">
        <v>45625</v>
      </c>
      <c r="G566" s="42">
        <v>0</v>
      </c>
      <c r="I566" s="42">
        <v>0</v>
      </c>
      <c r="K566" s="42">
        <v>0</v>
      </c>
      <c r="M566" s="42">
        <v>0</v>
      </c>
      <c r="O566" s="42">
        <v>0</v>
      </c>
      <c r="Q566" s="42">
        <v>0</v>
      </c>
      <c r="S566" s="42">
        <v>0</v>
      </c>
      <c r="U566" s="42">
        <v>0</v>
      </c>
      <c r="W566" s="42">
        <v>0</v>
      </c>
      <c r="Y566" s="42">
        <v>0</v>
      </c>
      <c r="AA566" s="42">
        <v>0</v>
      </c>
      <c r="AC566" s="42">
        <v>0</v>
      </c>
      <c r="AE566" s="42">
        <v>0</v>
      </c>
      <c r="AG566" s="42">
        <v>0</v>
      </c>
      <c r="AI566" s="42">
        <v>0</v>
      </c>
      <c r="AK566" s="42">
        <v>0</v>
      </c>
      <c r="AL566" s="9" t="s">
        <v>773</v>
      </c>
      <c r="AM566" s="9"/>
      <c r="AN566" s="9" t="s">
        <v>553</v>
      </c>
      <c r="AP566" s="42">
        <v>0</v>
      </c>
      <c r="AR566" s="42">
        <v>0</v>
      </c>
      <c r="AV566" s="42">
        <v>0</v>
      </c>
      <c r="AX566" s="42">
        <v>0</v>
      </c>
      <c r="AZ566" s="42">
        <v>0</v>
      </c>
      <c r="BB566" s="42">
        <f t="shared" si="92"/>
        <v>0</v>
      </c>
      <c r="BD566" s="42">
        <v>0</v>
      </c>
      <c r="BF566" s="42">
        <v>0</v>
      </c>
      <c r="BH566" s="42">
        <v>0</v>
      </c>
      <c r="BJ566" s="42">
        <v>0</v>
      </c>
      <c r="BL566" s="42">
        <f t="shared" si="95"/>
        <v>0</v>
      </c>
      <c r="BN566" s="42">
        <f>+'Gen Fd Rev'!AM566-'Gen Fd Exp'!BL566</f>
        <v>0</v>
      </c>
      <c r="BP566" s="42">
        <v>0</v>
      </c>
      <c r="BR566" s="42">
        <v>0</v>
      </c>
      <c r="BT566" s="42">
        <v>0</v>
      </c>
      <c r="BV566" s="42">
        <f t="shared" si="96"/>
        <v>0</v>
      </c>
      <c r="BX566" s="5">
        <f>+BV566-'Gen Fd BS'!AI566+BT566</f>
        <v>0</v>
      </c>
    </row>
    <row r="567" spans="1:76" hidden="1">
      <c r="A567" s="9" t="s">
        <v>690</v>
      </c>
      <c r="B567" s="9"/>
      <c r="C567" s="9" t="s">
        <v>337</v>
      </c>
      <c r="D567" s="9"/>
      <c r="E567" s="23">
        <v>47522</v>
      </c>
      <c r="G567" s="42">
        <v>0</v>
      </c>
      <c r="I567" s="42">
        <v>0</v>
      </c>
      <c r="K567" s="42">
        <v>0</v>
      </c>
      <c r="M567" s="42">
        <v>0</v>
      </c>
      <c r="O567" s="42">
        <v>0</v>
      </c>
      <c r="Q567" s="42">
        <v>0</v>
      </c>
      <c r="S567" s="42">
        <v>0</v>
      </c>
      <c r="U567" s="42">
        <v>0</v>
      </c>
      <c r="W567" s="42">
        <v>0</v>
      </c>
      <c r="Y567" s="42">
        <v>0</v>
      </c>
      <c r="AA567" s="42">
        <v>0</v>
      </c>
      <c r="AC567" s="42">
        <v>0</v>
      </c>
      <c r="AE567" s="42">
        <v>0</v>
      </c>
      <c r="AG567" s="42">
        <v>0</v>
      </c>
      <c r="AI567" s="42">
        <v>0</v>
      </c>
      <c r="AK567" s="42">
        <v>0</v>
      </c>
      <c r="AL567" s="9" t="s">
        <v>690</v>
      </c>
      <c r="AM567" s="9"/>
      <c r="AN567" s="9" t="s">
        <v>337</v>
      </c>
      <c r="AP567" s="42">
        <v>0</v>
      </c>
      <c r="AR567" s="42">
        <v>0</v>
      </c>
      <c r="AV567" s="42">
        <v>0</v>
      </c>
      <c r="AX567" s="42">
        <v>0</v>
      </c>
      <c r="AZ567" s="42">
        <v>0</v>
      </c>
      <c r="BB567" s="42">
        <f t="shared" si="92"/>
        <v>0</v>
      </c>
      <c r="BD567" s="42">
        <v>0</v>
      </c>
      <c r="BF567" s="42">
        <v>0</v>
      </c>
      <c r="BH567" s="42">
        <v>0</v>
      </c>
      <c r="BJ567" s="42">
        <v>0</v>
      </c>
      <c r="BL567" s="42">
        <f t="shared" si="95"/>
        <v>0</v>
      </c>
      <c r="BN567" s="42">
        <f>+'Gen Fd Rev'!AM567-'Gen Fd Exp'!BL567</f>
        <v>0</v>
      </c>
      <c r="BP567" s="42">
        <v>0</v>
      </c>
      <c r="BR567" s="42">
        <v>0</v>
      </c>
      <c r="BT567" s="42">
        <v>0</v>
      </c>
      <c r="BV567" s="42">
        <f t="shared" si="96"/>
        <v>0</v>
      </c>
      <c r="BX567" s="5">
        <f>+BV567-'Gen Fd BS'!AI567+BT567</f>
        <v>0</v>
      </c>
    </row>
    <row r="568" spans="1:76" hidden="1">
      <c r="A568" s="9" t="s">
        <v>883</v>
      </c>
      <c r="B568" s="9"/>
      <c r="C568" s="9" t="s">
        <v>227</v>
      </c>
      <c r="D568" s="9"/>
      <c r="E568" s="23">
        <v>44941</v>
      </c>
      <c r="G568" s="42">
        <v>0</v>
      </c>
      <c r="I568" s="42">
        <v>0</v>
      </c>
      <c r="K568" s="42">
        <v>0</v>
      </c>
      <c r="M568" s="42">
        <v>0</v>
      </c>
      <c r="O568" s="42">
        <v>0</v>
      </c>
      <c r="Q568" s="42">
        <v>0</v>
      </c>
      <c r="S568" s="42">
        <v>0</v>
      </c>
      <c r="U568" s="42">
        <v>0</v>
      </c>
      <c r="W568" s="42">
        <v>0</v>
      </c>
      <c r="Y568" s="42">
        <v>0</v>
      </c>
      <c r="AA568" s="42">
        <v>0</v>
      </c>
      <c r="AC568" s="42">
        <v>0</v>
      </c>
      <c r="AE568" s="42">
        <v>0</v>
      </c>
      <c r="AG568" s="42">
        <v>0</v>
      </c>
      <c r="AI568" s="42">
        <v>0</v>
      </c>
      <c r="AK568" s="42">
        <v>0</v>
      </c>
      <c r="AL568" s="9" t="s">
        <v>883</v>
      </c>
      <c r="AM568" s="9"/>
      <c r="AN568" s="9" t="s">
        <v>227</v>
      </c>
      <c r="AP568" s="42">
        <v>0</v>
      </c>
      <c r="AR568" s="42">
        <v>0</v>
      </c>
      <c r="AV568" s="42">
        <v>0</v>
      </c>
      <c r="AX568" s="42">
        <v>0</v>
      </c>
      <c r="AZ568" s="42">
        <v>0</v>
      </c>
      <c r="BB568" s="42">
        <f t="shared" si="92"/>
        <v>0</v>
      </c>
      <c r="BD568" s="42">
        <v>0</v>
      </c>
      <c r="BF568" s="42">
        <v>0</v>
      </c>
      <c r="BH568" s="42">
        <v>0</v>
      </c>
      <c r="BJ568" s="42">
        <v>0</v>
      </c>
      <c r="BL568" s="42">
        <f t="shared" si="95"/>
        <v>0</v>
      </c>
      <c r="BN568" s="42">
        <f>+'Gen Fd Rev'!AM568-'Gen Fd Exp'!BL568</f>
        <v>0</v>
      </c>
      <c r="BP568" s="42">
        <v>0</v>
      </c>
      <c r="BR568" s="42">
        <v>0</v>
      </c>
      <c r="BT568" s="42">
        <v>0</v>
      </c>
      <c r="BV568" s="42">
        <f t="shared" si="96"/>
        <v>0</v>
      </c>
      <c r="BX568" s="5">
        <f>+BV568-'Gen Fd BS'!AI568+BT568</f>
        <v>0</v>
      </c>
    </row>
    <row r="569" spans="1:76" hidden="1">
      <c r="A569" s="9" t="s">
        <v>691</v>
      </c>
      <c r="B569" s="9"/>
      <c r="C569" s="9" t="s">
        <v>59</v>
      </c>
      <c r="D569" s="9"/>
      <c r="E569" s="23">
        <v>49643</v>
      </c>
      <c r="G569" s="42">
        <v>0</v>
      </c>
      <c r="I569" s="42">
        <v>0</v>
      </c>
      <c r="K569" s="42">
        <v>0</v>
      </c>
      <c r="M569" s="42">
        <v>0</v>
      </c>
      <c r="O569" s="42">
        <v>0</v>
      </c>
      <c r="Q569" s="42">
        <v>0</v>
      </c>
      <c r="S569" s="42">
        <v>0</v>
      </c>
      <c r="U569" s="42">
        <v>0</v>
      </c>
      <c r="W569" s="42">
        <v>0</v>
      </c>
      <c r="Y569" s="42">
        <v>0</v>
      </c>
      <c r="AA569" s="42">
        <v>0</v>
      </c>
      <c r="AC569" s="42">
        <v>0</v>
      </c>
      <c r="AE569" s="42">
        <v>0</v>
      </c>
      <c r="AG569" s="42">
        <v>0</v>
      </c>
      <c r="AI569" s="42">
        <v>0</v>
      </c>
      <c r="AK569" s="42">
        <v>0</v>
      </c>
      <c r="AL569" s="9" t="s">
        <v>691</v>
      </c>
      <c r="AM569" s="9"/>
      <c r="AN569" s="9" t="s">
        <v>59</v>
      </c>
      <c r="AP569" s="42">
        <v>0</v>
      </c>
      <c r="AR569" s="42">
        <v>0</v>
      </c>
      <c r="AV569" s="42">
        <v>0</v>
      </c>
      <c r="AX569" s="42">
        <v>0</v>
      </c>
      <c r="AZ569" s="42">
        <v>0</v>
      </c>
      <c r="BB569" s="42">
        <f t="shared" si="92"/>
        <v>0</v>
      </c>
      <c r="BD569" s="42">
        <v>0</v>
      </c>
      <c r="BF569" s="42">
        <v>0</v>
      </c>
      <c r="BH569" s="42">
        <v>0</v>
      </c>
      <c r="BJ569" s="42">
        <v>0</v>
      </c>
      <c r="BL569" s="42">
        <f t="shared" si="95"/>
        <v>0</v>
      </c>
      <c r="BN569" s="42">
        <f>+'Gen Fd Rev'!AM569-'Gen Fd Exp'!BL569</f>
        <v>0</v>
      </c>
      <c r="BP569" s="42">
        <v>0</v>
      </c>
      <c r="BR569" s="42">
        <v>0</v>
      </c>
      <c r="BT569" s="42">
        <v>0</v>
      </c>
      <c r="BV569" s="42">
        <f t="shared" si="96"/>
        <v>0</v>
      </c>
      <c r="BX569" s="5">
        <f>+BV569-'Gen Fd BS'!AI569+BT569</f>
        <v>0</v>
      </c>
    </row>
    <row r="570" spans="1:76">
      <c r="A570" s="9" t="s">
        <v>434</v>
      </c>
      <c r="B570" s="9"/>
      <c r="C570" s="9" t="s">
        <v>50</v>
      </c>
      <c r="D570" s="9"/>
      <c r="E570" s="23">
        <v>48744</v>
      </c>
      <c r="G570" s="42">
        <v>8812684</v>
      </c>
      <c r="I570" s="42">
        <v>1213443</v>
      </c>
      <c r="K570" s="42">
        <v>100595</v>
      </c>
      <c r="M570" s="42">
        <v>0</v>
      </c>
      <c r="O570" s="42">
        <v>642145</v>
      </c>
      <c r="Q570" s="42">
        <v>1262604</v>
      </c>
      <c r="S570" s="42">
        <v>890270</v>
      </c>
      <c r="U570" s="42">
        <v>13184</v>
      </c>
      <c r="W570" s="42">
        <v>1022715</v>
      </c>
      <c r="Y570" s="42">
        <v>367318</v>
      </c>
      <c r="AA570" s="42">
        <v>11025</v>
      </c>
      <c r="AC570" s="42">
        <v>1103187</v>
      </c>
      <c r="AE570" s="42">
        <v>1020362</v>
      </c>
      <c r="AG570" s="42">
        <v>75226</v>
      </c>
      <c r="AI570" s="42">
        <v>0</v>
      </c>
      <c r="AK570" s="42">
        <v>0</v>
      </c>
      <c r="AL570" s="9" t="s">
        <v>434</v>
      </c>
      <c r="AM570" s="9"/>
      <c r="AN570" s="9" t="s">
        <v>50</v>
      </c>
      <c r="AP570" s="42">
        <v>369455</v>
      </c>
      <c r="AR570" s="42">
        <v>0</v>
      </c>
      <c r="AV570" s="42">
        <v>146314</v>
      </c>
      <c r="AX570" s="42">
        <v>28097</v>
      </c>
      <c r="AZ570" s="42">
        <v>0</v>
      </c>
      <c r="BB570" s="42">
        <f t="shared" si="92"/>
        <v>17078624</v>
      </c>
      <c r="BD570" s="42">
        <v>0</v>
      </c>
      <c r="BF570" s="42">
        <v>0</v>
      </c>
      <c r="BH570" s="42">
        <v>0</v>
      </c>
      <c r="BJ570" s="42">
        <v>0</v>
      </c>
      <c r="BL570" s="42">
        <f t="shared" si="95"/>
        <v>17078624</v>
      </c>
      <c r="BN570" s="42">
        <f>+'Gen Fd Rev'!AM570-'Gen Fd Exp'!BL570</f>
        <v>-1170151</v>
      </c>
      <c r="BP570" s="42">
        <v>656856</v>
      </c>
      <c r="BR570" s="42">
        <v>0</v>
      </c>
      <c r="BT570" s="42">
        <v>0</v>
      </c>
      <c r="BV570" s="42">
        <f t="shared" si="96"/>
        <v>-513295</v>
      </c>
      <c r="BX570" s="5">
        <f>+BV570-'Gen Fd BS'!AI570+BT570</f>
        <v>0</v>
      </c>
    </row>
    <row r="571" spans="1:76">
      <c r="A571" s="9" t="s">
        <v>336</v>
      </c>
      <c r="B571" s="9"/>
      <c r="C571" s="9" t="s">
        <v>33</v>
      </c>
      <c r="D571" s="9"/>
      <c r="E571" s="23">
        <v>47464</v>
      </c>
      <c r="G571" s="42">
        <v>5115946</v>
      </c>
      <c r="I571" s="42">
        <v>977549</v>
      </c>
      <c r="K571" s="42">
        <v>211039</v>
      </c>
      <c r="M571" s="42">
        <v>0</v>
      </c>
      <c r="O571" s="42">
        <v>0</v>
      </c>
      <c r="Q571" s="42">
        <v>387436</v>
      </c>
      <c r="S571" s="42">
        <v>288269</v>
      </c>
      <c r="U571" s="42">
        <v>51133</v>
      </c>
      <c r="W571" s="42">
        <v>761674</v>
      </c>
      <c r="Y571" s="42">
        <v>346784</v>
      </c>
      <c r="AA571" s="42">
        <v>0</v>
      </c>
      <c r="AC571" s="42">
        <v>1212930</v>
      </c>
      <c r="AE571" s="42">
        <v>515473</v>
      </c>
      <c r="AG571" s="42">
        <v>36310</v>
      </c>
      <c r="AI571" s="42">
        <v>0</v>
      </c>
      <c r="AK571" s="42">
        <v>0</v>
      </c>
      <c r="AL571" s="9" t="s">
        <v>336</v>
      </c>
      <c r="AM571" s="9"/>
      <c r="AN571" s="9" t="s">
        <v>33</v>
      </c>
      <c r="AP571" s="42">
        <v>273158</v>
      </c>
      <c r="AR571" s="42">
        <v>0</v>
      </c>
      <c r="AV571" s="42">
        <v>0</v>
      </c>
      <c r="AX571" s="42">
        <v>0</v>
      </c>
      <c r="AZ571" s="42">
        <v>0</v>
      </c>
      <c r="BB571" s="42">
        <f t="shared" si="92"/>
        <v>10177701</v>
      </c>
      <c r="BD571" s="42">
        <v>21500</v>
      </c>
      <c r="BF571" s="42">
        <v>0</v>
      </c>
      <c r="BH571" s="42">
        <v>0</v>
      </c>
      <c r="BJ571" s="42">
        <v>0</v>
      </c>
      <c r="BL571" s="42">
        <f t="shared" si="95"/>
        <v>10199201</v>
      </c>
      <c r="BN571" s="42">
        <f>+'Gen Fd Rev'!AM571-'Gen Fd Exp'!BL571</f>
        <v>-142529</v>
      </c>
      <c r="BP571" s="42">
        <v>7487993</v>
      </c>
      <c r="BR571" s="42">
        <v>0</v>
      </c>
      <c r="BT571" s="42">
        <v>0</v>
      </c>
      <c r="BV571" s="42">
        <f t="shared" si="96"/>
        <v>7345464</v>
      </c>
      <c r="BX571" s="5">
        <f>+BV571-'Gen Fd BS'!AI571+BT571</f>
        <v>0</v>
      </c>
    </row>
    <row r="572" spans="1:76" hidden="1">
      <c r="A572" s="9" t="s">
        <v>824</v>
      </c>
      <c r="B572" s="9"/>
      <c r="C572" s="9" t="s">
        <v>67</v>
      </c>
      <c r="D572" s="9"/>
      <c r="E572" s="23">
        <v>44966</v>
      </c>
      <c r="G572" s="42">
        <v>0</v>
      </c>
      <c r="I572" s="42">
        <v>0</v>
      </c>
      <c r="K572" s="42">
        <v>0</v>
      </c>
      <c r="M572" s="42">
        <v>0</v>
      </c>
      <c r="O572" s="42">
        <v>0</v>
      </c>
      <c r="Q572" s="42">
        <v>0</v>
      </c>
      <c r="S572" s="42">
        <v>0</v>
      </c>
      <c r="U572" s="42">
        <v>0</v>
      </c>
      <c r="W572" s="42">
        <v>0</v>
      </c>
      <c r="Y572" s="42">
        <v>0</v>
      </c>
      <c r="AA572" s="42">
        <v>0</v>
      </c>
      <c r="AC572" s="42">
        <v>0</v>
      </c>
      <c r="AE572" s="42">
        <v>0</v>
      </c>
      <c r="AG572" s="42">
        <v>0</v>
      </c>
      <c r="AI572" s="42">
        <v>0</v>
      </c>
      <c r="AK572" s="42">
        <v>0</v>
      </c>
      <c r="AL572" s="8" t="s">
        <v>824</v>
      </c>
      <c r="AM572" s="9"/>
      <c r="AN572" s="9" t="s">
        <v>67</v>
      </c>
      <c r="AP572" s="42">
        <v>0</v>
      </c>
      <c r="AR572" s="42">
        <v>0</v>
      </c>
      <c r="AV572" s="42">
        <v>0</v>
      </c>
      <c r="AX572" s="42">
        <v>0</v>
      </c>
      <c r="AZ572" s="42">
        <v>0</v>
      </c>
      <c r="BB572" s="42">
        <f t="shared" si="92"/>
        <v>0</v>
      </c>
      <c r="BD572" s="42">
        <v>0</v>
      </c>
      <c r="BF572" s="42">
        <v>0</v>
      </c>
      <c r="BH572" s="42">
        <v>0</v>
      </c>
      <c r="BJ572" s="42">
        <v>0</v>
      </c>
      <c r="BL572" s="42">
        <f t="shared" si="95"/>
        <v>0</v>
      </c>
      <c r="BN572" s="42">
        <f>+'Gen Fd Rev'!AM572-'Gen Fd Exp'!BL572</f>
        <v>0</v>
      </c>
      <c r="BP572" s="42">
        <v>0</v>
      </c>
      <c r="BR572" s="42">
        <v>0</v>
      </c>
      <c r="BT572" s="42">
        <v>0</v>
      </c>
      <c r="BV572" s="42">
        <f t="shared" si="96"/>
        <v>0</v>
      </c>
      <c r="BX572" s="5">
        <f>+BV572-'Gen Fd BS'!AI572+BT572</f>
        <v>0</v>
      </c>
    </row>
    <row r="573" spans="1:76">
      <c r="A573" s="9" t="s">
        <v>435</v>
      </c>
      <c r="B573" s="9"/>
      <c r="C573" s="9" t="s">
        <v>50</v>
      </c>
      <c r="D573" s="9"/>
      <c r="E573" s="23">
        <v>44958</v>
      </c>
      <c r="G573" s="42">
        <v>12868337</v>
      </c>
      <c r="I573" s="42">
        <v>3914034</v>
      </c>
      <c r="K573" s="42">
        <v>211102</v>
      </c>
      <c r="M573" s="42">
        <v>0</v>
      </c>
      <c r="O573" s="42">
        <v>1855777</v>
      </c>
      <c r="Q573" s="42">
        <v>2608826</v>
      </c>
      <c r="S573" s="42">
        <v>2109075</v>
      </c>
      <c r="U573" s="42">
        <v>30735</v>
      </c>
      <c r="W573" s="42">
        <v>1902560</v>
      </c>
      <c r="Y573" s="42">
        <v>1059573</v>
      </c>
      <c r="AA573" s="42">
        <v>150609</v>
      </c>
      <c r="AC573" s="42">
        <v>2192352</v>
      </c>
      <c r="AE573" s="42">
        <v>1093416</v>
      </c>
      <c r="AG573" s="42">
        <v>359889</v>
      </c>
      <c r="AI573" s="42">
        <v>0</v>
      </c>
      <c r="AK573" s="42">
        <v>28271</v>
      </c>
      <c r="AL573" s="9" t="s">
        <v>435</v>
      </c>
      <c r="AM573" s="9"/>
      <c r="AN573" s="9" t="s">
        <v>50</v>
      </c>
      <c r="AP573" s="42">
        <v>713029</v>
      </c>
      <c r="AR573" s="42">
        <v>0</v>
      </c>
      <c r="AV573" s="42">
        <v>376798</v>
      </c>
      <c r="AX573" s="42">
        <v>242952</v>
      </c>
      <c r="AZ573" s="42">
        <v>0</v>
      </c>
      <c r="BB573" s="42">
        <f t="shared" si="92"/>
        <v>31717335</v>
      </c>
      <c r="BD573" s="42">
        <v>161733</v>
      </c>
      <c r="BF573" s="42">
        <v>0</v>
      </c>
      <c r="BH573" s="42">
        <v>0</v>
      </c>
      <c r="BJ573" s="42">
        <v>0</v>
      </c>
      <c r="BL573" s="42">
        <f>+BB573+BD573+BF573+BJ573</f>
        <v>31879068</v>
      </c>
      <c r="BN573" s="42">
        <f>+'Gen Fd Rev'!AM573-'Gen Fd Exp'!BL573</f>
        <v>-1974195</v>
      </c>
      <c r="BP573" s="42">
        <v>3005524</v>
      </c>
      <c r="BR573" s="42">
        <v>0</v>
      </c>
      <c r="BT573" s="42">
        <v>0</v>
      </c>
      <c r="BV573" s="42">
        <f t="shared" si="96"/>
        <v>1031329</v>
      </c>
      <c r="BX573" s="5">
        <f>+BV573-'Gen Fd BS'!AI573+BT573</f>
        <v>0</v>
      </c>
    </row>
    <row r="574" spans="1:76" hidden="1">
      <c r="A574" s="9" t="s">
        <v>692</v>
      </c>
      <c r="B574" s="9"/>
      <c r="C574" s="9" t="s">
        <v>33</v>
      </c>
      <c r="D574" s="9"/>
      <c r="E574" s="23">
        <v>47472</v>
      </c>
      <c r="G574" s="42">
        <v>0</v>
      </c>
      <c r="I574" s="42">
        <v>0</v>
      </c>
      <c r="K574" s="42">
        <v>0</v>
      </c>
      <c r="M574" s="42">
        <v>0</v>
      </c>
      <c r="O574" s="42">
        <v>0</v>
      </c>
      <c r="Q574" s="42">
        <v>0</v>
      </c>
      <c r="S574" s="42">
        <v>0</v>
      </c>
      <c r="U574" s="42">
        <v>0</v>
      </c>
      <c r="W574" s="42">
        <v>0</v>
      </c>
      <c r="Y574" s="42">
        <v>0</v>
      </c>
      <c r="AA574" s="42">
        <v>0</v>
      </c>
      <c r="AC574" s="42">
        <v>0</v>
      </c>
      <c r="AE574" s="42">
        <v>0</v>
      </c>
      <c r="AG574" s="42">
        <v>0</v>
      </c>
      <c r="AI574" s="42">
        <v>0</v>
      </c>
      <c r="AK574" s="42">
        <v>0</v>
      </c>
      <c r="AL574" s="9" t="s">
        <v>692</v>
      </c>
      <c r="AM574" s="9"/>
      <c r="AN574" s="9" t="s">
        <v>33</v>
      </c>
      <c r="AP574" s="42">
        <v>0</v>
      </c>
      <c r="AR574" s="42">
        <v>0</v>
      </c>
      <c r="AV574" s="42">
        <v>0</v>
      </c>
      <c r="AX574" s="42">
        <v>0</v>
      </c>
      <c r="AZ574" s="42">
        <v>0</v>
      </c>
      <c r="BB574" s="42">
        <f>SUM(G574:AZ574)</f>
        <v>0</v>
      </c>
      <c r="BD574" s="42">
        <v>0</v>
      </c>
      <c r="BF574" s="42">
        <v>0</v>
      </c>
      <c r="BH574" s="42">
        <v>0</v>
      </c>
      <c r="BJ574" s="42">
        <v>0</v>
      </c>
      <c r="BL574" s="42">
        <f>+BB574+BD574+BF574+BJ574</f>
        <v>0</v>
      </c>
      <c r="BN574" s="42">
        <f>+'Gen Fd Rev'!AM574-'Gen Fd Exp'!BL574</f>
        <v>0</v>
      </c>
      <c r="BP574" s="42">
        <v>0</v>
      </c>
      <c r="BR574" s="42">
        <v>0</v>
      </c>
      <c r="BT574" s="42">
        <v>0</v>
      </c>
      <c r="BV574" s="42">
        <f t="shared" si="96"/>
        <v>0</v>
      </c>
      <c r="BX574" s="5">
        <f>+BV574-'Gen Fd BS'!AI574+BT574</f>
        <v>0</v>
      </c>
    </row>
    <row r="575" spans="1:76">
      <c r="A575" s="9" t="s">
        <v>289</v>
      </c>
      <c r="B575" s="9"/>
      <c r="C575" s="9" t="s">
        <v>24</v>
      </c>
      <c r="D575" s="9"/>
      <c r="E575" s="23">
        <v>46821</v>
      </c>
      <c r="G575" s="42">
        <v>8081283</v>
      </c>
      <c r="I575" s="42">
        <v>1620106</v>
      </c>
      <c r="K575" s="42">
        <v>116883</v>
      </c>
      <c r="M575" s="42">
        <v>0</v>
      </c>
      <c r="O575" s="42">
        <v>1332076</v>
      </c>
      <c r="Q575" s="42">
        <v>1225224</v>
      </c>
      <c r="S575" s="42">
        <v>2578229</v>
      </c>
      <c r="U575" s="42">
        <v>149616</v>
      </c>
      <c r="W575" s="42">
        <v>1572590</v>
      </c>
      <c r="Y575" s="42">
        <v>593219</v>
      </c>
      <c r="AA575" s="42">
        <v>127162</v>
      </c>
      <c r="AC575" s="42">
        <v>2463894</v>
      </c>
      <c r="AE575" s="42">
        <v>1270074</v>
      </c>
      <c r="AG575" s="42">
        <v>33548</v>
      </c>
      <c r="AI575" s="42">
        <v>0</v>
      </c>
      <c r="AK575" s="42">
        <v>0</v>
      </c>
      <c r="AL575" s="9" t="s">
        <v>289</v>
      </c>
      <c r="AM575" s="9"/>
      <c r="AN575" s="9" t="s">
        <v>24</v>
      </c>
      <c r="AP575" s="42">
        <v>509312</v>
      </c>
      <c r="AR575" s="42">
        <v>1965</v>
      </c>
      <c r="AV575" s="42">
        <v>360254</v>
      </c>
      <c r="AX575" s="42">
        <v>429110</v>
      </c>
      <c r="AZ575" s="42">
        <v>52316</v>
      </c>
      <c r="BB575" s="42">
        <f>SUM(G575:AZ575)</f>
        <v>22516861</v>
      </c>
      <c r="BD575" s="42">
        <v>149427</v>
      </c>
      <c r="BF575" s="42">
        <v>0</v>
      </c>
      <c r="BH575" s="42">
        <v>0</v>
      </c>
      <c r="BJ575" s="42">
        <v>0</v>
      </c>
      <c r="BL575" s="42">
        <f>+BB575+BD575+BF575+BJ575</f>
        <v>22666288</v>
      </c>
      <c r="BN575" s="42">
        <f>+'Gen Fd Rev'!AM575-'Gen Fd Exp'!BL575</f>
        <v>-252218</v>
      </c>
      <c r="BP575" s="42">
        <v>15622880</v>
      </c>
      <c r="BR575" s="42">
        <v>5243</v>
      </c>
      <c r="BT575" s="42">
        <v>0</v>
      </c>
      <c r="BV575" s="42">
        <f t="shared" si="96"/>
        <v>15365419</v>
      </c>
      <c r="BX575" s="5">
        <f>+BV575-'Gen Fd BS'!AI575+BT575</f>
        <v>0</v>
      </c>
    </row>
    <row r="576" spans="1:76" hidden="1">
      <c r="A576" s="9" t="s">
        <v>693</v>
      </c>
      <c r="B576" s="9"/>
      <c r="C576" s="9" t="s">
        <v>21</v>
      </c>
      <c r="D576" s="9"/>
      <c r="E576" s="23">
        <v>45633</v>
      </c>
      <c r="G576" s="42">
        <v>0</v>
      </c>
      <c r="I576" s="42">
        <v>0</v>
      </c>
      <c r="K576" s="42">
        <v>0</v>
      </c>
      <c r="M576" s="42">
        <v>0</v>
      </c>
      <c r="O576" s="42">
        <v>0</v>
      </c>
      <c r="Q576" s="42">
        <v>0</v>
      </c>
      <c r="S576" s="42">
        <v>0</v>
      </c>
      <c r="U576" s="42">
        <v>0</v>
      </c>
      <c r="W576" s="42">
        <v>0</v>
      </c>
      <c r="Y576" s="42">
        <v>0</v>
      </c>
      <c r="AA576" s="42">
        <v>0</v>
      </c>
      <c r="AC576" s="42">
        <v>0</v>
      </c>
      <c r="AE576" s="42">
        <v>0</v>
      </c>
      <c r="AG576" s="42">
        <v>0</v>
      </c>
      <c r="AI576" s="42">
        <v>0</v>
      </c>
      <c r="AK576" s="42">
        <v>0</v>
      </c>
      <c r="AL576" s="9" t="s">
        <v>693</v>
      </c>
      <c r="AM576" s="9"/>
      <c r="AN576" s="9" t="s">
        <v>21</v>
      </c>
      <c r="AP576" s="42">
        <v>0</v>
      </c>
      <c r="AR576" s="42">
        <v>0</v>
      </c>
      <c r="AV576" s="42">
        <v>0</v>
      </c>
      <c r="AX576" s="42">
        <v>0</v>
      </c>
      <c r="AZ576" s="42">
        <v>0</v>
      </c>
      <c r="BB576" s="42">
        <f>SUM(G576:AZ576)</f>
        <v>0</v>
      </c>
      <c r="BD576" s="42">
        <v>0</v>
      </c>
      <c r="BF576" s="42">
        <v>0</v>
      </c>
      <c r="BH576" s="42">
        <v>0</v>
      </c>
      <c r="BJ576" s="42">
        <v>0</v>
      </c>
      <c r="BL576" s="42">
        <f>+BB576+BD576+BF576+BJ576</f>
        <v>0</v>
      </c>
      <c r="BN576" s="42">
        <f>+'Gen Fd Rev'!AM576-'Gen Fd Exp'!BL576</f>
        <v>0</v>
      </c>
      <c r="BP576" s="42">
        <v>0</v>
      </c>
      <c r="BR576" s="42">
        <v>0</v>
      </c>
      <c r="BT576" s="42">
        <v>0</v>
      </c>
      <c r="BV576" s="42">
        <f t="shared" si="96"/>
        <v>0</v>
      </c>
      <c r="BX576" s="5">
        <f>+BV576-'Gen Fd BS'!AI576+BT576</f>
        <v>0</v>
      </c>
    </row>
    <row r="577" spans="1:76">
      <c r="A577" s="9" t="s">
        <v>538</v>
      </c>
      <c r="B577" s="9"/>
      <c r="C577" s="9" t="s">
        <v>68</v>
      </c>
      <c r="D577" s="9"/>
      <c r="E577" s="23">
        <v>50393</v>
      </c>
      <c r="G577" s="42">
        <v>9272176</v>
      </c>
      <c r="I577" s="42">
        <v>1995429</v>
      </c>
      <c r="K577" s="42">
        <v>269552</v>
      </c>
      <c r="M577" s="42">
        <v>0</v>
      </c>
      <c r="O577" s="42">
        <v>1090159</v>
      </c>
      <c r="Q577" s="42">
        <v>845720</v>
      </c>
      <c r="S577" s="42">
        <v>943734</v>
      </c>
      <c r="U577" s="42">
        <v>281107</v>
      </c>
      <c r="W577" s="42">
        <v>1813539</v>
      </c>
      <c r="Y577" s="42">
        <v>363977</v>
      </c>
      <c r="AA577" s="42">
        <v>0</v>
      </c>
      <c r="AC577" s="42">
        <v>1771211</v>
      </c>
      <c r="AE577" s="42">
        <v>2142725</v>
      </c>
      <c r="AG577" s="42">
        <v>423400</v>
      </c>
      <c r="AI577" s="42">
        <v>0</v>
      </c>
      <c r="AK577" s="42">
        <v>49510</v>
      </c>
      <c r="AL577" s="9" t="s">
        <v>538</v>
      </c>
      <c r="AM577" s="9"/>
      <c r="AN577" s="9" t="s">
        <v>68</v>
      </c>
      <c r="AP577" s="42">
        <v>203631</v>
      </c>
      <c r="AR577" s="42">
        <v>564088</v>
      </c>
      <c r="AV577" s="42">
        <v>95645</v>
      </c>
      <c r="AX577" s="42">
        <f>66136+115990</f>
        <v>182126</v>
      </c>
      <c r="AZ577" s="42">
        <v>0</v>
      </c>
      <c r="BB577" s="42">
        <f>SUM(G577:AZ577)</f>
        <v>22307729</v>
      </c>
      <c r="BD577" s="42">
        <v>0</v>
      </c>
      <c r="BF577" s="42">
        <v>0</v>
      </c>
      <c r="BH577" s="42">
        <v>0</v>
      </c>
      <c r="BJ577" s="42">
        <v>0</v>
      </c>
      <c r="BL577" s="42">
        <f>+BB577+BD577+BF577+BJ577</f>
        <v>22307729</v>
      </c>
      <c r="BN577" s="42">
        <f>+'Gen Fd Rev'!AM577-'Gen Fd Exp'!BL577</f>
        <v>476598</v>
      </c>
      <c r="BP577" s="42">
        <v>12295404</v>
      </c>
      <c r="BR577" s="42">
        <v>0</v>
      </c>
      <c r="BT577" s="42">
        <v>0</v>
      </c>
      <c r="BV577" s="42">
        <f t="shared" si="96"/>
        <v>12772002</v>
      </c>
      <c r="BX577" s="5">
        <f>+BV577-'Gen Fd BS'!AI577+BT577</f>
        <v>0</v>
      </c>
    </row>
    <row r="578" spans="1:76">
      <c r="A578" s="9" t="s">
        <v>416</v>
      </c>
      <c r="B578" s="9"/>
      <c r="C578" s="9" t="s">
        <v>47</v>
      </c>
      <c r="D578" s="9"/>
      <c r="E578" s="23">
        <v>44974</v>
      </c>
      <c r="G578" s="42">
        <v>17488186</v>
      </c>
      <c r="I578" s="42">
        <v>2051379</v>
      </c>
      <c r="K578" s="42">
        <v>1425631</v>
      </c>
      <c r="M578" s="42">
        <v>10363</v>
      </c>
      <c r="O578" s="42">
        <v>1473220</v>
      </c>
      <c r="Q578" s="42">
        <v>2835860</v>
      </c>
      <c r="S578" s="42">
        <v>980241</v>
      </c>
      <c r="U578" s="42">
        <v>342495</v>
      </c>
      <c r="W578" s="42">
        <v>3379344</v>
      </c>
      <c r="Y578" s="42">
        <v>778227</v>
      </c>
      <c r="AA578" s="42">
        <v>0</v>
      </c>
      <c r="AC578" s="42">
        <v>3850851</v>
      </c>
      <c r="AE578" s="42">
        <v>1675613</v>
      </c>
      <c r="AG578" s="42">
        <v>895725</v>
      </c>
      <c r="AI578" s="42">
        <v>0</v>
      </c>
      <c r="AK578" s="42">
        <v>0</v>
      </c>
      <c r="AL578" s="9" t="s">
        <v>416</v>
      </c>
      <c r="AM578" s="9"/>
      <c r="AN578" s="9" t="s">
        <v>47</v>
      </c>
      <c r="AP578" s="42">
        <v>649023</v>
      </c>
      <c r="AR578" s="42">
        <v>8032</v>
      </c>
      <c r="AV578" s="42">
        <v>0</v>
      </c>
      <c r="AX578" s="42">
        <v>0</v>
      </c>
      <c r="AZ578" s="42">
        <v>0</v>
      </c>
      <c r="BB578" s="42">
        <f t="shared" ref="BB578:BB599" si="97">SUM(G578:AZ578)</f>
        <v>37844190</v>
      </c>
      <c r="BD578" s="42">
        <v>0</v>
      </c>
      <c r="BF578" s="42">
        <v>0</v>
      </c>
      <c r="BH578" s="42">
        <v>0</v>
      </c>
      <c r="BJ578" s="42">
        <v>0</v>
      </c>
      <c r="BL578" s="42">
        <f t="shared" ref="BL578:BL632" si="98">+BB578+BD578+BF578+BJ578</f>
        <v>37844190</v>
      </c>
      <c r="BN578" s="42">
        <f>+'Gen Fd Rev'!AM578-'Gen Fd Exp'!BL578</f>
        <v>658020</v>
      </c>
      <c r="BP578" s="42">
        <v>6005118</v>
      </c>
      <c r="BR578" s="42">
        <v>0</v>
      </c>
      <c r="BT578" s="42">
        <v>0</v>
      </c>
      <c r="BV578" s="42">
        <f t="shared" ref="BV578:BV632" si="99">+BP578+BN578-BR578</f>
        <v>6663138</v>
      </c>
      <c r="BX578" s="5">
        <f>+BV578-'Gen Fd BS'!AI578+BT578</f>
        <v>0</v>
      </c>
    </row>
    <row r="579" spans="1:76" hidden="1">
      <c r="A579" s="9" t="s">
        <v>862</v>
      </c>
      <c r="B579" s="9"/>
      <c r="C579" s="9" t="s">
        <v>25</v>
      </c>
      <c r="D579" s="9"/>
      <c r="E579" s="23">
        <v>46904</v>
      </c>
      <c r="G579" s="42">
        <v>0</v>
      </c>
      <c r="I579" s="42">
        <v>0</v>
      </c>
      <c r="K579" s="42">
        <v>0</v>
      </c>
      <c r="M579" s="42">
        <v>0</v>
      </c>
      <c r="O579" s="42">
        <v>0</v>
      </c>
      <c r="Q579" s="42">
        <v>0</v>
      </c>
      <c r="S579" s="42">
        <v>0</v>
      </c>
      <c r="U579" s="42">
        <v>0</v>
      </c>
      <c r="W579" s="42">
        <v>0</v>
      </c>
      <c r="Y579" s="42">
        <v>0</v>
      </c>
      <c r="AA579" s="42">
        <v>0</v>
      </c>
      <c r="AC579" s="42">
        <v>0</v>
      </c>
      <c r="AE579" s="42">
        <v>0</v>
      </c>
      <c r="AG579" s="42">
        <v>0</v>
      </c>
      <c r="AI579" s="42">
        <v>0</v>
      </c>
      <c r="AK579" s="42">
        <v>0</v>
      </c>
      <c r="AL579" s="9" t="s">
        <v>862</v>
      </c>
      <c r="AM579" s="9"/>
      <c r="AN579" s="9" t="s">
        <v>25</v>
      </c>
      <c r="AP579" s="42">
        <v>0</v>
      </c>
      <c r="AR579" s="42">
        <v>0</v>
      </c>
      <c r="AV579" s="42">
        <v>0</v>
      </c>
      <c r="AX579" s="42">
        <v>0</v>
      </c>
      <c r="AZ579" s="42">
        <v>0</v>
      </c>
      <c r="BB579" s="42">
        <f t="shared" ref="BB579:BB581" si="100">SUM(G579:AZ579)</f>
        <v>0</v>
      </c>
      <c r="BD579" s="42">
        <v>0</v>
      </c>
      <c r="BF579" s="42">
        <v>0</v>
      </c>
      <c r="BH579" s="42">
        <v>0</v>
      </c>
      <c r="BJ579" s="42">
        <v>0</v>
      </c>
      <c r="BL579" s="42">
        <f t="shared" ref="BL579:BL581" si="101">+BB579+BD579+BF579+BJ579</f>
        <v>0</v>
      </c>
      <c r="BN579" s="42">
        <f>+'Gen Fd Rev'!AM579-'Gen Fd Exp'!BL579</f>
        <v>0</v>
      </c>
      <c r="BP579" s="42">
        <v>0</v>
      </c>
      <c r="BR579" s="42">
        <v>0</v>
      </c>
      <c r="BT579" s="42">
        <v>0</v>
      </c>
      <c r="BV579" s="42">
        <f t="shared" ref="BV579:BV581" si="102">+BP579+BN579-BR579</f>
        <v>0</v>
      </c>
      <c r="BX579" s="5">
        <f>+BV579-'Gen Fd BS'!AI579+BT579</f>
        <v>0</v>
      </c>
    </row>
    <row r="580" spans="1:76" hidden="1">
      <c r="A580" s="9" t="s">
        <v>863</v>
      </c>
      <c r="B580" s="9"/>
      <c r="C580" s="9" t="s">
        <v>14</v>
      </c>
      <c r="D580" s="9"/>
      <c r="E580" s="23">
        <v>44982</v>
      </c>
      <c r="G580" s="42">
        <v>0</v>
      </c>
      <c r="I580" s="42">
        <v>0</v>
      </c>
      <c r="K580" s="42">
        <v>0</v>
      </c>
      <c r="M580" s="42">
        <v>0</v>
      </c>
      <c r="O580" s="42">
        <v>0</v>
      </c>
      <c r="Q580" s="42">
        <v>0</v>
      </c>
      <c r="S580" s="42">
        <v>0</v>
      </c>
      <c r="U580" s="42">
        <v>0</v>
      </c>
      <c r="W580" s="42">
        <v>0</v>
      </c>
      <c r="Y580" s="42">
        <v>0</v>
      </c>
      <c r="AA580" s="42">
        <v>0</v>
      </c>
      <c r="AC580" s="42">
        <v>0</v>
      </c>
      <c r="AE580" s="42">
        <v>0</v>
      </c>
      <c r="AG580" s="42">
        <v>0</v>
      </c>
      <c r="AI580" s="42">
        <v>0</v>
      </c>
      <c r="AK580" s="42">
        <v>0</v>
      </c>
      <c r="AL580" s="9" t="s">
        <v>863</v>
      </c>
      <c r="AM580" s="9"/>
      <c r="AN580" s="9" t="s">
        <v>14</v>
      </c>
      <c r="AP580" s="42">
        <v>0</v>
      </c>
      <c r="AR580" s="42">
        <v>0</v>
      </c>
      <c r="AV580" s="42">
        <v>0</v>
      </c>
      <c r="AX580" s="42">
        <v>0</v>
      </c>
      <c r="AZ580" s="42">
        <v>0</v>
      </c>
      <c r="BB580" s="42">
        <f t="shared" si="100"/>
        <v>0</v>
      </c>
      <c r="BD580" s="42">
        <v>0</v>
      </c>
      <c r="BF580" s="42">
        <v>0</v>
      </c>
      <c r="BH580" s="42">
        <v>0</v>
      </c>
      <c r="BJ580" s="42">
        <v>0</v>
      </c>
      <c r="BL580" s="42">
        <f t="shared" si="101"/>
        <v>0</v>
      </c>
      <c r="BN580" s="42">
        <f>+'Gen Fd Rev'!AM580-'Gen Fd Exp'!BL580</f>
        <v>0</v>
      </c>
      <c r="BP580" s="42">
        <v>0</v>
      </c>
      <c r="BR580" s="42">
        <v>0</v>
      </c>
      <c r="BT580" s="42">
        <v>0</v>
      </c>
      <c r="BV580" s="42">
        <f t="shared" si="102"/>
        <v>0</v>
      </c>
      <c r="BX580" s="5">
        <f>+BV580-'Gen Fd BS'!AI580+BT580</f>
        <v>0</v>
      </c>
    </row>
    <row r="581" spans="1:76" hidden="1">
      <c r="A581" s="8" t="s">
        <v>864</v>
      </c>
      <c r="B581" s="8"/>
      <c r="C581" s="8" t="s">
        <v>63</v>
      </c>
      <c r="D581" s="9"/>
      <c r="E581" s="23"/>
      <c r="G581" s="42">
        <v>0</v>
      </c>
      <c r="I581" s="42">
        <v>0</v>
      </c>
      <c r="K581" s="42">
        <v>0</v>
      </c>
      <c r="M581" s="42">
        <v>0</v>
      </c>
      <c r="O581" s="42">
        <v>0</v>
      </c>
      <c r="Q581" s="42">
        <v>0</v>
      </c>
      <c r="S581" s="42">
        <v>0</v>
      </c>
      <c r="U581" s="42">
        <v>0</v>
      </c>
      <c r="W581" s="42">
        <v>0</v>
      </c>
      <c r="Y581" s="42">
        <v>0</v>
      </c>
      <c r="AA581" s="42">
        <v>0</v>
      </c>
      <c r="AC581" s="42">
        <v>0</v>
      </c>
      <c r="AE581" s="42">
        <v>0</v>
      </c>
      <c r="AG581" s="42">
        <v>0</v>
      </c>
      <c r="AI581" s="42">
        <v>0</v>
      </c>
      <c r="AK581" s="42">
        <v>0</v>
      </c>
      <c r="AL581" s="8" t="s">
        <v>864</v>
      </c>
      <c r="AM581" s="8"/>
      <c r="AN581" s="8" t="s">
        <v>63</v>
      </c>
      <c r="AP581" s="42">
        <v>0</v>
      </c>
      <c r="AR581" s="42">
        <v>0</v>
      </c>
      <c r="AV581" s="42">
        <v>0</v>
      </c>
      <c r="AX581" s="42">
        <v>0</v>
      </c>
      <c r="AZ581" s="42">
        <v>0</v>
      </c>
      <c r="BB581" s="42">
        <f t="shared" si="100"/>
        <v>0</v>
      </c>
      <c r="BD581" s="42">
        <v>0</v>
      </c>
      <c r="BF581" s="42">
        <v>0</v>
      </c>
      <c r="BH581" s="42">
        <v>0</v>
      </c>
      <c r="BJ581" s="42">
        <v>0</v>
      </c>
      <c r="BL581" s="42">
        <f t="shared" si="101"/>
        <v>0</v>
      </c>
      <c r="BN581" s="42">
        <f>+'Gen Fd Rev'!AM581-'Gen Fd Exp'!BL581</f>
        <v>0</v>
      </c>
      <c r="BP581" s="42">
        <v>0</v>
      </c>
      <c r="BR581" s="42">
        <v>0</v>
      </c>
      <c r="BT581" s="42">
        <v>0</v>
      </c>
      <c r="BV581" s="42">
        <f t="shared" si="102"/>
        <v>0</v>
      </c>
      <c r="BX581" s="5">
        <f>+BV581-'Gen Fd BS'!AI581+BT581</f>
        <v>0</v>
      </c>
    </row>
    <row r="582" spans="1:76">
      <c r="A582" s="9" t="s">
        <v>527</v>
      </c>
      <c r="B582" s="9"/>
      <c r="C582" s="9" t="s">
        <v>64</v>
      </c>
      <c r="D582" s="9"/>
      <c r="E582" s="23">
        <v>44990</v>
      </c>
      <c r="G582" s="42">
        <v>27913550</v>
      </c>
      <c r="I582" s="42">
        <v>6706738</v>
      </c>
      <c r="K582" s="42">
        <v>128250</v>
      </c>
      <c r="M582" s="42">
        <v>0</v>
      </c>
      <c r="O582" s="42">
        <v>2719977</v>
      </c>
      <c r="Q582" s="42">
        <v>3295641</v>
      </c>
      <c r="S582" s="42">
        <v>2017652</v>
      </c>
      <c r="U582" s="42">
        <v>30264</v>
      </c>
      <c r="W582" s="42">
        <v>5196689</v>
      </c>
      <c r="Y582" s="42">
        <v>950825</v>
      </c>
      <c r="AA582" s="42">
        <v>672711</v>
      </c>
      <c r="AC582" s="42">
        <v>6767590</v>
      </c>
      <c r="AE582" s="42">
        <v>2529605</v>
      </c>
      <c r="AG582" s="42">
        <v>1255720</v>
      </c>
      <c r="AI582" s="42">
        <v>0</v>
      </c>
      <c r="AK582" s="42">
        <v>1260</v>
      </c>
      <c r="AL582" s="9" t="s">
        <v>527</v>
      </c>
      <c r="AM582" s="9"/>
      <c r="AN582" s="9" t="s">
        <v>64</v>
      </c>
      <c r="AP582" s="42">
        <v>897735</v>
      </c>
      <c r="AR582" s="42">
        <v>15000</v>
      </c>
      <c r="AV582" s="42">
        <v>0</v>
      </c>
      <c r="AX582" s="42">
        <v>0</v>
      </c>
      <c r="AZ582" s="42">
        <v>292617</v>
      </c>
      <c r="BB582" s="42">
        <f t="shared" si="97"/>
        <v>61391824</v>
      </c>
      <c r="BD582" s="42">
        <v>36500</v>
      </c>
      <c r="BF582" s="42">
        <v>0</v>
      </c>
      <c r="BH582" s="42">
        <v>0</v>
      </c>
      <c r="BJ582" s="42">
        <v>0</v>
      </c>
      <c r="BL582" s="42">
        <f t="shared" si="98"/>
        <v>61428324</v>
      </c>
      <c r="BN582" s="42">
        <f>+'Gen Fd Rev'!AM582-'Gen Fd Exp'!BL582</f>
        <v>-2900203</v>
      </c>
      <c r="BP582" s="42">
        <v>10773051</v>
      </c>
      <c r="BR582" s="42">
        <v>0</v>
      </c>
      <c r="BT582" s="42">
        <v>0</v>
      </c>
      <c r="BV582" s="42">
        <f t="shared" si="99"/>
        <v>7872848</v>
      </c>
      <c r="BX582" s="5">
        <f>+BV582-'Gen Fd BS'!AI582+BT582</f>
        <v>0</v>
      </c>
    </row>
    <row r="583" spans="1:76">
      <c r="A583" s="9" t="s">
        <v>545</v>
      </c>
      <c r="B583" s="9"/>
      <c r="C583" s="9" t="s">
        <v>70</v>
      </c>
      <c r="D583" s="9"/>
      <c r="E583" s="23">
        <v>50500</v>
      </c>
      <c r="G583" s="42">
        <v>10899534</v>
      </c>
      <c r="I583" s="42">
        <v>1278240</v>
      </c>
      <c r="K583" s="42">
        <v>64867</v>
      </c>
      <c r="M583" s="42">
        <v>0</v>
      </c>
      <c r="O583" s="42">
        <v>5994</v>
      </c>
      <c r="Q583" s="42">
        <v>522558</v>
      </c>
      <c r="S583" s="42">
        <v>810100</v>
      </c>
      <c r="U583" s="42">
        <v>51880</v>
      </c>
      <c r="W583" s="42">
        <v>1399448</v>
      </c>
      <c r="Y583" s="42">
        <v>481514</v>
      </c>
      <c r="AA583" s="42">
        <v>6116</v>
      </c>
      <c r="AC583" s="42">
        <v>1890597</v>
      </c>
      <c r="AE583" s="42">
        <v>1338773</v>
      </c>
      <c r="AG583" s="42">
        <v>25897</v>
      </c>
      <c r="AI583" s="42">
        <v>0</v>
      </c>
      <c r="AK583" s="42">
        <v>1146</v>
      </c>
      <c r="AL583" s="9" t="s">
        <v>545</v>
      </c>
      <c r="AM583" s="9"/>
      <c r="AN583" s="9" t="s">
        <v>70</v>
      </c>
      <c r="AP583" s="42">
        <v>226691</v>
      </c>
      <c r="AR583" s="42">
        <v>1223593</v>
      </c>
      <c r="AV583" s="42">
        <v>0</v>
      </c>
      <c r="AX583" s="42">
        <v>0</v>
      </c>
      <c r="AZ583" s="42">
        <v>0</v>
      </c>
      <c r="BB583" s="42">
        <f t="shared" si="97"/>
        <v>20226948</v>
      </c>
      <c r="BD583" s="42">
        <v>0</v>
      </c>
      <c r="BF583" s="42">
        <v>0</v>
      </c>
      <c r="BH583" s="42">
        <v>0</v>
      </c>
      <c r="BJ583" s="42">
        <v>0</v>
      </c>
      <c r="BL583" s="42">
        <f t="shared" si="98"/>
        <v>20226948</v>
      </c>
      <c r="BN583" s="42">
        <f>+'Gen Fd Rev'!AM583-'Gen Fd Exp'!BL583</f>
        <v>-752961</v>
      </c>
      <c r="BP583" s="42">
        <v>4634147</v>
      </c>
      <c r="BR583" s="42">
        <v>0</v>
      </c>
      <c r="BT583" s="42">
        <v>0</v>
      </c>
      <c r="BV583" s="42">
        <f t="shared" si="99"/>
        <v>3881186</v>
      </c>
      <c r="BX583" s="5">
        <f>+BV583-'Gen Fd BS'!AI583+BT583</f>
        <v>0</v>
      </c>
    </row>
    <row r="584" spans="1:76">
      <c r="A584" s="9" t="s">
        <v>278</v>
      </c>
      <c r="B584" s="9"/>
      <c r="C584" s="9" t="s">
        <v>20</v>
      </c>
      <c r="D584" s="9"/>
      <c r="E584" s="23">
        <v>45005</v>
      </c>
      <c r="F584" s="7"/>
      <c r="G584" s="42">
        <v>12731882</v>
      </c>
      <c r="I584" s="42">
        <v>3499255</v>
      </c>
      <c r="K584" s="42">
        <v>391215</v>
      </c>
      <c r="M584" s="42">
        <v>0</v>
      </c>
      <c r="O584" s="42">
        <v>0</v>
      </c>
      <c r="Q584" s="42">
        <v>830596</v>
      </c>
      <c r="S584" s="42">
        <v>1542504</v>
      </c>
      <c r="U584" s="42">
        <v>71938</v>
      </c>
      <c r="W584" s="42">
        <v>2423490</v>
      </c>
      <c r="Y584" s="42">
        <v>1321211</v>
      </c>
      <c r="AA584" s="42">
        <v>1215054</v>
      </c>
      <c r="AC584" s="42">
        <v>3175885</v>
      </c>
      <c r="AE584" s="42">
        <v>999642</v>
      </c>
      <c r="AG584" s="42">
        <v>295221</v>
      </c>
      <c r="AI584" s="42">
        <v>0</v>
      </c>
      <c r="AK584" s="42">
        <v>1655</v>
      </c>
      <c r="AL584" s="9" t="s">
        <v>278</v>
      </c>
      <c r="AM584" s="9"/>
      <c r="AN584" s="9" t="s">
        <v>20</v>
      </c>
      <c r="AP584" s="42">
        <v>92201</v>
      </c>
      <c r="AR584" s="42">
        <v>0</v>
      </c>
      <c r="AV584" s="42">
        <v>0</v>
      </c>
      <c r="AX584" s="42">
        <v>0</v>
      </c>
      <c r="AZ584" s="42">
        <v>0</v>
      </c>
      <c r="BB584" s="42">
        <f>SUM(G584:AZ584)</f>
        <v>28591749</v>
      </c>
      <c r="BD584" s="42">
        <v>110400</v>
      </c>
      <c r="BF584" s="42">
        <v>0</v>
      </c>
      <c r="BH584" s="42">
        <v>0</v>
      </c>
      <c r="BJ584" s="42">
        <v>0</v>
      </c>
      <c r="BL584" s="42">
        <f>+BB584+BD584+BF584+BJ584</f>
        <v>28702149</v>
      </c>
      <c r="BN584" s="42">
        <f>+'Gen Fd Rev'!AM584-'Gen Fd Exp'!BL584</f>
        <v>4858827</v>
      </c>
      <c r="BP584" s="42">
        <v>10584019</v>
      </c>
      <c r="BR584" s="42">
        <v>0</v>
      </c>
      <c r="BT584" s="42">
        <v>0</v>
      </c>
      <c r="BV584" s="42">
        <f>+BP584+BN584-BR584</f>
        <v>15442846</v>
      </c>
      <c r="BX584" s="5">
        <f>+BV584-'Gen Fd BS'!AI584+BT584</f>
        <v>0</v>
      </c>
    </row>
    <row r="585" spans="1:76">
      <c r="A585" s="9" t="s">
        <v>296</v>
      </c>
      <c r="B585" s="9"/>
      <c r="C585" s="9" t="s">
        <v>26</v>
      </c>
      <c r="D585" s="9"/>
      <c r="E585" s="23">
        <v>45013</v>
      </c>
      <c r="G585" s="42">
        <v>9399438</v>
      </c>
      <c r="I585" s="42">
        <v>2185095</v>
      </c>
      <c r="K585" s="42">
        <v>0</v>
      </c>
      <c r="M585" s="42">
        <v>0</v>
      </c>
      <c r="O585" s="42">
        <v>5675</v>
      </c>
      <c r="Q585" s="42">
        <v>591466</v>
      </c>
      <c r="S585" s="42">
        <v>313732</v>
      </c>
      <c r="U585" s="42">
        <v>19386</v>
      </c>
      <c r="W585" s="42">
        <f>1667375+5839</f>
        <v>1673214</v>
      </c>
      <c r="Y585" s="42">
        <v>462319</v>
      </c>
      <c r="AA585" s="42">
        <v>0</v>
      </c>
      <c r="AC585" s="42">
        <v>1654073</v>
      </c>
      <c r="AE585" s="42">
        <v>612058</v>
      </c>
      <c r="AG585" s="42">
        <v>144096</v>
      </c>
      <c r="AI585" s="42">
        <v>0</v>
      </c>
      <c r="AK585" s="42">
        <v>8489</v>
      </c>
      <c r="AL585" s="9" t="s">
        <v>296</v>
      </c>
      <c r="AM585" s="9"/>
      <c r="AN585" s="9" t="s">
        <v>26</v>
      </c>
      <c r="AP585" s="42">
        <v>297437</v>
      </c>
      <c r="AR585" s="42">
        <v>8701</v>
      </c>
      <c r="AV585" s="42">
        <v>13013</v>
      </c>
      <c r="AX585" s="42">
        <v>2506</v>
      </c>
      <c r="AZ585" s="42">
        <v>0</v>
      </c>
      <c r="BB585" s="42">
        <f t="shared" si="97"/>
        <v>17390698</v>
      </c>
      <c r="BD585" s="42">
        <v>2940</v>
      </c>
      <c r="BF585" s="42">
        <v>0</v>
      </c>
      <c r="BH585" s="42">
        <v>0</v>
      </c>
      <c r="BJ585" s="42">
        <v>0</v>
      </c>
      <c r="BL585" s="42">
        <f t="shared" si="98"/>
        <v>17393638</v>
      </c>
      <c r="BN585" s="42">
        <f>+'Gen Fd Rev'!AM585-'Gen Fd Exp'!BL585</f>
        <v>180151</v>
      </c>
      <c r="BP585" s="42">
        <v>2316543</v>
      </c>
      <c r="BR585" s="42">
        <v>0</v>
      </c>
      <c r="BT585" s="42">
        <v>0</v>
      </c>
      <c r="BV585" s="42">
        <f t="shared" si="99"/>
        <v>2496694</v>
      </c>
      <c r="BX585" s="5">
        <f>+BV585-'Gen Fd BS'!AI585+BT585</f>
        <v>0</v>
      </c>
    </row>
    <row r="586" spans="1:76">
      <c r="A586" s="9" t="s">
        <v>393</v>
      </c>
      <c r="B586" s="9"/>
      <c r="C586" s="9" t="s">
        <v>114</v>
      </c>
      <c r="D586" s="9"/>
      <c r="E586" s="23">
        <v>48231</v>
      </c>
      <c r="G586" s="42">
        <v>30926443</v>
      </c>
      <c r="I586" s="42">
        <v>9298060</v>
      </c>
      <c r="K586" s="42">
        <v>2517117</v>
      </c>
      <c r="M586" s="42">
        <v>0</v>
      </c>
      <c r="O586" s="42">
        <v>3304347</v>
      </c>
      <c r="Q586" s="42">
        <v>3743191</v>
      </c>
      <c r="S586" s="42">
        <v>1151583</v>
      </c>
      <c r="U586" s="42">
        <v>145459</v>
      </c>
      <c r="W586" s="42">
        <v>4782606</v>
      </c>
      <c r="Y586" s="42">
        <v>1476145</v>
      </c>
      <c r="AA586" s="42">
        <v>607546</v>
      </c>
      <c r="AC586" s="42">
        <v>8010051</v>
      </c>
      <c r="AE586" s="42">
        <v>3256457</v>
      </c>
      <c r="AG586" s="42">
        <v>1816462</v>
      </c>
      <c r="AI586" s="42">
        <v>0</v>
      </c>
      <c r="AK586" s="42">
        <v>46604</v>
      </c>
      <c r="AL586" s="9" t="s">
        <v>393</v>
      </c>
      <c r="AM586" s="9"/>
      <c r="AN586" s="9" t="s">
        <v>114</v>
      </c>
      <c r="AP586" s="42">
        <v>872909</v>
      </c>
      <c r="AR586" s="42">
        <v>31320</v>
      </c>
      <c r="AV586" s="42">
        <v>0</v>
      </c>
      <c r="AX586" s="42">
        <v>0</v>
      </c>
      <c r="AZ586" s="42">
        <v>0</v>
      </c>
      <c r="BB586" s="42">
        <f t="shared" si="97"/>
        <v>71986300</v>
      </c>
      <c r="BD586" s="42">
        <v>13500</v>
      </c>
      <c r="BF586" s="42">
        <v>0</v>
      </c>
      <c r="BH586" s="42">
        <v>0</v>
      </c>
      <c r="BJ586" s="42">
        <v>0</v>
      </c>
      <c r="BL586" s="42">
        <f t="shared" si="98"/>
        <v>71999800</v>
      </c>
      <c r="BN586" s="42">
        <f>+'Gen Fd Rev'!AM586-'Gen Fd Exp'!BL586</f>
        <v>-1065872</v>
      </c>
      <c r="BP586" s="42">
        <v>25566225</v>
      </c>
      <c r="BR586" s="42">
        <v>0</v>
      </c>
      <c r="BT586" s="42">
        <v>0</v>
      </c>
      <c r="BV586" s="42">
        <f t="shared" si="99"/>
        <v>24500353</v>
      </c>
      <c r="BX586" s="5">
        <f>+BV586-'Gen Fd BS'!AI586+BT586</f>
        <v>0</v>
      </c>
    </row>
    <row r="587" spans="1:76">
      <c r="A587" s="9" t="s">
        <v>482</v>
      </c>
      <c r="B587" s="9"/>
      <c r="C587" s="9" t="s">
        <v>59</v>
      </c>
      <c r="D587" s="9"/>
      <c r="E587" s="23">
        <v>49650</v>
      </c>
      <c r="F587" s="7"/>
      <c r="G587" s="42">
        <v>6108601</v>
      </c>
      <c r="I587" s="42">
        <v>1639956</v>
      </c>
      <c r="K587" s="42">
        <v>102264</v>
      </c>
      <c r="M587" s="42">
        <v>0</v>
      </c>
      <c r="O587" s="42">
        <v>29985</v>
      </c>
      <c r="Q587" s="42">
        <v>775986</v>
      </c>
      <c r="S587" s="42">
        <v>665335</v>
      </c>
      <c r="U587" s="42">
        <v>52108</v>
      </c>
      <c r="W587" s="42">
        <v>1089224</v>
      </c>
      <c r="Y587" s="42">
        <v>345178</v>
      </c>
      <c r="AA587" s="42">
        <v>0</v>
      </c>
      <c r="AC587" s="42">
        <v>1579138</v>
      </c>
      <c r="AE587" s="42">
        <v>806032</v>
      </c>
      <c r="AG587" s="42">
        <v>0</v>
      </c>
      <c r="AI587" s="42">
        <v>0</v>
      </c>
      <c r="AK587" s="42">
        <v>3291</v>
      </c>
      <c r="AL587" s="9" t="s">
        <v>482</v>
      </c>
      <c r="AM587" s="9"/>
      <c r="AN587" s="9" t="s">
        <v>59</v>
      </c>
      <c r="AP587" s="42">
        <v>172171</v>
      </c>
      <c r="AR587" s="42">
        <v>643984</v>
      </c>
      <c r="AV587" s="42">
        <v>0</v>
      </c>
      <c r="AX587" s="42">
        <v>1000</v>
      </c>
      <c r="AZ587" s="42">
        <v>0</v>
      </c>
      <c r="BB587" s="42">
        <f t="shared" si="97"/>
        <v>14014253</v>
      </c>
      <c r="BD587" s="42">
        <v>28904</v>
      </c>
      <c r="BF587" s="42">
        <v>0</v>
      </c>
      <c r="BH587" s="42">
        <v>0</v>
      </c>
      <c r="BJ587" s="42">
        <v>0</v>
      </c>
      <c r="BL587" s="42">
        <f t="shared" si="98"/>
        <v>14043157</v>
      </c>
      <c r="BN587" s="42">
        <f>+'Gen Fd Rev'!AM587-'Gen Fd Exp'!BL587</f>
        <v>159475</v>
      </c>
      <c r="BP587" s="42">
        <v>1940609</v>
      </c>
      <c r="BR587" s="42">
        <v>0</v>
      </c>
      <c r="BT587" s="42">
        <v>0</v>
      </c>
      <c r="BV587" s="42">
        <f t="shared" si="99"/>
        <v>2100084</v>
      </c>
      <c r="BX587" s="5">
        <f>+BV587-'Gen Fd BS'!AI587+BT587</f>
        <v>0</v>
      </c>
    </row>
    <row r="588" spans="1:76">
      <c r="A588" s="9" t="s">
        <v>462</v>
      </c>
      <c r="B588" s="9"/>
      <c r="C588" s="9" t="s">
        <v>56</v>
      </c>
      <c r="D588" s="9"/>
      <c r="E588" s="23">
        <v>49247</v>
      </c>
      <c r="G588" s="42">
        <v>4786412</v>
      </c>
      <c r="I588" s="42">
        <v>1216511</v>
      </c>
      <c r="K588" s="42">
        <v>0</v>
      </c>
      <c r="M588" s="42">
        <v>0</v>
      </c>
      <c r="O588" s="42">
        <v>14094</v>
      </c>
      <c r="Q588" s="42">
        <v>351595</v>
      </c>
      <c r="S588" s="42">
        <v>274634</v>
      </c>
      <c r="U588" s="42">
        <v>24588</v>
      </c>
      <c r="W588" s="42">
        <v>812227</v>
      </c>
      <c r="Y588" s="42">
        <v>299668</v>
      </c>
      <c r="AA588" s="42">
        <v>18543</v>
      </c>
      <c r="AC588" s="42">
        <v>776090</v>
      </c>
      <c r="AE588" s="42">
        <v>770557</v>
      </c>
      <c r="AG588" s="42">
        <v>15193</v>
      </c>
      <c r="AI588" s="42">
        <v>0</v>
      </c>
      <c r="AK588" s="42">
        <v>0</v>
      </c>
      <c r="AL588" s="9" t="s">
        <v>462</v>
      </c>
      <c r="AM588" s="9"/>
      <c r="AN588" s="9" t="s">
        <v>56</v>
      </c>
      <c r="AP588" s="42">
        <v>177860</v>
      </c>
      <c r="AR588" s="42">
        <v>0</v>
      </c>
      <c r="AV588" s="42">
        <v>0</v>
      </c>
      <c r="AX588" s="42">
        <v>0</v>
      </c>
      <c r="AZ588" s="42">
        <v>0</v>
      </c>
      <c r="BB588" s="42">
        <f t="shared" si="97"/>
        <v>9537972</v>
      </c>
      <c r="BD588" s="42">
        <v>0</v>
      </c>
      <c r="BF588" s="42">
        <v>0</v>
      </c>
      <c r="BH588" s="42">
        <v>0</v>
      </c>
      <c r="BJ588" s="42">
        <v>0</v>
      </c>
      <c r="BL588" s="42">
        <f t="shared" si="98"/>
        <v>9537972</v>
      </c>
      <c r="BN588" s="42">
        <f>+'Gen Fd Rev'!AM588-'Gen Fd Exp'!BL588</f>
        <v>327568</v>
      </c>
      <c r="BP588" s="42">
        <v>544186</v>
      </c>
      <c r="BR588" s="42">
        <v>1473</v>
      </c>
      <c r="BT588" s="42">
        <v>0</v>
      </c>
      <c r="BV588" s="42">
        <f t="shared" si="99"/>
        <v>870281</v>
      </c>
      <c r="BX588" s="5">
        <f>+BV588-'Gen Fd BS'!AI588+BT588</f>
        <v>0</v>
      </c>
    </row>
    <row r="589" spans="1:76">
      <c r="A589" s="9" t="s">
        <v>774</v>
      </c>
      <c r="B589" s="9"/>
      <c r="C589" s="9" t="s">
        <v>28</v>
      </c>
      <c r="D589" s="9"/>
      <c r="E589" s="23">
        <v>45641</v>
      </c>
      <c r="G589" s="42">
        <v>7188364</v>
      </c>
      <c r="I589" s="42">
        <v>2072491</v>
      </c>
      <c r="K589" s="42">
        <v>224212</v>
      </c>
      <c r="M589" s="42">
        <v>0</v>
      </c>
      <c r="O589" s="42">
        <v>1012333</v>
      </c>
      <c r="Q589" s="42">
        <v>461769</v>
      </c>
      <c r="S589" s="42">
        <v>457684</v>
      </c>
      <c r="U589" s="42">
        <v>42621</v>
      </c>
      <c r="W589" s="42">
        <v>1252915</v>
      </c>
      <c r="Y589" s="42">
        <v>346750</v>
      </c>
      <c r="AA589" s="42">
        <v>67630</v>
      </c>
      <c r="AC589" s="42">
        <v>1228240</v>
      </c>
      <c r="AE589" s="42">
        <v>723030</v>
      </c>
      <c r="AG589" s="42">
        <v>148793</v>
      </c>
      <c r="AI589" s="42">
        <v>0</v>
      </c>
      <c r="AK589" s="42">
        <v>0</v>
      </c>
      <c r="AL589" s="9" t="s">
        <v>774</v>
      </c>
      <c r="AM589" s="9"/>
      <c r="AN589" s="9" t="s">
        <v>28</v>
      </c>
      <c r="AP589" s="42">
        <v>493060</v>
      </c>
      <c r="AR589" s="42">
        <v>0</v>
      </c>
      <c r="AV589" s="42">
        <v>0</v>
      </c>
      <c r="AX589" s="42">
        <v>0</v>
      </c>
      <c r="AZ589" s="42">
        <v>0</v>
      </c>
      <c r="BB589" s="42">
        <f t="shared" si="97"/>
        <v>15719892</v>
      </c>
      <c r="BD589" s="42">
        <v>0</v>
      </c>
      <c r="BF589" s="42">
        <v>0</v>
      </c>
      <c r="BH589" s="42">
        <v>0</v>
      </c>
      <c r="BJ589" s="42">
        <v>0</v>
      </c>
      <c r="BL589" s="42">
        <f t="shared" si="98"/>
        <v>15719892</v>
      </c>
      <c r="BN589" s="42">
        <f>+'Gen Fd Rev'!AM589-'Gen Fd Exp'!BL589</f>
        <v>-700339</v>
      </c>
      <c r="BP589" s="42">
        <v>1516276</v>
      </c>
      <c r="BR589" s="42">
        <v>0</v>
      </c>
      <c r="BT589" s="42">
        <v>0</v>
      </c>
      <c r="BV589" s="42">
        <f t="shared" si="99"/>
        <v>815937</v>
      </c>
      <c r="BX589" s="5">
        <f>+BV589-'Gen Fd BS'!AI589+BT589</f>
        <v>0</v>
      </c>
    </row>
    <row r="590" spans="1:76">
      <c r="A590" s="9" t="s">
        <v>454</v>
      </c>
      <c r="B590" s="9"/>
      <c r="C590" s="9" t="s">
        <v>55</v>
      </c>
      <c r="D590" s="9"/>
      <c r="E590" s="23">
        <v>49148</v>
      </c>
      <c r="G590" s="42">
        <v>6836677</v>
      </c>
      <c r="I590" s="42">
        <v>1694339</v>
      </c>
      <c r="K590" s="42">
        <v>193490</v>
      </c>
      <c r="M590" s="42">
        <v>0</v>
      </c>
      <c r="O590" s="42">
        <v>6432</v>
      </c>
      <c r="Q590" s="42">
        <v>612592</v>
      </c>
      <c r="S590" s="42">
        <v>692039</v>
      </c>
      <c r="U590" s="42">
        <v>46495</v>
      </c>
      <c r="W590" s="42">
        <v>1114489</v>
      </c>
      <c r="Y590" s="42">
        <v>399807</v>
      </c>
      <c r="AA590" s="42">
        <v>0</v>
      </c>
      <c r="AC590" s="42">
        <v>1737910</v>
      </c>
      <c r="AE590" s="42">
        <v>1013150</v>
      </c>
      <c r="AG590" s="42">
        <v>780</v>
      </c>
      <c r="AI590" s="42">
        <v>0</v>
      </c>
      <c r="AK590" s="42">
        <v>8576</v>
      </c>
      <c r="AL590" s="9" t="s">
        <v>454</v>
      </c>
      <c r="AM590" s="9"/>
      <c r="AN590" s="9" t="s">
        <v>55</v>
      </c>
      <c r="AP590" s="42">
        <v>269325</v>
      </c>
      <c r="AR590" s="42">
        <v>18500</v>
      </c>
      <c r="AV590" s="42">
        <v>80972</v>
      </c>
      <c r="AX590" s="42">
        <v>61256</v>
      </c>
      <c r="AZ590" s="42">
        <v>0</v>
      </c>
      <c r="BB590" s="42">
        <f t="shared" si="97"/>
        <v>14786829</v>
      </c>
      <c r="BD590" s="42">
        <v>131672</v>
      </c>
      <c r="BF590" s="42">
        <v>0</v>
      </c>
      <c r="BH590" s="42">
        <v>0</v>
      </c>
      <c r="BJ590" s="42">
        <v>0</v>
      </c>
      <c r="BL590" s="42">
        <f t="shared" si="98"/>
        <v>14918501</v>
      </c>
      <c r="BN590" s="42">
        <f>+'Gen Fd Rev'!AM590-'Gen Fd Exp'!BL590</f>
        <v>797883</v>
      </c>
      <c r="BP590" s="42">
        <v>1345965</v>
      </c>
      <c r="BR590" s="42">
        <v>0</v>
      </c>
      <c r="BT590" s="42">
        <v>0</v>
      </c>
      <c r="BV590" s="42">
        <f t="shared" si="99"/>
        <v>2143848</v>
      </c>
      <c r="BX590" s="5">
        <f>+BV590-'Gen Fd BS'!AI590+BT590</f>
        <v>0</v>
      </c>
    </row>
    <row r="591" spans="1:76" hidden="1">
      <c r="A591" s="9" t="s">
        <v>702</v>
      </c>
      <c r="B591" s="9"/>
      <c r="C591" s="9" t="s">
        <v>69</v>
      </c>
      <c r="D591" s="9"/>
      <c r="E591" s="23">
        <v>50468</v>
      </c>
      <c r="F591" s="7"/>
      <c r="G591" s="42">
        <v>0</v>
      </c>
      <c r="I591" s="42">
        <v>0</v>
      </c>
      <c r="K591" s="42">
        <v>0</v>
      </c>
      <c r="M591" s="42">
        <v>0</v>
      </c>
      <c r="O591" s="42">
        <v>0</v>
      </c>
      <c r="Q591" s="42">
        <v>0</v>
      </c>
      <c r="S591" s="42">
        <v>0</v>
      </c>
      <c r="U591" s="42">
        <v>0</v>
      </c>
      <c r="W591" s="42">
        <v>0</v>
      </c>
      <c r="Y591" s="42">
        <v>0</v>
      </c>
      <c r="AA591" s="42">
        <v>0</v>
      </c>
      <c r="AC591" s="42">
        <v>0</v>
      </c>
      <c r="AE591" s="42">
        <v>0</v>
      </c>
      <c r="AG591" s="42">
        <v>0</v>
      </c>
      <c r="AI591" s="42">
        <v>0</v>
      </c>
      <c r="AK591" s="42">
        <v>0</v>
      </c>
      <c r="AL591" s="9" t="s">
        <v>702</v>
      </c>
      <c r="AM591" s="9"/>
      <c r="AN591" s="9" t="s">
        <v>69</v>
      </c>
      <c r="AP591" s="42">
        <v>0</v>
      </c>
      <c r="AR591" s="42">
        <v>0</v>
      </c>
      <c r="AV591" s="42">
        <v>0</v>
      </c>
      <c r="AX591" s="42">
        <v>0</v>
      </c>
      <c r="AZ591" s="42">
        <v>0</v>
      </c>
      <c r="BB591" s="42">
        <f t="shared" si="97"/>
        <v>0</v>
      </c>
      <c r="BD591" s="42">
        <v>0</v>
      </c>
      <c r="BF591" s="42">
        <v>0</v>
      </c>
      <c r="BH591" s="42">
        <v>0</v>
      </c>
      <c r="BJ591" s="42">
        <v>0</v>
      </c>
      <c r="BL591" s="42">
        <f t="shared" si="98"/>
        <v>0</v>
      </c>
      <c r="BN591" s="42">
        <f>+'Gen Fd Rev'!AM591-'Gen Fd Exp'!BL591</f>
        <v>0</v>
      </c>
      <c r="BP591" s="42">
        <v>0</v>
      </c>
      <c r="BR591" s="42">
        <v>0</v>
      </c>
      <c r="BT591" s="42">
        <v>0</v>
      </c>
      <c r="BV591" s="42">
        <f t="shared" si="99"/>
        <v>0</v>
      </c>
      <c r="BX591" s="5">
        <f>+BV591-'Gen Fd BS'!AI591+BT591</f>
        <v>0</v>
      </c>
    </row>
    <row r="592" spans="1:76" hidden="1">
      <c r="A592" s="9" t="s">
        <v>797</v>
      </c>
      <c r="B592" s="9"/>
      <c r="C592" s="9" t="s">
        <v>447</v>
      </c>
      <c r="D592" s="9"/>
      <c r="E592" s="23">
        <v>49031</v>
      </c>
      <c r="G592" s="42">
        <v>0</v>
      </c>
      <c r="I592" s="42">
        <v>0</v>
      </c>
      <c r="K592" s="42">
        <v>0</v>
      </c>
      <c r="M592" s="42">
        <v>0</v>
      </c>
      <c r="O592" s="42">
        <v>0</v>
      </c>
      <c r="Q592" s="42">
        <v>0</v>
      </c>
      <c r="S592" s="42">
        <v>0</v>
      </c>
      <c r="U592" s="42">
        <v>0</v>
      </c>
      <c r="W592" s="42">
        <v>0</v>
      </c>
      <c r="Y592" s="42">
        <v>0</v>
      </c>
      <c r="AA592" s="42">
        <v>0</v>
      </c>
      <c r="AC592" s="42">
        <v>0</v>
      </c>
      <c r="AE592" s="42">
        <v>0</v>
      </c>
      <c r="AG592" s="42">
        <v>0</v>
      </c>
      <c r="AI592" s="42">
        <v>0</v>
      </c>
      <c r="AK592" s="42">
        <v>0</v>
      </c>
      <c r="AL592" s="9" t="s">
        <v>797</v>
      </c>
      <c r="AM592" s="9"/>
      <c r="AN592" s="9" t="s">
        <v>447</v>
      </c>
      <c r="AP592" s="42">
        <v>0</v>
      </c>
      <c r="AR592" s="42">
        <v>0</v>
      </c>
      <c r="AV592" s="42">
        <v>0</v>
      </c>
      <c r="AX592" s="42">
        <v>0</v>
      </c>
      <c r="AZ592" s="42">
        <v>0</v>
      </c>
      <c r="BB592" s="42">
        <f t="shared" si="97"/>
        <v>0</v>
      </c>
      <c r="BD592" s="42">
        <v>0</v>
      </c>
      <c r="BF592" s="42">
        <v>0</v>
      </c>
      <c r="BH592" s="42">
        <v>0</v>
      </c>
      <c r="BJ592" s="42">
        <v>0</v>
      </c>
      <c r="BL592" s="42">
        <f t="shared" si="98"/>
        <v>0</v>
      </c>
      <c r="BN592" s="42">
        <f>+'Gen Fd Rev'!AM592-'Gen Fd Exp'!BL592</f>
        <v>0</v>
      </c>
      <c r="BP592" s="42">
        <v>0</v>
      </c>
      <c r="BR592" s="42">
        <v>0</v>
      </c>
      <c r="BT592" s="42">
        <v>0</v>
      </c>
      <c r="BV592" s="42">
        <f t="shared" si="99"/>
        <v>0</v>
      </c>
      <c r="BX592" s="5">
        <f>+BV592-'Gen Fd BS'!AI592+BT592</f>
        <v>0</v>
      </c>
    </row>
    <row r="593" spans="1:76" hidden="1">
      <c r="A593" s="9" t="s">
        <v>641</v>
      </c>
      <c r="B593" s="9"/>
      <c r="C593" s="9" t="s">
        <v>14</v>
      </c>
      <c r="D593" s="9"/>
      <c r="E593" s="23">
        <v>45971</v>
      </c>
      <c r="G593" s="42">
        <v>0</v>
      </c>
      <c r="I593" s="42">
        <v>0</v>
      </c>
      <c r="K593" s="42">
        <v>0</v>
      </c>
      <c r="M593" s="42">
        <v>0</v>
      </c>
      <c r="O593" s="42">
        <v>0</v>
      </c>
      <c r="Q593" s="42">
        <v>0</v>
      </c>
      <c r="S593" s="42">
        <v>0</v>
      </c>
      <c r="U593" s="42">
        <v>0</v>
      </c>
      <c r="W593" s="42">
        <v>0</v>
      </c>
      <c r="Y593" s="42">
        <v>0</v>
      </c>
      <c r="AA593" s="42">
        <v>0</v>
      </c>
      <c r="AC593" s="42">
        <v>0</v>
      </c>
      <c r="AE593" s="42">
        <v>0</v>
      </c>
      <c r="AG593" s="42">
        <v>0</v>
      </c>
      <c r="AI593" s="42">
        <v>0</v>
      </c>
      <c r="AK593" s="42">
        <v>0</v>
      </c>
      <c r="AL593" s="9" t="s">
        <v>641</v>
      </c>
      <c r="AM593" s="9"/>
      <c r="AN593" s="9" t="s">
        <v>14</v>
      </c>
      <c r="AP593" s="42">
        <v>0</v>
      </c>
      <c r="AR593" s="42">
        <v>0</v>
      </c>
      <c r="AV593" s="42">
        <v>0</v>
      </c>
      <c r="AX593" s="42">
        <v>0</v>
      </c>
      <c r="AZ593" s="42">
        <v>0</v>
      </c>
      <c r="BB593" s="42">
        <f t="shared" si="97"/>
        <v>0</v>
      </c>
      <c r="BD593" s="42">
        <v>0</v>
      </c>
      <c r="BF593" s="42">
        <v>0</v>
      </c>
      <c r="BH593" s="42">
        <v>0</v>
      </c>
      <c r="BJ593" s="42">
        <v>0</v>
      </c>
      <c r="BL593" s="42">
        <f t="shared" si="98"/>
        <v>0</v>
      </c>
      <c r="BN593" s="42">
        <f>+'Gen Fd Rev'!AM593-'Gen Fd Exp'!BL593</f>
        <v>0</v>
      </c>
      <c r="BP593" s="42">
        <v>0</v>
      </c>
      <c r="BR593" s="42">
        <v>0</v>
      </c>
      <c r="BT593" s="42">
        <v>0</v>
      </c>
      <c r="BV593" s="42">
        <f t="shared" si="99"/>
        <v>0</v>
      </c>
      <c r="BX593" s="5">
        <f>+BV593-'Gen Fd BS'!AI593+BT593</f>
        <v>0</v>
      </c>
    </row>
    <row r="594" spans="1:76">
      <c r="A594" s="9" t="s">
        <v>528</v>
      </c>
      <c r="B594" s="9"/>
      <c r="C594" s="9" t="s">
        <v>64</v>
      </c>
      <c r="D594" s="9"/>
      <c r="E594" s="23">
        <v>50252</v>
      </c>
      <c r="G594" s="42">
        <v>3881007</v>
      </c>
      <c r="I594" s="42">
        <v>736726</v>
      </c>
      <c r="K594" s="42">
        <v>0</v>
      </c>
      <c r="M594" s="42">
        <v>0</v>
      </c>
      <c r="O594" s="42">
        <v>399155</v>
      </c>
      <c r="Q594" s="42">
        <v>426029</v>
      </c>
      <c r="S594" s="42">
        <v>80428</v>
      </c>
      <c r="U594" s="42">
        <v>21368</v>
      </c>
      <c r="W594" s="42">
        <v>815896</v>
      </c>
      <c r="Y594" s="42">
        <v>322574</v>
      </c>
      <c r="AA594" s="42">
        <v>8549</v>
      </c>
      <c r="AC594" s="42">
        <v>1106673</v>
      </c>
      <c r="AE594" s="42">
        <v>270575</v>
      </c>
      <c r="AG594" s="42">
        <v>5540</v>
      </c>
      <c r="AI594" s="42">
        <v>0</v>
      </c>
      <c r="AK594" s="42">
        <v>0</v>
      </c>
      <c r="AL594" s="9" t="s">
        <v>528</v>
      </c>
      <c r="AM594" s="9"/>
      <c r="AN594" s="9" t="s">
        <v>64</v>
      </c>
      <c r="AP594" s="42">
        <v>260206</v>
      </c>
      <c r="AR594" s="42">
        <v>0</v>
      </c>
      <c r="AV594" s="42">
        <v>78000</v>
      </c>
      <c r="AX594" s="42">
        <v>23820</v>
      </c>
      <c r="AZ594" s="42">
        <v>0</v>
      </c>
      <c r="BB594" s="42">
        <f t="shared" si="97"/>
        <v>8436546</v>
      </c>
      <c r="BD594" s="42">
        <v>153235</v>
      </c>
      <c r="BF594" s="42">
        <v>0</v>
      </c>
      <c r="BH594" s="42">
        <v>0</v>
      </c>
      <c r="BJ594" s="42">
        <v>0</v>
      </c>
      <c r="BL594" s="42">
        <f t="shared" si="98"/>
        <v>8589781</v>
      </c>
      <c r="BN594" s="42">
        <f>+'Gen Fd Rev'!AM594-'Gen Fd Exp'!BL594</f>
        <v>-509102</v>
      </c>
      <c r="BP594" s="42">
        <v>955525</v>
      </c>
      <c r="BR594" s="42">
        <v>0</v>
      </c>
      <c r="BT594" s="42">
        <v>0</v>
      </c>
      <c r="BV594" s="42">
        <f t="shared" si="99"/>
        <v>446423</v>
      </c>
      <c r="BX594" s="5">
        <f>+BV594-'Gen Fd BS'!AI594+BT594</f>
        <v>0</v>
      </c>
    </row>
    <row r="595" spans="1:76">
      <c r="A595" s="9" t="s">
        <v>775</v>
      </c>
      <c r="B595" s="9"/>
      <c r="C595" s="9" t="s">
        <v>44</v>
      </c>
      <c r="D595" s="9"/>
      <c r="E595" s="23">
        <v>45658</v>
      </c>
      <c r="G595" s="42">
        <v>6560936</v>
      </c>
      <c r="I595" s="42">
        <v>1112914</v>
      </c>
      <c r="K595" s="42">
        <v>102004</v>
      </c>
      <c r="M595" s="42">
        <v>0</v>
      </c>
      <c r="O595" s="42">
        <v>0</v>
      </c>
      <c r="Q595" s="42">
        <v>715357</v>
      </c>
      <c r="S595" s="42">
        <v>585957</v>
      </c>
      <c r="U595" s="42">
        <v>65644</v>
      </c>
      <c r="W595" s="42">
        <v>1280539</v>
      </c>
      <c r="Y595" s="42">
        <v>372142</v>
      </c>
      <c r="AA595" s="42">
        <v>0</v>
      </c>
      <c r="AC595" s="42">
        <v>1108767</v>
      </c>
      <c r="AE595" s="42">
        <v>514669</v>
      </c>
      <c r="AG595" s="42">
        <v>233779</v>
      </c>
      <c r="AI595" s="42">
        <v>0</v>
      </c>
      <c r="AK595" s="42">
        <v>35282</v>
      </c>
      <c r="AL595" s="9" t="s">
        <v>775</v>
      </c>
      <c r="AM595" s="9"/>
      <c r="AN595" s="9" t="s">
        <v>44</v>
      </c>
      <c r="AP595" s="42">
        <v>228944</v>
      </c>
      <c r="AR595" s="42">
        <v>116167</v>
      </c>
      <c r="AV595" s="42">
        <v>4177</v>
      </c>
      <c r="AX595" s="42">
        <f>1019+80156</f>
        <v>81175</v>
      </c>
      <c r="AZ595" s="42">
        <v>0</v>
      </c>
      <c r="BB595" s="42">
        <f t="shared" si="97"/>
        <v>13118453</v>
      </c>
      <c r="BD595" s="42">
        <v>242392</v>
      </c>
      <c r="BF595" s="42">
        <v>0</v>
      </c>
      <c r="BH595" s="42">
        <v>0</v>
      </c>
      <c r="BJ595" s="42">
        <v>0</v>
      </c>
      <c r="BL595" s="42">
        <f t="shared" si="98"/>
        <v>13360845</v>
      </c>
      <c r="BN595" s="42">
        <f>+'Gen Fd Rev'!AM595-'Gen Fd Exp'!BL595</f>
        <v>-357020</v>
      </c>
      <c r="BP595" s="42">
        <v>3805500</v>
      </c>
      <c r="BR595" s="42">
        <v>0</v>
      </c>
      <c r="BT595" s="42">
        <v>0</v>
      </c>
      <c r="BV595" s="42">
        <f t="shared" si="99"/>
        <v>3448480</v>
      </c>
      <c r="BX595" s="5">
        <f>+BV595-'Gen Fd BS'!AI595+BT595</f>
        <v>0</v>
      </c>
    </row>
    <row r="596" spans="1:76" ht="11.25" customHeight="1">
      <c r="A596" s="9" t="s">
        <v>359</v>
      </c>
      <c r="B596" s="9"/>
      <c r="C596" s="9" t="s">
        <v>38</v>
      </c>
      <c r="D596" s="9"/>
      <c r="E596" s="23">
        <v>45021</v>
      </c>
      <c r="G596" s="42">
        <v>6438353</v>
      </c>
      <c r="I596" s="42">
        <v>1478602</v>
      </c>
      <c r="K596" s="42">
        <v>64843</v>
      </c>
      <c r="M596" s="42">
        <v>15023</v>
      </c>
      <c r="O596" s="42">
        <v>6339</v>
      </c>
      <c r="Q596" s="42">
        <v>480130</v>
      </c>
      <c r="S596" s="42">
        <v>605766</v>
      </c>
      <c r="U596" s="42">
        <v>163474</v>
      </c>
      <c r="W596" s="42">
        <v>1160652</v>
      </c>
      <c r="Y596" s="42">
        <v>421450</v>
      </c>
      <c r="AA596" s="42">
        <v>0</v>
      </c>
      <c r="AC596" s="42">
        <v>1614299</v>
      </c>
      <c r="AE596" s="42">
        <v>1000085</v>
      </c>
      <c r="AG596" s="42">
        <v>26395</v>
      </c>
      <c r="AI596" s="42">
        <v>1088</v>
      </c>
      <c r="AK596" s="42">
        <v>0</v>
      </c>
      <c r="AL596" s="9" t="s">
        <v>359</v>
      </c>
      <c r="AM596" s="9"/>
      <c r="AN596" s="9" t="s">
        <v>38</v>
      </c>
      <c r="AP596" s="42">
        <v>151142</v>
      </c>
      <c r="AR596" s="42">
        <v>0</v>
      </c>
      <c r="AV596" s="42">
        <v>152000</v>
      </c>
      <c r="AX596" s="42">
        <v>118561</v>
      </c>
      <c r="AZ596" s="42">
        <v>0</v>
      </c>
      <c r="BB596" s="42">
        <f t="shared" si="97"/>
        <v>13898202</v>
      </c>
      <c r="BD596" s="42">
        <v>0</v>
      </c>
      <c r="BF596" s="42">
        <v>0</v>
      </c>
      <c r="BH596" s="42">
        <v>0</v>
      </c>
      <c r="BJ596" s="42">
        <v>0</v>
      </c>
      <c r="BL596" s="42">
        <f t="shared" si="98"/>
        <v>13898202</v>
      </c>
      <c r="BN596" s="42">
        <f>+'Gen Fd Rev'!AM596-'Gen Fd Exp'!BL596</f>
        <v>-370010</v>
      </c>
      <c r="BP596" s="42">
        <v>5872478</v>
      </c>
      <c r="BR596" s="42">
        <v>0</v>
      </c>
      <c r="BT596" s="42">
        <v>0</v>
      </c>
      <c r="BV596" s="42">
        <f t="shared" si="99"/>
        <v>5502468</v>
      </c>
      <c r="BX596" s="5">
        <f>+BV596-'Gen Fd BS'!AI596+BT596</f>
        <v>0</v>
      </c>
    </row>
    <row r="597" spans="1:76">
      <c r="A597" s="9" t="s">
        <v>250</v>
      </c>
      <c r="B597" s="9"/>
      <c r="C597" s="9" t="s">
        <v>111</v>
      </c>
      <c r="D597" s="9"/>
      <c r="E597" s="23">
        <v>45039</v>
      </c>
      <c r="G597" s="42">
        <v>3987238</v>
      </c>
      <c r="I597" s="42">
        <v>931046</v>
      </c>
      <c r="K597" s="42">
        <v>180020</v>
      </c>
      <c r="M597" s="42">
        <v>0</v>
      </c>
      <c r="O597" s="42">
        <v>50723</v>
      </c>
      <c r="Q597" s="42">
        <v>347122</v>
      </c>
      <c r="S597" s="42">
        <v>244472</v>
      </c>
      <c r="U597" s="42">
        <v>15356</v>
      </c>
      <c r="W597" s="42">
        <v>791845</v>
      </c>
      <c r="Y597" s="42">
        <v>241235</v>
      </c>
      <c r="AA597" s="42">
        <v>0</v>
      </c>
      <c r="AC597" s="42">
        <v>836559</v>
      </c>
      <c r="AE597" s="42">
        <v>185817</v>
      </c>
      <c r="AG597" s="42">
        <v>65852</v>
      </c>
      <c r="AI597" s="42">
        <v>0</v>
      </c>
      <c r="AK597" s="42">
        <v>0</v>
      </c>
      <c r="AL597" s="9" t="s">
        <v>250</v>
      </c>
      <c r="AM597" s="9"/>
      <c r="AN597" s="9" t="s">
        <v>111</v>
      </c>
      <c r="AP597" s="42">
        <v>190776</v>
      </c>
      <c r="AR597" s="42">
        <v>0</v>
      </c>
      <c r="AV597" s="42">
        <v>0</v>
      </c>
      <c r="AX597" s="42">
        <v>0</v>
      </c>
      <c r="AZ597" s="42">
        <v>0</v>
      </c>
      <c r="BB597" s="42">
        <f t="shared" si="97"/>
        <v>8068061</v>
      </c>
      <c r="BD597" s="42">
        <v>60483</v>
      </c>
      <c r="BF597" s="42">
        <v>0</v>
      </c>
      <c r="BH597" s="42">
        <v>0</v>
      </c>
      <c r="BJ597" s="42">
        <v>0</v>
      </c>
      <c r="BL597" s="42">
        <f t="shared" si="98"/>
        <v>8128544</v>
      </c>
      <c r="BN597" s="42">
        <f>+'Gen Fd Rev'!AM597-'Gen Fd Exp'!BL597</f>
        <v>-664795</v>
      </c>
      <c r="BP597" s="42">
        <v>1249159</v>
      </c>
      <c r="BR597" s="42">
        <v>0</v>
      </c>
      <c r="BT597" s="42">
        <v>0</v>
      </c>
      <c r="BV597" s="42">
        <f t="shared" si="99"/>
        <v>584364</v>
      </c>
      <c r="BX597" s="5">
        <f>+BV597-'Gen Fd BS'!AI597+BT597</f>
        <v>0</v>
      </c>
    </row>
    <row r="598" spans="1:76">
      <c r="A598" s="9" t="s">
        <v>405</v>
      </c>
      <c r="B598" s="9"/>
      <c r="C598" s="9" t="s">
        <v>45</v>
      </c>
      <c r="D598" s="9"/>
      <c r="E598" s="23">
        <v>48389</v>
      </c>
      <c r="G598" s="42">
        <v>8837487</v>
      </c>
      <c r="I598" s="42">
        <v>1506099</v>
      </c>
      <c r="K598" s="42">
        <v>387448</v>
      </c>
      <c r="M598" s="42">
        <v>0</v>
      </c>
      <c r="O598" s="42">
        <v>11461</v>
      </c>
      <c r="Q598" s="42">
        <v>1112668</v>
      </c>
      <c r="S598" s="42">
        <v>1094540</v>
      </c>
      <c r="U598" s="42">
        <v>42776</v>
      </c>
      <c r="W598" s="42">
        <v>1643972</v>
      </c>
      <c r="Y598" s="42">
        <v>466523</v>
      </c>
      <c r="AA598" s="42">
        <v>9910</v>
      </c>
      <c r="AC598" s="42">
        <v>1825936</v>
      </c>
      <c r="AE598" s="42">
        <v>1189596</v>
      </c>
      <c r="AG598" s="42">
        <v>227882</v>
      </c>
      <c r="AI598" s="42">
        <v>0</v>
      </c>
      <c r="AK598" s="42">
        <v>55688</v>
      </c>
      <c r="AL598" s="9" t="s">
        <v>405</v>
      </c>
      <c r="AM598" s="9"/>
      <c r="AN598" s="9" t="s">
        <v>45</v>
      </c>
      <c r="AP598" s="42">
        <v>388440</v>
      </c>
      <c r="AR598" s="42">
        <v>2599</v>
      </c>
      <c r="AV598" s="42">
        <v>0</v>
      </c>
      <c r="AX598" s="42">
        <v>0</v>
      </c>
      <c r="AZ598" s="42">
        <v>0</v>
      </c>
      <c r="BB598" s="42">
        <f t="shared" si="97"/>
        <v>18803025</v>
      </c>
      <c r="BD598" s="42">
        <v>159304</v>
      </c>
      <c r="BF598" s="42">
        <v>0</v>
      </c>
      <c r="BH598" s="42">
        <v>0</v>
      </c>
      <c r="BJ598" s="42">
        <v>0</v>
      </c>
      <c r="BL598" s="42">
        <f t="shared" si="98"/>
        <v>18962329</v>
      </c>
      <c r="BN598" s="42">
        <f>+'Gen Fd Rev'!AM598-'Gen Fd Exp'!BL598</f>
        <v>-331671</v>
      </c>
      <c r="BP598" s="42">
        <v>975377</v>
      </c>
      <c r="BR598" s="42">
        <v>0</v>
      </c>
      <c r="BT598" s="42">
        <v>0</v>
      </c>
      <c r="BV598" s="42">
        <f t="shared" si="99"/>
        <v>643706</v>
      </c>
      <c r="BX598" s="5">
        <f>+BV598-'Gen Fd BS'!AI598+BT598</f>
        <v>0</v>
      </c>
    </row>
    <row r="599" spans="1:76">
      <c r="A599" s="9" t="s">
        <v>701</v>
      </c>
      <c r="B599" s="9"/>
      <c r="C599" s="9" t="s">
        <v>50</v>
      </c>
      <c r="D599" s="9"/>
      <c r="E599" s="23">
        <v>45054</v>
      </c>
      <c r="G599" s="42">
        <v>15338284</v>
      </c>
      <c r="I599" s="42">
        <v>3978768</v>
      </c>
      <c r="K599" s="42">
        <v>195576</v>
      </c>
      <c r="M599" s="42">
        <v>0</v>
      </c>
      <c r="O599" s="42">
        <v>2445193</v>
      </c>
      <c r="Q599" s="42">
        <v>2695143</v>
      </c>
      <c r="S599" s="42">
        <v>2286303</v>
      </c>
      <c r="U599" s="42">
        <v>31439</v>
      </c>
      <c r="W599" s="42">
        <v>2766634</v>
      </c>
      <c r="Y599" s="42">
        <v>687742</v>
      </c>
      <c r="AA599" s="42">
        <v>473923</v>
      </c>
      <c r="AC599" s="42">
        <v>3250824</v>
      </c>
      <c r="AE599" s="42">
        <v>2276276</v>
      </c>
      <c r="AG599" s="42">
        <v>231991</v>
      </c>
      <c r="AI599" s="42">
        <v>0</v>
      </c>
      <c r="AK599" s="42">
        <v>79697</v>
      </c>
      <c r="AL599" s="9" t="s">
        <v>701</v>
      </c>
      <c r="AM599" s="9"/>
      <c r="AN599" s="9" t="s">
        <v>50</v>
      </c>
      <c r="AP599" s="42">
        <v>587804</v>
      </c>
      <c r="AR599" s="42">
        <v>2800</v>
      </c>
      <c r="AV599" s="42">
        <v>140000</v>
      </c>
      <c r="AX599" s="42">
        <v>91875</v>
      </c>
      <c r="AZ599" s="42">
        <v>0</v>
      </c>
      <c r="BB599" s="42">
        <f t="shared" si="97"/>
        <v>37560272</v>
      </c>
      <c r="BD599" s="42">
        <v>0</v>
      </c>
      <c r="BF599" s="42">
        <v>0</v>
      </c>
      <c r="BH599" s="42">
        <v>0</v>
      </c>
      <c r="BJ599" s="42">
        <v>0</v>
      </c>
      <c r="BL599" s="42">
        <f t="shared" si="98"/>
        <v>37560272</v>
      </c>
      <c r="BN599" s="42">
        <f>+'Gen Fd Rev'!AM599-'Gen Fd Exp'!BL599</f>
        <v>-2766761</v>
      </c>
      <c r="BP599" s="42">
        <v>10987259</v>
      </c>
      <c r="BR599" s="42">
        <v>0</v>
      </c>
      <c r="BT599" s="42">
        <v>0</v>
      </c>
      <c r="BV599" s="42">
        <f t="shared" si="99"/>
        <v>8220498</v>
      </c>
      <c r="BX599" s="5">
        <f>+BV599-'Gen Fd BS'!AI599+BT599</f>
        <v>0</v>
      </c>
    </row>
    <row r="600" spans="1:76">
      <c r="A600" s="9" t="s">
        <v>239</v>
      </c>
      <c r="B600" s="9"/>
      <c r="C600" s="9" t="s">
        <v>112</v>
      </c>
      <c r="D600" s="9"/>
      <c r="E600" s="23">
        <v>46359</v>
      </c>
      <c r="G600" s="42">
        <v>30580397</v>
      </c>
      <c r="I600" s="42">
        <v>11953694</v>
      </c>
      <c r="K600" s="42">
        <v>311219</v>
      </c>
      <c r="M600" s="42">
        <v>0</v>
      </c>
      <c r="O600" s="42">
        <v>0</v>
      </c>
      <c r="Q600" s="42">
        <v>4898715</v>
      </c>
      <c r="S600" s="42">
        <v>978366</v>
      </c>
      <c r="U600" s="42">
        <v>107856</v>
      </c>
      <c r="W600" s="42">
        <v>4958257</v>
      </c>
      <c r="Y600" s="42">
        <v>1578928</v>
      </c>
      <c r="AA600" s="42">
        <v>54422</v>
      </c>
      <c r="AC600" s="42">
        <v>4581783</v>
      </c>
      <c r="AE600" s="42">
        <v>4600715</v>
      </c>
      <c r="AG600" s="42">
        <v>35462</v>
      </c>
      <c r="AI600" s="42">
        <v>0</v>
      </c>
      <c r="AK600" s="42">
        <v>0</v>
      </c>
      <c r="AL600" s="9" t="s">
        <v>239</v>
      </c>
      <c r="AM600" s="9"/>
      <c r="AN600" s="9" t="s">
        <v>112</v>
      </c>
      <c r="AP600" s="42">
        <v>380040</v>
      </c>
      <c r="AR600" s="42">
        <v>0</v>
      </c>
      <c r="AV600" s="42">
        <v>0</v>
      </c>
      <c r="AX600" s="42">
        <v>0</v>
      </c>
      <c r="AZ600" s="42">
        <v>0</v>
      </c>
      <c r="BB600" s="42">
        <f t="shared" ref="BB600:BB632" si="103">SUM(G600:AZ600)</f>
        <v>65019854</v>
      </c>
      <c r="BD600" s="42">
        <v>119076</v>
      </c>
      <c r="BF600" s="42">
        <v>0</v>
      </c>
      <c r="BH600" s="42">
        <v>0</v>
      </c>
      <c r="BJ600" s="42">
        <v>0</v>
      </c>
      <c r="BL600" s="42">
        <f t="shared" si="98"/>
        <v>65138930</v>
      </c>
      <c r="BN600" s="42">
        <f>+'Gen Fd Rev'!AM600-'Gen Fd Exp'!BL600</f>
        <v>826944</v>
      </c>
      <c r="BP600" s="42">
        <v>703558</v>
      </c>
      <c r="BR600" s="42">
        <v>0</v>
      </c>
      <c r="BT600" s="42">
        <v>0</v>
      </c>
      <c r="BV600" s="42">
        <f t="shared" si="99"/>
        <v>1530502</v>
      </c>
      <c r="BX600" s="5">
        <f>+BV600-'Gen Fd BS'!AI600+BT600</f>
        <v>0</v>
      </c>
    </row>
    <row r="601" spans="1:76">
      <c r="A601" s="9" t="s">
        <v>314</v>
      </c>
      <c r="B601" s="9"/>
      <c r="C601" s="9" t="s">
        <v>30</v>
      </c>
      <c r="D601" s="9"/>
      <c r="E601" s="23">
        <v>47225</v>
      </c>
      <c r="G601" s="42">
        <v>10177801</v>
      </c>
      <c r="I601" s="42">
        <v>3610517</v>
      </c>
      <c r="K601" s="42">
        <v>347411</v>
      </c>
      <c r="M601" s="42">
        <v>0</v>
      </c>
      <c r="O601" s="42">
        <f>53619+495618</f>
        <v>549237</v>
      </c>
      <c r="Q601" s="42">
        <v>1401522</v>
      </c>
      <c r="S601" s="42">
        <v>808288</v>
      </c>
      <c r="U601" s="42">
        <v>54147</v>
      </c>
      <c r="W601" s="42">
        <v>1743041</v>
      </c>
      <c r="Y601" s="42">
        <v>578568</v>
      </c>
      <c r="AA601" s="42">
        <v>295461</v>
      </c>
      <c r="AC601" s="42">
        <v>2026378</v>
      </c>
      <c r="AE601" s="42">
        <v>1820031</v>
      </c>
      <c r="AG601" s="42">
        <v>15610</v>
      </c>
      <c r="AI601" s="42">
        <v>0</v>
      </c>
      <c r="AK601" s="42">
        <v>3127</v>
      </c>
      <c r="AL601" s="9" t="s">
        <v>314</v>
      </c>
      <c r="AM601" s="9"/>
      <c r="AN601" s="9" t="s">
        <v>30</v>
      </c>
      <c r="AP601" s="42">
        <v>536642</v>
      </c>
      <c r="AR601" s="42">
        <v>87878</v>
      </c>
      <c r="AV601" s="42">
        <v>0</v>
      </c>
      <c r="AX601" s="42">
        <v>0</v>
      </c>
      <c r="AZ601" s="42">
        <v>0</v>
      </c>
      <c r="BB601" s="42">
        <f t="shared" si="103"/>
        <v>24055659</v>
      </c>
      <c r="BD601" s="42">
        <v>45000</v>
      </c>
      <c r="BF601" s="42">
        <v>0</v>
      </c>
      <c r="BH601" s="42">
        <v>0</v>
      </c>
      <c r="BJ601" s="42">
        <v>0</v>
      </c>
      <c r="BL601" s="42">
        <f t="shared" si="98"/>
        <v>24100659</v>
      </c>
      <c r="BN601" s="42">
        <f>+'Gen Fd Rev'!AM601-'Gen Fd Exp'!BL601</f>
        <v>1671938</v>
      </c>
      <c r="BP601" s="42">
        <v>6681471</v>
      </c>
      <c r="BR601" s="42">
        <v>0</v>
      </c>
      <c r="BT601" s="42">
        <v>0</v>
      </c>
      <c r="BV601" s="42">
        <f t="shared" si="99"/>
        <v>8353409</v>
      </c>
      <c r="BX601" s="5">
        <f>+BV601-'Gen Fd BS'!AI601+BT601</f>
        <v>0</v>
      </c>
    </row>
    <row r="602" spans="1:76">
      <c r="A602" s="9" t="s">
        <v>352</v>
      </c>
      <c r="B602" s="9"/>
      <c r="C602" s="9" t="s">
        <v>36</v>
      </c>
      <c r="D602" s="9"/>
      <c r="E602" s="23">
        <v>47696</v>
      </c>
      <c r="F602" s="7"/>
      <c r="G602" s="42">
        <v>10701893</v>
      </c>
      <c r="I602" s="42">
        <v>2549427</v>
      </c>
      <c r="K602" s="42">
        <v>290189</v>
      </c>
      <c r="M602" s="42">
        <v>0</v>
      </c>
      <c r="O602" s="42">
        <v>0</v>
      </c>
      <c r="Q602" s="42">
        <v>794538</v>
      </c>
      <c r="S602" s="42">
        <v>963823</v>
      </c>
      <c r="U602" s="42">
        <v>33718</v>
      </c>
      <c r="W602" s="42">
        <v>1808782</v>
      </c>
      <c r="Y602" s="42">
        <v>530932</v>
      </c>
      <c r="AA602" s="42">
        <v>1440</v>
      </c>
      <c r="AC602" s="42">
        <v>2093471</v>
      </c>
      <c r="AE602" s="42">
        <v>1667803</v>
      </c>
      <c r="AG602" s="42">
        <v>63793</v>
      </c>
      <c r="AI602" s="42">
        <v>3703</v>
      </c>
      <c r="AK602" s="42">
        <v>58953</v>
      </c>
      <c r="AL602" s="9" t="s">
        <v>352</v>
      </c>
      <c r="AM602" s="9"/>
      <c r="AN602" s="9" t="s">
        <v>36</v>
      </c>
      <c r="AP602" s="42">
        <v>351448</v>
      </c>
      <c r="AR602" s="42">
        <v>0</v>
      </c>
      <c r="AV602" s="42">
        <v>0</v>
      </c>
      <c r="AX602" s="42">
        <v>0</v>
      </c>
      <c r="AZ602" s="42">
        <v>0</v>
      </c>
      <c r="BB602" s="42">
        <f t="shared" si="103"/>
        <v>21913913</v>
      </c>
      <c r="BD602" s="42">
        <v>0</v>
      </c>
      <c r="BF602" s="42">
        <v>0</v>
      </c>
      <c r="BH602" s="42">
        <v>0</v>
      </c>
      <c r="BJ602" s="42">
        <v>0</v>
      </c>
      <c r="BL602" s="42">
        <f t="shared" si="98"/>
        <v>21913913</v>
      </c>
      <c r="BN602" s="42">
        <f>+'Gen Fd Rev'!AM602-'Gen Fd Exp'!BL602</f>
        <v>-1080862</v>
      </c>
      <c r="BP602" s="42">
        <v>8455197</v>
      </c>
      <c r="BR602" s="42">
        <v>0</v>
      </c>
      <c r="BT602" s="42">
        <v>0</v>
      </c>
      <c r="BV602" s="42">
        <f t="shared" si="99"/>
        <v>7374335</v>
      </c>
      <c r="BX602" s="5">
        <f>+BV602-'Gen Fd BS'!AI602+BT602</f>
        <v>0</v>
      </c>
    </row>
    <row r="603" spans="1:76" hidden="1">
      <c r="A603" s="8" t="s">
        <v>908</v>
      </c>
      <c r="B603" s="9"/>
      <c r="C603" s="9" t="s">
        <v>227</v>
      </c>
      <c r="D603" s="9"/>
      <c r="E603" s="23">
        <v>46219</v>
      </c>
      <c r="G603" s="42">
        <v>0</v>
      </c>
      <c r="I603" s="42">
        <v>0</v>
      </c>
      <c r="K603" s="42">
        <v>0</v>
      </c>
      <c r="M603" s="42">
        <v>0</v>
      </c>
      <c r="O603" s="42">
        <v>0</v>
      </c>
      <c r="Q603" s="42">
        <v>0</v>
      </c>
      <c r="S603" s="42">
        <v>0</v>
      </c>
      <c r="U603" s="42">
        <v>0</v>
      </c>
      <c r="W603" s="42">
        <v>0</v>
      </c>
      <c r="Y603" s="42">
        <v>0</v>
      </c>
      <c r="AA603" s="42">
        <v>0</v>
      </c>
      <c r="AC603" s="42">
        <v>0</v>
      </c>
      <c r="AE603" s="42">
        <v>0</v>
      </c>
      <c r="AG603" s="42">
        <v>0</v>
      </c>
      <c r="AI603" s="42">
        <v>0</v>
      </c>
      <c r="AK603" s="42">
        <v>0</v>
      </c>
      <c r="AL603" s="8" t="s">
        <v>908</v>
      </c>
      <c r="AM603" s="9"/>
      <c r="AN603" s="9" t="s">
        <v>227</v>
      </c>
      <c r="AP603" s="42">
        <v>0</v>
      </c>
      <c r="AR603" s="42">
        <v>0</v>
      </c>
      <c r="AV603" s="42">
        <v>0</v>
      </c>
      <c r="AX603" s="42">
        <v>0</v>
      </c>
      <c r="AZ603" s="42">
        <v>0</v>
      </c>
      <c r="BB603" s="42">
        <f t="shared" si="103"/>
        <v>0</v>
      </c>
      <c r="BD603" s="42">
        <v>0</v>
      </c>
      <c r="BF603" s="42">
        <v>0</v>
      </c>
      <c r="BH603" s="42">
        <v>0</v>
      </c>
      <c r="BJ603" s="42">
        <v>0</v>
      </c>
      <c r="BL603" s="42">
        <f t="shared" si="98"/>
        <v>0</v>
      </c>
      <c r="BN603" s="42">
        <f>+'Gen Fd Rev'!AM603-'Gen Fd Exp'!BL603</f>
        <v>0</v>
      </c>
      <c r="BP603" s="42">
        <v>0</v>
      </c>
      <c r="BR603" s="42">
        <v>0</v>
      </c>
      <c r="BT603" s="42">
        <v>0</v>
      </c>
      <c r="BV603" s="42">
        <f t="shared" si="99"/>
        <v>0</v>
      </c>
      <c r="BX603" s="5">
        <f>+BV603-'Gen Fd BS'!AI603+BT603</f>
        <v>0</v>
      </c>
    </row>
    <row r="604" spans="1:76">
      <c r="A604" s="9" t="s">
        <v>444</v>
      </c>
      <c r="B604" s="9"/>
      <c r="C604" s="9" t="s">
        <v>51</v>
      </c>
      <c r="D604" s="9"/>
      <c r="E604" s="23">
        <v>48884</v>
      </c>
      <c r="F604" s="7"/>
      <c r="G604" s="42">
        <v>7387957</v>
      </c>
      <c r="I604" s="42">
        <v>1239856</v>
      </c>
      <c r="K604" s="42">
        <v>110210</v>
      </c>
      <c r="M604" s="42">
        <v>0</v>
      </c>
      <c r="O604" s="42">
        <v>87317</v>
      </c>
      <c r="Q604" s="42">
        <v>380647</v>
      </c>
      <c r="S604" s="42">
        <v>339372</v>
      </c>
      <c r="U604" s="42">
        <v>17225</v>
      </c>
      <c r="W604" s="42">
        <v>1213076</v>
      </c>
      <c r="Y604" s="42">
        <v>389446</v>
      </c>
      <c r="AA604" s="42">
        <v>0</v>
      </c>
      <c r="AC604" s="42">
        <v>1475627</v>
      </c>
      <c r="AE604" s="42">
        <v>957560</v>
      </c>
      <c r="AG604" s="42">
        <v>45804</v>
      </c>
      <c r="AI604" s="42">
        <v>0</v>
      </c>
      <c r="AK604" s="42">
        <v>6870</v>
      </c>
      <c r="AL604" s="9" t="s">
        <v>444</v>
      </c>
      <c r="AM604" s="9"/>
      <c r="AN604" s="9" t="s">
        <v>51</v>
      </c>
      <c r="AP604" s="42">
        <v>0</v>
      </c>
      <c r="AR604" s="42">
        <v>79500</v>
      </c>
      <c r="AV604" s="42">
        <v>75852</v>
      </c>
      <c r="AX604" s="42">
        <f>76101</f>
        <v>76101</v>
      </c>
      <c r="AZ604" s="42">
        <v>0</v>
      </c>
      <c r="BB604" s="42">
        <f t="shared" si="103"/>
        <v>13882420</v>
      </c>
      <c r="BD604" s="42">
        <v>35000</v>
      </c>
      <c r="BF604" s="42">
        <v>0</v>
      </c>
      <c r="BH604" s="42">
        <v>0</v>
      </c>
      <c r="BJ604" s="42">
        <v>0</v>
      </c>
      <c r="BL604" s="42">
        <f t="shared" si="98"/>
        <v>13917420</v>
      </c>
      <c r="BN604" s="42">
        <f>+'Gen Fd Rev'!AM604-'Gen Fd Exp'!BL604</f>
        <v>-137144</v>
      </c>
      <c r="BP604" s="42">
        <v>2458125</v>
      </c>
      <c r="BR604" s="42">
        <v>0</v>
      </c>
      <c r="BT604" s="42">
        <v>0</v>
      </c>
      <c r="BV604" s="42">
        <f t="shared" si="99"/>
        <v>2320981</v>
      </c>
      <c r="BX604" s="5">
        <f>+BV604-'Gen Fd BS'!AI604+BT604</f>
        <v>0</v>
      </c>
    </row>
    <row r="605" spans="1:76">
      <c r="A605" s="9" t="s">
        <v>219</v>
      </c>
      <c r="B605" s="9"/>
      <c r="C605" s="9" t="s">
        <v>77</v>
      </c>
      <c r="D605" s="9"/>
      <c r="E605" s="23">
        <v>46060</v>
      </c>
      <c r="G605" s="42">
        <v>13705729</v>
      </c>
      <c r="I605" s="42">
        <v>2084486</v>
      </c>
      <c r="K605" s="42">
        <v>204325</v>
      </c>
      <c r="M605" s="42">
        <v>0</v>
      </c>
      <c r="O605" s="42">
        <v>0</v>
      </c>
      <c r="Q605" s="42">
        <v>1207555</v>
      </c>
      <c r="S605" s="42">
        <v>557824</v>
      </c>
      <c r="U605" s="42">
        <v>20703</v>
      </c>
      <c r="W605" s="42">
        <v>1696892</v>
      </c>
      <c r="Y605" s="42">
        <v>502505</v>
      </c>
      <c r="AA605" s="42">
        <v>0</v>
      </c>
      <c r="AC605" s="42">
        <v>2617124</v>
      </c>
      <c r="AE605" s="42">
        <v>2158512</v>
      </c>
      <c r="AG605" s="42">
        <v>437076</v>
      </c>
      <c r="AI605" s="42">
        <v>0</v>
      </c>
      <c r="AK605" s="42">
        <v>6462</v>
      </c>
      <c r="AL605" s="9" t="s">
        <v>219</v>
      </c>
      <c r="AM605" s="9"/>
      <c r="AN605" s="9" t="s">
        <v>77</v>
      </c>
      <c r="AP605" s="42">
        <v>359826</v>
      </c>
      <c r="AR605" s="42">
        <v>20808</v>
      </c>
      <c r="AV605" s="42">
        <v>98000</v>
      </c>
      <c r="AX605" s="42">
        <v>21636</v>
      </c>
      <c r="AZ605" s="42">
        <v>0</v>
      </c>
      <c r="BB605" s="42">
        <f t="shared" si="103"/>
        <v>25699463</v>
      </c>
      <c r="BD605" s="42">
        <v>0</v>
      </c>
      <c r="BF605" s="42">
        <v>0</v>
      </c>
      <c r="BH605" s="42">
        <v>0</v>
      </c>
      <c r="BJ605" s="42">
        <v>0</v>
      </c>
      <c r="BL605" s="42">
        <f t="shared" si="98"/>
        <v>25699463</v>
      </c>
      <c r="BN605" s="42">
        <f>+'Gen Fd Rev'!AM605-'Gen Fd Exp'!BL605</f>
        <v>449716</v>
      </c>
      <c r="BP605" s="42">
        <v>851055</v>
      </c>
      <c r="BR605" s="42">
        <v>0</v>
      </c>
      <c r="BT605" s="42">
        <v>0</v>
      </c>
      <c r="BV605" s="42">
        <f t="shared" si="99"/>
        <v>1300771</v>
      </c>
      <c r="BX605" s="5">
        <f>+BV605-'Gen Fd BS'!AI605+BT605</f>
        <v>0</v>
      </c>
    </row>
    <row r="606" spans="1:76">
      <c r="A606" s="9" t="s">
        <v>455</v>
      </c>
      <c r="B606" s="9"/>
      <c r="C606" s="9" t="s">
        <v>55</v>
      </c>
      <c r="D606" s="9"/>
      <c r="E606" s="23">
        <v>49155</v>
      </c>
      <c r="G606" s="42">
        <v>2893760</v>
      </c>
      <c r="I606" s="42">
        <v>984917</v>
      </c>
      <c r="K606" s="42">
        <v>0</v>
      </c>
      <c r="M606" s="42">
        <v>0</v>
      </c>
      <c r="O606" s="42">
        <v>669126</v>
      </c>
      <c r="Q606" s="42">
        <v>292436</v>
      </c>
      <c r="S606" s="42">
        <v>139045</v>
      </c>
      <c r="U606" s="42">
        <v>18087</v>
      </c>
      <c r="W606" s="42">
        <v>725759</v>
      </c>
      <c r="Y606" s="42">
        <v>241717</v>
      </c>
      <c r="AA606" s="42">
        <v>0</v>
      </c>
      <c r="AC606" s="42">
        <v>806655</v>
      </c>
      <c r="AE606" s="42">
        <v>736621</v>
      </c>
      <c r="AG606" s="42">
        <v>123373</v>
      </c>
      <c r="AI606" s="42">
        <v>0</v>
      </c>
      <c r="AK606" s="42">
        <v>4280</v>
      </c>
      <c r="AL606" s="9" t="s">
        <v>455</v>
      </c>
      <c r="AM606" s="9"/>
      <c r="AN606" s="9" t="s">
        <v>55</v>
      </c>
      <c r="AP606" s="42">
        <v>149062</v>
      </c>
      <c r="AR606" s="42">
        <v>85381</v>
      </c>
      <c r="AV606" s="42">
        <v>0</v>
      </c>
      <c r="AX606" s="42">
        <v>8700</v>
      </c>
      <c r="AZ606" s="42">
        <v>0</v>
      </c>
      <c r="BB606" s="42">
        <f t="shared" si="103"/>
        <v>7878919</v>
      </c>
      <c r="BD606" s="42">
        <v>5486</v>
      </c>
      <c r="BF606" s="42">
        <v>0</v>
      </c>
      <c r="BH606" s="42">
        <v>0</v>
      </c>
      <c r="BJ606" s="42">
        <v>0</v>
      </c>
      <c r="BL606" s="42">
        <f t="shared" si="98"/>
        <v>7884405</v>
      </c>
      <c r="BN606" s="42">
        <f>+'Gen Fd Rev'!AM606-'Gen Fd Exp'!BL606</f>
        <v>-449884</v>
      </c>
      <c r="BP606" s="42">
        <v>2340008</v>
      </c>
      <c r="BR606" s="42">
        <v>0</v>
      </c>
      <c r="BT606" s="42">
        <v>0</v>
      </c>
      <c r="BV606" s="42">
        <f t="shared" si="99"/>
        <v>1890124</v>
      </c>
      <c r="BX606" s="5">
        <f>+BV606-'Gen Fd BS'!AI606+BT606</f>
        <v>0</v>
      </c>
    </row>
    <row r="607" spans="1:76">
      <c r="A607" s="9" t="s">
        <v>357</v>
      </c>
      <c r="B607" s="9"/>
      <c r="C607" s="9" t="s">
        <v>37</v>
      </c>
      <c r="D607" s="9"/>
      <c r="E607" s="23">
        <v>47746</v>
      </c>
      <c r="G607" s="42">
        <v>5538071</v>
      </c>
      <c r="I607" s="42">
        <v>1107390</v>
      </c>
      <c r="K607" s="42">
        <v>176890</v>
      </c>
      <c r="M607" s="42">
        <v>0</v>
      </c>
      <c r="O607" s="42">
        <v>222994</v>
      </c>
      <c r="Q607" s="42">
        <v>184829</v>
      </c>
      <c r="S607" s="42">
        <v>742038</v>
      </c>
      <c r="U607" s="42">
        <v>104097</v>
      </c>
      <c r="W607" s="42">
        <v>918177</v>
      </c>
      <c r="Y607" s="42">
        <v>407590</v>
      </c>
      <c r="AA607" s="42">
        <v>26506</v>
      </c>
      <c r="AC607" s="42">
        <v>910710</v>
      </c>
      <c r="AE607" s="42">
        <v>713966</v>
      </c>
      <c r="AG607" s="42">
        <v>16619</v>
      </c>
      <c r="AI607" s="42">
        <v>0</v>
      </c>
      <c r="AK607" s="42">
        <v>222206</v>
      </c>
      <c r="AL607" s="9" t="s">
        <v>357</v>
      </c>
      <c r="AM607" s="9"/>
      <c r="AN607" s="9" t="s">
        <v>37</v>
      </c>
      <c r="AP607" s="42">
        <v>291608</v>
      </c>
      <c r="AR607" s="42">
        <v>75680</v>
      </c>
      <c r="AV607" s="42">
        <v>30305</v>
      </c>
      <c r="AX607" s="42">
        <v>1785</v>
      </c>
      <c r="AZ607" s="42">
        <v>0</v>
      </c>
      <c r="BB607" s="42">
        <f t="shared" si="103"/>
        <v>11691461</v>
      </c>
      <c r="BD607" s="42">
        <v>0</v>
      </c>
      <c r="BF607" s="42">
        <v>0</v>
      </c>
      <c r="BH607" s="42">
        <v>0</v>
      </c>
      <c r="BJ607" s="42">
        <v>0</v>
      </c>
      <c r="BL607" s="42">
        <f t="shared" si="98"/>
        <v>11691461</v>
      </c>
      <c r="BN607" s="42">
        <f>+'Gen Fd Rev'!AM607-'Gen Fd Exp'!BL607</f>
        <v>-271271</v>
      </c>
      <c r="BP607" s="42">
        <v>899053</v>
      </c>
      <c r="BR607" s="42">
        <v>0</v>
      </c>
      <c r="BT607" s="42">
        <v>0</v>
      </c>
      <c r="BV607" s="42">
        <f t="shared" si="99"/>
        <v>627782</v>
      </c>
      <c r="BX607" s="5">
        <f>+BV607-'Gen Fd BS'!AI607+BT607</f>
        <v>0</v>
      </c>
    </row>
    <row r="608" spans="1:76">
      <c r="A608" s="9" t="s">
        <v>357</v>
      </c>
      <c r="B608" s="9"/>
      <c r="C608" s="9" t="s">
        <v>45</v>
      </c>
      <c r="D608" s="9"/>
      <c r="E608" s="23">
        <v>48397</v>
      </c>
      <c r="G608" s="42">
        <v>3017240</v>
      </c>
      <c r="I608" s="42">
        <v>756178</v>
      </c>
      <c r="K608" s="42">
        <v>89096</v>
      </c>
      <c r="M608" s="42">
        <v>0</v>
      </c>
      <c r="O608" s="42">
        <v>0</v>
      </c>
      <c r="Q608" s="42">
        <v>353365</v>
      </c>
      <c r="S608" s="42">
        <v>232532</v>
      </c>
      <c r="U608" s="42">
        <v>46282</v>
      </c>
      <c r="W608" s="42">
        <v>455309</v>
      </c>
      <c r="Y608" s="42">
        <v>375404</v>
      </c>
      <c r="AA608" s="42">
        <v>124639</v>
      </c>
      <c r="AC608" s="42">
        <v>509579</v>
      </c>
      <c r="AE608" s="42">
        <v>384796</v>
      </c>
      <c r="AG608" s="42">
        <v>22539</v>
      </c>
      <c r="AI608" s="42">
        <v>0</v>
      </c>
      <c r="AK608" s="42">
        <v>5636</v>
      </c>
      <c r="AL608" s="9" t="s">
        <v>357</v>
      </c>
      <c r="AM608" s="9"/>
      <c r="AN608" s="9" t="s">
        <v>45</v>
      </c>
      <c r="AP608" s="42">
        <v>220768</v>
      </c>
      <c r="AR608" s="42">
        <v>482</v>
      </c>
      <c r="AV608" s="42">
        <v>0</v>
      </c>
      <c r="AX608" s="42">
        <v>0</v>
      </c>
      <c r="AZ608" s="42">
        <v>0</v>
      </c>
      <c r="BB608" s="42">
        <f t="shared" si="103"/>
        <v>6593845</v>
      </c>
      <c r="BD608" s="42">
        <v>45931</v>
      </c>
      <c r="BF608" s="42">
        <v>0</v>
      </c>
      <c r="BH608" s="42">
        <v>0</v>
      </c>
      <c r="BJ608" s="42">
        <v>0</v>
      </c>
      <c r="BL608" s="42">
        <f t="shared" si="98"/>
        <v>6639776</v>
      </c>
      <c r="BN608" s="42">
        <f>+'Gen Fd Rev'!AM608-'Gen Fd Exp'!BL608</f>
        <v>-414497</v>
      </c>
      <c r="BP608" s="42">
        <v>1214019</v>
      </c>
      <c r="BR608" s="42">
        <v>0</v>
      </c>
      <c r="BT608" s="42">
        <v>0</v>
      </c>
      <c r="BV608" s="42">
        <f t="shared" si="99"/>
        <v>799522</v>
      </c>
      <c r="BX608" s="5">
        <f>+BV608-'Gen Fd BS'!AI608+BT608</f>
        <v>0</v>
      </c>
    </row>
    <row r="609" spans="1:76">
      <c r="A609" s="9" t="s">
        <v>307</v>
      </c>
      <c r="B609" s="9"/>
      <c r="C609" s="9" t="s">
        <v>27</v>
      </c>
      <c r="D609" s="9"/>
      <c r="E609" s="23">
        <v>45047</v>
      </c>
      <c r="G609" s="42">
        <v>62010733</v>
      </c>
      <c r="I609" s="42">
        <v>15870078</v>
      </c>
      <c r="K609" s="42">
        <v>281834</v>
      </c>
      <c r="M609" s="42">
        <v>0</v>
      </c>
      <c r="O609" s="42">
        <v>291455</v>
      </c>
      <c r="Q609" s="42">
        <v>12025716</v>
      </c>
      <c r="S609" s="42">
        <v>6802573</v>
      </c>
      <c r="U609" s="42">
        <v>472039</v>
      </c>
      <c r="W609" s="42">
        <v>10696526</v>
      </c>
      <c r="Y609" s="42">
        <v>2721239</v>
      </c>
      <c r="AA609" s="42">
        <v>705323</v>
      </c>
      <c r="AC609" s="42">
        <v>11972843</v>
      </c>
      <c r="AE609" s="42">
        <v>7095632</v>
      </c>
      <c r="AG609" s="42">
        <v>2242370</v>
      </c>
      <c r="AI609" s="42">
        <v>0</v>
      </c>
      <c r="AK609" s="42">
        <v>90740</v>
      </c>
      <c r="AL609" s="9" t="s">
        <v>307</v>
      </c>
      <c r="AM609" s="9"/>
      <c r="AN609" s="9" t="s">
        <v>27</v>
      </c>
      <c r="AP609" s="42">
        <v>1961788</v>
      </c>
      <c r="AR609" s="42">
        <v>0</v>
      </c>
      <c r="AV609" s="42">
        <v>0</v>
      </c>
      <c r="AX609" s="42">
        <v>0</v>
      </c>
      <c r="AZ609" s="42">
        <v>0</v>
      </c>
      <c r="BB609" s="42">
        <f t="shared" si="103"/>
        <v>135240889</v>
      </c>
      <c r="BD609" s="42">
        <v>0</v>
      </c>
      <c r="BF609" s="42">
        <v>0</v>
      </c>
      <c r="BH609" s="42">
        <v>0</v>
      </c>
      <c r="BJ609" s="42">
        <v>0</v>
      </c>
      <c r="BL609" s="42">
        <f t="shared" si="98"/>
        <v>135240889</v>
      </c>
      <c r="BN609" s="42">
        <f>+'Gen Fd Rev'!AM609-'Gen Fd Exp'!BL609</f>
        <v>19374124</v>
      </c>
      <c r="BP609" s="42">
        <v>20148122</v>
      </c>
      <c r="BR609" s="42">
        <v>0</v>
      </c>
      <c r="BT609" s="42">
        <v>0</v>
      </c>
      <c r="BV609" s="42">
        <f t="shared" si="99"/>
        <v>39522246</v>
      </c>
      <c r="BX609" s="5">
        <f>+BV609-'Gen Fd BS'!AI609+BT609</f>
        <v>0</v>
      </c>
    </row>
    <row r="610" spans="1:76">
      <c r="A610" s="9" t="s">
        <v>452</v>
      </c>
      <c r="B610" s="9"/>
      <c r="C610" s="9" t="s">
        <v>54</v>
      </c>
      <c r="D610" s="9"/>
      <c r="E610" s="23">
        <v>49106</v>
      </c>
      <c r="G610" s="42">
        <v>6529808</v>
      </c>
      <c r="I610" s="42">
        <v>1413954</v>
      </c>
      <c r="K610" s="42">
        <v>36717</v>
      </c>
      <c r="M610" s="42">
        <v>0</v>
      </c>
      <c r="O610" s="42">
        <v>12340</v>
      </c>
      <c r="Q610" s="42">
        <v>254614</v>
      </c>
      <c r="S610" s="42">
        <v>495211</v>
      </c>
      <c r="U610" s="42">
        <v>165222</v>
      </c>
      <c r="W610" s="42">
        <v>1064004</v>
      </c>
      <c r="Y610" s="42">
        <v>467149</v>
      </c>
      <c r="AA610" s="42">
        <v>0</v>
      </c>
      <c r="AC610" s="42">
        <v>1122678</v>
      </c>
      <c r="AE610" s="42">
        <v>1076720</v>
      </c>
      <c r="AG610" s="42">
        <v>459191</v>
      </c>
      <c r="AI610" s="42">
        <v>0</v>
      </c>
      <c r="AK610" s="42">
        <v>0</v>
      </c>
      <c r="AL610" s="9" t="s">
        <v>452</v>
      </c>
      <c r="AM610" s="9"/>
      <c r="AN610" s="9" t="s">
        <v>54</v>
      </c>
      <c r="AP610" s="42">
        <v>160035</v>
      </c>
      <c r="AR610" s="42">
        <v>0</v>
      </c>
      <c r="AV610" s="42">
        <v>0</v>
      </c>
      <c r="AX610" s="42">
        <v>0</v>
      </c>
      <c r="AZ610" s="42">
        <v>0</v>
      </c>
      <c r="BB610" s="42">
        <f t="shared" si="103"/>
        <v>13257643</v>
      </c>
      <c r="BD610" s="42">
        <v>242789</v>
      </c>
      <c r="BF610" s="42">
        <v>0</v>
      </c>
      <c r="BH610" s="42">
        <v>0</v>
      </c>
      <c r="BJ610" s="42">
        <v>0</v>
      </c>
      <c r="BL610" s="42">
        <f t="shared" si="98"/>
        <v>13500432</v>
      </c>
      <c r="BN610" s="42">
        <f>+'Gen Fd Rev'!AM610-'Gen Fd Exp'!BL610</f>
        <v>1705844</v>
      </c>
      <c r="BP610" s="42">
        <v>4978990</v>
      </c>
      <c r="BR610" s="42">
        <v>0</v>
      </c>
      <c r="BT610" s="42">
        <v>0</v>
      </c>
      <c r="BV610" s="42">
        <f t="shared" si="99"/>
        <v>6684834</v>
      </c>
      <c r="BX610" s="5">
        <f>+BV610-'Gen Fd BS'!AI610+BT610</f>
        <v>0</v>
      </c>
    </row>
    <row r="611" spans="1:76">
      <c r="A611" s="9" t="s">
        <v>279</v>
      </c>
      <c r="B611" s="9"/>
      <c r="C611" s="9" t="s">
        <v>20</v>
      </c>
      <c r="D611" s="9"/>
      <c r="E611" s="23">
        <v>45062</v>
      </c>
      <c r="G611" s="42">
        <v>23047303</v>
      </c>
      <c r="I611" s="42">
        <v>6850981</v>
      </c>
      <c r="K611" s="42">
        <v>170464</v>
      </c>
      <c r="M611" s="42">
        <v>0</v>
      </c>
      <c r="O611" s="42">
        <v>1743866</v>
      </c>
      <c r="Q611" s="42">
        <v>3647457</v>
      </c>
      <c r="S611" s="42">
        <v>1634859</v>
      </c>
      <c r="U611" s="42">
        <v>36145</v>
      </c>
      <c r="W611" s="42">
        <v>2736757</v>
      </c>
      <c r="Y611" s="42">
        <v>1158133</v>
      </c>
      <c r="AA611" s="42">
        <v>443576</v>
      </c>
      <c r="AC611" s="42">
        <v>4173108</v>
      </c>
      <c r="AE611" s="42">
        <v>4402418</v>
      </c>
      <c r="AG611" s="42">
        <v>288420</v>
      </c>
      <c r="AI611" s="42">
        <v>0</v>
      </c>
      <c r="AK611" s="42">
        <v>480620</v>
      </c>
      <c r="AL611" s="9" t="s">
        <v>279</v>
      </c>
      <c r="AM611" s="9"/>
      <c r="AN611" s="9" t="s">
        <v>20</v>
      </c>
      <c r="AP611" s="42">
        <v>1278411</v>
      </c>
      <c r="AR611" s="42">
        <v>18514</v>
      </c>
      <c r="AV611" s="42">
        <v>74907</v>
      </c>
      <c r="AX611" s="42">
        <v>9776</v>
      </c>
      <c r="AZ611" s="42">
        <v>0</v>
      </c>
      <c r="BB611" s="42">
        <f t="shared" si="103"/>
        <v>52195715</v>
      </c>
      <c r="BD611" s="42">
        <v>10000</v>
      </c>
      <c r="BF611" s="42">
        <v>0</v>
      </c>
      <c r="BH611" s="42">
        <v>0</v>
      </c>
      <c r="BJ611" s="42">
        <v>0</v>
      </c>
      <c r="BL611" s="42">
        <f t="shared" si="98"/>
        <v>52205715</v>
      </c>
      <c r="BN611" s="42">
        <f>+'Gen Fd Rev'!AM611-'Gen Fd Exp'!BL611</f>
        <v>-2979158</v>
      </c>
      <c r="BP611" s="42">
        <v>20213015</v>
      </c>
      <c r="BR611" s="42">
        <v>0</v>
      </c>
      <c r="BT611" s="42">
        <v>0</v>
      </c>
      <c r="BV611" s="42">
        <f t="shared" si="99"/>
        <v>17233857</v>
      </c>
      <c r="BX611" s="5">
        <f>+BV611-'Gen Fd BS'!AI611+BT611</f>
        <v>0</v>
      </c>
    </row>
    <row r="612" spans="1:76">
      <c r="A612" s="9" t="s">
        <v>483</v>
      </c>
      <c r="B612" s="9"/>
      <c r="C612" s="9" t="s">
        <v>59</v>
      </c>
      <c r="D612" s="9"/>
      <c r="E612" s="23">
        <v>49668</v>
      </c>
      <c r="G612" s="42">
        <v>7015517</v>
      </c>
      <c r="I612" s="42">
        <v>693992</v>
      </c>
      <c r="K612" s="42">
        <v>5458</v>
      </c>
      <c r="M612" s="42">
        <v>0</v>
      </c>
      <c r="O612" s="42">
        <v>6902</v>
      </c>
      <c r="Q612" s="42">
        <v>549382</v>
      </c>
      <c r="S612" s="42">
        <v>579220</v>
      </c>
      <c r="U612" s="42">
        <v>68809</v>
      </c>
      <c r="W612" s="42">
        <v>900022</v>
      </c>
      <c r="Y612" s="42">
        <v>306068</v>
      </c>
      <c r="AA612" s="42">
        <v>0</v>
      </c>
      <c r="AC612" s="42">
        <v>1020561</v>
      </c>
      <c r="AE612" s="42">
        <v>451553</v>
      </c>
      <c r="AG612" s="42">
        <v>50542</v>
      </c>
      <c r="AI612" s="42">
        <v>0</v>
      </c>
      <c r="AK612" s="42">
        <v>12205</v>
      </c>
      <c r="AL612" s="9" t="s">
        <v>483</v>
      </c>
      <c r="AM612" s="9"/>
      <c r="AN612" s="9" t="s">
        <v>59</v>
      </c>
      <c r="AP612" s="42">
        <v>212183</v>
      </c>
      <c r="AR612" s="42">
        <v>545</v>
      </c>
      <c r="AV612" s="42">
        <v>57000</v>
      </c>
      <c r="AX612" s="42">
        <v>14346</v>
      </c>
      <c r="AZ612" s="42">
        <v>0</v>
      </c>
      <c r="BB612" s="42">
        <f t="shared" si="103"/>
        <v>11944305</v>
      </c>
      <c r="BD612" s="42">
        <v>75000</v>
      </c>
      <c r="BF612" s="42">
        <v>0</v>
      </c>
      <c r="BH612" s="42">
        <v>0</v>
      </c>
      <c r="BJ612" s="42">
        <v>0</v>
      </c>
      <c r="BL612" s="42">
        <f t="shared" si="98"/>
        <v>12019305</v>
      </c>
      <c r="BN612" s="42">
        <f>+'Gen Fd Rev'!AM612-'Gen Fd Exp'!BL612</f>
        <v>-161098</v>
      </c>
      <c r="BP612" s="42">
        <v>841887</v>
      </c>
      <c r="BR612" s="42">
        <v>0</v>
      </c>
      <c r="BT612" s="42">
        <v>0</v>
      </c>
      <c r="BV612" s="42">
        <f t="shared" si="99"/>
        <v>680789</v>
      </c>
      <c r="BX612" s="5">
        <f>+BV612-'Gen Fd BS'!AI612+BT612</f>
        <v>0</v>
      </c>
    </row>
    <row r="613" spans="1:76">
      <c r="A613" s="9" t="s">
        <v>308</v>
      </c>
      <c r="B613" s="9"/>
      <c r="C613" s="9" t="s">
        <v>27</v>
      </c>
      <c r="D613" s="9"/>
      <c r="E613" s="23">
        <v>45070</v>
      </c>
      <c r="G613" s="42">
        <v>15714851</v>
      </c>
      <c r="I613" s="42">
        <v>4657107</v>
      </c>
      <c r="K613" s="42">
        <v>273335</v>
      </c>
      <c r="M613" s="42">
        <v>0</v>
      </c>
      <c r="O613" s="42">
        <v>187594</v>
      </c>
      <c r="Q613" s="42">
        <v>1338822</v>
      </c>
      <c r="S613" s="42">
        <v>590067</v>
      </c>
      <c r="U613" s="42">
        <v>108207</v>
      </c>
      <c r="W613" s="42">
        <v>2740453</v>
      </c>
      <c r="Y613" s="42">
        <v>0</v>
      </c>
      <c r="AA613" s="42">
        <v>1027944</v>
      </c>
      <c r="AC613" s="42">
        <v>2504421</v>
      </c>
      <c r="AE613" s="42">
        <v>1358515</v>
      </c>
      <c r="AG613" s="42">
        <v>487503</v>
      </c>
      <c r="AI613" s="42">
        <v>0</v>
      </c>
      <c r="AK613" s="42">
        <v>18246</v>
      </c>
      <c r="AL613" s="9" t="s">
        <v>308</v>
      </c>
      <c r="AM613" s="9"/>
      <c r="AN613" s="9" t="s">
        <v>27</v>
      </c>
      <c r="AP613" s="42">
        <v>607618</v>
      </c>
      <c r="AR613" s="42">
        <v>186234</v>
      </c>
      <c r="AV613" s="42">
        <v>8021</v>
      </c>
      <c r="AX613" s="42">
        <v>439</v>
      </c>
      <c r="AZ613" s="42">
        <v>0</v>
      </c>
      <c r="BB613" s="42">
        <f t="shared" si="103"/>
        <v>31809377</v>
      </c>
      <c r="BD613" s="42">
        <v>0</v>
      </c>
      <c r="BF613" s="42">
        <v>0</v>
      </c>
      <c r="BH613" s="42">
        <v>0</v>
      </c>
      <c r="BJ613" s="42">
        <v>0</v>
      </c>
      <c r="BL613" s="42">
        <f t="shared" si="98"/>
        <v>31809377</v>
      </c>
      <c r="BN613" s="42">
        <f>+'Gen Fd Rev'!AM613-'Gen Fd Exp'!BL613</f>
        <v>-2409660</v>
      </c>
      <c r="BP613" s="42">
        <v>15319308</v>
      </c>
      <c r="BR613" s="42">
        <v>0</v>
      </c>
      <c r="BT613" s="42">
        <v>0</v>
      </c>
      <c r="BV613" s="42">
        <f t="shared" si="99"/>
        <v>12909648</v>
      </c>
      <c r="BX613" s="5">
        <f>+BV613-'Gen Fd BS'!AI613+BT613</f>
        <v>0</v>
      </c>
    </row>
    <row r="614" spans="1:76" hidden="1">
      <c r="A614" s="9" t="s">
        <v>617</v>
      </c>
      <c r="B614" s="9"/>
      <c r="C614" s="9" t="s">
        <v>41</v>
      </c>
      <c r="D614" s="9"/>
      <c r="E614" s="23">
        <v>45088</v>
      </c>
      <c r="G614" s="42">
        <v>0</v>
      </c>
      <c r="I614" s="42">
        <v>0</v>
      </c>
      <c r="K614" s="42">
        <v>0</v>
      </c>
      <c r="M614" s="42">
        <v>0</v>
      </c>
      <c r="O614" s="42">
        <v>0</v>
      </c>
      <c r="Q614" s="42">
        <v>0</v>
      </c>
      <c r="S614" s="42">
        <v>0</v>
      </c>
      <c r="U614" s="42">
        <v>0</v>
      </c>
      <c r="W614" s="42">
        <v>0</v>
      </c>
      <c r="Y614" s="42">
        <v>0</v>
      </c>
      <c r="AA614" s="42">
        <v>0</v>
      </c>
      <c r="AC614" s="42">
        <v>0</v>
      </c>
      <c r="AE614" s="42">
        <v>0</v>
      </c>
      <c r="AG614" s="42">
        <v>0</v>
      </c>
      <c r="AI614" s="42">
        <v>0</v>
      </c>
      <c r="AK614" s="42">
        <v>0</v>
      </c>
      <c r="AL614" s="9" t="s">
        <v>617</v>
      </c>
      <c r="AM614" s="9"/>
      <c r="AN614" s="9" t="s">
        <v>41</v>
      </c>
      <c r="AP614" s="42">
        <v>0</v>
      </c>
      <c r="AR614" s="42">
        <v>0</v>
      </c>
      <c r="AV614" s="42">
        <v>0</v>
      </c>
      <c r="AX614" s="42">
        <v>0</v>
      </c>
      <c r="AZ614" s="42">
        <v>0</v>
      </c>
      <c r="BB614" s="42">
        <f t="shared" si="103"/>
        <v>0</v>
      </c>
      <c r="BD614" s="42">
        <v>0</v>
      </c>
      <c r="BF614" s="42">
        <v>0</v>
      </c>
      <c r="BH614" s="42">
        <v>0</v>
      </c>
      <c r="BJ614" s="42">
        <v>0</v>
      </c>
      <c r="BL614" s="42">
        <f t="shared" si="98"/>
        <v>0</v>
      </c>
      <c r="BN614" s="42">
        <f>+'Gen Fd Rev'!AM614-'Gen Fd Exp'!BL614</f>
        <v>0</v>
      </c>
      <c r="BP614" s="42">
        <v>0</v>
      </c>
      <c r="BR614" s="42">
        <v>0</v>
      </c>
      <c r="BT614" s="42">
        <v>0</v>
      </c>
      <c r="BV614" s="42">
        <f t="shared" si="99"/>
        <v>0</v>
      </c>
      <c r="BX614" s="5">
        <f>+BV614-'Gen Fd BS'!AI614+BT614</f>
        <v>0</v>
      </c>
    </row>
    <row r="615" spans="1:76">
      <c r="A615" s="9" t="s">
        <v>358</v>
      </c>
      <c r="B615" s="9"/>
      <c r="C615" s="9" t="s">
        <v>37</v>
      </c>
      <c r="D615" s="9"/>
      <c r="E615" s="23">
        <v>45096</v>
      </c>
      <c r="G615" s="42">
        <v>6861386</v>
      </c>
      <c r="I615" s="42">
        <v>724014</v>
      </c>
      <c r="K615" s="42">
        <v>250743</v>
      </c>
      <c r="M615" s="42">
        <v>0</v>
      </c>
      <c r="O615" s="42">
        <v>1900941</v>
      </c>
      <c r="Q615" s="42">
        <v>688325</v>
      </c>
      <c r="S615" s="42">
        <v>451137</v>
      </c>
      <c r="U615" s="42">
        <v>505828</v>
      </c>
      <c r="W615" s="42">
        <v>1732357</v>
      </c>
      <c r="Y615" s="42">
        <v>349943</v>
      </c>
      <c r="AA615" s="42">
        <v>38080</v>
      </c>
      <c r="AC615" s="42">
        <v>1254842</v>
      </c>
      <c r="AE615" s="42">
        <v>744738</v>
      </c>
      <c r="AG615" s="42">
        <v>4459</v>
      </c>
      <c r="AI615" s="42">
        <v>0</v>
      </c>
      <c r="AK615" s="42">
        <v>0</v>
      </c>
      <c r="AL615" s="9" t="s">
        <v>358</v>
      </c>
      <c r="AM615" s="9"/>
      <c r="AN615" s="9" t="s">
        <v>37</v>
      </c>
      <c r="AP615" s="42">
        <v>350200</v>
      </c>
      <c r="AR615" s="42">
        <v>144987</v>
      </c>
      <c r="AV615" s="42">
        <v>79430</v>
      </c>
      <c r="AX615" s="42">
        <v>11664</v>
      </c>
      <c r="AZ615" s="42">
        <v>0</v>
      </c>
      <c r="BB615" s="42">
        <f t="shared" si="103"/>
        <v>16093074</v>
      </c>
      <c r="BD615" s="42">
        <v>100248</v>
      </c>
      <c r="BF615" s="42">
        <v>0</v>
      </c>
      <c r="BH615" s="42">
        <v>0</v>
      </c>
      <c r="BJ615" s="42">
        <v>0</v>
      </c>
      <c r="BL615" s="42">
        <f t="shared" si="98"/>
        <v>16193322</v>
      </c>
      <c r="BN615" s="42">
        <f>+'Gen Fd Rev'!AM615-'Gen Fd Exp'!BL615</f>
        <v>-814455</v>
      </c>
      <c r="BP615" s="42">
        <v>285039</v>
      </c>
      <c r="BR615" s="42">
        <v>0</v>
      </c>
      <c r="BT615" s="42">
        <v>0</v>
      </c>
      <c r="BV615" s="42">
        <f t="shared" si="99"/>
        <v>-529416</v>
      </c>
      <c r="BX615" s="5">
        <f>+BV615-'Gen Fd BS'!AI615+BT615</f>
        <v>0</v>
      </c>
    </row>
    <row r="616" spans="1:76" hidden="1">
      <c r="A616" s="9" t="s">
        <v>881</v>
      </c>
      <c r="B616" s="9"/>
      <c r="C616" s="9" t="s">
        <v>112</v>
      </c>
      <c r="D616" s="9"/>
      <c r="E616" s="23">
        <v>46367</v>
      </c>
      <c r="G616" s="42">
        <v>0</v>
      </c>
      <c r="I616" s="42">
        <v>0</v>
      </c>
      <c r="K616" s="42">
        <v>0</v>
      </c>
      <c r="M616" s="42">
        <v>0</v>
      </c>
      <c r="O616" s="42">
        <v>0</v>
      </c>
      <c r="Q616" s="42">
        <v>0</v>
      </c>
      <c r="S616" s="42">
        <v>0</v>
      </c>
      <c r="U616" s="42">
        <v>0</v>
      </c>
      <c r="W616" s="42">
        <v>0</v>
      </c>
      <c r="Y616" s="42">
        <v>0</v>
      </c>
      <c r="AA616" s="42">
        <v>0</v>
      </c>
      <c r="AC616" s="42">
        <v>0</v>
      </c>
      <c r="AE616" s="42">
        <v>0</v>
      </c>
      <c r="AG616" s="42">
        <v>0</v>
      </c>
      <c r="AI616" s="42">
        <v>0</v>
      </c>
      <c r="AK616" s="42">
        <v>0</v>
      </c>
      <c r="AL616" s="9" t="s">
        <v>881</v>
      </c>
      <c r="AM616" s="9"/>
      <c r="AN616" s="9" t="s">
        <v>112</v>
      </c>
      <c r="AP616" s="42">
        <v>0</v>
      </c>
      <c r="AR616" s="42">
        <v>0</v>
      </c>
      <c r="AV616" s="42">
        <v>0</v>
      </c>
      <c r="AX616" s="42">
        <v>0</v>
      </c>
      <c r="AZ616" s="42">
        <v>0</v>
      </c>
      <c r="BB616" s="42">
        <f t="shared" si="103"/>
        <v>0</v>
      </c>
      <c r="BD616" s="42">
        <v>0</v>
      </c>
      <c r="BF616" s="42">
        <v>0</v>
      </c>
      <c r="BH616" s="42">
        <v>0</v>
      </c>
      <c r="BJ616" s="42">
        <v>0</v>
      </c>
      <c r="BL616" s="42">
        <f t="shared" si="98"/>
        <v>0</v>
      </c>
      <c r="BN616" s="42">
        <f>+'Gen Fd Rev'!AM616-'Gen Fd Exp'!BL616</f>
        <v>0</v>
      </c>
      <c r="BP616" s="42">
        <v>0</v>
      </c>
      <c r="BR616" s="42">
        <v>0</v>
      </c>
      <c r="BT616" s="42">
        <v>0</v>
      </c>
      <c r="BV616" s="42">
        <f t="shared" si="99"/>
        <v>0</v>
      </c>
      <c r="BX616" s="5">
        <f>+BV616-'Gen Fd BS'!AI616+BT616</f>
        <v>0</v>
      </c>
    </row>
    <row r="617" spans="1:76">
      <c r="A617" s="9" t="s">
        <v>363</v>
      </c>
      <c r="B617" s="9"/>
      <c r="C617" s="9" t="s">
        <v>41</v>
      </c>
      <c r="D617" s="9"/>
      <c r="E617" s="23">
        <v>45104</v>
      </c>
      <c r="G617" s="42">
        <v>47645304</v>
      </c>
      <c r="I617" s="42">
        <v>2663645</v>
      </c>
      <c r="K617" s="42">
        <v>98016</v>
      </c>
      <c r="M617" s="42">
        <v>80</v>
      </c>
      <c r="O617" s="42">
        <f>6298+378143</f>
        <v>384441</v>
      </c>
      <c r="Q617" s="42">
        <v>5766479</v>
      </c>
      <c r="S617" s="42">
        <v>2685497</v>
      </c>
      <c r="U617" s="42">
        <v>198363</v>
      </c>
      <c r="W617" s="42">
        <v>7485611</v>
      </c>
      <c r="Y617" s="42">
        <v>1727913</v>
      </c>
      <c r="AA617" s="42">
        <v>409557</v>
      </c>
      <c r="AC617" s="42">
        <v>5421861</v>
      </c>
      <c r="AE617" s="42">
        <v>7687064</v>
      </c>
      <c r="AG617" s="42">
        <v>2600858</v>
      </c>
      <c r="AI617" s="42">
        <v>27045</v>
      </c>
      <c r="AK617" s="42">
        <v>437779</v>
      </c>
      <c r="AL617" s="9" t="s">
        <v>363</v>
      </c>
      <c r="AM617" s="9"/>
      <c r="AN617" s="9" t="s">
        <v>41</v>
      </c>
      <c r="AP617" s="42">
        <v>1334434</v>
      </c>
      <c r="AR617" s="42">
        <v>1584372</v>
      </c>
      <c r="AV617" s="42">
        <v>0</v>
      </c>
      <c r="AX617" s="42">
        <v>0</v>
      </c>
      <c r="AZ617" s="42">
        <v>0</v>
      </c>
      <c r="BB617" s="42">
        <f t="shared" si="103"/>
        <v>88158319</v>
      </c>
      <c r="BD617" s="42">
        <v>68377</v>
      </c>
      <c r="BF617" s="42">
        <v>0</v>
      </c>
      <c r="BH617" s="42">
        <v>0</v>
      </c>
      <c r="BJ617" s="42">
        <v>0</v>
      </c>
      <c r="BL617" s="42">
        <f t="shared" si="98"/>
        <v>88226696</v>
      </c>
      <c r="BN617" s="42">
        <f>+'Gen Fd Rev'!AM617-'Gen Fd Exp'!BL617</f>
        <v>46555</v>
      </c>
      <c r="BP617" s="42">
        <v>5787626</v>
      </c>
      <c r="BR617" s="42">
        <v>0</v>
      </c>
      <c r="BT617" s="42">
        <v>0</v>
      </c>
      <c r="BV617" s="42">
        <f t="shared" si="99"/>
        <v>5834181</v>
      </c>
      <c r="BX617" s="5">
        <f>+BV617-'Gen Fd BS'!AI617+BT617</f>
        <v>0</v>
      </c>
    </row>
    <row r="618" spans="1:76">
      <c r="A618" s="9" t="s">
        <v>243</v>
      </c>
      <c r="B618" s="9"/>
      <c r="C618" s="9" t="s">
        <v>18</v>
      </c>
      <c r="D618" s="9"/>
      <c r="E618" s="23">
        <v>45112</v>
      </c>
      <c r="G618" s="42">
        <v>11118181</v>
      </c>
      <c r="I618" s="42">
        <v>2234701</v>
      </c>
      <c r="K618" s="42">
        <v>246910</v>
      </c>
      <c r="M618" s="42">
        <v>0</v>
      </c>
      <c r="O618" s="42">
        <v>938239</v>
      </c>
      <c r="Q618" s="42">
        <v>1407607</v>
      </c>
      <c r="S618" s="42">
        <v>1138189</v>
      </c>
      <c r="U618" s="42">
        <v>124423</v>
      </c>
      <c r="W618" s="42">
        <v>1452189</v>
      </c>
      <c r="Y618" s="42">
        <v>613889</v>
      </c>
      <c r="AA618" s="42">
        <v>175738</v>
      </c>
      <c r="AC618" s="42">
        <v>2313058</v>
      </c>
      <c r="AE618" s="42">
        <v>1406961</v>
      </c>
      <c r="AG618" s="42">
        <v>23716</v>
      </c>
      <c r="AI618" s="42">
        <v>0</v>
      </c>
      <c r="AK618" s="42">
        <v>0</v>
      </c>
      <c r="AL618" s="9" t="s">
        <v>243</v>
      </c>
      <c r="AM618" s="9"/>
      <c r="AN618" s="9" t="s">
        <v>18</v>
      </c>
      <c r="AP618" s="42">
        <v>418845</v>
      </c>
      <c r="AR618" s="42">
        <v>0</v>
      </c>
      <c r="AV618" s="42">
        <v>78000</v>
      </c>
      <c r="AX618" s="42">
        <v>13306</v>
      </c>
      <c r="AZ618" s="42">
        <v>0</v>
      </c>
      <c r="BB618" s="42">
        <f t="shared" si="103"/>
        <v>23703952</v>
      </c>
      <c r="BD618" s="42">
        <v>43543</v>
      </c>
      <c r="BF618" s="42">
        <v>0</v>
      </c>
      <c r="BH618" s="42">
        <v>0</v>
      </c>
      <c r="BJ618" s="42">
        <v>0</v>
      </c>
      <c r="BL618" s="42">
        <f t="shared" si="98"/>
        <v>23747495</v>
      </c>
      <c r="BN618" s="42">
        <f>+'Gen Fd Rev'!AM618-'Gen Fd Exp'!BL618</f>
        <v>329063</v>
      </c>
      <c r="BP618" s="42">
        <v>2709815</v>
      </c>
      <c r="BR618" s="42">
        <v>0</v>
      </c>
      <c r="BT618" s="42">
        <v>0</v>
      </c>
      <c r="BV618" s="42">
        <f t="shared" si="99"/>
        <v>3038878</v>
      </c>
      <c r="BX618" s="5">
        <f>+BV618-'Gen Fd BS'!AI618+BT618</f>
        <v>0</v>
      </c>
    </row>
    <row r="619" spans="1:76">
      <c r="A619" s="9" t="s">
        <v>776</v>
      </c>
      <c r="B619" s="9"/>
      <c r="C619" s="9" t="s">
        <v>56</v>
      </c>
      <c r="D619" s="9"/>
      <c r="E619" s="23">
        <v>45666</v>
      </c>
      <c r="G619" s="42">
        <v>2889097</v>
      </c>
      <c r="I619" s="42">
        <v>1222236</v>
      </c>
      <c r="K619" s="42">
        <v>92091</v>
      </c>
      <c r="M619" s="42">
        <v>0</v>
      </c>
      <c r="O619" s="42">
        <v>16591</v>
      </c>
      <c r="Q619" s="42">
        <v>468157</v>
      </c>
      <c r="S619" s="42">
        <v>365085</v>
      </c>
      <c r="U619" s="42">
        <v>34097</v>
      </c>
      <c r="W619" s="42">
        <v>644389</v>
      </c>
      <c r="Y619" s="42">
        <v>226000</v>
      </c>
      <c r="AA619" s="42">
        <v>6896</v>
      </c>
      <c r="AC619" s="42">
        <v>653137</v>
      </c>
      <c r="AE619" s="42">
        <v>388581</v>
      </c>
      <c r="AG619" s="42">
        <v>16688</v>
      </c>
      <c r="AI619" s="42">
        <v>0</v>
      </c>
      <c r="AK619" s="42">
        <v>0</v>
      </c>
      <c r="AL619" s="9" t="s">
        <v>776</v>
      </c>
      <c r="AM619" s="9"/>
      <c r="AN619" s="9" t="s">
        <v>56</v>
      </c>
      <c r="AP619" s="42">
        <v>167264</v>
      </c>
      <c r="AR619" s="42">
        <v>0</v>
      </c>
      <c r="AV619" s="42">
        <v>18338</v>
      </c>
      <c r="AX619" s="42">
        <v>2471</v>
      </c>
      <c r="AZ619" s="42">
        <v>0</v>
      </c>
      <c r="BB619" s="42">
        <f t="shared" si="103"/>
        <v>7211118</v>
      </c>
      <c r="BD619" s="42">
        <v>0</v>
      </c>
      <c r="BF619" s="42">
        <v>0</v>
      </c>
      <c r="BH619" s="42">
        <v>0</v>
      </c>
      <c r="BJ619" s="42">
        <v>0</v>
      </c>
      <c r="BL619" s="42">
        <f t="shared" si="98"/>
        <v>7211118</v>
      </c>
      <c r="BN619" s="42">
        <f>+'Gen Fd Rev'!AM619-'Gen Fd Exp'!BL619</f>
        <v>624554</v>
      </c>
      <c r="BP619" s="42">
        <v>1875847</v>
      </c>
      <c r="BR619" s="42">
        <v>-926</v>
      </c>
      <c r="BT619" s="42">
        <v>0</v>
      </c>
      <c r="BV619" s="42">
        <f t="shared" si="99"/>
        <v>2501327</v>
      </c>
      <c r="BX619" s="5">
        <f>+BV619-'Gen Fd BS'!AI619+BT619</f>
        <v>0</v>
      </c>
    </row>
    <row r="620" spans="1:76">
      <c r="A620" s="9" t="s">
        <v>330</v>
      </c>
      <c r="B620" s="9"/>
      <c r="C620" s="9" t="s">
        <v>32</v>
      </c>
      <c r="D620" s="9"/>
      <c r="E620" s="23">
        <v>44081</v>
      </c>
      <c r="G620" s="42">
        <v>17612559</v>
      </c>
      <c r="I620" s="42">
        <v>6790856</v>
      </c>
      <c r="K620" s="42">
        <v>163970</v>
      </c>
      <c r="M620" s="42">
        <v>0</v>
      </c>
      <c r="O620" s="42">
        <v>0</v>
      </c>
      <c r="Q620" s="42">
        <v>2173635</v>
      </c>
      <c r="S620" s="42">
        <v>1077676</v>
      </c>
      <c r="U620" s="42">
        <v>161940</v>
      </c>
      <c r="W620" s="42">
        <v>3295400</v>
      </c>
      <c r="Y620" s="42">
        <v>1179296</v>
      </c>
      <c r="AA620" s="42">
        <v>204004</v>
      </c>
      <c r="AC620" s="42">
        <v>2899593</v>
      </c>
      <c r="AE620" s="42">
        <v>2059042</v>
      </c>
      <c r="AG620" s="42">
        <v>542252</v>
      </c>
      <c r="AI620" s="42">
        <v>0</v>
      </c>
      <c r="AK620" s="42">
        <v>26388</v>
      </c>
      <c r="AL620" s="9" t="s">
        <v>330</v>
      </c>
      <c r="AM620" s="9"/>
      <c r="AN620" s="9" t="s">
        <v>32</v>
      </c>
      <c r="AP620" s="42">
        <v>500694</v>
      </c>
      <c r="AR620" s="42">
        <v>88328</v>
      </c>
      <c r="AV620" s="42">
        <v>3161</v>
      </c>
      <c r="AX620" s="42">
        <v>482</v>
      </c>
      <c r="AZ620" s="42">
        <v>0</v>
      </c>
      <c r="BB620" s="42">
        <f t="shared" si="103"/>
        <v>38779276</v>
      </c>
      <c r="BD620" s="42">
        <v>0</v>
      </c>
      <c r="BF620" s="42">
        <v>0</v>
      </c>
      <c r="BH620" s="42">
        <v>0</v>
      </c>
      <c r="BJ620" s="42">
        <v>0</v>
      </c>
      <c r="BL620" s="42">
        <f t="shared" si="98"/>
        <v>38779276</v>
      </c>
      <c r="BN620" s="42">
        <f>+'Gen Fd Rev'!AM620-'Gen Fd Exp'!BL620</f>
        <v>3271334</v>
      </c>
      <c r="BP620" s="42">
        <v>11929141</v>
      </c>
      <c r="BR620" s="42">
        <v>0</v>
      </c>
      <c r="BT620" s="42">
        <v>0</v>
      </c>
      <c r="BV620" s="42">
        <f t="shared" si="99"/>
        <v>15200475</v>
      </c>
      <c r="BX620" s="5">
        <f>+BV620-'Gen Fd BS'!AI620+BT620</f>
        <v>0</v>
      </c>
    </row>
    <row r="621" spans="1:76">
      <c r="A621" s="9" t="s">
        <v>546</v>
      </c>
      <c r="B621" s="9"/>
      <c r="C621" s="9" t="s">
        <v>70</v>
      </c>
      <c r="D621" s="9"/>
      <c r="E621" s="23">
        <v>50518</v>
      </c>
      <c r="G621" s="42">
        <v>3178380</v>
      </c>
      <c r="I621" s="42">
        <v>366550</v>
      </c>
      <c r="K621" s="42">
        <v>192802</v>
      </c>
      <c r="M621" s="42">
        <v>0</v>
      </c>
      <c r="O621" s="42">
        <v>26046</v>
      </c>
      <c r="Q621" s="42">
        <v>348705</v>
      </c>
      <c r="S621" s="42">
        <v>336098</v>
      </c>
      <c r="U621" s="42">
        <v>16202</v>
      </c>
      <c r="W621" s="42">
        <v>554909</v>
      </c>
      <c r="Y621" s="42">
        <v>345024</v>
      </c>
      <c r="AA621" s="42">
        <v>0</v>
      </c>
      <c r="AC621" s="42">
        <v>627633</v>
      </c>
      <c r="AE621" s="42">
        <v>457630</v>
      </c>
      <c r="AG621" s="42">
        <v>29072</v>
      </c>
      <c r="AI621" s="42">
        <v>0</v>
      </c>
      <c r="AK621" s="42">
        <v>0</v>
      </c>
      <c r="AL621" s="9" t="s">
        <v>546</v>
      </c>
      <c r="AM621" s="9"/>
      <c r="AN621" s="9" t="s">
        <v>70</v>
      </c>
      <c r="AP621" s="42">
        <v>136873</v>
      </c>
      <c r="AR621" s="42">
        <v>41852</v>
      </c>
      <c r="AV621" s="42">
        <v>0</v>
      </c>
      <c r="AX621" s="42">
        <v>0</v>
      </c>
      <c r="AZ621" s="42">
        <v>200</v>
      </c>
      <c r="BB621" s="42">
        <f t="shared" si="103"/>
        <v>6657976</v>
      </c>
      <c r="BD621" s="42">
        <v>500000</v>
      </c>
      <c r="BF621" s="42">
        <v>0</v>
      </c>
      <c r="BH621" s="42">
        <v>0</v>
      </c>
      <c r="BJ621" s="42">
        <v>0</v>
      </c>
      <c r="BL621" s="42">
        <f t="shared" si="98"/>
        <v>7157976</v>
      </c>
      <c r="BN621" s="42">
        <f>+'Gen Fd Rev'!AM621-'Gen Fd Exp'!BL621</f>
        <v>-184959</v>
      </c>
      <c r="BP621" s="42">
        <v>7460010</v>
      </c>
      <c r="BR621" s="42">
        <v>0</v>
      </c>
      <c r="BT621" s="42">
        <v>0</v>
      </c>
      <c r="BV621" s="42">
        <f t="shared" si="99"/>
        <v>7275051</v>
      </c>
      <c r="BX621" s="5">
        <f>+BV621-'Gen Fd BS'!AI621+BT621</f>
        <v>0</v>
      </c>
    </row>
    <row r="622" spans="1:76">
      <c r="A622" s="9" t="s">
        <v>475</v>
      </c>
      <c r="B622" s="9"/>
      <c r="C622" s="9" t="s">
        <v>79</v>
      </c>
      <c r="D622" s="9"/>
      <c r="E622" s="23">
        <v>49577</v>
      </c>
      <c r="G622" s="42">
        <v>5190049</v>
      </c>
      <c r="I622" s="42">
        <v>799024</v>
      </c>
      <c r="K622" s="42">
        <v>6274</v>
      </c>
      <c r="M622" s="42">
        <v>0</v>
      </c>
      <c r="O622" s="42">
        <v>4302</v>
      </c>
      <c r="Q622" s="42">
        <v>568969</v>
      </c>
      <c r="S622" s="42">
        <v>181158</v>
      </c>
      <c r="U622" s="42">
        <v>72934</v>
      </c>
      <c r="W622" s="42">
        <v>1168176</v>
      </c>
      <c r="Y622" s="42">
        <v>332629</v>
      </c>
      <c r="AA622" s="42">
        <v>0</v>
      </c>
      <c r="AC622" s="42">
        <v>735892</v>
      </c>
      <c r="AE622" s="42">
        <v>500350</v>
      </c>
      <c r="AG622" s="42">
        <v>0</v>
      </c>
      <c r="AI622" s="42">
        <v>0</v>
      </c>
      <c r="AK622" s="42">
        <v>0</v>
      </c>
      <c r="AL622" s="9" t="s">
        <v>475</v>
      </c>
      <c r="AM622" s="9"/>
      <c r="AN622" s="9" t="s">
        <v>79</v>
      </c>
      <c r="AP622" s="42">
        <v>269501</v>
      </c>
      <c r="AR622" s="42">
        <v>0</v>
      </c>
      <c r="AV622" s="42">
        <v>31993</v>
      </c>
      <c r="AX622" s="42">
        <v>4421</v>
      </c>
      <c r="AZ622" s="42">
        <v>0</v>
      </c>
      <c r="BB622" s="42">
        <f t="shared" si="103"/>
        <v>9865672</v>
      </c>
      <c r="BD622" s="42">
        <v>0</v>
      </c>
      <c r="BF622" s="42">
        <v>0</v>
      </c>
      <c r="BH622" s="42">
        <v>0</v>
      </c>
      <c r="BJ622" s="42">
        <v>0</v>
      </c>
      <c r="BL622" s="42">
        <f t="shared" si="98"/>
        <v>9865672</v>
      </c>
      <c r="BN622" s="42">
        <f>+'Gen Fd Rev'!AM622-'Gen Fd Exp'!BL622</f>
        <v>-777247</v>
      </c>
      <c r="BP622" s="42">
        <v>1130838</v>
      </c>
      <c r="BR622" s="42">
        <v>0</v>
      </c>
      <c r="BT622" s="42">
        <v>0</v>
      </c>
      <c r="BV622" s="42">
        <f t="shared" si="99"/>
        <v>353591</v>
      </c>
      <c r="BX622" s="5">
        <f>+BV622-'Gen Fd BS'!AI622+BT622</f>
        <v>0</v>
      </c>
    </row>
    <row r="623" spans="1:76">
      <c r="A623" s="9" t="s">
        <v>513</v>
      </c>
      <c r="B623" s="9"/>
      <c r="C623" s="9" t="s">
        <v>63</v>
      </c>
      <c r="D623" s="9"/>
      <c r="E623" s="23">
        <v>49973</v>
      </c>
      <c r="G623" s="42">
        <v>10116313</v>
      </c>
      <c r="I623" s="42">
        <v>3404043</v>
      </c>
      <c r="K623" s="42">
        <v>333751</v>
      </c>
      <c r="M623" s="42">
        <v>0</v>
      </c>
      <c r="O623" s="42">
        <v>55954</v>
      </c>
      <c r="Q623" s="42">
        <v>1289496</v>
      </c>
      <c r="S623" s="42">
        <v>324758</v>
      </c>
      <c r="U623" s="42">
        <v>28899</v>
      </c>
      <c r="W623" s="42">
        <v>1821956</v>
      </c>
      <c r="Y623" s="42">
        <v>663070</v>
      </c>
      <c r="AA623" s="42">
        <v>0</v>
      </c>
      <c r="AC623" s="42">
        <v>1737278</v>
      </c>
      <c r="AE623" s="42">
        <v>1637848</v>
      </c>
      <c r="AG623" s="42">
        <v>251824</v>
      </c>
      <c r="AI623" s="42">
        <v>0</v>
      </c>
      <c r="AK623" s="42">
        <v>600</v>
      </c>
      <c r="AL623" s="9" t="s">
        <v>513</v>
      </c>
      <c r="AM623" s="9"/>
      <c r="AN623" s="9" t="s">
        <v>63</v>
      </c>
      <c r="AP623" s="42">
        <v>503465</v>
      </c>
      <c r="AR623" s="42">
        <v>78179</v>
      </c>
      <c r="AV623" s="42">
        <v>25738</v>
      </c>
      <c r="AX623" s="42">
        <v>4045</v>
      </c>
      <c r="AZ623" s="42">
        <v>0</v>
      </c>
      <c r="BB623" s="42">
        <f t="shared" si="103"/>
        <v>22277217</v>
      </c>
      <c r="BD623" s="42">
        <v>132600</v>
      </c>
      <c r="BF623" s="42">
        <v>0</v>
      </c>
      <c r="BH623" s="42">
        <v>0</v>
      </c>
      <c r="BJ623" s="42">
        <v>0</v>
      </c>
      <c r="BL623" s="42">
        <f t="shared" si="98"/>
        <v>22409817</v>
      </c>
      <c r="BN623" s="42">
        <f>+'Gen Fd Rev'!AM623-'Gen Fd Exp'!BL623</f>
        <v>-1368207</v>
      </c>
      <c r="BP623" s="42">
        <v>5831318</v>
      </c>
      <c r="BR623" s="42">
        <v>0</v>
      </c>
      <c r="BT623" s="42">
        <v>0</v>
      </c>
      <c r="BV623" s="42">
        <f t="shared" si="99"/>
        <v>4463111</v>
      </c>
      <c r="BX623" s="5">
        <f>+BV623-'Gen Fd BS'!AI623+BT623</f>
        <v>0</v>
      </c>
    </row>
    <row r="624" spans="1:76">
      <c r="A624" s="9" t="s">
        <v>618</v>
      </c>
      <c r="B624" s="9"/>
      <c r="C624" s="9" t="s">
        <v>71</v>
      </c>
      <c r="D624" s="9"/>
      <c r="E624" s="23">
        <v>45120</v>
      </c>
      <c r="G624" s="42">
        <v>17197064</v>
      </c>
      <c r="I624" s="42">
        <v>3516452</v>
      </c>
      <c r="K624" s="42">
        <v>479996</v>
      </c>
      <c r="M624" s="42">
        <v>0</v>
      </c>
      <c r="O624" s="42">
        <f>5509+2603668</f>
        <v>2609177</v>
      </c>
      <c r="Q624" s="42">
        <v>2021667</v>
      </c>
      <c r="S624" s="42">
        <v>1819007</v>
      </c>
      <c r="U624" s="42">
        <v>177106</v>
      </c>
      <c r="W624" s="42">
        <v>2834107</v>
      </c>
      <c r="Y624" s="42">
        <v>850675</v>
      </c>
      <c r="AA624" s="42">
        <v>203263</v>
      </c>
      <c r="AC624" s="42">
        <v>3778000</v>
      </c>
      <c r="AE624" s="42">
        <v>1816776</v>
      </c>
      <c r="AG624" s="42">
        <v>589597</v>
      </c>
      <c r="AI624" s="42">
        <v>0</v>
      </c>
      <c r="AK624" s="42">
        <v>279874</v>
      </c>
      <c r="AL624" s="9" t="s">
        <v>618</v>
      </c>
      <c r="AM624" s="9"/>
      <c r="AN624" s="9" t="s">
        <v>71</v>
      </c>
      <c r="AP624" s="42">
        <v>468950</v>
      </c>
      <c r="AR624" s="42">
        <v>155610</v>
      </c>
      <c r="AV624" s="42">
        <v>0</v>
      </c>
      <c r="AX624" s="42">
        <v>0</v>
      </c>
      <c r="AZ624" s="42">
        <v>0</v>
      </c>
      <c r="BB624" s="42">
        <f t="shared" si="103"/>
        <v>38797321</v>
      </c>
      <c r="BD624" s="42">
        <v>7500</v>
      </c>
      <c r="BF624" s="42">
        <v>0</v>
      </c>
      <c r="BH624" s="42">
        <v>0</v>
      </c>
      <c r="BJ624" s="42">
        <v>0</v>
      </c>
      <c r="BL624" s="42">
        <f t="shared" si="98"/>
        <v>38804821</v>
      </c>
      <c r="BN624" s="42">
        <f>+'Gen Fd Rev'!AM624-'Gen Fd Exp'!BL624</f>
        <v>917301</v>
      </c>
      <c r="BP624" s="42">
        <v>22493941</v>
      </c>
      <c r="BR624" s="42">
        <v>0</v>
      </c>
      <c r="BT624" s="42">
        <v>0</v>
      </c>
      <c r="BV624" s="42">
        <f t="shared" si="99"/>
        <v>23411242</v>
      </c>
      <c r="BX624" s="5">
        <f>+BV624-'Gen Fd BS'!AI624+BT624</f>
        <v>0</v>
      </c>
    </row>
    <row r="625" spans="1:76">
      <c r="A625" s="9" t="s">
        <v>309</v>
      </c>
      <c r="B625" s="9"/>
      <c r="C625" s="9" t="s">
        <v>27</v>
      </c>
      <c r="D625" s="9"/>
      <c r="E625" s="23">
        <v>45138</v>
      </c>
      <c r="G625" s="42">
        <v>55875583</v>
      </c>
      <c r="I625" s="42">
        <v>11773109</v>
      </c>
      <c r="K625" s="42">
        <v>1011878</v>
      </c>
      <c r="M625" s="42">
        <v>0</v>
      </c>
      <c r="O625" s="42">
        <v>1797</v>
      </c>
      <c r="Q625" s="42">
        <v>5920762</v>
      </c>
      <c r="S625" s="42">
        <v>9527969</v>
      </c>
      <c r="U625" s="42">
        <v>36964</v>
      </c>
      <c r="W625" s="42">
        <v>8302140</v>
      </c>
      <c r="Y625" s="42">
        <v>0</v>
      </c>
      <c r="AA625" s="42">
        <v>2893847</v>
      </c>
      <c r="AC625" s="42">
        <v>10885879</v>
      </c>
      <c r="AE625" s="42">
        <v>4055772</v>
      </c>
      <c r="AG625" s="42">
        <v>1258691</v>
      </c>
      <c r="AI625" s="42">
        <v>0</v>
      </c>
      <c r="AK625" s="42">
        <v>1084983</v>
      </c>
      <c r="AL625" s="9" t="s">
        <v>309</v>
      </c>
      <c r="AM625" s="9"/>
      <c r="AN625" s="9" t="s">
        <v>27</v>
      </c>
      <c r="AP625" s="42">
        <v>1851971</v>
      </c>
      <c r="AR625" s="42">
        <v>180321</v>
      </c>
      <c r="AV625" s="42">
        <v>0</v>
      </c>
      <c r="AX625" s="42">
        <v>0</v>
      </c>
      <c r="AZ625" s="42">
        <v>0</v>
      </c>
      <c r="BB625" s="42">
        <f t="shared" si="103"/>
        <v>114661666</v>
      </c>
      <c r="BD625" s="42">
        <v>1076047</v>
      </c>
      <c r="BF625" s="42">
        <v>0</v>
      </c>
      <c r="BH625" s="42">
        <v>0</v>
      </c>
      <c r="BJ625" s="42">
        <v>0</v>
      </c>
      <c r="BL625" s="42">
        <f t="shared" si="98"/>
        <v>115737713</v>
      </c>
      <c r="BN625" s="42">
        <f>+'Gen Fd Rev'!AM625-'Gen Fd Exp'!BL625</f>
        <v>7203318</v>
      </c>
      <c r="BP625" s="42">
        <v>63356359</v>
      </c>
      <c r="BR625" s="42">
        <v>0</v>
      </c>
      <c r="BT625" s="42">
        <v>0</v>
      </c>
      <c r="BV625" s="42">
        <f t="shared" si="99"/>
        <v>70559677</v>
      </c>
      <c r="BX625" s="5">
        <f>+BV625-'Gen Fd BS'!AI625+BT625</f>
        <v>0</v>
      </c>
    </row>
    <row r="626" spans="1:76">
      <c r="A626" s="9" t="s">
        <v>258</v>
      </c>
      <c r="B626" s="9"/>
      <c r="C626" s="9" t="s">
        <v>110</v>
      </c>
      <c r="D626" s="9"/>
      <c r="E626" s="23">
        <v>46524</v>
      </c>
      <c r="G626" s="42">
        <v>4307231</v>
      </c>
      <c r="I626" s="42">
        <v>1037818</v>
      </c>
      <c r="K626" s="42">
        <v>40788</v>
      </c>
      <c r="M626" s="42">
        <v>0</v>
      </c>
      <c r="O626" s="42">
        <v>649305</v>
      </c>
      <c r="Q626" s="42">
        <v>882032</v>
      </c>
      <c r="S626" s="42">
        <v>508142</v>
      </c>
      <c r="U626" s="42">
        <v>7320</v>
      </c>
      <c r="W626" s="42">
        <v>898877</v>
      </c>
      <c r="Y626" s="42">
        <v>386321</v>
      </c>
      <c r="AA626" s="42">
        <v>12365</v>
      </c>
      <c r="AC626" s="42">
        <v>702439</v>
      </c>
      <c r="AE626" s="42">
        <v>735741</v>
      </c>
      <c r="AG626" s="42">
        <v>34891</v>
      </c>
      <c r="AI626" s="42">
        <v>0</v>
      </c>
      <c r="AK626" s="42">
        <v>600</v>
      </c>
      <c r="AL626" s="9" t="s">
        <v>258</v>
      </c>
      <c r="AM626" s="9"/>
      <c r="AN626" s="9" t="s">
        <v>110</v>
      </c>
      <c r="AP626" s="42">
        <v>219765</v>
      </c>
      <c r="AR626" s="42">
        <v>0</v>
      </c>
      <c r="AV626" s="42">
        <v>7821</v>
      </c>
      <c r="AX626" s="42">
        <v>757</v>
      </c>
      <c r="AZ626" s="42">
        <v>0</v>
      </c>
      <c r="BB626" s="42">
        <f t="shared" si="103"/>
        <v>10432213</v>
      </c>
      <c r="BD626" s="42">
        <v>55888</v>
      </c>
      <c r="BF626" s="42">
        <v>0</v>
      </c>
      <c r="BH626" s="42">
        <v>0</v>
      </c>
      <c r="BJ626" s="42">
        <v>0</v>
      </c>
      <c r="BL626" s="42">
        <f t="shared" si="98"/>
        <v>10488101</v>
      </c>
      <c r="BN626" s="42">
        <f>+'Gen Fd Rev'!AM626-'Gen Fd Exp'!BL626</f>
        <v>-544919</v>
      </c>
      <c r="BP626" s="42">
        <v>868093</v>
      </c>
      <c r="BR626" s="42">
        <v>0</v>
      </c>
      <c r="BT626" s="42">
        <v>0</v>
      </c>
      <c r="BV626" s="42">
        <f t="shared" si="99"/>
        <v>323174</v>
      </c>
      <c r="BX626" s="5">
        <f>+BV626-'Gen Fd BS'!AI626+BT626</f>
        <v>0</v>
      </c>
    </row>
    <row r="627" spans="1:76">
      <c r="A627" s="9" t="s">
        <v>331</v>
      </c>
      <c r="B627" s="9"/>
      <c r="C627" s="9" t="s">
        <v>32</v>
      </c>
      <c r="D627" s="9"/>
      <c r="E627" s="23">
        <v>45146</v>
      </c>
      <c r="G627" s="42">
        <v>11762250</v>
      </c>
      <c r="I627" s="42">
        <v>2113860</v>
      </c>
      <c r="K627" s="42">
        <v>58738</v>
      </c>
      <c r="M627" s="42">
        <v>0</v>
      </c>
      <c r="O627" s="42">
        <v>76966</v>
      </c>
      <c r="Q627" s="42">
        <v>1605175</v>
      </c>
      <c r="S627" s="42">
        <v>992441</v>
      </c>
      <c r="U627" s="42">
        <v>140402</v>
      </c>
      <c r="W627" s="42">
        <v>1906230</v>
      </c>
      <c r="Y627" s="42">
        <v>847920</v>
      </c>
      <c r="AA627" s="42">
        <v>1134</v>
      </c>
      <c r="AC627" s="42">
        <v>1741849</v>
      </c>
      <c r="AE627" s="42">
        <v>432958</v>
      </c>
      <c r="AG627" s="42">
        <v>167711</v>
      </c>
      <c r="AI627" s="42">
        <v>0</v>
      </c>
      <c r="AK627" s="42">
        <v>87152</v>
      </c>
      <c r="AL627" s="9" t="s">
        <v>331</v>
      </c>
      <c r="AM627" s="9"/>
      <c r="AN627" s="9" t="s">
        <v>32</v>
      </c>
      <c r="AP627" s="42">
        <v>535154</v>
      </c>
      <c r="AR627" s="42">
        <v>2950</v>
      </c>
      <c r="AV627" s="42">
        <v>98500</v>
      </c>
      <c r="AX627" s="42">
        <f>92786+120516</f>
        <v>213302</v>
      </c>
      <c r="AZ627" s="42">
        <v>0</v>
      </c>
      <c r="BB627" s="42">
        <f t="shared" si="103"/>
        <v>22784692</v>
      </c>
      <c r="BD627" s="42">
        <v>0</v>
      </c>
      <c r="BF627" s="42">
        <v>0</v>
      </c>
      <c r="BH627" s="42">
        <v>0</v>
      </c>
      <c r="BJ627" s="42">
        <v>0</v>
      </c>
      <c r="BL627" s="42">
        <f t="shared" si="98"/>
        <v>22784692</v>
      </c>
      <c r="BN627" s="42">
        <f>+'Gen Fd Rev'!AM627-'Gen Fd Exp'!BL627</f>
        <v>4108</v>
      </c>
      <c r="BP627" s="42">
        <v>14393994</v>
      </c>
      <c r="BR627" s="42">
        <v>0</v>
      </c>
      <c r="BT627" s="42">
        <v>0</v>
      </c>
      <c r="BV627" s="42">
        <f t="shared" si="99"/>
        <v>14398102</v>
      </c>
      <c r="BX627" s="5">
        <f>+BV627-'Gen Fd BS'!AI627+BT627</f>
        <v>0</v>
      </c>
    </row>
    <row r="628" spans="1:76">
      <c r="A628" s="8" t="s">
        <v>872</v>
      </c>
      <c r="B628" s="8"/>
      <c r="C628" s="8" t="s">
        <v>113</v>
      </c>
      <c r="D628" s="8"/>
      <c r="E628" s="23">
        <v>45153</v>
      </c>
      <c r="G628" s="42">
        <v>18992228</v>
      </c>
      <c r="I628" s="42">
        <v>4918905</v>
      </c>
      <c r="K628" s="42">
        <v>486557</v>
      </c>
      <c r="M628" s="42">
        <v>0</v>
      </c>
      <c r="O628" s="42">
        <v>407057</v>
      </c>
      <c r="Q628" s="42">
        <v>2625997</v>
      </c>
      <c r="S628" s="42">
        <v>1715420</v>
      </c>
      <c r="U628" s="42">
        <v>30464</v>
      </c>
      <c r="W628" s="42">
        <v>3568229</v>
      </c>
      <c r="Y628" s="42">
        <v>498368</v>
      </c>
      <c r="AA628" s="42">
        <v>585353</v>
      </c>
      <c r="AC628" s="42">
        <v>2808385</v>
      </c>
      <c r="AE628" s="42">
        <v>2369706</v>
      </c>
      <c r="AG628" s="42">
        <v>172832</v>
      </c>
      <c r="AI628" s="42">
        <v>0</v>
      </c>
      <c r="AK628" s="42">
        <v>26870</v>
      </c>
      <c r="AL628" s="8" t="s">
        <v>872</v>
      </c>
      <c r="AM628" s="8"/>
      <c r="AN628" s="8" t="s">
        <v>113</v>
      </c>
      <c r="AP628" s="42">
        <v>535771</v>
      </c>
      <c r="AR628" s="42">
        <v>2880</v>
      </c>
      <c r="AV628" s="42">
        <v>404426</v>
      </c>
      <c r="AX628" s="42">
        <v>90134</v>
      </c>
      <c r="AZ628" s="42">
        <v>0</v>
      </c>
      <c r="BB628" s="42">
        <f t="shared" ref="BB628" si="104">SUM(G628:AZ628)</f>
        <v>40239582</v>
      </c>
      <c r="BD628" s="42">
        <v>0</v>
      </c>
      <c r="BF628" s="42">
        <v>0</v>
      </c>
      <c r="BH628" s="42">
        <v>0</v>
      </c>
      <c r="BJ628" s="42">
        <v>0</v>
      </c>
      <c r="BL628" s="42">
        <f t="shared" ref="BL628" si="105">+BB628+BD628+BF628+BJ628</f>
        <v>40239582</v>
      </c>
      <c r="BN628" s="42">
        <f>+'Gen Fd Rev'!AM628-'Gen Fd Exp'!BL628</f>
        <v>4119484</v>
      </c>
      <c r="BP628" s="42">
        <v>1498910</v>
      </c>
      <c r="BR628" s="42">
        <v>0</v>
      </c>
      <c r="BT628" s="42">
        <v>0</v>
      </c>
      <c r="BV628" s="42">
        <f t="shared" ref="BV628" si="106">+BP628+BN628-BR628</f>
        <v>5618394</v>
      </c>
      <c r="BX628" s="5">
        <f>+BV628-'Gen Fd BS'!AI628+BT628</f>
        <v>0</v>
      </c>
    </row>
    <row r="629" spans="1:76">
      <c r="A629" s="9" t="s">
        <v>777</v>
      </c>
      <c r="B629" s="9"/>
      <c r="C629" s="9" t="s">
        <v>113</v>
      </c>
      <c r="D629" s="9"/>
      <c r="E629" s="23">
        <v>45674</v>
      </c>
      <c r="G629" s="42">
        <v>3207533</v>
      </c>
      <c r="I629" s="42">
        <v>894200</v>
      </c>
      <c r="K629" s="42">
        <v>0</v>
      </c>
      <c r="M629" s="42">
        <v>0</v>
      </c>
      <c r="O629" s="42">
        <v>277099</v>
      </c>
      <c r="Q629" s="42">
        <v>432476</v>
      </c>
      <c r="S629" s="42">
        <v>170366</v>
      </c>
      <c r="U629" s="42">
        <v>37963</v>
      </c>
      <c r="W629" s="42">
        <v>759656</v>
      </c>
      <c r="Y629" s="42">
        <v>322270</v>
      </c>
      <c r="AA629" s="42">
        <v>2299</v>
      </c>
      <c r="AC629" s="42">
        <v>579083</v>
      </c>
      <c r="AE629" s="42">
        <v>200422</v>
      </c>
      <c r="AG629" s="42">
        <v>27861</v>
      </c>
      <c r="AI629" s="42">
        <v>0</v>
      </c>
      <c r="AK629" s="42">
        <v>4573</v>
      </c>
      <c r="AL629" s="9" t="s">
        <v>777</v>
      </c>
      <c r="AM629" s="9"/>
      <c r="AN629" s="9" t="s">
        <v>113</v>
      </c>
      <c r="AP629" s="42">
        <v>169080</v>
      </c>
      <c r="AR629" s="42">
        <v>0</v>
      </c>
      <c r="AV629" s="42">
        <v>84436</v>
      </c>
      <c r="AX629" s="42">
        <v>3240</v>
      </c>
      <c r="AZ629" s="42">
        <v>0</v>
      </c>
      <c r="BB629" s="42">
        <f t="shared" si="103"/>
        <v>7172557</v>
      </c>
      <c r="BD629" s="42">
        <v>6881</v>
      </c>
      <c r="BF629" s="42">
        <v>0</v>
      </c>
      <c r="BH629" s="42">
        <v>0</v>
      </c>
      <c r="BJ629" s="42">
        <v>0</v>
      </c>
      <c r="BL629" s="42">
        <f t="shared" si="98"/>
        <v>7179438</v>
      </c>
      <c r="BN629" s="42">
        <f>+'Gen Fd Rev'!AM629-'Gen Fd Exp'!BL629</f>
        <v>468149</v>
      </c>
      <c r="BP629" s="42">
        <v>1747581</v>
      </c>
      <c r="BR629" s="42">
        <v>0</v>
      </c>
      <c r="BT629" s="42">
        <v>0</v>
      </c>
      <c r="BV629" s="42">
        <f t="shared" si="99"/>
        <v>2215730</v>
      </c>
      <c r="BX629" s="5">
        <f>+BV629-'Gen Fd BS'!AI629+BT629</f>
        <v>0</v>
      </c>
    </row>
    <row r="630" spans="1:76">
      <c r="A630" s="9" t="s">
        <v>406</v>
      </c>
      <c r="B630" s="9"/>
      <c r="C630" s="9" t="s">
        <v>45</v>
      </c>
      <c r="D630" s="9"/>
      <c r="E630" s="23">
        <v>45161</v>
      </c>
      <c r="G630" s="42">
        <v>57965022</v>
      </c>
      <c r="I630" s="42">
        <v>10425818</v>
      </c>
      <c r="K630" s="42">
        <v>2151507</v>
      </c>
      <c r="M630" s="42">
        <v>0</v>
      </c>
      <c r="O630" s="42">
        <v>242748</v>
      </c>
      <c r="Q630" s="42">
        <v>3860963</v>
      </c>
      <c r="S630" s="42">
        <v>5440051</v>
      </c>
      <c r="U630" s="42">
        <v>251710</v>
      </c>
      <c r="W630" s="42">
        <v>5008143</v>
      </c>
      <c r="Y630" s="42">
        <v>1176336</v>
      </c>
      <c r="AA630" s="42">
        <v>780853</v>
      </c>
      <c r="AC630" s="42">
        <v>9479787</v>
      </c>
      <c r="AE630" s="42">
        <v>5188155</v>
      </c>
      <c r="AG630" s="42">
        <v>1050712</v>
      </c>
      <c r="AI630" s="42">
        <v>0</v>
      </c>
      <c r="AK630" s="42">
        <v>10982</v>
      </c>
      <c r="AL630" s="9" t="s">
        <v>406</v>
      </c>
      <c r="AM630" s="9"/>
      <c r="AN630" s="9" t="s">
        <v>45</v>
      </c>
      <c r="AP630" s="42">
        <v>300286</v>
      </c>
      <c r="AR630" s="42">
        <v>0</v>
      </c>
      <c r="AV630" s="42">
        <v>0</v>
      </c>
      <c r="AX630" s="42">
        <v>8266</v>
      </c>
      <c r="AZ630" s="42">
        <v>0</v>
      </c>
      <c r="BB630" s="42">
        <f t="shared" si="103"/>
        <v>103341339</v>
      </c>
      <c r="BD630" s="42">
        <v>69129</v>
      </c>
      <c r="BF630" s="42">
        <v>0</v>
      </c>
      <c r="BH630" s="42">
        <v>0</v>
      </c>
      <c r="BJ630" s="42">
        <v>0</v>
      </c>
      <c r="BL630" s="42">
        <f t="shared" si="98"/>
        <v>103410468</v>
      </c>
      <c r="BN630" s="42">
        <f>+'Gen Fd Rev'!AM630-'Gen Fd Exp'!BL630</f>
        <v>1684863</v>
      </c>
      <c r="BP630" s="42">
        <v>861884</v>
      </c>
      <c r="BR630" s="42">
        <v>0</v>
      </c>
      <c r="BT630" s="42">
        <v>0</v>
      </c>
      <c r="BV630" s="42">
        <f t="shared" si="99"/>
        <v>2546747</v>
      </c>
      <c r="BX630" s="5">
        <f>+BV630-'Gen Fd BS'!AI630+BT630</f>
        <v>0</v>
      </c>
    </row>
    <row r="631" spans="1:76">
      <c r="A631" s="9" t="s">
        <v>474</v>
      </c>
      <c r="B631" s="9"/>
      <c r="C631" s="9" t="s">
        <v>58</v>
      </c>
      <c r="D631" s="9"/>
      <c r="E631" s="23">
        <v>49544</v>
      </c>
      <c r="G631" s="42">
        <v>6514468</v>
      </c>
      <c r="I631" s="42">
        <v>897650</v>
      </c>
      <c r="K631" s="42">
        <v>8437</v>
      </c>
      <c r="M631" s="42">
        <v>13152</v>
      </c>
      <c r="O631" s="42">
        <f>69679+62754</f>
        <v>132433</v>
      </c>
      <c r="Q631" s="42">
        <v>645802</v>
      </c>
      <c r="S631" s="42">
        <v>478523</v>
      </c>
      <c r="U631" s="42">
        <v>234263</v>
      </c>
      <c r="W631" s="42">
        <v>786786</v>
      </c>
      <c r="Y631" s="42">
        <v>362047</v>
      </c>
      <c r="AA631" s="42">
        <v>0</v>
      </c>
      <c r="AC631" s="42">
        <v>1180233</v>
      </c>
      <c r="AE631" s="42">
        <v>816286</v>
      </c>
      <c r="AG631" s="42">
        <v>181855</v>
      </c>
      <c r="AI631" s="42">
        <v>0</v>
      </c>
      <c r="AK631" s="42">
        <v>0</v>
      </c>
      <c r="AL631" s="9" t="s">
        <v>474</v>
      </c>
      <c r="AM631" s="9"/>
      <c r="AN631" s="9" t="s">
        <v>58</v>
      </c>
      <c r="AP631" s="42">
        <v>181578</v>
      </c>
      <c r="AR631" s="42">
        <v>0</v>
      </c>
      <c r="AV631" s="42">
        <v>162589</v>
      </c>
      <c r="AX631" s="42">
        <v>129855</v>
      </c>
      <c r="AZ631" s="42">
        <v>0</v>
      </c>
      <c r="BB631" s="42">
        <f t="shared" si="103"/>
        <v>12725957</v>
      </c>
      <c r="BD631" s="42">
        <v>326498</v>
      </c>
      <c r="BF631" s="42">
        <v>0</v>
      </c>
      <c r="BH631" s="42">
        <v>0</v>
      </c>
      <c r="BJ631" s="42">
        <v>0</v>
      </c>
      <c r="BL631" s="42">
        <f t="shared" si="98"/>
        <v>13052455</v>
      </c>
      <c r="BN631" s="42">
        <f>+'Gen Fd Rev'!AM631-'Gen Fd Exp'!BL631</f>
        <v>-1365103</v>
      </c>
      <c r="BP631" s="42">
        <v>3139944</v>
      </c>
      <c r="BR631" s="42">
        <v>0</v>
      </c>
      <c r="BT631" s="42">
        <v>0</v>
      </c>
      <c r="BV631" s="42">
        <f t="shared" si="99"/>
        <v>1774841</v>
      </c>
      <c r="BX631" s="5">
        <f>+BV631-'Gen Fd BS'!AI631+BT631</f>
        <v>0</v>
      </c>
    </row>
    <row r="632" spans="1:76">
      <c r="A632" s="9" t="s">
        <v>445</v>
      </c>
      <c r="B632" s="9"/>
      <c r="C632" s="9" t="s">
        <v>51</v>
      </c>
      <c r="D632" s="9"/>
      <c r="E632" s="23">
        <v>45179</v>
      </c>
      <c r="G632" s="42">
        <v>16847716</v>
      </c>
      <c r="I632" s="42">
        <v>6159148</v>
      </c>
      <c r="K632" s="42">
        <v>447745</v>
      </c>
      <c r="M632" s="42">
        <v>0</v>
      </c>
      <c r="O632" s="42">
        <v>137132</v>
      </c>
      <c r="Q632" s="42">
        <v>2378070</v>
      </c>
      <c r="S632" s="42">
        <v>1262310</v>
      </c>
      <c r="U632" s="42">
        <v>69682</v>
      </c>
      <c r="W632" s="42">
        <v>2035614</v>
      </c>
      <c r="Y632" s="42">
        <v>576057</v>
      </c>
      <c r="AA632" s="42">
        <v>0</v>
      </c>
      <c r="AC632" s="42">
        <v>3262613</v>
      </c>
      <c r="AE632" s="42">
        <v>1235306</v>
      </c>
      <c r="AG632" s="42">
        <v>305213</v>
      </c>
      <c r="AI632" s="42">
        <v>0</v>
      </c>
      <c r="AK632" s="42">
        <f>41748+356942</f>
        <v>398690</v>
      </c>
      <c r="AL632" s="9" t="s">
        <v>445</v>
      </c>
      <c r="AM632" s="9"/>
      <c r="AN632" s="9" t="s">
        <v>51</v>
      </c>
      <c r="AP632" s="42">
        <v>447786</v>
      </c>
      <c r="AR632" s="42">
        <v>0</v>
      </c>
      <c r="AV632" s="42">
        <v>89058</v>
      </c>
      <c r="AX632" s="42">
        <v>6208</v>
      </c>
      <c r="AZ632" s="42">
        <v>0</v>
      </c>
      <c r="BB632" s="42">
        <f t="shared" si="103"/>
        <v>35658348</v>
      </c>
      <c r="BD632" s="42">
        <v>0</v>
      </c>
      <c r="BF632" s="42">
        <v>0</v>
      </c>
      <c r="BH632" s="42">
        <v>0</v>
      </c>
      <c r="BJ632" s="42">
        <v>0</v>
      </c>
      <c r="BL632" s="42">
        <f t="shared" si="98"/>
        <v>35658348</v>
      </c>
      <c r="BN632" s="42">
        <f>+'Gen Fd Rev'!AM632-'Gen Fd Exp'!BL632</f>
        <v>-2375003</v>
      </c>
      <c r="BP632" s="42">
        <v>6193007</v>
      </c>
      <c r="BR632" s="42">
        <v>0</v>
      </c>
      <c r="BT632" s="42">
        <v>0</v>
      </c>
      <c r="BV632" s="42">
        <f t="shared" si="99"/>
        <v>3818004</v>
      </c>
      <c r="BX632" s="5">
        <f>+BV632-'Gen Fd BS'!AI632+BT632</f>
        <v>0</v>
      </c>
    </row>
    <row r="633" spans="1:76">
      <c r="A633" s="9"/>
      <c r="B633" s="9"/>
      <c r="C633" s="9"/>
      <c r="D633" s="9"/>
      <c r="BX633" s="42"/>
    </row>
  </sheetData>
  <phoneticPr fontId="3" type="noConversion"/>
  <pageMargins left="0.75" right="0.5" top="0.5" bottom="0.5" header="0.25" footer="0.25"/>
  <pageSetup scale="76" firstPageNumber="114" fitToWidth="4" fitToHeight="18" pageOrder="overThenDown" orientation="portrait" useFirstPageNumber="1" r:id="rId1"/>
  <headerFooter scaleWithDoc="0" alignWithMargins="0"/>
  <rowBreaks count="4" manualBreakCount="4">
    <brk id="100" max="73" man="1"/>
    <brk id="192" max="73" man="1"/>
    <brk id="282" max="73" man="1"/>
    <brk id="472" max="7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33"/>
  <sheetViews>
    <sheetView zoomScaleNormal="100" zoomScaleSheetLayoutView="100" workbookViewId="0">
      <pane xSplit="6" ySplit="11" topLeftCell="G12" activePane="bottomRight" state="frozen"/>
      <selection activeCell="K503" sqref="K503"/>
      <selection pane="topRight" activeCell="K503" sqref="K503"/>
      <selection pane="bottomLeft" activeCell="K503" sqref="K503"/>
      <selection pane="bottomRight" activeCell="G12" sqref="G12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1.7109375" style="42" customWidth="1"/>
    <col min="8" max="8" width="1.7109375" style="42" customWidth="1"/>
    <col min="9" max="9" width="11.7109375" style="42" customWidth="1"/>
    <col min="10" max="10" width="1.7109375" style="42" customWidth="1"/>
    <col min="11" max="11" width="11.7109375" style="42" customWidth="1"/>
    <col min="12" max="12" width="1.7109375" style="42" customWidth="1"/>
    <col min="13" max="13" width="11.7109375" style="42" customWidth="1"/>
    <col min="14" max="14" width="1.7109375" style="42" customWidth="1"/>
    <col min="15" max="15" width="11.7109375" style="42" customWidth="1"/>
    <col min="16" max="16" width="1.7109375" style="42" customWidth="1"/>
    <col min="17" max="17" width="10.140625" style="42" hidden="1" customWidth="1"/>
    <col min="18" max="18" width="1.7109375" style="42" hidden="1" customWidth="1"/>
    <col min="19" max="19" width="10.140625" style="42" hidden="1" customWidth="1"/>
    <col min="20" max="20" width="1.7109375" style="42" hidden="1" customWidth="1"/>
    <col min="21" max="21" width="11.7109375" style="42" customWidth="1"/>
    <col min="22" max="22" width="1.7109375" style="42" customWidth="1"/>
    <col min="23" max="23" width="11.7109375" style="42" customWidth="1"/>
    <col min="24" max="24" width="1.7109375" style="42" customWidth="1"/>
    <col min="25" max="25" width="10.85546875" style="42" bestFit="1" customWidth="1"/>
    <col min="26" max="26" width="1.7109375" style="42" customWidth="1"/>
    <col min="27" max="27" width="10.28515625" style="42" bestFit="1" customWidth="1"/>
    <col min="28" max="28" width="1.7109375" style="42" customWidth="1"/>
    <col min="29" max="29" width="10.28515625" style="42" bestFit="1" customWidth="1"/>
    <col min="30" max="30" width="1.7109375" style="42" customWidth="1"/>
    <col min="31" max="31" width="10.28515625" style="42" bestFit="1" customWidth="1"/>
    <col min="32" max="32" width="1.7109375" style="42" customWidth="1"/>
    <col min="33" max="33" width="11.7109375" style="42" customWidth="1"/>
    <col min="34" max="34" width="1.7109375" style="42" customWidth="1"/>
    <col min="35" max="35" width="11.7109375" style="42" customWidth="1"/>
    <col min="36" max="36" width="1.7109375" style="42" customWidth="1"/>
    <col min="37" max="37" width="11.7109375" style="42" customWidth="1"/>
    <col min="38" max="16384" width="9.140625" style="42"/>
  </cols>
  <sheetData>
    <row r="1" spans="1:37">
      <c r="A1" s="20" t="s">
        <v>196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</row>
    <row r="2" spans="1:37">
      <c r="A2" s="20" t="s">
        <v>886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</row>
    <row r="3" spans="1:37">
      <c r="A3" s="11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37">
      <c r="A4" s="11" t="s">
        <v>167</v>
      </c>
      <c r="B4" s="11"/>
      <c r="C4" s="11"/>
      <c r="D4" s="11"/>
      <c r="E4" s="11"/>
      <c r="F4" s="50"/>
      <c r="G4" s="50"/>
      <c r="H4" s="50"/>
      <c r="I4" s="50"/>
      <c r="J4" s="50"/>
      <c r="K4" s="4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37">
      <c r="A5" s="11"/>
      <c r="B5" s="11"/>
      <c r="C5" s="11"/>
      <c r="D5" s="11"/>
      <c r="E5" s="11"/>
      <c r="F5" s="50"/>
      <c r="G5" s="50"/>
      <c r="H5" s="50"/>
      <c r="I5" s="50"/>
      <c r="J5" s="50"/>
      <c r="K5" s="4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37">
      <c r="A6" s="38" t="s">
        <v>721</v>
      </c>
      <c r="B6" s="11"/>
      <c r="C6" s="11"/>
      <c r="D6" s="11"/>
      <c r="E6" s="11"/>
      <c r="F6" s="50"/>
      <c r="G6" s="50"/>
      <c r="H6" s="50"/>
      <c r="I6" s="50"/>
      <c r="J6" s="50"/>
      <c r="K6" s="4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37">
      <c r="A7" s="11"/>
      <c r="S7" s="47" t="s">
        <v>92</v>
      </c>
    </row>
    <row r="8" spans="1:37">
      <c r="A8" s="38"/>
      <c r="F8" s="50"/>
      <c r="G8" s="74" t="s">
        <v>87</v>
      </c>
      <c r="H8" s="74"/>
      <c r="I8" s="74"/>
      <c r="J8" s="74"/>
      <c r="K8" s="74"/>
      <c r="L8" s="50"/>
      <c r="M8" s="50"/>
      <c r="N8" s="50"/>
      <c r="O8" s="50"/>
      <c r="P8" s="50"/>
      <c r="Q8" s="48" t="s">
        <v>92</v>
      </c>
      <c r="R8" s="7"/>
      <c r="S8" s="48" t="s">
        <v>593</v>
      </c>
      <c r="T8" s="50"/>
      <c r="U8" s="48" t="s">
        <v>92</v>
      </c>
      <c r="V8" s="50"/>
      <c r="W8" s="50"/>
      <c r="X8" s="50"/>
      <c r="Y8" s="74" t="s">
        <v>837</v>
      </c>
      <c r="Z8" s="74"/>
      <c r="AA8" s="74"/>
      <c r="AB8" s="74"/>
      <c r="AC8" s="74"/>
      <c r="AD8" s="74"/>
      <c r="AE8" s="74"/>
      <c r="AF8" s="74"/>
      <c r="AG8" s="74"/>
    </row>
    <row r="9" spans="1:37">
      <c r="A9" s="11"/>
      <c r="B9" s="11"/>
      <c r="C9" s="11"/>
      <c r="D9" s="11"/>
      <c r="E9" s="11"/>
      <c r="F9" s="50"/>
      <c r="G9" s="50"/>
      <c r="H9" s="50"/>
      <c r="I9" s="50"/>
      <c r="J9" s="50"/>
      <c r="K9" s="50"/>
      <c r="L9" s="50"/>
      <c r="M9" s="50"/>
      <c r="N9" s="50"/>
      <c r="O9" s="50" t="s">
        <v>89</v>
      </c>
      <c r="P9" s="50"/>
      <c r="Q9" s="50"/>
      <c r="R9" s="50"/>
      <c r="S9" s="50"/>
      <c r="T9" s="50"/>
      <c r="U9" s="50"/>
      <c r="V9" s="50"/>
      <c r="W9" s="50" t="s">
        <v>89</v>
      </c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K9" s="47" t="s">
        <v>131</v>
      </c>
    </row>
    <row r="10" spans="1:37">
      <c r="A10" s="50"/>
      <c r="B10" s="50"/>
      <c r="C10" s="50"/>
      <c r="D10" s="50"/>
      <c r="E10" s="50"/>
      <c r="F10" s="50"/>
      <c r="G10" s="50" t="s">
        <v>88</v>
      </c>
      <c r="H10" s="50"/>
      <c r="I10" s="50" t="s">
        <v>101</v>
      </c>
      <c r="J10" s="50"/>
      <c r="K10" s="50" t="s">
        <v>82</v>
      </c>
      <c r="L10" s="50"/>
      <c r="M10" s="50" t="s">
        <v>3</v>
      </c>
      <c r="N10" s="50"/>
      <c r="O10" s="50" t="s">
        <v>887</v>
      </c>
      <c r="P10" s="50"/>
      <c r="Q10" s="50"/>
      <c r="R10" s="50"/>
      <c r="S10" s="50" t="s">
        <v>89</v>
      </c>
      <c r="T10" s="50"/>
      <c r="U10" s="50" t="s">
        <v>3</v>
      </c>
      <c r="V10" s="50"/>
      <c r="W10" s="50" t="s">
        <v>890</v>
      </c>
      <c r="X10" s="50"/>
      <c r="Y10" s="50" t="s">
        <v>725</v>
      </c>
      <c r="Z10" s="50"/>
      <c r="AA10" s="50" t="s">
        <v>101</v>
      </c>
      <c r="AB10" s="50"/>
      <c r="AC10" s="50" t="s">
        <v>726</v>
      </c>
      <c r="AD10" s="50"/>
      <c r="AE10" s="50" t="s">
        <v>727</v>
      </c>
      <c r="AF10" s="50"/>
      <c r="AG10" s="50" t="s">
        <v>728</v>
      </c>
      <c r="AH10" s="50"/>
      <c r="AI10" s="50" t="s">
        <v>3</v>
      </c>
      <c r="AK10" s="47" t="s">
        <v>132</v>
      </c>
    </row>
    <row r="11" spans="1:37" s="7" customFormat="1">
      <c r="A11" s="48" t="s">
        <v>198</v>
      </c>
      <c r="B11" s="47"/>
      <c r="C11" s="48" t="s">
        <v>4</v>
      </c>
      <c r="D11" s="47"/>
      <c r="E11" s="48" t="s">
        <v>197</v>
      </c>
      <c r="F11" s="50"/>
      <c r="G11" s="48" t="s">
        <v>91</v>
      </c>
      <c r="H11" s="50"/>
      <c r="I11" s="48" t="s">
        <v>87</v>
      </c>
      <c r="J11" s="50"/>
      <c r="K11" s="48" t="s">
        <v>87</v>
      </c>
      <c r="L11" s="50"/>
      <c r="M11" s="48" t="s">
        <v>87</v>
      </c>
      <c r="N11" s="50"/>
      <c r="O11" s="48" t="s">
        <v>888</v>
      </c>
      <c r="P11" s="50"/>
      <c r="Q11" s="48" t="s">
        <v>92</v>
      </c>
      <c r="R11" s="50"/>
      <c r="S11" s="48" t="s">
        <v>8</v>
      </c>
      <c r="T11" s="50"/>
      <c r="U11" s="48" t="s">
        <v>92</v>
      </c>
      <c r="V11" s="50"/>
      <c r="W11" s="48" t="s">
        <v>888</v>
      </c>
      <c r="X11" s="50"/>
      <c r="Y11" s="48" t="s">
        <v>93</v>
      </c>
      <c r="Z11" s="50"/>
      <c r="AA11" s="48" t="s">
        <v>93</v>
      </c>
      <c r="AB11" s="50"/>
      <c r="AC11" s="48" t="s">
        <v>93</v>
      </c>
      <c r="AD11" s="50"/>
      <c r="AE11" s="48" t="s">
        <v>93</v>
      </c>
      <c r="AF11" s="50"/>
      <c r="AG11" s="48" t="s">
        <v>93</v>
      </c>
      <c r="AH11" s="50"/>
      <c r="AI11" s="48" t="s">
        <v>93</v>
      </c>
      <c r="AK11" s="48" t="s">
        <v>133</v>
      </c>
    </row>
    <row r="12" spans="1:37">
      <c r="A12" s="9"/>
      <c r="B12" s="9"/>
      <c r="C12" s="9"/>
      <c r="D12" s="9"/>
      <c r="E12" s="9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</row>
    <row r="13" spans="1:37" hidden="1">
      <c r="A13" s="9" t="s">
        <v>851</v>
      </c>
      <c r="B13" s="9"/>
      <c r="C13" s="9" t="s">
        <v>337</v>
      </c>
      <c r="D13" s="9"/>
      <c r="E13" s="23">
        <v>45187</v>
      </c>
      <c r="G13" s="42">
        <v>0</v>
      </c>
      <c r="I13" s="42">
        <v>0</v>
      </c>
      <c r="K13" s="2">
        <f t="shared" ref="K13" si="0">M13-G13-I13</f>
        <v>0</v>
      </c>
      <c r="M13" s="42">
        <v>0</v>
      </c>
      <c r="O13" s="42">
        <v>0</v>
      </c>
      <c r="Q13" s="2">
        <f t="shared" ref="Q13" si="1">U13-S13</f>
        <v>0</v>
      </c>
      <c r="S13" s="42">
        <v>0</v>
      </c>
      <c r="U13" s="42">
        <v>0</v>
      </c>
      <c r="W13" s="42">
        <v>0</v>
      </c>
      <c r="Y13" s="42">
        <v>0</v>
      </c>
      <c r="AA13" s="42">
        <v>0</v>
      </c>
      <c r="AC13" s="42">
        <v>0</v>
      </c>
      <c r="AE13" s="42">
        <v>0</v>
      </c>
      <c r="AG13" s="42">
        <v>0</v>
      </c>
      <c r="AI13" s="10">
        <f t="shared" ref="AI13" si="2">Y13+AA13+AC13+AE13+AG13</f>
        <v>0</v>
      </c>
      <c r="AK13" s="42">
        <f>+G13+I13+K13+O13-U13-W13-AC13-AA13-Y13-AE13-AG13</f>
        <v>0</v>
      </c>
    </row>
    <row r="14" spans="1:37" s="24" customFormat="1">
      <c r="A14" s="51" t="s">
        <v>782</v>
      </c>
      <c r="B14" s="51"/>
      <c r="C14" s="51" t="s">
        <v>199</v>
      </c>
      <c r="D14" s="51"/>
      <c r="E14" s="51">
        <v>61903</v>
      </c>
      <c r="F14" s="52"/>
      <c r="G14" s="24">
        <v>19699103</v>
      </c>
      <c r="I14" s="24">
        <v>7336</v>
      </c>
      <c r="K14" s="60">
        <f>M14-G14-I14</f>
        <v>11579246</v>
      </c>
      <c r="M14" s="24">
        <v>31285685</v>
      </c>
      <c r="O14" s="24">
        <v>0</v>
      </c>
      <c r="Q14" s="60">
        <v>0</v>
      </c>
      <c r="S14" s="24">
        <v>0</v>
      </c>
      <c r="U14" s="24">
        <v>13479331</v>
      </c>
      <c r="W14" s="24">
        <v>0</v>
      </c>
      <c r="Y14" s="24">
        <v>77629</v>
      </c>
      <c r="AA14" s="24">
        <v>8016870</v>
      </c>
      <c r="AC14" s="24">
        <v>1978271</v>
      </c>
      <c r="AE14" s="24">
        <v>323827</v>
      </c>
      <c r="AG14" s="24">
        <v>7409757</v>
      </c>
      <c r="AI14" s="61">
        <f>Y14+AA14+AC14+AE14+AG14</f>
        <v>17806354</v>
      </c>
      <c r="AK14" s="24">
        <f>+G14+I14+K14+O14-U14-W14-AC14-AA14-Y14-AE14-AG14</f>
        <v>0</v>
      </c>
    </row>
    <row r="15" spans="1:37">
      <c r="A15" s="9" t="s">
        <v>582</v>
      </c>
      <c r="B15" s="9"/>
      <c r="C15" s="9" t="s">
        <v>58</v>
      </c>
      <c r="D15" s="9"/>
      <c r="E15" s="23">
        <v>49494</v>
      </c>
      <c r="G15" s="42">
        <f>7521948+1396</f>
        <v>7523344</v>
      </c>
      <c r="I15" s="42">
        <v>48205</v>
      </c>
      <c r="K15" s="2">
        <f t="shared" ref="K15:K21" si="3">M15-G15-I15</f>
        <v>2611094</v>
      </c>
      <c r="M15" s="42">
        <v>10182643</v>
      </c>
      <c r="O15" s="42">
        <v>0</v>
      </c>
      <c r="Q15" s="2">
        <f>U15-S15</f>
        <v>1380002</v>
      </c>
      <c r="S15" s="42">
        <v>0</v>
      </c>
      <c r="U15" s="42">
        <v>1380002</v>
      </c>
      <c r="W15" s="42">
        <v>2164761</v>
      </c>
      <c r="Y15" s="42">
        <v>0</v>
      </c>
      <c r="AA15" s="42">
        <v>2948175</v>
      </c>
      <c r="AC15" s="42">
        <v>103919</v>
      </c>
      <c r="AE15" s="42">
        <v>168225</v>
      </c>
      <c r="AG15" s="42">
        <v>3417561</v>
      </c>
      <c r="AI15" s="10">
        <f t="shared" ref="AI15:AI83" si="4">Y15+AA15+AC15+AE15+AG15</f>
        <v>6637880</v>
      </c>
      <c r="AK15" s="42">
        <f t="shared" ref="AK15:AK78" si="5">+G15+I15+K15+O15-U15-W15-AC15-AA15-Y15-AE15-AG15</f>
        <v>0</v>
      </c>
    </row>
    <row r="16" spans="1:37">
      <c r="A16" s="9" t="s">
        <v>502</v>
      </c>
      <c r="B16" s="9"/>
      <c r="C16" s="9" t="s">
        <v>63</v>
      </c>
      <c r="D16" s="9"/>
      <c r="E16" s="23">
        <v>43489</v>
      </c>
      <c r="G16" s="42">
        <f>48729706+36568512+5187122</f>
        <v>90485340</v>
      </c>
      <c r="I16" s="42">
        <v>0</v>
      </c>
      <c r="K16" s="2">
        <f t="shared" si="3"/>
        <v>247391125</v>
      </c>
      <c r="M16" s="42">
        <f>277876465+60000000</f>
        <v>337876465</v>
      </c>
      <c r="O16" s="42">
        <v>0</v>
      </c>
      <c r="Q16" s="2">
        <f t="shared" ref="Q16:Q37" si="6">U16-S16</f>
        <v>116294474</v>
      </c>
      <c r="S16" s="42">
        <v>0</v>
      </c>
      <c r="U16" s="42">
        <v>116294474</v>
      </c>
      <c r="W16" s="42">
        <v>173299350</v>
      </c>
      <c r="Y16" s="42">
        <v>510755</v>
      </c>
      <c r="AA16" s="42">
        <v>51268062</v>
      </c>
      <c r="AC16" s="42">
        <v>21036</v>
      </c>
      <c r="AE16" s="42">
        <v>1639217</v>
      </c>
      <c r="AG16" s="42">
        <v>-5156429</v>
      </c>
      <c r="AI16" s="10">
        <f t="shared" si="4"/>
        <v>48282641</v>
      </c>
      <c r="AK16" s="42">
        <f t="shared" si="5"/>
        <v>0</v>
      </c>
    </row>
    <row r="17" spans="1:37" hidden="1">
      <c r="A17" s="9" t="s">
        <v>612</v>
      </c>
      <c r="B17" s="9"/>
      <c r="C17" s="9" t="s">
        <v>13</v>
      </c>
      <c r="D17" s="9"/>
      <c r="E17" s="23">
        <v>45906</v>
      </c>
      <c r="G17" s="42">
        <v>0</v>
      </c>
      <c r="I17" s="42">
        <v>0</v>
      </c>
      <c r="K17" s="2">
        <f t="shared" si="3"/>
        <v>0</v>
      </c>
      <c r="M17" s="42">
        <v>0</v>
      </c>
      <c r="O17" s="42">
        <v>0</v>
      </c>
      <c r="Q17" s="2">
        <f t="shared" si="6"/>
        <v>0</v>
      </c>
      <c r="S17" s="42">
        <v>0</v>
      </c>
      <c r="U17" s="42">
        <v>0</v>
      </c>
      <c r="W17" s="42">
        <v>0</v>
      </c>
      <c r="Y17" s="42">
        <v>0</v>
      </c>
      <c r="AA17" s="42">
        <v>0</v>
      </c>
      <c r="AC17" s="42">
        <v>0</v>
      </c>
      <c r="AE17" s="42">
        <v>0</v>
      </c>
      <c r="AG17" s="42">
        <v>0</v>
      </c>
      <c r="AI17" s="10">
        <f t="shared" si="4"/>
        <v>0</v>
      </c>
      <c r="AK17" s="42">
        <f t="shared" si="5"/>
        <v>0</v>
      </c>
    </row>
    <row r="18" spans="1:37" hidden="1">
      <c r="A18" s="9" t="s">
        <v>852</v>
      </c>
      <c r="B18" s="9"/>
      <c r="C18" s="9" t="s">
        <v>10</v>
      </c>
      <c r="D18" s="9"/>
      <c r="E18" s="23">
        <v>45757</v>
      </c>
      <c r="G18" s="42">
        <v>0</v>
      </c>
      <c r="I18" s="42">
        <v>0</v>
      </c>
      <c r="K18" s="2">
        <f t="shared" ref="K18" si="7">M18-G18-I18</f>
        <v>0</v>
      </c>
      <c r="M18" s="42">
        <v>0</v>
      </c>
      <c r="O18" s="42">
        <v>0</v>
      </c>
      <c r="Q18" s="2">
        <f t="shared" ref="Q18" si="8">U18-S18</f>
        <v>0</v>
      </c>
      <c r="S18" s="42">
        <v>0</v>
      </c>
      <c r="U18" s="42">
        <v>0</v>
      </c>
      <c r="W18" s="42">
        <v>0</v>
      </c>
      <c r="Y18" s="42">
        <v>0</v>
      </c>
      <c r="AA18" s="42">
        <v>0</v>
      </c>
      <c r="AC18" s="42">
        <v>0</v>
      </c>
      <c r="AE18" s="42">
        <v>0</v>
      </c>
      <c r="AG18" s="42">
        <v>0</v>
      </c>
      <c r="AI18" s="10">
        <f t="shared" ref="AI18" si="9">Y18+AA18+AC18+AE18+AG18</f>
        <v>0</v>
      </c>
      <c r="AK18" s="42">
        <f t="shared" si="5"/>
        <v>0</v>
      </c>
    </row>
    <row r="19" spans="1:37">
      <c r="A19" s="9" t="s">
        <v>489</v>
      </c>
      <c r="B19" s="9"/>
      <c r="C19" s="9" t="s">
        <v>62</v>
      </c>
      <c r="D19" s="9"/>
      <c r="E19" s="23">
        <v>43497</v>
      </c>
      <c r="G19" s="42">
        <f>9827052+458214</f>
        <v>10285266</v>
      </c>
      <c r="I19" s="42">
        <v>0</v>
      </c>
      <c r="K19" s="2">
        <f t="shared" si="3"/>
        <v>10687903</v>
      </c>
      <c r="M19" s="42">
        <v>20973169</v>
      </c>
      <c r="O19" s="42">
        <v>0</v>
      </c>
      <c r="Q19" s="2">
        <f t="shared" si="6"/>
        <v>4872139</v>
      </c>
      <c r="S19" s="42">
        <v>0</v>
      </c>
      <c r="U19" s="42">
        <f>14641558-9769419</f>
        <v>4872139</v>
      </c>
      <c r="W19" s="42">
        <v>9769419</v>
      </c>
      <c r="Y19" s="42">
        <v>105394</v>
      </c>
      <c r="AA19" s="42">
        <v>5006963</v>
      </c>
      <c r="AC19" s="42">
        <v>744580</v>
      </c>
      <c r="AE19" s="42">
        <v>272579</v>
      </c>
      <c r="AG19" s="42">
        <v>202095</v>
      </c>
      <c r="AI19" s="10">
        <f t="shared" si="4"/>
        <v>6331611</v>
      </c>
      <c r="AK19" s="42">
        <f t="shared" si="5"/>
        <v>0</v>
      </c>
    </row>
    <row r="20" spans="1:37">
      <c r="A20" s="9" t="s">
        <v>290</v>
      </c>
      <c r="B20" s="9"/>
      <c r="C20" s="9" t="s">
        <v>25</v>
      </c>
      <c r="D20" s="9"/>
      <c r="E20" s="23">
        <v>46847</v>
      </c>
      <c r="G20" s="42">
        <v>6722265</v>
      </c>
      <c r="I20" s="42">
        <v>0</v>
      </c>
      <c r="K20" s="2">
        <f t="shared" si="3"/>
        <v>4470804</v>
      </c>
      <c r="M20" s="42">
        <v>11193069</v>
      </c>
      <c r="O20" s="42">
        <v>0</v>
      </c>
      <c r="Q20" s="2">
        <f t="shared" si="6"/>
        <v>1620354</v>
      </c>
      <c r="S20" s="42">
        <v>0</v>
      </c>
      <c r="U20" s="42">
        <v>1620354</v>
      </c>
      <c r="W20" s="42">
        <v>3384532</v>
      </c>
      <c r="Y20" s="42">
        <v>0</v>
      </c>
      <c r="AA20" s="42">
        <v>1155784</v>
      </c>
      <c r="AC20" s="42">
        <v>0</v>
      </c>
      <c r="AE20" s="42">
        <v>256981</v>
      </c>
      <c r="AG20" s="42">
        <v>4775418</v>
      </c>
      <c r="AI20" s="10">
        <f t="shared" si="4"/>
        <v>6188183</v>
      </c>
      <c r="AK20" s="42">
        <f t="shared" si="5"/>
        <v>0</v>
      </c>
    </row>
    <row r="21" spans="1:37">
      <c r="A21" s="9" t="s">
        <v>743</v>
      </c>
      <c r="B21" s="9"/>
      <c r="C21" s="9" t="s">
        <v>44</v>
      </c>
      <c r="D21" s="9"/>
      <c r="E21" s="23">
        <v>45195</v>
      </c>
      <c r="F21" s="50"/>
      <c r="G21" s="42">
        <f>6568764+2992016</f>
        <v>9560780</v>
      </c>
      <c r="I21" s="42">
        <v>507956</v>
      </c>
      <c r="K21" s="2">
        <f t="shared" si="3"/>
        <v>20845444</v>
      </c>
      <c r="M21" s="42">
        <v>30914180</v>
      </c>
      <c r="O21" s="42">
        <v>0</v>
      </c>
      <c r="Q21" s="2">
        <f t="shared" si="6"/>
        <v>5093848</v>
      </c>
      <c r="S21" s="42">
        <v>0</v>
      </c>
      <c r="U21" s="42">
        <v>5093848</v>
      </c>
      <c r="W21" s="42">
        <v>18455247</v>
      </c>
      <c r="Y21" s="42">
        <v>20778</v>
      </c>
      <c r="AA21" s="42">
        <v>3287644</v>
      </c>
      <c r="AC21" s="42">
        <v>0</v>
      </c>
      <c r="AE21" s="42">
        <v>2970218</v>
      </c>
      <c r="AG21" s="42">
        <v>1086445</v>
      </c>
      <c r="AI21" s="10">
        <f t="shared" si="4"/>
        <v>7365085</v>
      </c>
      <c r="AK21" s="42">
        <f t="shared" si="5"/>
        <v>0</v>
      </c>
    </row>
    <row r="22" spans="1:37">
      <c r="A22" s="9" t="s">
        <v>798</v>
      </c>
      <c r="B22" s="9"/>
      <c r="C22" s="9" t="s">
        <v>61</v>
      </c>
      <c r="D22" s="9"/>
      <c r="E22" s="23">
        <v>49759</v>
      </c>
      <c r="G22" s="42">
        <v>5449239</v>
      </c>
      <c r="I22" s="42">
        <v>70953</v>
      </c>
      <c r="K22" s="2">
        <f t="shared" ref="K22:K37" si="10">M22-G22-I22</f>
        <v>3874629</v>
      </c>
      <c r="M22" s="42">
        <v>9394821</v>
      </c>
      <c r="O22" s="42">
        <v>0</v>
      </c>
      <c r="Q22" s="2">
        <f t="shared" si="6"/>
        <v>1102242</v>
      </c>
      <c r="S22" s="42">
        <v>0</v>
      </c>
      <c r="U22" s="42">
        <f>3803895-2701653</f>
        <v>1102242</v>
      </c>
      <c r="W22" s="42">
        <v>2701653</v>
      </c>
      <c r="Y22" s="42">
        <v>14955</v>
      </c>
      <c r="AA22" s="42">
        <v>2013750</v>
      </c>
      <c r="AC22" s="42">
        <v>27600</v>
      </c>
      <c r="AE22" s="42">
        <v>67919</v>
      </c>
      <c r="AG22" s="42">
        <v>3466702</v>
      </c>
      <c r="AI22" s="10">
        <f t="shared" si="4"/>
        <v>5590926</v>
      </c>
      <c r="AK22" s="42">
        <f t="shared" si="5"/>
        <v>0</v>
      </c>
    </row>
    <row r="23" spans="1:37" hidden="1">
      <c r="A23" s="9" t="s">
        <v>686</v>
      </c>
      <c r="B23" s="9"/>
      <c r="C23" s="9" t="s">
        <v>598</v>
      </c>
      <c r="D23" s="9"/>
      <c r="E23" s="23">
        <v>46623</v>
      </c>
      <c r="G23" s="42">
        <v>0</v>
      </c>
      <c r="I23" s="42">
        <v>0</v>
      </c>
      <c r="K23" s="2">
        <f t="shared" si="10"/>
        <v>0</v>
      </c>
      <c r="M23" s="42">
        <v>0</v>
      </c>
      <c r="O23" s="42">
        <v>0</v>
      </c>
      <c r="Q23" s="2">
        <f t="shared" si="6"/>
        <v>0</v>
      </c>
      <c r="S23" s="42">
        <v>0</v>
      </c>
      <c r="U23" s="42">
        <v>0</v>
      </c>
      <c r="W23" s="42">
        <v>0</v>
      </c>
      <c r="Y23" s="42">
        <v>0</v>
      </c>
      <c r="AA23" s="42">
        <v>0</v>
      </c>
      <c r="AC23" s="42">
        <v>0</v>
      </c>
      <c r="AE23" s="42">
        <v>0</v>
      </c>
      <c r="AG23" s="42">
        <v>0</v>
      </c>
      <c r="AI23" s="10">
        <f t="shared" si="4"/>
        <v>0</v>
      </c>
      <c r="AK23" s="42">
        <f t="shared" si="5"/>
        <v>0</v>
      </c>
    </row>
    <row r="24" spans="1:37">
      <c r="A24" s="9" t="s">
        <v>387</v>
      </c>
      <c r="B24" s="9"/>
      <c r="C24" s="9" t="s">
        <v>114</v>
      </c>
      <c r="D24" s="9"/>
      <c r="E24" s="23">
        <v>48207</v>
      </c>
      <c r="G24" s="42">
        <v>10043845</v>
      </c>
      <c r="I24" s="42">
        <v>0</v>
      </c>
      <c r="K24" s="2">
        <f t="shared" si="10"/>
        <v>25555171</v>
      </c>
      <c r="M24" s="42">
        <v>35599016</v>
      </c>
      <c r="O24" s="42">
        <v>0</v>
      </c>
      <c r="Q24" s="2">
        <f t="shared" si="6"/>
        <v>5421698</v>
      </c>
      <c r="S24" s="42">
        <v>0</v>
      </c>
      <c r="U24" s="42">
        <v>5421698</v>
      </c>
      <c r="W24" s="42">
        <v>24048504</v>
      </c>
      <c r="Y24" s="42">
        <v>70480</v>
      </c>
      <c r="AA24" s="42">
        <f>1189340+119670+20612+261626+5699</f>
        <v>1596947</v>
      </c>
      <c r="AC24" s="42">
        <v>2466709</v>
      </c>
      <c r="AE24" s="42">
        <f>82735+326921+100+1497+1482736+105438</f>
        <v>1999427</v>
      </c>
      <c r="AG24" s="42">
        <v>-4749</v>
      </c>
      <c r="AI24" s="10">
        <f t="shared" si="4"/>
        <v>6128814</v>
      </c>
      <c r="AK24" s="42">
        <f t="shared" si="5"/>
        <v>0</v>
      </c>
    </row>
    <row r="25" spans="1:37" hidden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2">
        <f t="shared" ref="K25" si="11">M25-G25-I25</f>
        <v>0</v>
      </c>
      <c r="M25" s="42">
        <v>0</v>
      </c>
      <c r="O25" s="42">
        <v>0</v>
      </c>
      <c r="Q25" s="2">
        <f t="shared" ref="Q25" si="12">U25-S25</f>
        <v>0</v>
      </c>
      <c r="S25" s="42">
        <v>0</v>
      </c>
      <c r="U25" s="42">
        <v>0</v>
      </c>
      <c r="W25" s="42">
        <v>0</v>
      </c>
      <c r="Y25" s="42">
        <v>0</v>
      </c>
      <c r="AA25" s="42">
        <v>0</v>
      </c>
      <c r="AC25" s="42">
        <v>0</v>
      </c>
      <c r="AE25" s="42">
        <v>0</v>
      </c>
      <c r="AG25" s="42">
        <v>0</v>
      </c>
      <c r="AI25" s="10">
        <f t="shared" ref="AI25" si="13">Y25+AA25+AC25+AE25+AG25</f>
        <v>0</v>
      </c>
      <c r="AK25" s="42">
        <f t="shared" si="5"/>
        <v>0</v>
      </c>
    </row>
    <row r="26" spans="1:37">
      <c r="A26" s="9" t="s">
        <v>332</v>
      </c>
      <c r="B26" s="9"/>
      <c r="C26" s="9" t="s">
        <v>33</v>
      </c>
      <c r="D26" s="9"/>
      <c r="E26" s="23">
        <v>47415</v>
      </c>
      <c r="G26" s="42">
        <v>4613508</v>
      </c>
      <c r="I26" s="42">
        <v>3565</v>
      </c>
      <c r="K26" s="2">
        <f t="shared" si="10"/>
        <v>2580882</v>
      </c>
      <c r="M26" s="42">
        <v>7197955</v>
      </c>
      <c r="O26" s="42">
        <v>0</v>
      </c>
      <c r="Q26" s="2">
        <f t="shared" si="6"/>
        <v>674910</v>
      </c>
      <c r="S26" s="42">
        <v>0</v>
      </c>
      <c r="U26" s="42">
        <v>674910</v>
      </c>
      <c r="W26" s="42">
        <v>1973281</v>
      </c>
      <c r="Y26" s="42">
        <v>13181</v>
      </c>
      <c r="AA26" s="42">
        <v>352692</v>
      </c>
      <c r="AC26" s="42">
        <v>0</v>
      </c>
      <c r="AE26" s="42">
        <v>1527690</v>
      </c>
      <c r="AG26" s="42">
        <v>2656201</v>
      </c>
      <c r="AI26" s="10">
        <f t="shared" si="4"/>
        <v>4549764</v>
      </c>
      <c r="AK26" s="42">
        <f t="shared" si="5"/>
        <v>0</v>
      </c>
    </row>
    <row r="27" spans="1:37" hidden="1">
      <c r="A27" s="9" t="s">
        <v>665</v>
      </c>
      <c r="B27" s="9"/>
      <c r="C27" s="9" t="s">
        <v>21</v>
      </c>
      <c r="D27" s="9"/>
      <c r="E27" s="23">
        <v>46631</v>
      </c>
      <c r="G27" s="42">
        <v>0</v>
      </c>
      <c r="I27" s="42">
        <v>0</v>
      </c>
      <c r="K27" s="2">
        <f t="shared" si="10"/>
        <v>0</v>
      </c>
      <c r="M27" s="42">
        <v>0</v>
      </c>
      <c r="O27" s="42">
        <v>0</v>
      </c>
      <c r="Q27" s="2">
        <f t="shared" si="6"/>
        <v>0</v>
      </c>
      <c r="S27" s="42">
        <v>0</v>
      </c>
      <c r="U27" s="42">
        <v>0</v>
      </c>
      <c r="W27" s="42">
        <v>0</v>
      </c>
      <c r="Y27" s="42">
        <v>0</v>
      </c>
      <c r="AA27" s="42">
        <v>0</v>
      </c>
      <c r="AC27" s="42">
        <v>0</v>
      </c>
      <c r="AE27" s="42">
        <v>0</v>
      </c>
      <c r="AG27" s="42">
        <v>0</v>
      </c>
      <c r="AI27" s="10">
        <f t="shared" si="4"/>
        <v>0</v>
      </c>
      <c r="AK27" s="42">
        <f t="shared" si="5"/>
        <v>0</v>
      </c>
    </row>
    <row r="28" spans="1:37">
      <c r="A28" s="9" t="s">
        <v>854</v>
      </c>
      <c r="B28" s="9"/>
      <c r="C28" s="9" t="s">
        <v>28</v>
      </c>
      <c r="D28" s="9"/>
      <c r="E28" s="23">
        <v>47043</v>
      </c>
      <c r="G28" s="42">
        <f>3783545+89897+3009605</f>
        <v>6883047</v>
      </c>
      <c r="I28" s="42">
        <v>0</v>
      </c>
      <c r="K28" s="2">
        <f t="shared" si="10"/>
        <v>6389863</v>
      </c>
      <c r="M28" s="42">
        <v>13272910</v>
      </c>
      <c r="O28" s="42">
        <v>0</v>
      </c>
      <c r="Q28" s="2">
        <f t="shared" si="6"/>
        <v>1588936</v>
      </c>
      <c r="S28" s="42">
        <v>0</v>
      </c>
      <c r="U28" s="42">
        <f>7525877-5936941</f>
        <v>1588936</v>
      </c>
      <c r="W28" s="42">
        <v>5936941</v>
      </c>
      <c r="Y28" s="42">
        <v>9450</v>
      </c>
      <c r="AA28" s="42">
        <v>2361540</v>
      </c>
      <c r="AC28" s="42">
        <v>540481</v>
      </c>
      <c r="AE28" s="42">
        <v>1244667</v>
      </c>
      <c r="AG28" s="42">
        <v>1590895</v>
      </c>
      <c r="AI28" s="10">
        <f t="shared" si="4"/>
        <v>5747033</v>
      </c>
      <c r="AK28" s="42">
        <f t="shared" si="5"/>
        <v>0</v>
      </c>
    </row>
    <row r="29" spans="1:37">
      <c r="A29" s="9" t="s">
        <v>333</v>
      </c>
      <c r="B29" s="9"/>
      <c r="C29" s="9" t="s">
        <v>33</v>
      </c>
      <c r="D29" s="9"/>
      <c r="E29" s="23">
        <v>47423</v>
      </c>
      <c r="G29" s="42">
        <v>1529136</v>
      </c>
      <c r="I29" s="42">
        <v>426275</v>
      </c>
      <c r="K29" s="2">
        <f t="shared" si="10"/>
        <v>1961224</v>
      </c>
      <c r="M29" s="42">
        <v>3916635</v>
      </c>
      <c r="O29" s="42">
        <v>0</v>
      </c>
      <c r="Q29" s="2">
        <f t="shared" si="6"/>
        <v>746935</v>
      </c>
      <c r="S29" s="42">
        <v>0</v>
      </c>
      <c r="U29" s="42">
        <v>746935</v>
      </c>
      <c r="W29" s="42">
        <v>1282295</v>
      </c>
      <c r="Y29" s="42">
        <v>38292</v>
      </c>
      <c r="AA29" s="42">
        <v>698652</v>
      </c>
      <c r="AC29" s="42">
        <v>2062</v>
      </c>
      <c r="AE29" s="42">
        <v>536733</v>
      </c>
      <c r="AG29" s="42">
        <v>611666</v>
      </c>
      <c r="AI29" s="10">
        <f t="shared" si="4"/>
        <v>1887405</v>
      </c>
      <c r="AK29" s="42">
        <f t="shared" si="5"/>
        <v>0</v>
      </c>
    </row>
    <row r="30" spans="1:37">
      <c r="A30" s="9" t="s">
        <v>202</v>
      </c>
      <c r="B30" s="9"/>
      <c r="C30" s="9" t="s">
        <v>11</v>
      </c>
      <c r="D30" s="9"/>
      <c r="E30" s="23">
        <v>43505</v>
      </c>
      <c r="G30" s="42">
        <f>33708572+3000</f>
        <v>33711572</v>
      </c>
      <c r="I30" s="42">
        <v>0</v>
      </c>
      <c r="K30" s="2">
        <f t="shared" si="10"/>
        <v>32832247</v>
      </c>
      <c r="M30" s="42">
        <v>66543819</v>
      </c>
      <c r="O30" s="42">
        <v>0</v>
      </c>
      <c r="Q30" s="2">
        <f t="shared" si="6"/>
        <v>3848072</v>
      </c>
      <c r="S30" s="42">
        <v>0</v>
      </c>
      <c r="U30" s="42">
        <f>33201399-29353327</f>
        <v>3848072</v>
      </c>
      <c r="W30" s="42">
        <v>29353327</v>
      </c>
      <c r="Y30" s="42">
        <v>14656</v>
      </c>
      <c r="AA30" s="42">
        <v>29237905</v>
      </c>
      <c r="AC30" s="42">
        <v>0</v>
      </c>
      <c r="AE30" s="42">
        <v>298184</v>
      </c>
      <c r="AG30" s="42">
        <v>3791675</v>
      </c>
      <c r="AI30" s="10">
        <f t="shared" si="4"/>
        <v>33342420</v>
      </c>
      <c r="AK30" s="42">
        <f t="shared" si="5"/>
        <v>0</v>
      </c>
    </row>
    <row r="31" spans="1:37">
      <c r="A31" s="9" t="s">
        <v>664</v>
      </c>
      <c r="B31" s="9"/>
      <c r="C31" s="9" t="s">
        <v>12</v>
      </c>
      <c r="D31" s="9"/>
      <c r="E31" s="23">
        <v>43513</v>
      </c>
      <c r="G31" s="42">
        <f>11046727+854788</f>
        <v>11901515</v>
      </c>
      <c r="I31" s="42">
        <v>0</v>
      </c>
      <c r="K31" s="2">
        <f t="shared" si="10"/>
        <v>15819067</v>
      </c>
      <c r="M31" s="42">
        <v>27720582</v>
      </c>
      <c r="O31" s="42">
        <v>0</v>
      </c>
      <c r="Q31" s="2">
        <f t="shared" si="6"/>
        <v>4041730</v>
      </c>
      <c r="S31" s="42">
        <v>0</v>
      </c>
      <c r="U31" s="42">
        <f>17036201-12994471</f>
        <v>4041730</v>
      </c>
      <c r="W31" s="42">
        <v>12994471</v>
      </c>
      <c r="Y31" s="42">
        <v>123835</v>
      </c>
      <c r="AA31" s="42">
        <v>10015841</v>
      </c>
      <c r="AC31" s="42">
        <v>107172</v>
      </c>
      <c r="AE31" s="42">
        <v>110455</v>
      </c>
      <c r="AG31" s="42">
        <v>327078</v>
      </c>
      <c r="AI31" s="10">
        <f t="shared" si="4"/>
        <v>10684381</v>
      </c>
      <c r="AK31" s="42">
        <f t="shared" si="5"/>
        <v>0</v>
      </c>
    </row>
    <row r="32" spans="1:37">
      <c r="A32" s="9" t="s">
        <v>209</v>
      </c>
      <c r="B32" s="9"/>
      <c r="C32" s="9" t="s">
        <v>13</v>
      </c>
      <c r="D32" s="9"/>
      <c r="E32" s="23">
        <v>43521</v>
      </c>
      <c r="G32" s="42">
        <v>13573581</v>
      </c>
      <c r="I32" s="42">
        <v>0</v>
      </c>
      <c r="K32" s="2">
        <f t="shared" si="10"/>
        <v>18130580</v>
      </c>
      <c r="M32" s="42">
        <v>31704161</v>
      </c>
      <c r="O32" s="42">
        <v>0</v>
      </c>
      <c r="Q32" s="2">
        <f t="shared" si="6"/>
        <v>3783228</v>
      </c>
      <c r="S32" s="42">
        <v>0</v>
      </c>
      <c r="U32" s="42">
        <v>3783228</v>
      </c>
      <c r="W32" s="42">
        <v>15475881</v>
      </c>
      <c r="Y32" s="42">
        <v>190259</v>
      </c>
      <c r="AA32" s="42">
        <v>5555329</v>
      </c>
      <c r="AC32" s="42">
        <v>38575</v>
      </c>
      <c r="AE32" s="42">
        <v>282817</v>
      </c>
      <c r="AG32" s="42">
        <v>6378072</v>
      </c>
      <c r="AI32" s="10">
        <f t="shared" si="4"/>
        <v>12445052</v>
      </c>
      <c r="AK32" s="42">
        <f t="shared" si="5"/>
        <v>0</v>
      </c>
    </row>
    <row r="33" spans="1:37">
      <c r="A33" s="9" t="s">
        <v>456</v>
      </c>
      <c r="B33" s="9"/>
      <c r="C33" s="9" t="s">
        <v>56</v>
      </c>
      <c r="D33" s="9"/>
      <c r="E33" s="23">
        <v>49171</v>
      </c>
      <c r="G33" s="42">
        <f>5766386+20781</f>
        <v>5787167</v>
      </c>
      <c r="I33" s="42">
        <v>0</v>
      </c>
      <c r="K33" s="2">
        <f t="shared" si="10"/>
        <v>26916722</v>
      </c>
      <c r="M33" s="42">
        <v>32703889</v>
      </c>
      <c r="O33" s="42">
        <v>0</v>
      </c>
      <c r="Q33" s="2">
        <f t="shared" si="6"/>
        <v>3563394</v>
      </c>
      <c r="S33" s="42">
        <v>0</v>
      </c>
      <c r="U33" s="42">
        <v>3563394</v>
      </c>
      <c r="W33" s="42">
        <v>24862599</v>
      </c>
      <c r="Y33" s="42">
        <v>0</v>
      </c>
      <c r="AA33" s="42">
        <v>1992529</v>
      </c>
      <c r="AC33" s="42">
        <v>11000</v>
      </c>
      <c r="AE33" s="42">
        <v>1525592</v>
      </c>
      <c r="AG33" s="42">
        <v>748775</v>
      </c>
      <c r="AI33" s="10">
        <f t="shared" si="4"/>
        <v>4277896</v>
      </c>
      <c r="AK33" s="42">
        <f t="shared" si="5"/>
        <v>0</v>
      </c>
    </row>
    <row r="34" spans="1:37">
      <c r="A34" s="9" t="s">
        <v>398</v>
      </c>
      <c r="B34" s="9"/>
      <c r="C34" s="9" t="s">
        <v>45</v>
      </c>
      <c r="D34" s="9"/>
      <c r="E34" s="23">
        <v>48298</v>
      </c>
      <c r="G34" s="42">
        <f>16026743+10702663</f>
        <v>26729406</v>
      </c>
      <c r="I34" s="42">
        <v>0</v>
      </c>
      <c r="K34" s="2">
        <f t="shared" si="10"/>
        <v>22989026</v>
      </c>
      <c r="M34" s="42">
        <v>49718432</v>
      </c>
      <c r="O34" s="42">
        <v>0</v>
      </c>
      <c r="Q34" s="2">
        <f t="shared" si="6"/>
        <v>8667402</v>
      </c>
      <c r="S34" s="42">
        <v>0</v>
      </c>
      <c r="U34" s="42">
        <v>8667402</v>
      </c>
      <c r="W34" s="42">
        <v>22576105</v>
      </c>
      <c r="Y34" s="42">
        <v>71579</v>
      </c>
      <c r="AA34" s="42">
        <v>14582543</v>
      </c>
      <c r="AC34" s="42">
        <v>2986557</v>
      </c>
      <c r="AE34" s="42">
        <v>1006458</v>
      </c>
      <c r="AG34" s="42">
        <v>-172212</v>
      </c>
      <c r="AI34" s="10">
        <f t="shared" si="4"/>
        <v>18474925</v>
      </c>
      <c r="AK34" s="42">
        <f t="shared" si="5"/>
        <v>0</v>
      </c>
    </row>
    <row r="35" spans="1:37">
      <c r="A35" s="9" t="s">
        <v>378</v>
      </c>
      <c r="B35" s="9"/>
      <c r="C35" s="9" t="s">
        <v>44</v>
      </c>
      <c r="D35" s="9"/>
      <c r="E35" s="23">
        <v>48124</v>
      </c>
      <c r="G35" s="42">
        <v>10647572</v>
      </c>
      <c r="I35" s="42">
        <v>113990</v>
      </c>
      <c r="K35" s="2">
        <f t="shared" si="10"/>
        <v>38846247</v>
      </c>
      <c r="M35" s="42">
        <v>49607809</v>
      </c>
      <c r="O35" s="42">
        <v>0</v>
      </c>
      <c r="Q35" s="2">
        <f t="shared" si="6"/>
        <v>5239396</v>
      </c>
      <c r="S35" s="42">
        <v>0</v>
      </c>
      <c r="U35" s="42">
        <v>5239396</v>
      </c>
      <c r="W35" s="42">
        <v>34033321</v>
      </c>
      <c r="Y35" s="42">
        <v>61675</v>
      </c>
      <c r="AA35" s="42">
        <v>5904638</v>
      </c>
      <c r="AC35" s="42">
        <v>113990</v>
      </c>
      <c r="AE35" s="42">
        <v>665041</v>
      </c>
      <c r="AG35" s="42">
        <v>3589748</v>
      </c>
      <c r="AI35" s="10">
        <f t="shared" si="4"/>
        <v>10335092</v>
      </c>
      <c r="AK35" s="42">
        <f t="shared" si="5"/>
        <v>0</v>
      </c>
    </row>
    <row r="36" spans="1:37">
      <c r="A36" s="9" t="s">
        <v>379</v>
      </c>
      <c r="B36" s="9"/>
      <c r="C36" s="9" t="s">
        <v>44</v>
      </c>
      <c r="D36" s="9"/>
      <c r="E36" s="23">
        <v>48116</v>
      </c>
      <c r="G36" s="42">
        <v>53641879</v>
      </c>
      <c r="I36" s="42">
        <v>10459</v>
      </c>
      <c r="K36" s="2">
        <f t="shared" si="10"/>
        <v>28999362</v>
      </c>
      <c r="M36" s="42">
        <v>82651700</v>
      </c>
      <c r="O36" s="42">
        <v>0</v>
      </c>
      <c r="Q36" s="2">
        <f t="shared" si="6"/>
        <v>4460155</v>
      </c>
      <c r="S36" s="42">
        <v>0</v>
      </c>
      <c r="U36" s="42">
        <v>4460155</v>
      </c>
      <c r="W36" s="42">
        <v>25538684</v>
      </c>
      <c r="Y36" s="42">
        <v>0</v>
      </c>
      <c r="AA36" s="42">
        <v>40627875</v>
      </c>
      <c r="AC36" s="42">
        <v>0</v>
      </c>
      <c r="AE36" s="42">
        <v>128937</v>
      </c>
      <c r="AG36" s="42">
        <v>11896049</v>
      </c>
      <c r="AI36" s="10">
        <f t="shared" si="4"/>
        <v>52652861</v>
      </c>
      <c r="AK36" s="42">
        <f t="shared" si="5"/>
        <v>0</v>
      </c>
    </row>
    <row r="37" spans="1:37">
      <c r="A37" s="9" t="s">
        <v>281</v>
      </c>
      <c r="B37" s="9"/>
      <c r="C37" s="9" t="s">
        <v>22</v>
      </c>
      <c r="D37" s="9"/>
      <c r="E37" s="23">
        <v>46706</v>
      </c>
      <c r="G37" s="42">
        <v>4296051</v>
      </c>
      <c r="I37" s="42">
        <v>1056</v>
      </c>
      <c r="K37" s="2">
        <f t="shared" si="10"/>
        <v>3070487</v>
      </c>
      <c r="M37" s="42">
        <v>7367594</v>
      </c>
      <c r="O37" s="42">
        <v>0</v>
      </c>
      <c r="Q37" s="2">
        <f t="shared" si="6"/>
        <v>1044148</v>
      </c>
      <c r="S37" s="42">
        <v>0</v>
      </c>
      <c r="U37" s="42">
        <v>1044148</v>
      </c>
      <c r="W37" s="42">
        <v>2503129</v>
      </c>
      <c r="Y37" s="42">
        <v>29105</v>
      </c>
      <c r="AA37" s="42">
        <v>185383</v>
      </c>
      <c r="AC37" s="42">
        <v>303743</v>
      </c>
      <c r="AE37" s="42">
        <v>549907</v>
      </c>
      <c r="AG37" s="42">
        <v>2752179</v>
      </c>
      <c r="AI37" s="10">
        <f t="shared" si="4"/>
        <v>3820317</v>
      </c>
      <c r="AK37" s="42">
        <f t="shared" si="5"/>
        <v>0</v>
      </c>
    </row>
    <row r="38" spans="1:37">
      <c r="A38" s="9" t="s">
        <v>503</v>
      </c>
      <c r="B38" s="9"/>
      <c r="C38" s="9" t="s">
        <v>63</v>
      </c>
      <c r="D38" s="9"/>
      <c r="E38" s="23">
        <v>43539</v>
      </c>
      <c r="G38" s="42">
        <v>16512549</v>
      </c>
      <c r="I38" s="42">
        <v>0</v>
      </c>
      <c r="K38" s="2">
        <f t="shared" ref="K38:K56" si="14">+M38-I38-G38</f>
        <v>18458363</v>
      </c>
      <c r="M38" s="42">
        <v>34970912</v>
      </c>
      <c r="O38" s="42">
        <v>0</v>
      </c>
      <c r="Q38" s="2">
        <f t="shared" ref="Q38:Q56" si="15">+U38-S38</f>
        <v>5338606</v>
      </c>
      <c r="S38" s="42">
        <v>0</v>
      </c>
      <c r="U38" s="42">
        <v>5338606</v>
      </c>
      <c r="W38" s="42">
        <v>17238641</v>
      </c>
      <c r="Y38" s="42">
        <v>51426</v>
      </c>
      <c r="AA38" s="42">
        <f>2085619+6354844+1045617+133135+13893+673+120553+85436</f>
        <v>9839770</v>
      </c>
      <c r="AC38" s="42">
        <v>0</v>
      </c>
      <c r="AE38" s="42">
        <f>31672+432486+2944+18464</f>
        <v>485566</v>
      </c>
      <c r="AG38" s="42">
        <v>2016903</v>
      </c>
      <c r="AI38" s="10">
        <f t="shared" si="4"/>
        <v>12393665</v>
      </c>
      <c r="AK38" s="42">
        <f t="shared" si="5"/>
        <v>0</v>
      </c>
    </row>
    <row r="39" spans="1:37">
      <c r="A39" s="9" t="s">
        <v>744</v>
      </c>
      <c r="B39" s="9"/>
      <c r="C39" s="9" t="s">
        <v>15</v>
      </c>
      <c r="D39" s="9"/>
      <c r="E39" s="23">
        <v>45203</v>
      </c>
      <c r="G39" s="42">
        <v>5501885</v>
      </c>
      <c r="I39" s="42">
        <v>0</v>
      </c>
      <c r="K39" s="2">
        <f t="shared" si="14"/>
        <v>5052023</v>
      </c>
      <c r="M39" s="42">
        <v>10553908</v>
      </c>
      <c r="O39" s="42">
        <v>0</v>
      </c>
      <c r="Q39" s="2">
        <f t="shared" si="15"/>
        <v>1230891</v>
      </c>
      <c r="S39" s="42">
        <v>0</v>
      </c>
      <c r="U39" s="42">
        <v>1230891</v>
      </c>
      <c r="W39" s="42">
        <v>4363753</v>
      </c>
      <c r="Y39" s="42">
        <f>33748+5913</f>
        <v>39661</v>
      </c>
      <c r="AA39" s="42">
        <f>755814+63520+47847+27241+95331</f>
        <v>989753</v>
      </c>
      <c r="AC39" s="42">
        <v>401305</v>
      </c>
      <c r="AE39" s="42">
        <v>296728</v>
      </c>
      <c r="AG39" s="42">
        <v>3231817</v>
      </c>
      <c r="AI39" s="10">
        <f t="shared" si="4"/>
        <v>4959264</v>
      </c>
      <c r="AK39" s="42">
        <f t="shared" si="5"/>
        <v>0</v>
      </c>
    </row>
    <row r="40" spans="1:37">
      <c r="A40" s="9" t="s">
        <v>235</v>
      </c>
      <c r="B40" s="9"/>
      <c r="C40" s="9" t="s">
        <v>112</v>
      </c>
      <c r="D40" s="9"/>
      <c r="E40" s="23">
        <v>46300</v>
      </c>
      <c r="G40" s="42">
        <v>1454800</v>
      </c>
      <c r="I40" s="42">
        <v>13661778</v>
      </c>
      <c r="K40" s="2">
        <f t="shared" si="14"/>
        <v>10243587</v>
      </c>
      <c r="M40" s="42">
        <v>25360165</v>
      </c>
      <c r="O40" s="42">
        <v>0</v>
      </c>
      <c r="Q40" s="2">
        <f t="shared" si="15"/>
        <v>2792198</v>
      </c>
      <c r="S40" s="42">
        <v>0</v>
      </c>
      <c r="U40" s="42">
        <v>2792198</v>
      </c>
      <c r="W40" s="42">
        <v>8081197</v>
      </c>
      <c r="Y40" s="42">
        <v>0</v>
      </c>
      <c r="AA40" s="42">
        <v>16045601</v>
      </c>
      <c r="AC40" s="42">
        <v>50335</v>
      </c>
      <c r="AE40" s="42">
        <v>15360</v>
      </c>
      <c r="AG40" s="42">
        <v>-1624526</v>
      </c>
      <c r="AI40" s="10">
        <f t="shared" si="4"/>
        <v>14486770</v>
      </c>
      <c r="AK40" s="42">
        <f t="shared" si="5"/>
        <v>0</v>
      </c>
    </row>
    <row r="41" spans="1:37" hidden="1">
      <c r="A41" s="9" t="s">
        <v>666</v>
      </c>
      <c r="B41" s="9"/>
      <c r="C41" s="9" t="s">
        <v>10</v>
      </c>
      <c r="D41" s="9"/>
      <c r="E41" s="23">
        <v>45765</v>
      </c>
      <c r="G41" s="42">
        <v>0</v>
      </c>
      <c r="I41" s="42">
        <v>0</v>
      </c>
      <c r="K41" s="2">
        <f t="shared" si="14"/>
        <v>0</v>
      </c>
      <c r="M41" s="42">
        <v>0</v>
      </c>
      <c r="O41" s="42">
        <v>0</v>
      </c>
      <c r="Q41" s="2">
        <f t="shared" si="15"/>
        <v>0</v>
      </c>
      <c r="S41" s="42">
        <v>0</v>
      </c>
      <c r="U41" s="42">
        <v>0</v>
      </c>
      <c r="W41" s="42">
        <v>0</v>
      </c>
      <c r="Y41" s="42">
        <v>0</v>
      </c>
      <c r="AA41" s="42">
        <v>0</v>
      </c>
      <c r="AC41" s="42">
        <v>0</v>
      </c>
      <c r="AE41" s="42">
        <v>0</v>
      </c>
      <c r="AG41" s="42">
        <v>0</v>
      </c>
      <c r="AI41" s="10">
        <f t="shared" si="4"/>
        <v>0</v>
      </c>
      <c r="AK41" s="42">
        <f t="shared" si="5"/>
        <v>0</v>
      </c>
    </row>
    <row r="42" spans="1:37">
      <c r="A42" s="9" t="s">
        <v>629</v>
      </c>
      <c r="B42" s="9"/>
      <c r="C42" s="9" t="s">
        <v>20</v>
      </c>
      <c r="D42" s="9"/>
      <c r="E42" s="23">
        <v>43547</v>
      </c>
      <c r="G42" s="42">
        <v>30882069</v>
      </c>
      <c r="I42" s="42">
        <v>0</v>
      </c>
      <c r="K42" s="2">
        <f t="shared" si="14"/>
        <v>28925530</v>
      </c>
      <c r="M42" s="42">
        <v>59807599</v>
      </c>
      <c r="O42" s="42">
        <v>0</v>
      </c>
      <c r="Q42" s="2">
        <f t="shared" si="15"/>
        <v>5382507</v>
      </c>
      <c r="S42" s="42">
        <v>0</v>
      </c>
      <c r="U42" s="42">
        <v>5382507</v>
      </c>
      <c r="W42" s="42">
        <v>25554173</v>
      </c>
      <c r="Y42" s="42">
        <v>38912</v>
      </c>
      <c r="AA42" s="42">
        <v>19515646</v>
      </c>
      <c r="AC42" s="42">
        <v>0</v>
      </c>
      <c r="AE42" s="42">
        <v>1166491</v>
      </c>
      <c r="AG42" s="42">
        <v>8149870</v>
      </c>
      <c r="AI42" s="10">
        <f t="shared" si="4"/>
        <v>28870919</v>
      </c>
      <c r="AK42" s="42">
        <f t="shared" si="5"/>
        <v>0</v>
      </c>
    </row>
    <row r="43" spans="1:37">
      <c r="A43" s="9" t="s">
        <v>259</v>
      </c>
      <c r="B43" s="9"/>
      <c r="C43" s="9" t="s">
        <v>20</v>
      </c>
      <c r="D43" s="9"/>
      <c r="E43" s="23">
        <v>43554</v>
      </c>
      <c r="G43" s="42">
        <f>30896943+134873</f>
        <v>31031816</v>
      </c>
      <c r="I43" s="42">
        <v>0</v>
      </c>
      <c r="K43" s="2">
        <f t="shared" si="14"/>
        <v>31465952</v>
      </c>
      <c r="M43" s="42">
        <v>62497768</v>
      </c>
      <c r="O43" s="42">
        <v>0</v>
      </c>
      <c r="Q43" s="2">
        <f t="shared" si="15"/>
        <v>6476102</v>
      </c>
      <c r="S43" s="42">
        <v>0</v>
      </c>
      <c r="U43" s="42">
        <v>6476102</v>
      </c>
      <c r="W43" s="42">
        <v>25489433</v>
      </c>
      <c r="Y43" s="42">
        <v>88729</v>
      </c>
      <c r="AA43" s="42">
        <v>4854730</v>
      </c>
      <c r="AC43" s="42">
        <v>3358296</v>
      </c>
      <c r="AE43" s="42">
        <v>0</v>
      </c>
      <c r="AG43" s="42">
        <v>22230478</v>
      </c>
      <c r="AI43" s="10">
        <f t="shared" si="4"/>
        <v>30532233</v>
      </c>
      <c r="AK43" s="42">
        <f t="shared" si="5"/>
        <v>0</v>
      </c>
    </row>
    <row r="44" spans="1:37">
      <c r="A44" s="9" t="s">
        <v>244</v>
      </c>
      <c r="B44" s="9"/>
      <c r="C44" s="9" t="s">
        <v>111</v>
      </c>
      <c r="D44" s="9"/>
      <c r="E44" s="23">
        <v>46425</v>
      </c>
      <c r="G44" s="42">
        <v>6709376</v>
      </c>
      <c r="I44" s="42">
        <v>0</v>
      </c>
      <c r="K44" s="2">
        <f t="shared" si="14"/>
        <v>27018254</v>
      </c>
      <c r="M44" s="42">
        <v>33727630</v>
      </c>
      <c r="O44" s="42">
        <v>0</v>
      </c>
      <c r="Q44" s="2">
        <f t="shared" si="15"/>
        <v>2582884</v>
      </c>
      <c r="S44" s="42">
        <v>0</v>
      </c>
      <c r="U44" s="42">
        <v>2582884</v>
      </c>
      <c r="W44" s="42">
        <v>7772265</v>
      </c>
      <c r="Y44" s="42">
        <v>42711</v>
      </c>
      <c r="AA44" s="42">
        <v>24201179</v>
      </c>
      <c r="AC44" s="42">
        <v>0</v>
      </c>
      <c r="AE44" s="42">
        <v>60539</v>
      </c>
      <c r="AG44" s="42">
        <v>-931948</v>
      </c>
      <c r="AI44" s="10">
        <f t="shared" si="4"/>
        <v>23372481</v>
      </c>
      <c r="AK44" s="42">
        <f t="shared" si="5"/>
        <v>0</v>
      </c>
    </row>
    <row r="45" spans="1:37">
      <c r="A45" s="9" t="s">
        <v>315</v>
      </c>
      <c r="B45" s="9"/>
      <c r="C45" s="9" t="s">
        <v>113</v>
      </c>
      <c r="D45" s="9"/>
      <c r="E45" s="23">
        <v>47241</v>
      </c>
      <c r="G45" s="42">
        <v>46303130</v>
      </c>
      <c r="I45" s="42">
        <v>0</v>
      </c>
      <c r="K45" s="2">
        <f t="shared" si="14"/>
        <v>58304816</v>
      </c>
      <c r="M45" s="42">
        <v>104607946</v>
      </c>
      <c r="O45" s="42">
        <v>0</v>
      </c>
      <c r="Q45" s="2">
        <f t="shared" si="15"/>
        <v>10898048</v>
      </c>
      <c r="S45" s="42">
        <v>0</v>
      </c>
      <c r="U45" s="42">
        <v>10898048</v>
      </c>
      <c r="W45" s="42">
        <v>52709466</v>
      </c>
      <c r="Y45" s="42">
        <f>9366+4187</f>
        <v>13553</v>
      </c>
      <c r="AA45" s="42">
        <f>15885276+4455547+769144+600626+172307+15710</f>
        <v>21898610</v>
      </c>
      <c r="AC45" s="42">
        <v>4509583</v>
      </c>
      <c r="AE45" s="42">
        <f>480064+215318</f>
        <v>695382</v>
      </c>
      <c r="AG45" s="42">
        <v>13883304</v>
      </c>
      <c r="AI45" s="10">
        <f t="shared" si="4"/>
        <v>41000432</v>
      </c>
      <c r="AK45" s="42">
        <f t="shared" si="5"/>
        <v>0</v>
      </c>
    </row>
    <row r="46" spans="1:37">
      <c r="A46" s="9" t="s">
        <v>260</v>
      </c>
      <c r="B46" s="9"/>
      <c r="C46" s="9" t="s">
        <v>20</v>
      </c>
      <c r="D46" s="9"/>
      <c r="E46" s="23">
        <v>43562</v>
      </c>
      <c r="G46" s="42">
        <v>19851615</v>
      </c>
      <c r="I46" s="42">
        <v>0</v>
      </c>
      <c r="K46" s="2">
        <f t="shared" si="14"/>
        <v>33145006</v>
      </c>
      <c r="M46" s="42">
        <v>52996621</v>
      </c>
      <c r="O46" s="42">
        <v>0</v>
      </c>
      <c r="Q46" s="2">
        <f t="shared" si="15"/>
        <v>8193272</v>
      </c>
      <c r="S46" s="42">
        <v>0</v>
      </c>
      <c r="U46" s="42">
        <v>8193272</v>
      </c>
      <c r="W46" s="42">
        <v>26363804</v>
      </c>
      <c r="Y46" s="42">
        <v>457126</v>
      </c>
      <c r="AA46" s="42">
        <v>1542600</v>
      </c>
      <c r="AC46" s="42">
        <v>355793</v>
      </c>
      <c r="AE46" s="42">
        <v>807488</v>
      </c>
      <c r="AG46" s="42">
        <v>15276538</v>
      </c>
      <c r="AI46" s="10">
        <f t="shared" si="4"/>
        <v>18439545</v>
      </c>
      <c r="AK46" s="42">
        <f t="shared" si="5"/>
        <v>0</v>
      </c>
    </row>
    <row r="47" spans="1:37">
      <c r="A47" s="9" t="s">
        <v>214</v>
      </c>
      <c r="B47" s="9"/>
      <c r="C47" s="9" t="s">
        <v>15</v>
      </c>
      <c r="D47" s="9"/>
      <c r="E47" s="23">
        <v>43570</v>
      </c>
      <c r="G47" s="42">
        <v>3245645</v>
      </c>
      <c r="I47" s="42">
        <v>0</v>
      </c>
      <c r="K47" s="2">
        <f t="shared" si="14"/>
        <v>4559137</v>
      </c>
      <c r="M47" s="42">
        <v>7804782</v>
      </c>
      <c r="O47" s="42">
        <v>0</v>
      </c>
      <c r="Q47" s="2">
        <f t="shared" si="15"/>
        <v>2282579</v>
      </c>
      <c r="S47" s="42">
        <v>0</v>
      </c>
      <c r="U47" s="42">
        <v>2282579</v>
      </c>
      <c r="W47" s="42">
        <v>3706819</v>
      </c>
      <c r="Y47" s="42">
        <f>80584+2535</f>
        <v>83119</v>
      </c>
      <c r="AA47" s="42">
        <f>376897+775363+1217950+485801+18101+12449+97584</f>
        <v>2984145</v>
      </c>
      <c r="AC47" s="42">
        <v>0</v>
      </c>
      <c r="AE47" s="42">
        <v>0</v>
      </c>
      <c r="AG47" s="42">
        <v>-1251880</v>
      </c>
      <c r="AI47" s="10">
        <f t="shared" si="4"/>
        <v>1815384</v>
      </c>
      <c r="AK47" s="42">
        <f t="shared" si="5"/>
        <v>0</v>
      </c>
    </row>
    <row r="48" spans="1:37">
      <c r="A48" s="9" t="s">
        <v>729</v>
      </c>
      <c r="B48" s="9"/>
      <c r="C48" s="9" t="s">
        <v>113</v>
      </c>
      <c r="D48" s="9"/>
      <c r="E48" s="23">
        <v>47274</v>
      </c>
      <c r="G48" s="42">
        <f>4960450+15871</f>
        <v>4976321</v>
      </c>
      <c r="I48" s="42">
        <v>0</v>
      </c>
      <c r="K48" s="2">
        <f t="shared" si="14"/>
        <v>17910698</v>
      </c>
      <c r="M48" s="42">
        <v>22887019</v>
      </c>
      <c r="O48" s="42">
        <v>0</v>
      </c>
      <c r="Q48" s="2">
        <f t="shared" si="15"/>
        <v>2707116</v>
      </c>
      <c r="S48" s="42">
        <v>0</v>
      </c>
      <c r="U48" s="42">
        <v>2707116</v>
      </c>
      <c r="W48" s="42">
        <v>15994746</v>
      </c>
      <c r="Y48" s="42">
        <v>0</v>
      </c>
      <c r="AA48" s="42">
        <v>1943998</v>
      </c>
      <c r="AC48" s="42">
        <v>0</v>
      </c>
      <c r="AE48" s="42">
        <v>445204</v>
      </c>
      <c r="AG48" s="42">
        <v>1795955</v>
      </c>
      <c r="AI48" s="10">
        <f t="shared" ref="AI48:AI49" si="16">Y48+AA48+AC48+AE48+AG48</f>
        <v>4185157</v>
      </c>
      <c r="AK48" s="42">
        <f t="shared" si="5"/>
        <v>0</v>
      </c>
    </row>
    <row r="49" spans="1:37" hidden="1">
      <c r="A49" s="9" t="s">
        <v>873</v>
      </c>
      <c r="B49" s="9"/>
      <c r="C49" s="9" t="s">
        <v>43</v>
      </c>
      <c r="D49" s="9"/>
      <c r="E49" s="23">
        <v>43588</v>
      </c>
      <c r="G49" s="42">
        <v>0</v>
      </c>
      <c r="I49" s="42">
        <v>0</v>
      </c>
      <c r="K49" s="2">
        <f t="shared" ref="K49" si="17">+M49-I49-G49</f>
        <v>0</v>
      </c>
      <c r="M49" s="42">
        <v>0</v>
      </c>
      <c r="O49" s="42">
        <v>0</v>
      </c>
      <c r="Q49" s="2">
        <f t="shared" ref="Q49" si="18">+U49-S49</f>
        <v>0</v>
      </c>
      <c r="S49" s="42">
        <v>0</v>
      </c>
      <c r="U49" s="42">
        <v>0</v>
      </c>
      <c r="W49" s="42">
        <v>0</v>
      </c>
      <c r="Y49" s="42">
        <v>0</v>
      </c>
      <c r="AA49" s="42">
        <v>0</v>
      </c>
      <c r="AC49" s="42">
        <v>0</v>
      </c>
      <c r="AE49" s="42">
        <v>0</v>
      </c>
      <c r="AG49" s="42">
        <v>0</v>
      </c>
      <c r="AI49" s="10">
        <f t="shared" si="16"/>
        <v>0</v>
      </c>
      <c r="AK49" s="42">
        <f t="shared" si="5"/>
        <v>0</v>
      </c>
    </row>
    <row r="50" spans="1:37">
      <c r="A50" s="9" t="s">
        <v>353</v>
      </c>
      <c r="B50" s="9"/>
      <c r="C50" s="9" t="s">
        <v>37</v>
      </c>
      <c r="D50" s="9"/>
      <c r="E50" s="23">
        <v>43596</v>
      </c>
      <c r="G50" s="42">
        <f>11825893+157128+477699</f>
        <v>12460720</v>
      </c>
      <c r="I50" s="42">
        <v>0</v>
      </c>
      <c r="K50" s="2">
        <f t="shared" si="14"/>
        <v>10031514</v>
      </c>
      <c r="M50" s="42">
        <v>22492234</v>
      </c>
      <c r="O50" s="42">
        <v>0</v>
      </c>
      <c r="Q50" s="2">
        <f t="shared" si="15"/>
        <v>3461066</v>
      </c>
      <c r="S50" s="42">
        <v>0</v>
      </c>
      <c r="U50" s="42">
        <v>3461066</v>
      </c>
      <c r="W50" s="42">
        <v>7485503</v>
      </c>
      <c r="Y50" s="42">
        <f>67613+74786</f>
        <v>142399</v>
      </c>
      <c r="AA50" s="42">
        <f>1397432+3692811+599870+240068+21829+131099</f>
        <v>6083109</v>
      </c>
      <c r="AC50" s="42">
        <v>361336</v>
      </c>
      <c r="AE50" s="42">
        <f>50453+166077+1667+20982+333582+250+627</f>
        <v>573638</v>
      </c>
      <c r="AG50" s="42">
        <v>4385183</v>
      </c>
      <c r="AI50" s="10">
        <f t="shared" si="4"/>
        <v>11545665</v>
      </c>
      <c r="AK50" s="42">
        <f t="shared" si="5"/>
        <v>0</v>
      </c>
    </row>
    <row r="51" spans="1:37">
      <c r="A51" s="9" t="s">
        <v>543</v>
      </c>
      <c r="B51" s="9"/>
      <c r="C51" s="9" t="s">
        <v>70</v>
      </c>
      <c r="D51" s="9"/>
      <c r="E51" s="23">
        <v>43604</v>
      </c>
      <c r="G51" s="42">
        <v>1553093</v>
      </c>
      <c r="I51" s="42">
        <v>5944</v>
      </c>
      <c r="K51" s="2">
        <f t="shared" si="14"/>
        <v>4261180</v>
      </c>
      <c r="M51" s="42">
        <v>5820217</v>
      </c>
      <c r="O51" s="42">
        <v>0</v>
      </c>
      <c r="Q51" s="2">
        <f t="shared" si="15"/>
        <v>1283721</v>
      </c>
      <c r="S51" s="42">
        <v>0</v>
      </c>
      <c r="U51" s="42">
        <v>1283721</v>
      </c>
      <c r="W51" s="42">
        <v>3684699</v>
      </c>
      <c r="Y51" s="42">
        <f>30033+4474</f>
        <v>34507</v>
      </c>
      <c r="AA51" s="42">
        <f>35620+14246+42958+5944</f>
        <v>98768</v>
      </c>
      <c r="AC51" s="42">
        <v>5078</v>
      </c>
      <c r="AE51" s="42">
        <f>10211+108877+386868+16019+10+2388</f>
        <v>524373</v>
      </c>
      <c r="AG51" s="42">
        <v>189071</v>
      </c>
      <c r="AI51" s="10">
        <f t="shared" si="4"/>
        <v>851797</v>
      </c>
      <c r="AK51" s="42">
        <f t="shared" si="5"/>
        <v>0</v>
      </c>
    </row>
    <row r="52" spans="1:37" hidden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2">
        <f t="shared" ref="K52" si="19">+M52-I52-G52</f>
        <v>0</v>
      </c>
      <c r="M52" s="42">
        <v>0</v>
      </c>
      <c r="O52" s="42">
        <v>0</v>
      </c>
      <c r="Q52" s="2">
        <f t="shared" ref="Q52" si="20">+U52-S52</f>
        <v>0</v>
      </c>
      <c r="S52" s="42">
        <v>0</v>
      </c>
      <c r="U52" s="42">
        <v>0</v>
      </c>
      <c r="W52" s="42">
        <v>0</v>
      </c>
      <c r="Y52" s="42">
        <v>0</v>
      </c>
      <c r="AA52" s="42">
        <v>0</v>
      </c>
      <c r="AC52" s="42">
        <v>0</v>
      </c>
      <c r="AE52" s="42">
        <v>0</v>
      </c>
      <c r="AG52" s="42">
        <v>0</v>
      </c>
      <c r="AI52" s="10">
        <f t="shared" ref="AI52" si="21">Y52+AA52+AC52+AE52+AG52</f>
        <v>0</v>
      </c>
      <c r="AK52" s="42">
        <f t="shared" si="5"/>
        <v>0</v>
      </c>
    </row>
    <row r="53" spans="1:37" hidden="1">
      <c r="A53" s="9" t="s">
        <v>857</v>
      </c>
      <c r="B53" s="9"/>
      <c r="C53" s="9" t="s">
        <v>53</v>
      </c>
      <c r="D53" s="9"/>
      <c r="E53" s="23">
        <v>48926</v>
      </c>
      <c r="G53" s="42">
        <v>0</v>
      </c>
      <c r="I53" s="42">
        <v>0</v>
      </c>
      <c r="K53" s="2">
        <f t="shared" si="14"/>
        <v>0</v>
      </c>
      <c r="M53" s="42">
        <v>0</v>
      </c>
      <c r="O53" s="42">
        <v>0</v>
      </c>
      <c r="Q53" s="2">
        <f t="shared" si="15"/>
        <v>0</v>
      </c>
      <c r="S53" s="42">
        <v>0</v>
      </c>
      <c r="U53" s="42">
        <v>0</v>
      </c>
      <c r="W53" s="42">
        <v>0</v>
      </c>
      <c r="Y53" s="42">
        <v>0</v>
      </c>
      <c r="AA53" s="42">
        <v>0</v>
      </c>
      <c r="AC53" s="42">
        <v>0</v>
      </c>
      <c r="AE53" s="42">
        <v>0</v>
      </c>
      <c r="AG53" s="42">
        <v>0</v>
      </c>
      <c r="AI53" s="10">
        <f t="shared" si="4"/>
        <v>0</v>
      </c>
      <c r="AK53" s="42">
        <f t="shared" si="5"/>
        <v>0</v>
      </c>
    </row>
    <row r="54" spans="1:37">
      <c r="A54" s="9" t="s">
        <v>261</v>
      </c>
      <c r="B54" s="9"/>
      <c r="C54" s="9" t="s">
        <v>20</v>
      </c>
      <c r="D54" s="9"/>
      <c r="E54" s="23">
        <v>43612</v>
      </c>
      <c r="G54" s="42">
        <v>14272240</v>
      </c>
      <c r="I54" s="42">
        <v>18432</v>
      </c>
      <c r="K54" s="2">
        <f t="shared" si="14"/>
        <v>59052412</v>
      </c>
      <c r="M54" s="42">
        <v>73343084</v>
      </c>
      <c r="O54" s="42">
        <v>0</v>
      </c>
      <c r="Q54" s="2">
        <f t="shared" si="15"/>
        <v>14461012</v>
      </c>
      <c r="S54" s="42">
        <v>0</v>
      </c>
      <c r="U54" s="42">
        <v>14461012</v>
      </c>
      <c r="W54" s="42">
        <v>51024940</v>
      </c>
      <c r="Y54" s="42">
        <v>196623</v>
      </c>
      <c r="AA54" s="42">
        <v>7344944</v>
      </c>
      <c r="AC54" s="42">
        <v>0</v>
      </c>
      <c r="AE54" s="42">
        <v>1416139</v>
      </c>
      <c r="AG54" s="42">
        <v>-1100574</v>
      </c>
      <c r="AI54" s="10">
        <f t="shared" si="4"/>
        <v>7857132</v>
      </c>
      <c r="AK54" s="42">
        <f t="shared" si="5"/>
        <v>0</v>
      </c>
    </row>
    <row r="55" spans="1:37">
      <c r="A55" s="9" t="s">
        <v>634</v>
      </c>
      <c r="B55" s="9"/>
      <c r="C55" s="9" t="s">
        <v>30</v>
      </c>
      <c r="D55" s="9"/>
      <c r="E55" s="23">
        <v>47167</v>
      </c>
      <c r="G55" s="42">
        <v>2109675</v>
      </c>
      <c r="I55" s="42">
        <v>39468</v>
      </c>
      <c r="K55" s="2">
        <f t="shared" si="14"/>
        <v>5068462</v>
      </c>
      <c r="M55" s="42">
        <v>7217605</v>
      </c>
      <c r="O55" s="42">
        <v>0</v>
      </c>
      <c r="Q55" s="2">
        <f t="shared" si="15"/>
        <v>1343207</v>
      </c>
      <c r="S55" s="42">
        <v>0</v>
      </c>
      <c r="U55" s="42">
        <v>1343207</v>
      </c>
      <c r="W55" s="42">
        <v>4073734</v>
      </c>
      <c r="Y55" s="42">
        <v>3670</v>
      </c>
      <c r="AA55" s="42">
        <v>230259</v>
      </c>
      <c r="AC55" s="42">
        <v>260558</v>
      </c>
      <c r="AE55" s="42">
        <v>590741</v>
      </c>
      <c r="AG55" s="42">
        <v>715436</v>
      </c>
      <c r="AI55" s="10">
        <f t="shared" si="4"/>
        <v>1800664</v>
      </c>
      <c r="AK55" s="42">
        <f t="shared" si="5"/>
        <v>0</v>
      </c>
    </row>
    <row r="56" spans="1:37" hidden="1">
      <c r="A56" s="9" t="s">
        <v>283</v>
      </c>
      <c r="B56" s="9"/>
      <c r="C56" s="9" t="s">
        <v>24</v>
      </c>
      <c r="D56" s="9"/>
      <c r="E56" s="23">
        <v>46789</v>
      </c>
      <c r="G56" s="42">
        <v>0</v>
      </c>
      <c r="I56" s="42">
        <v>0</v>
      </c>
      <c r="K56" s="2">
        <f t="shared" si="14"/>
        <v>0</v>
      </c>
      <c r="M56" s="42">
        <v>0</v>
      </c>
      <c r="O56" s="42">
        <v>0</v>
      </c>
      <c r="Q56" s="2">
        <f t="shared" si="15"/>
        <v>0</v>
      </c>
      <c r="S56" s="42">
        <v>0</v>
      </c>
      <c r="U56" s="42">
        <v>0</v>
      </c>
      <c r="W56" s="42">
        <v>0</v>
      </c>
      <c r="Y56" s="42">
        <v>0</v>
      </c>
      <c r="AA56" s="42">
        <v>0</v>
      </c>
      <c r="AC56" s="42">
        <v>0</v>
      </c>
      <c r="AE56" s="42">
        <v>0</v>
      </c>
      <c r="AG56" s="42">
        <v>0</v>
      </c>
      <c r="AI56" s="10">
        <f t="shared" si="4"/>
        <v>0</v>
      </c>
      <c r="AK56" s="42">
        <f t="shared" si="5"/>
        <v>0</v>
      </c>
    </row>
    <row r="57" spans="1:37" hidden="1">
      <c r="A57" s="9" t="s">
        <v>786</v>
      </c>
      <c r="B57" s="9"/>
      <c r="C57" s="9" t="s">
        <v>25</v>
      </c>
      <c r="D57" s="9"/>
      <c r="E57" s="23">
        <v>46854</v>
      </c>
      <c r="G57" s="42">
        <v>0</v>
      </c>
      <c r="I57" s="42">
        <v>0</v>
      </c>
      <c r="K57" s="2">
        <f t="shared" ref="K57:K89" si="22">M57-G57-I57</f>
        <v>0</v>
      </c>
      <c r="M57" s="42">
        <v>0</v>
      </c>
      <c r="O57" s="42">
        <v>0</v>
      </c>
      <c r="Q57" s="2">
        <f t="shared" ref="Q57:Q89" si="23">U57-S57</f>
        <v>0</v>
      </c>
      <c r="S57" s="42">
        <v>0</v>
      </c>
      <c r="U57" s="42">
        <v>0</v>
      </c>
      <c r="W57" s="42">
        <v>0</v>
      </c>
      <c r="Y57" s="42">
        <v>0</v>
      </c>
      <c r="AA57" s="42">
        <v>0</v>
      </c>
      <c r="AC57" s="42">
        <v>0</v>
      </c>
      <c r="AE57" s="42">
        <v>0</v>
      </c>
      <c r="AG57" s="42">
        <v>0</v>
      </c>
      <c r="AI57" s="10">
        <f t="shared" si="4"/>
        <v>0</v>
      </c>
      <c r="AK57" s="42">
        <f t="shared" si="5"/>
        <v>0</v>
      </c>
    </row>
    <row r="58" spans="1:37">
      <c r="A58" s="9" t="s">
        <v>420</v>
      </c>
      <c r="B58" s="9"/>
      <c r="C58" s="9" t="s">
        <v>48</v>
      </c>
      <c r="D58" s="9"/>
      <c r="E58" s="23">
        <v>48611</v>
      </c>
      <c r="G58" s="42">
        <v>2176431</v>
      </c>
      <c r="I58" s="42">
        <v>0</v>
      </c>
      <c r="K58" s="2">
        <f t="shared" ref="K58" si="24">+M58-I58-G58</f>
        <v>4396846</v>
      </c>
      <c r="M58" s="42">
        <v>6573277</v>
      </c>
      <c r="O58" s="42">
        <v>0</v>
      </c>
      <c r="Q58" s="2">
        <f t="shared" ref="Q58" si="25">+U58-S58</f>
        <v>867282</v>
      </c>
      <c r="S58" s="42">
        <v>0</v>
      </c>
      <c r="U58" s="42">
        <v>867282</v>
      </c>
      <c r="W58" s="42">
        <v>3388821</v>
      </c>
      <c r="Y58" s="42">
        <v>6227</v>
      </c>
      <c r="AA58" s="42">
        <f>616+720669+71616+2818+17226</f>
        <v>812945</v>
      </c>
      <c r="AC58" s="42">
        <v>0</v>
      </c>
      <c r="AE58" s="42">
        <f>77192+46441</f>
        <v>123633</v>
      </c>
      <c r="AG58" s="42">
        <v>1374369</v>
      </c>
      <c r="AI58" s="10">
        <f t="shared" ref="AI58" si="26">Y58+AA58+AC58+AE58+AG58</f>
        <v>2317174</v>
      </c>
      <c r="AK58" s="42">
        <f t="shared" si="5"/>
        <v>0</v>
      </c>
    </row>
    <row r="59" spans="1:37">
      <c r="A59" s="9" t="s">
        <v>236</v>
      </c>
      <c r="B59" s="9"/>
      <c r="C59" s="9" t="s">
        <v>112</v>
      </c>
      <c r="D59" s="9"/>
      <c r="E59" s="23">
        <v>46318</v>
      </c>
      <c r="G59" s="42">
        <v>4740742</v>
      </c>
      <c r="I59" s="42">
        <v>0</v>
      </c>
      <c r="K59" s="2">
        <f t="shared" si="22"/>
        <v>3890661</v>
      </c>
      <c r="M59" s="42">
        <v>8631403</v>
      </c>
      <c r="O59" s="42">
        <v>0</v>
      </c>
      <c r="Q59" s="2">
        <f t="shared" si="23"/>
        <v>1932516</v>
      </c>
      <c r="S59" s="42">
        <v>0</v>
      </c>
      <c r="U59" s="42">
        <v>1932516</v>
      </c>
      <c r="W59" s="42">
        <v>3250919</v>
      </c>
      <c r="Y59" s="42">
        <v>0</v>
      </c>
      <c r="AA59" s="42">
        <v>2454717</v>
      </c>
      <c r="AC59" s="42">
        <v>0</v>
      </c>
      <c r="AE59" s="42">
        <v>231904</v>
      </c>
      <c r="AG59" s="42">
        <v>761347</v>
      </c>
      <c r="AI59" s="10">
        <f t="shared" si="4"/>
        <v>3447968</v>
      </c>
      <c r="AK59" s="42">
        <f t="shared" si="5"/>
        <v>0</v>
      </c>
    </row>
    <row r="60" spans="1:37" hidden="1">
      <c r="A60" s="9" t="s">
        <v>667</v>
      </c>
      <c r="B60" s="9"/>
      <c r="C60" s="9" t="s">
        <v>60</v>
      </c>
      <c r="D60" s="9"/>
      <c r="E60" s="23">
        <v>49692</v>
      </c>
      <c r="G60" s="42">
        <v>0</v>
      </c>
      <c r="I60" s="42">
        <v>0</v>
      </c>
      <c r="K60" s="2">
        <f t="shared" si="22"/>
        <v>0</v>
      </c>
      <c r="M60" s="42">
        <v>0</v>
      </c>
      <c r="O60" s="42">
        <v>0</v>
      </c>
      <c r="Q60" s="2">
        <f t="shared" si="23"/>
        <v>0</v>
      </c>
      <c r="S60" s="42">
        <v>0</v>
      </c>
      <c r="U60" s="42">
        <v>0</v>
      </c>
      <c r="W60" s="42">
        <v>0</v>
      </c>
      <c r="Y60" s="42">
        <v>0</v>
      </c>
      <c r="AA60" s="42">
        <v>0</v>
      </c>
      <c r="AC60" s="42">
        <v>0</v>
      </c>
      <c r="AE60" s="42">
        <v>0</v>
      </c>
      <c r="AG60" s="42">
        <v>0</v>
      </c>
      <c r="AI60" s="10">
        <f t="shared" si="4"/>
        <v>0</v>
      </c>
      <c r="AK60" s="42">
        <f t="shared" si="5"/>
        <v>0</v>
      </c>
    </row>
    <row r="61" spans="1:37">
      <c r="A61" s="9" t="s">
        <v>297</v>
      </c>
      <c r="B61" s="9"/>
      <c r="C61" s="9" t="s">
        <v>27</v>
      </c>
      <c r="D61" s="9"/>
      <c r="E61" s="23">
        <v>43620</v>
      </c>
      <c r="G61" s="42">
        <v>23493033</v>
      </c>
      <c r="I61" s="42">
        <v>0</v>
      </c>
      <c r="K61" s="2">
        <f t="shared" si="22"/>
        <v>25096894</v>
      </c>
      <c r="M61" s="42">
        <v>48589927</v>
      </c>
      <c r="O61" s="42">
        <v>0</v>
      </c>
      <c r="Q61" s="2">
        <f t="shared" si="23"/>
        <v>4157453</v>
      </c>
      <c r="S61" s="42">
        <v>0</v>
      </c>
      <c r="U61" s="42">
        <v>4157453</v>
      </c>
      <c r="W61" s="42">
        <v>15062118</v>
      </c>
      <c r="Y61" s="42">
        <f>6545+80515</f>
        <v>87060</v>
      </c>
      <c r="AA61" s="42">
        <f>2374353+236843+67503+50665+98958+7063</f>
        <v>2835385</v>
      </c>
      <c r="AC61" s="42">
        <v>0</v>
      </c>
      <c r="AE61" s="42">
        <v>177486</v>
      </c>
      <c r="AG61" s="42">
        <v>26270425</v>
      </c>
      <c r="AI61" s="10">
        <f t="shared" si="4"/>
        <v>29370356</v>
      </c>
      <c r="AK61" s="42">
        <f t="shared" si="5"/>
        <v>0</v>
      </c>
    </row>
    <row r="62" spans="1:37">
      <c r="A62" s="9" t="s">
        <v>630</v>
      </c>
      <c r="B62" s="9"/>
      <c r="C62" s="9" t="s">
        <v>23</v>
      </c>
      <c r="D62" s="9"/>
      <c r="E62" s="23">
        <v>46748</v>
      </c>
      <c r="G62" s="42">
        <f>11180268+9919</f>
        <v>11190187</v>
      </c>
      <c r="I62" s="42">
        <v>51002</v>
      </c>
      <c r="K62" s="2">
        <f t="shared" si="22"/>
        <v>22835845</v>
      </c>
      <c r="M62" s="42">
        <v>34077034</v>
      </c>
      <c r="O62" s="42">
        <v>0</v>
      </c>
      <c r="Q62" s="2">
        <f t="shared" si="23"/>
        <v>3581243</v>
      </c>
      <c r="S62" s="42">
        <v>0</v>
      </c>
      <c r="U62" s="42">
        <v>3581243</v>
      </c>
      <c r="W62" s="42">
        <v>16462111</v>
      </c>
      <c r="Y62" s="42">
        <v>54174</v>
      </c>
      <c r="AA62" s="42">
        <v>3692536</v>
      </c>
      <c r="AC62" s="42">
        <v>240426</v>
      </c>
      <c r="AE62" s="42">
        <v>347158</v>
      </c>
      <c r="AG62" s="42">
        <v>9699386</v>
      </c>
      <c r="AI62" s="10">
        <f t="shared" si="4"/>
        <v>14033680</v>
      </c>
      <c r="AK62" s="42">
        <f t="shared" si="5"/>
        <v>0</v>
      </c>
    </row>
    <row r="63" spans="1:37">
      <c r="A63" s="9" t="s">
        <v>411</v>
      </c>
      <c r="B63" s="9"/>
      <c r="C63" s="9" t="s">
        <v>47</v>
      </c>
      <c r="D63" s="9"/>
      <c r="E63" s="23">
        <v>48462</v>
      </c>
      <c r="G63" s="42">
        <v>1295954</v>
      </c>
      <c r="I63" s="42">
        <v>0</v>
      </c>
      <c r="K63" s="2">
        <f t="shared" si="22"/>
        <v>4727590</v>
      </c>
      <c r="M63" s="42">
        <v>6023544</v>
      </c>
      <c r="O63" s="42">
        <v>0</v>
      </c>
      <c r="Q63" s="2">
        <f t="shared" si="23"/>
        <v>1540700</v>
      </c>
      <c r="S63" s="42">
        <v>0</v>
      </c>
      <c r="U63" s="42">
        <v>1540700</v>
      </c>
      <c r="W63" s="42">
        <v>4016806</v>
      </c>
      <c r="Y63" s="42">
        <f>9365+236+14047+2280</f>
        <v>25928</v>
      </c>
      <c r="AA63" s="42">
        <f>791043+159359+4581+5621</f>
        <v>960604</v>
      </c>
      <c r="AC63" s="42">
        <v>34452</v>
      </c>
      <c r="AE63" s="42">
        <v>0</v>
      </c>
      <c r="AG63" s="42">
        <v>-554946</v>
      </c>
      <c r="AI63" s="10">
        <f t="shared" si="4"/>
        <v>466038</v>
      </c>
      <c r="AK63" s="42">
        <f t="shared" si="5"/>
        <v>0</v>
      </c>
    </row>
    <row r="64" spans="1:37">
      <c r="A64" s="9" t="s">
        <v>240</v>
      </c>
      <c r="B64" s="9"/>
      <c r="C64" s="9" t="s">
        <v>18</v>
      </c>
      <c r="D64" s="9"/>
      <c r="E64" s="23">
        <v>46383</v>
      </c>
      <c r="G64" s="42">
        <f>5600822+564816</f>
        <v>6165638</v>
      </c>
      <c r="I64" s="42">
        <v>0</v>
      </c>
      <c r="K64" s="2">
        <f t="shared" si="22"/>
        <v>4269830</v>
      </c>
      <c r="M64" s="42">
        <v>10435468</v>
      </c>
      <c r="O64" s="42">
        <v>0</v>
      </c>
      <c r="Q64" s="2">
        <f t="shared" si="23"/>
        <v>5854983</v>
      </c>
      <c r="S64" s="42">
        <v>0</v>
      </c>
      <c r="U64" s="42">
        <v>5854983</v>
      </c>
      <c r="W64" s="42">
        <v>0</v>
      </c>
      <c r="Y64" s="42">
        <v>17616</v>
      </c>
      <c r="AA64" s="42">
        <v>1169347</v>
      </c>
      <c r="AC64" s="42">
        <v>11000</v>
      </c>
      <c r="AE64" s="42">
        <v>2105434</v>
      </c>
      <c r="AG64" s="42">
        <v>1277088</v>
      </c>
      <c r="AI64" s="10">
        <f t="shared" si="4"/>
        <v>4580485</v>
      </c>
      <c r="AK64" s="42">
        <f t="shared" si="5"/>
        <v>0</v>
      </c>
    </row>
    <row r="65" spans="1:37">
      <c r="A65" s="9" t="s">
        <v>291</v>
      </c>
      <c r="B65" s="9"/>
      <c r="C65" s="9" t="s">
        <v>25</v>
      </c>
      <c r="D65" s="9"/>
      <c r="E65" s="23">
        <v>46862</v>
      </c>
      <c r="G65" s="42">
        <v>2340920</v>
      </c>
      <c r="I65" s="42">
        <v>0</v>
      </c>
      <c r="K65" s="2">
        <f t="shared" si="22"/>
        <v>9647113</v>
      </c>
      <c r="M65" s="42">
        <v>11988033</v>
      </c>
      <c r="O65" s="42">
        <v>0</v>
      </c>
      <c r="Q65" s="2">
        <f t="shared" si="23"/>
        <v>2094705</v>
      </c>
      <c r="S65" s="42">
        <v>0</v>
      </c>
      <c r="U65" s="42">
        <v>2094705</v>
      </c>
      <c r="W65" s="42">
        <v>7892096</v>
      </c>
      <c r="Y65" s="42">
        <v>19154</v>
      </c>
      <c r="AA65" s="42">
        <v>656513</v>
      </c>
      <c r="AC65" s="42">
        <v>0</v>
      </c>
      <c r="AE65" s="42">
        <v>149034</v>
      </c>
      <c r="AG65" s="42">
        <v>1176531</v>
      </c>
      <c r="AI65" s="10">
        <f t="shared" si="4"/>
        <v>2001232</v>
      </c>
      <c r="AK65" s="42">
        <f t="shared" si="5"/>
        <v>0</v>
      </c>
    </row>
    <row r="66" spans="1:37">
      <c r="A66" s="9" t="s">
        <v>514</v>
      </c>
      <c r="B66" s="9"/>
      <c r="C66" s="9" t="s">
        <v>64</v>
      </c>
      <c r="D66" s="9"/>
      <c r="E66" s="23">
        <v>50096</v>
      </c>
      <c r="G66" s="42">
        <v>759115</v>
      </c>
      <c r="I66" s="42">
        <v>2716</v>
      </c>
      <c r="K66" s="2">
        <f t="shared" si="22"/>
        <v>1728209</v>
      </c>
      <c r="M66" s="42">
        <v>2490040</v>
      </c>
      <c r="O66" s="42">
        <v>0</v>
      </c>
      <c r="Q66" s="2">
        <f t="shared" si="23"/>
        <v>372882</v>
      </c>
      <c r="S66" s="42">
        <v>0</v>
      </c>
      <c r="U66" s="42">
        <v>372882</v>
      </c>
      <c r="W66" s="42">
        <v>1631344</v>
      </c>
      <c r="Y66" s="42">
        <f>9831+864</f>
        <v>10695</v>
      </c>
      <c r="AA66" s="42">
        <f>14206+96669+5687+9624+2798+18102+2716</f>
        <v>149802</v>
      </c>
      <c r="AC66" s="42">
        <v>0</v>
      </c>
      <c r="AE66" s="42">
        <f>2062+941+217629</f>
        <v>220632</v>
      </c>
      <c r="AG66" s="42">
        <v>104685</v>
      </c>
      <c r="AI66" s="10">
        <f t="shared" si="4"/>
        <v>485814</v>
      </c>
      <c r="AK66" s="42">
        <f t="shared" si="5"/>
        <v>0</v>
      </c>
    </row>
    <row r="67" spans="1:37">
      <c r="A67" s="9" t="s">
        <v>476</v>
      </c>
      <c r="B67" s="9"/>
      <c r="C67" s="9" t="s">
        <v>59</v>
      </c>
      <c r="D67" s="9"/>
      <c r="E67" s="23">
        <v>49593</v>
      </c>
      <c r="G67" s="42">
        <v>2381519</v>
      </c>
      <c r="I67" s="42">
        <v>27305</v>
      </c>
      <c r="K67" s="2">
        <f>M67-G67-I67</f>
        <v>1958833</v>
      </c>
      <c r="M67" s="42">
        <v>4367657</v>
      </c>
      <c r="O67" s="42">
        <v>0</v>
      </c>
      <c r="Q67" s="2">
        <f>U67-S67</f>
        <v>1050139</v>
      </c>
      <c r="S67" s="42">
        <v>0</v>
      </c>
      <c r="U67" s="42">
        <v>1050139</v>
      </c>
      <c r="W67" s="42">
        <v>1671004</v>
      </c>
      <c r="Y67" s="42">
        <v>14440</v>
      </c>
      <c r="AA67" s="42">
        <v>697154</v>
      </c>
      <c r="AC67" s="42">
        <v>0</v>
      </c>
      <c r="AE67" s="42">
        <v>461138</v>
      </c>
      <c r="AG67" s="42">
        <v>473782</v>
      </c>
      <c r="AI67" s="10">
        <f t="shared" si="4"/>
        <v>1646514</v>
      </c>
      <c r="AK67" s="42">
        <f t="shared" si="5"/>
        <v>0</v>
      </c>
    </row>
    <row r="68" spans="1:37" hidden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2">
        <f t="shared" si="22"/>
        <v>0</v>
      </c>
      <c r="M68" s="42">
        <v>0</v>
      </c>
      <c r="O68" s="42">
        <v>0</v>
      </c>
      <c r="Q68" s="2">
        <f t="shared" si="23"/>
        <v>0</v>
      </c>
      <c r="S68" s="42">
        <v>0</v>
      </c>
      <c r="U68" s="42">
        <v>0</v>
      </c>
      <c r="W68" s="42">
        <v>0</v>
      </c>
      <c r="Y68" s="42">
        <v>0</v>
      </c>
      <c r="AA68" s="42">
        <v>0</v>
      </c>
      <c r="AC68" s="42">
        <v>0</v>
      </c>
      <c r="AE68" s="42">
        <v>0</v>
      </c>
      <c r="AG68" s="42">
        <v>0</v>
      </c>
      <c r="AI68" s="10">
        <f t="shared" si="4"/>
        <v>0</v>
      </c>
      <c r="AK68" s="42">
        <f t="shared" si="5"/>
        <v>0</v>
      </c>
    </row>
    <row r="69" spans="1:37">
      <c r="A69" s="9" t="s">
        <v>399</v>
      </c>
      <c r="B69" s="9"/>
      <c r="C69" s="9" t="s">
        <v>45</v>
      </c>
      <c r="D69" s="9"/>
      <c r="E69" s="23">
        <v>48306</v>
      </c>
      <c r="G69" s="42">
        <v>12051951</v>
      </c>
      <c r="I69" s="42">
        <v>0</v>
      </c>
      <c r="K69" s="2">
        <f t="shared" si="22"/>
        <v>31078234</v>
      </c>
      <c r="M69" s="42">
        <v>43130185</v>
      </c>
      <c r="O69" s="42">
        <v>0</v>
      </c>
      <c r="Q69" s="2">
        <f t="shared" si="23"/>
        <v>6600370</v>
      </c>
      <c r="S69" s="42">
        <v>0</v>
      </c>
      <c r="U69" s="42">
        <v>6600370</v>
      </c>
      <c r="W69" s="42">
        <v>30914617</v>
      </c>
      <c r="Y69" s="42">
        <v>66226</v>
      </c>
      <c r="AA69" s="42">
        <v>644495</v>
      </c>
      <c r="AC69" s="42">
        <v>512352</v>
      </c>
      <c r="AE69" s="42">
        <v>2812819</v>
      </c>
      <c r="AG69" s="42">
        <v>1579306</v>
      </c>
      <c r="AI69" s="10">
        <f t="shared" si="4"/>
        <v>5615198</v>
      </c>
      <c r="AK69" s="42">
        <f t="shared" si="5"/>
        <v>0</v>
      </c>
    </row>
    <row r="70" spans="1:37" hidden="1">
      <c r="A70" s="9" t="s">
        <v>900</v>
      </c>
      <c r="B70" s="9"/>
      <c r="C70" s="9" t="s">
        <v>61</v>
      </c>
      <c r="D70" s="9"/>
      <c r="E70" s="23">
        <v>49767</v>
      </c>
      <c r="G70" s="42">
        <v>0</v>
      </c>
      <c r="I70" s="42">
        <v>0</v>
      </c>
      <c r="K70" s="2">
        <f t="shared" si="22"/>
        <v>0</v>
      </c>
      <c r="M70" s="42">
        <v>0</v>
      </c>
      <c r="O70" s="42">
        <v>0</v>
      </c>
      <c r="Q70" s="2">
        <f t="shared" si="23"/>
        <v>0</v>
      </c>
      <c r="S70" s="42">
        <v>0</v>
      </c>
      <c r="U70" s="42">
        <v>0</v>
      </c>
      <c r="W70" s="42">
        <v>0</v>
      </c>
      <c r="Y70" s="42">
        <v>0</v>
      </c>
      <c r="AA70" s="42">
        <v>0</v>
      </c>
      <c r="AC70" s="42">
        <v>0</v>
      </c>
      <c r="AE70" s="42">
        <v>0</v>
      </c>
      <c r="AG70" s="42">
        <v>0</v>
      </c>
      <c r="AI70" s="10">
        <f t="shared" si="4"/>
        <v>0</v>
      </c>
      <c r="AK70" s="42">
        <f t="shared" si="5"/>
        <v>0</v>
      </c>
    </row>
    <row r="71" spans="1:37">
      <c r="A71" s="9" t="s">
        <v>549</v>
      </c>
      <c r="B71" s="9"/>
      <c r="C71" s="9" t="s">
        <v>72</v>
      </c>
      <c r="D71" s="9"/>
      <c r="E71" s="23">
        <v>43638</v>
      </c>
      <c r="G71" s="42">
        <f>4491075+4000+3016517</f>
        <v>7511592</v>
      </c>
      <c r="I71" s="42">
        <v>0</v>
      </c>
      <c r="K71" s="2">
        <f t="shared" si="22"/>
        <v>19097695</v>
      </c>
      <c r="M71" s="42">
        <v>26609287</v>
      </c>
      <c r="O71" s="42">
        <v>0</v>
      </c>
      <c r="Q71" s="2">
        <f t="shared" si="23"/>
        <v>2856275</v>
      </c>
      <c r="S71" s="42">
        <v>0</v>
      </c>
      <c r="U71" s="42">
        <v>2856275</v>
      </c>
      <c r="W71" s="42">
        <v>14024260</v>
      </c>
      <c r="Y71" s="42">
        <v>274608</v>
      </c>
      <c r="AA71" s="42">
        <v>1891223</v>
      </c>
      <c r="AC71" s="42">
        <v>444863</v>
      </c>
      <c r="AE71" s="42">
        <v>2856696</v>
      </c>
      <c r="AG71" s="42">
        <v>4261362</v>
      </c>
      <c r="AI71" s="10">
        <f t="shared" si="4"/>
        <v>9728752</v>
      </c>
      <c r="AK71" s="42">
        <f t="shared" si="5"/>
        <v>0</v>
      </c>
    </row>
    <row r="72" spans="1:37" hidden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2">
        <f>M72-G72-I72</f>
        <v>0</v>
      </c>
      <c r="M72" s="42">
        <v>0</v>
      </c>
      <c r="O72" s="42">
        <v>0</v>
      </c>
      <c r="Q72" s="2">
        <f>U72-S72</f>
        <v>0</v>
      </c>
      <c r="S72" s="42">
        <v>0</v>
      </c>
      <c r="U72" s="42">
        <v>0</v>
      </c>
      <c r="W72" s="42">
        <v>0</v>
      </c>
      <c r="Y72" s="42">
        <v>0</v>
      </c>
      <c r="AA72" s="42">
        <v>0</v>
      </c>
      <c r="AC72" s="42">
        <v>0</v>
      </c>
      <c r="AE72" s="42">
        <v>0</v>
      </c>
      <c r="AG72" s="42">
        <v>0</v>
      </c>
      <c r="AI72" s="10">
        <f t="shared" si="4"/>
        <v>0</v>
      </c>
      <c r="AK72" s="42">
        <f t="shared" si="5"/>
        <v>0</v>
      </c>
    </row>
    <row r="73" spans="1:37">
      <c r="A73" s="9" t="s">
        <v>779</v>
      </c>
      <c r="B73" s="9"/>
      <c r="C73" s="9" t="s">
        <v>20</v>
      </c>
      <c r="D73" s="9"/>
      <c r="E73" s="23">
        <v>43646</v>
      </c>
      <c r="G73" s="42">
        <v>16370980</v>
      </c>
      <c r="I73" s="42">
        <v>0</v>
      </c>
      <c r="K73" s="2">
        <f t="shared" si="22"/>
        <v>36025919</v>
      </c>
      <c r="M73" s="42">
        <v>52396899</v>
      </c>
      <c r="O73" s="42">
        <v>0</v>
      </c>
      <c r="Q73" s="2">
        <f t="shared" si="23"/>
        <v>6824628</v>
      </c>
      <c r="S73" s="42">
        <v>0</v>
      </c>
      <c r="U73" s="42">
        <v>6824628</v>
      </c>
      <c r="W73" s="42">
        <v>30667865</v>
      </c>
      <c r="Y73" s="42">
        <v>6888</v>
      </c>
      <c r="AA73" s="42">
        <v>6230730</v>
      </c>
      <c r="AC73" s="42">
        <v>156546</v>
      </c>
      <c r="AE73" s="42">
        <v>370909</v>
      </c>
      <c r="AG73" s="42">
        <v>8139333</v>
      </c>
      <c r="AI73" s="10">
        <f t="shared" si="4"/>
        <v>14904406</v>
      </c>
      <c r="AK73" s="42">
        <f t="shared" si="5"/>
        <v>0</v>
      </c>
    </row>
    <row r="74" spans="1:37">
      <c r="A74" s="9" t="s">
        <v>745</v>
      </c>
      <c r="B74" s="9"/>
      <c r="C74" s="9" t="s">
        <v>15</v>
      </c>
      <c r="D74" s="9"/>
      <c r="E74" s="23">
        <v>45237</v>
      </c>
      <c r="G74" s="42">
        <f>2181110+174155</f>
        <v>2355265</v>
      </c>
      <c r="I74" s="42">
        <v>0</v>
      </c>
      <c r="K74" s="2">
        <f t="shared" si="22"/>
        <v>2524968</v>
      </c>
      <c r="M74" s="42">
        <v>4880233</v>
      </c>
      <c r="O74" s="42">
        <v>0</v>
      </c>
      <c r="Q74" s="2">
        <f t="shared" si="23"/>
        <v>817195</v>
      </c>
      <c r="S74" s="42">
        <v>0</v>
      </c>
      <c r="U74" s="42">
        <v>817195</v>
      </c>
      <c r="W74" s="42">
        <v>2066221</v>
      </c>
      <c r="Y74" s="42">
        <f>4188+11209+25003</f>
        <v>40400</v>
      </c>
      <c r="AA74" s="42">
        <f>318392+413994+270752+47861+1165+5410+15682</f>
        <v>1073256</v>
      </c>
      <c r="AC74" s="42">
        <v>0</v>
      </c>
      <c r="AE74" s="42">
        <f>72736+26180+67741+9182</f>
        <v>175839</v>
      </c>
      <c r="AG74" s="42">
        <v>707322</v>
      </c>
      <c r="AI74" s="10">
        <f t="shared" si="4"/>
        <v>1996817</v>
      </c>
      <c r="AK74" s="42">
        <f t="shared" si="5"/>
        <v>0</v>
      </c>
    </row>
    <row r="75" spans="1:37" hidden="1">
      <c r="A75" s="9" t="s">
        <v>787</v>
      </c>
      <c r="B75" s="9"/>
      <c r="C75" s="9" t="s">
        <v>346</v>
      </c>
      <c r="D75" s="9"/>
      <c r="E75" s="23">
        <v>47613</v>
      </c>
      <c r="G75" s="42">
        <v>0</v>
      </c>
      <c r="I75" s="42">
        <v>0</v>
      </c>
      <c r="K75" s="2">
        <f t="shared" si="22"/>
        <v>0</v>
      </c>
      <c r="M75" s="42">
        <v>0</v>
      </c>
      <c r="O75" s="42">
        <v>0</v>
      </c>
      <c r="Q75" s="2">
        <f t="shared" si="23"/>
        <v>0</v>
      </c>
      <c r="S75" s="42">
        <v>0</v>
      </c>
      <c r="U75" s="42">
        <v>0</v>
      </c>
      <c r="W75" s="42">
        <v>0</v>
      </c>
      <c r="Y75" s="42">
        <v>0</v>
      </c>
      <c r="AA75" s="42">
        <v>0</v>
      </c>
      <c r="AC75" s="42">
        <v>0</v>
      </c>
      <c r="AE75" s="42">
        <v>0</v>
      </c>
      <c r="AG75" s="42">
        <v>0</v>
      </c>
      <c r="AI75" s="10">
        <f t="shared" si="4"/>
        <v>0</v>
      </c>
      <c r="AK75" s="42">
        <f t="shared" si="5"/>
        <v>0</v>
      </c>
    </row>
    <row r="76" spans="1:37">
      <c r="A76" s="9" t="s">
        <v>515</v>
      </c>
      <c r="B76" s="9"/>
      <c r="C76" s="9" t="s">
        <v>64</v>
      </c>
      <c r="D76" s="9"/>
      <c r="E76" s="23">
        <v>50112</v>
      </c>
      <c r="G76" s="42">
        <v>2719794</v>
      </c>
      <c r="I76" s="42">
        <v>0</v>
      </c>
      <c r="K76" s="2">
        <f t="shared" si="22"/>
        <v>3166430</v>
      </c>
      <c r="M76" s="42">
        <v>5886224</v>
      </c>
      <c r="O76" s="42">
        <v>0</v>
      </c>
      <c r="Q76" s="2">
        <f t="shared" si="23"/>
        <v>672436</v>
      </c>
      <c r="S76" s="42">
        <v>0</v>
      </c>
      <c r="U76" s="42">
        <v>672436</v>
      </c>
      <c r="W76" s="42">
        <v>3080856</v>
      </c>
      <c r="Y76" s="42">
        <f>10708+8747</f>
        <v>19455</v>
      </c>
      <c r="AA76" s="42">
        <f>97106+32817+14041+364882+2437+1705+135565</f>
        <v>648553</v>
      </c>
      <c r="AC76" s="42">
        <v>0</v>
      </c>
      <c r="AE76" s="42">
        <f>14183+238640+260488</f>
        <v>513311</v>
      </c>
      <c r="AG76" s="42">
        <v>951613</v>
      </c>
      <c r="AI76" s="10">
        <f t="shared" si="4"/>
        <v>2132932</v>
      </c>
      <c r="AK76" s="42">
        <f t="shared" si="5"/>
        <v>0</v>
      </c>
    </row>
    <row r="77" spans="1:37">
      <c r="A77" s="9" t="s">
        <v>668</v>
      </c>
      <c r="B77" s="9"/>
      <c r="C77" s="9" t="s">
        <v>64</v>
      </c>
      <c r="D77" s="9"/>
      <c r="E77" s="23">
        <v>50120</v>
      </c>
      <c r="G77" s="42">
        <v>708553</v>
      </c>
      <c r="I77" s="42">
        <v>68610</v>
      </c>
      <c r="K77" s="2">
        <f t="shared" si="22"/>
        <v>5517298</v>
      </c>
      <c r="M77" s="42">
        <v>6294461</v>
      </c>
      <c r="O77" s="42">
        <v>0</v>
      </c>
      <c r="Q77" s="2">
        <f t="shared" si="23"/>
        <v>2692701</v>
      </c>
      <c r="S77" s="42">
        <v>0</v>
      </c>
      <c r="U77" s="42">
        <v>2692701</v>
      </c>
      <c r="W77" s="42">
        <v>4992322</v>
      </c>
      <c r="Y77" s="42">
        <v>42</v>
      </c>
      <c r="AA77" s="42">
        <v>954291</v>
      </c>
      <c r="AC77" s="42">
        <v>0</v>
      </c>
      <c r="AE77" s="42">
        <v>0</v>
      </c>
      <c r="AG77" s="42">
        <v>-2344895</v>
      </c>
      <c r="AI77" s="10">
        <f t="shared" si="4"/>
        <v>-1390562</v>
      </c>
      <c r="AK77" s="42">
        <f t="shared" si="5"/>
        <v>0</v>
      </c>
    </row>
    <row r="78" spans="1:37">
      <c r="A78" s="9" t="s">
        <v>262</v>
      </c>
      <c r="B78" s="9"/>
      <c r="C78" s="9" t="s">
        <v>20</v>
      </c>
      <c r="D78" s="9"/>
      <c r="E78" s="23">
        <v>43653</v>
      </c>
      <c r="G78" s="42">
        <v>3212136</v>
      </c>
      <c r="I78" s="42">
        <v>15356</v>
      </c>
      <c r="K78" s="2">
        <f t="shared" si="22"/>
        <v>11274904</v>
      </c>
      <c r="M78" s="42">
        <v>14502396</v>
      </c>
      <c r="O78" s="42">
        <v>0</v>
      </c>
      <c r="Q78" s="2">
        <f t="shared" si="23"/>
        <v>2085843</v>
      </c>
      <c r="S78" s="42">
        <v>0</v>
      </c>
      <c r="U78" s="42">
        <v>2085843</v>
      </c>
      <c r="W78" s="42">
        <v>8573699</v>
      </c>
      <c r="Y78" s="42">
        <v>59810</v>
      </c>
      <c r="AA78" s="42">
        <v>433659</v>
      </c>
      <c r="AC78" s="42">
        <v>0</v>
      </c>
      <c r="AE78" s="42">
        <v>2363695</v>
      </c>
      <c r="AG78" s="42">
        <v>985690</v>
      </c>
      <c r="AI78" s="10">
        <f t="shared" si="4"/>
        <v>3842854</v>
      </c>
      <c r="AK78" s="42">
        <f t="shared" si="5"/>
        <v>0</v>
      </c>
    </row>
    <row r="79" spans="1:37">
      <c r="A79" s="9" t="s">
        <v>425</v>
      </c>
      <c r="B79" s="9"/>
      <c r="C79" s="9" t="s">
        <v>50</v>
      </c>
      <c r="D79" s="9"/>
      <c r="E79" s="23">
        <v>48678</v>
      </c>
      <c r="G79" s="42">
        <f>5984538+3993250</f>
        <v>9977788</v>
      </c>
      <c r="I79" s="42">
        <v>0</v>
      </c>
      <c r="K79" s="2">
        <f t="shared" si="22"/>
        <v>6648019</v>
      </c>
      <c r="M79" s="42">
        <v>16625807</v>
      </c>
      <c r="O79" s="42">
        <v>0</v>
      </c>
      <c r="Q79" s="2">
        <f t="shared" si="23"/>
        <v>7961806</v>
      </c>
      <c r="S79" s="42">
        <v>0</v>
      </c>
      <c r="U79" s="42">
        <v>7961806</v>
      </c>
      <c r="W79" s="42">
        <v>0</v>
      </c>
      <c r="Y79" s="42">
        <v>62452</v>
      </c>
      <c r="AA79" s="42">
        <v>6012877</v>
      </c>
      <c r="AC79" s="42">
        <v>22788</v>
      </c>
      <c r="AE79" s="42">
        <v>884193</v>
      </c>
      <c r="AG79" s="42">
        <v>1681691</v>
      </c>
      <c r="AI79" s="10">
        <f t="shared" si="4"/>
        <v>8664001</v>
      </c>
      <c r="AK79" s="42">
        <f t="shared" ref="AK79:AK142" si="27">+G79+I79+K79+O79-U79-W79-AC79-AA79-Y79-AE79-AG79</f>
        <v>0</v>
      </c>
    </row>
    <row r="80" spans="1:37">
      <c r="A80" s="9" t="s">
        <v>226</v>
      </c>
      <c r="B80" s="9"/>
      <c r="C80" s="9" t="s">
        <v>16</v>
      </c>
      <c r="D80" s="9"/>
      <c r="E80" s="23">
        <v>46177</v>
      </c>
      <c r="G80" s="42">
        <v>3475566</v>
      </c>
      <c r="I80" s="42">
        <v>0</v>
      </c>
      <c r="K80" s="2">
        <f t="shared" si="22"/>
        <v>3211364</v>
      </c>
      <c r="M80" s="42">
        <v>6686930</v>
      </c>
      <c r="O80" s="42">
        <v>0</v>
      </c>
      <c r="Q80" s="2">
        <f t="shared" si="23"/>
        <v>617798</v>
      </c>
      <c r="S80" s="42">
        <v>0</v>
      </c>
      <c r="U80" s="42">
        <v>617798</v>
      </c>
      <c r="W80" s="42">
        <v>2089043</v>
      </c>
      <c r="Y80" s="42">
        <v>0</v>
      </c>
      <c r="AA80" s="42">
        <v>581730</v>
      </c>
      <c r="AC80" s="42">
        <v>83556</v>
      </c>
      <c r="AE80" s="42">
        <v>63899</v>
      </c>
      <c r="AG80" s="42">
        <v>3250904</v>
      </c>
      <c r="AI80" s="10">
        <f t="shared" si="4"/>
        <v>3980089</v>
      </c>
      <c r="AK80" s="42">
        <f t="shared" si="27"/>
        <v>0</v>
      </c>
    </row>
    <row r="81" spans="1:37">
      <c r="A81" s="9" t="s">
        <v>412</v>
      </c>
      <c r="B81" s="9"/>
      <c r="C81" s="9" t="s">
        <v>47</v>
      </c>
      <c r="D81" s="9"/>
      <c r="E81" s="23">
        <v>43661</v>
      </c>
      <c r="G81" s="42">
        <v>8749792</v>
      </c>
      <c r="I81" s="42">
        <v>0</v>
      </c>
      <c r="K81" s="2">
        <f t="shared" si="22"/>
        <v>41777695</v>
      </c>
      <c r="M81" s="42">
        <v>50527487</v>
      </c>
      <c r="O81" s="42">
        <v>0</v>
      </c>
      <c r="Q81" s="2">
        <f t="shared" si="23"/>
        <v>46624065</v>
      </c>
      <c r="S81" s="42">
        <v>0</v>
      </c>
      <c r="U81" s="42">
        <v>46624065</v>
      </c>
      <c r="W81" s="42">
        <v>0</v>
      </c>
      <c r="Y81" s="42">
        <v>399897</v>
      </c>
      <c r="AA81" s="42">
        <v>2911914</v>
      </c>
      <c r="AC81" s="42">
        <v>822779</v>
      </c>
      <c r="AE81" s="42">
        <v>71945</v>
      </c>
      <c r="AG81" s="42">
        <v>-303113</v>
      </c>
      <c r="AI81" s="10">
        <f t="shared" si="4"/>
        <v>3903422</v>
      </c>
      <c r="AK81" s="42">
        <f t="shared" si="27"/>
        <v>0</v>
      </c>
    </row>
    <row r="82" spans="1:37" hidden="1">
      <c r="A82" s="9" t="s">
        <v>669</v>
      </c>
      <c r="B82" s="9"/>
      <c r="C82" s="9" t="s">
        <v>548</v>
      </c>
      <c r="D82" s="9"/>
      <c r="E82" s="23">
        <v>43679</v>
      </c>
      <c r="G82" s="42">
        <v>0</v>
      </c>
      <c r="I82" s="42">
        <v>0</v>
      </c>
      <c r="K82" s="2">
        <f t="shared" si="22"/>
        <v>0</v>
      </c>
      <c r="M82" s="42">
        <v>0</v>
      </c>
      <c r="O82" s="42">
        <v>0</v>
      </c>
      <c r="Q82" s="2">
        <f t="shared" si="23"/>
        <v>0</v>
      </c>
      <c r="S82" s="42">
        <v>0</v>
      </c>
      <c r="U82" s="42">
        <v>0</v>
      </c>
      <c r="W82" s="42">
        <v>0</v>
      </c>
      <c r="Y82" s="42">
        <v>0</v>
      </c>
      <c r="AA82" s="42">
        <v>0</v>
      </c>
      <c r="AC82" s="42">
        <v>0</v>
      </c>
      <c r="AE82" s="42">
        <v>0</v>
      </c>
      <c r="AG82" s="42">
        <v>0</v>
      </c>
      <c r="AI82" s="10">
        <f t="shared" si="4"/>
        <v>0</v>
      </c>
      <c r="AK82" s="42">
        <f t="shared" si="27"/>
        <v>0</v>
      </c>
    </row>
    <row r="83" spans="1:37">
      <c r="A83" s="9" t="s">
        <v>254</v>
      </c>
      <c r="B83" s="9"/>
      <c r="C83" s="9" t="s">
        <v>110</v>
      </c>
      <c r="D83" s="9"/>
      <c r="E83" s="23">
        <v>46508</v>
      </c>
      <c r="G83" s="42">
        <v>5739851</v>
      </c>
      <c r="I83" s="42">
        <v>0</v>
      </c>
      <c r="K83" s="2">
        <f t="shared" si="22"/>
        <v>3303056</v>
      </c>
      <c r="M83" s="42">
        <v>9042907</v>
      </c>
      <c r="O83" s="42">
        <v>0</v>
      </c>
      <c r="Q83" s="2">
        <f t="shared" si="23"/>
        <v>883136</v>
      </c>
      <c r="S83" s="42">
        <v>0</v>
      </c>
      <c r="U83" s="42">
        <v>883136</v>
      </c>
      <c r="W83" s="42">
        <v>2032866</v>
      </c>
      <c r="Y83" s="42">
        <f>9499+12549</f>
        <v>22048</v>
      </c>
      <c r="AA83" s="42">
        <f>959933+1636585+293534+42779+11668+15085+28210+46+15734</f>
        <v>3003574</v>
      </c>
      <c r="AC83" s="42">
        <v>10000</v>
      </c>
      <c r="AE83" s="42">
        <f>39087+66709+274959+5652+2410</f>
        <v>388817</v>
      </c>
      <c r="AG83" s="42">
        <v>2702466</v>
      </c>
      <c r="AI83" s="10">
        <f t="shared" si="4"/>
        <v>6126905</v>
      </c>
      <c r="AK83" s="42">
        <f t="shared" si="27"/>
        <v>0</v>
      </c>
    </row>
    <row r="84" spans="1:37">
      <c r="A84" s="9" t="s">
        <v>205</v>
      </c>
      <c r="B84" s="9"/>
      <c r="C84" s="9" t="s">
        <v>12</v>
      </c>
      <c r="D84" s="9"/>
      <c r="E84" s="23">
        <v>45856</v>
      </c>
      <c r="G84" s="42">
        <v>5810268</v>
      </c>
      <c r="I84" s="42">
        <v>0</v>
      </c>
      <c r="K84" s="2">
        <f t="shared" si="22"/>
        <v>6963838</v>
      </c>
      <c r="M84" s="42">
        <v>12774106</v>
      </c>
      <c r="O84" s="42">
        <v>0</v>
      </c>
      <c r="Q84" s="2">
        <f t="shared" si="23"/>
        <v>2112672</v>
      </c>
      <c r="S84" s="42">
        <v>0</v>
      </c>
      <c r="U84" s="42">
        <v>2112672</v>
      </c>
      <c r="W84" s="42">
        <v>5905584</v>
      </c>
      <c r="Y84" s="42">
        <v>145766</v>
      </c>
      <c r="AA84" s="42">
        <v>411052</v>
      </c>
      <c r="AC84" s="42">
        <v>742127</v>
      </c>
      <c r="AE84" s="42">
        <v>248250</v>
      </c>
      <c r="AG84" s="42">
        <v>3208655</v>
      </c>
      <c r="AI84" s="10">
        <f t="shared" ref="AI84:AI147" si="28">Y84+AA84+AC84+AE84+AG84</f>
        <v>4755850</v>
      </c>
      <c r="AK84" s="42">
        <f t="shared" si="27"/>
        <v>0</v>
      </c>
    </row>
    <row r="85" spans="1:37">
      <c r="A85" s="9" t="s">
        <v>205</v>
      </c>
      <c r="B85" s="9"/>
      <c r="C85" s="9" t="s">
        <v>39</v>
      </c>
      <c r="D85" s="9"/>
      <c r="E85" s="23">
        <v>47787</v>
      </c>
      <c r="G85" s="42">
        <f>1333287+112532+7040</f>
        <v>1452859</v>
      </c>
      <c r="I85" s="42">
        <v>5959</v>
      </c>
      <c r="K85" s="2">
        <f t="shared" si="22"/>
        <v>8094054</v>
      </c>
      <c r="M85" s="42">
        <v>9552872</v>
      </c>
      <c r="O85" s="42">
        <v>0</v>
      </c>
      <c r="Q85" s="2">
        <f t="shared" si="23"/>
        <v>2795900</v>
      </c>
      <c r="S85" s="42">
        <v>0</v>
      </c>
      <c r="U85" s="42">
        <v>2795900</v>
      </c>
      <c r="W85" s="42">
        <v>7341189</v>
      </c>
      <c r="Y85" s="42">
        <f>66094+1084</f>
        <v>67178</v>
      </c>
      <c r="AA85" s="42">
        <f>20864+5959+27292+74162+105983</f>
        <v>234260</v>
      </c>
      <c r="AC85" s="42">
        <v>14257</v>
      </c>
      <c r="AE85" s="42">
        <v>0</v>
      </c>
      <c r="AG85" s="42">
        <v>-899912</v>
      </c>
      <c r="AI85" s="10">
        <f t="shared" si="28"/>
        <v>-584217</v>
      </c>
      <c r="AK85" s="42">
        <f t="shared" si="27"/>
        <v>0</v>
      </c>
    </row>
    <row r="86" spans="1:37">
      <c r="A86" s="9" t="s">
        <v>670</v>
      </c>
      <c r="B86" s="9"/>
      <c r="C86" s="9" t="s">
        <v>47</v>
      </c>
      <c r="D86" s="9"/>
      <c r="E86" s="23">
        <v>48470</v>
      </c>
      <c r="G86" s="42">
        <f>4600809+37852</f>
        <v>4638661</v>
      </c>
      <c r="I86" s="42">
        <v>0</v>
      </c>
      <c r="K86" s="2">
        <f t="shared" si="22"/>
        <v>14229669</v>
      </c>
      <c r="M86" s="42">
        <v>18868330</v>
      </c>
      <c r="O86" s="42">
        <v>0</v>
      </c>
      <c r="Q86" s="2">
        <f t="shared" si="23"/>
        <v>15412299</v>
      </c>
      <c r="S86" s="42">
        <v>0</v>
      </c>
      <c r="U86" s="42">
        <v>15412299</v>
      </c>
      <c r="W86" s="42">
        <v>0</v>
      </c>
      <c r="Y86" s="42">
        <v>37904</v>
      </c>
      <c r="AA86" s="42">
        <v>2820037</v>
      </c>
      <c r="AC86" s="42">
        <v>242</v>
      </c>
      <c r="AE86" s="42">
        <v>669220</v>
      </c>
      <c r="AG86" s="42">
        <v>-71372</v>
      </c>
      <c r="AI86" s="10">
        <f t="shared" si="28"/>
        <v>3456031</v>
      </c>
      <c r="AK86" s="42">
        <f t="shared" si="27"/>
        <v>0</v>
      </c>
    </row>
    <row r="87" spans="1:37" hidden="1">
      <c r="A87" s="35" t="s">
        <v>788</v>
      </c>
      <c r="B87" s="9"/>
      <c r="C87" s="9" t="s">
        <v>111</v>
      </c>
      <c r="D87" s="9"/>
      <c r="E87" s="54" t="s">
        <v>871</v>
      </c>
      <c r="G87" s="42">
        <v>0</v>
      </c>
      <c r="I87" s="42">
        <v>0</v>
      </c>
      <c r="K87" s="2">
        <f>M87-G87-I87</f>
        <v>0</v>
      </c>
      <c r="M87" s="42">
        <v>0</v>
      </c>
      <c r="O87" s="42">
        <v>0</v>
      </c>
      <c r="Q87" s="2">
        <f>U87-S87</f>
        <v>0</v>
      </c>
      <c r="S87" s="42">
        <v>0</v>
      </c>
      <c r="U87" s="42">
        <v>0</v>
      </c>
      <c r="W87" s="42">
        <v>0</v>
      </c>
      <c r="Y87" s="42">
        <v>0</v>
      </c>
      <c r="AA87" s="42">
        <v>0</v>
      </c>
      <c r="AC87" s="42">
        <v>0</v>
      </c>
      <c r="AE87" s="42">
        <v>0</v>
      </c>
      <c r="AG87" s="42">
        <v>0</v>
      </c>
      <c r="AI87" s="10">
        <f t="shared" si="28"/>
        <v>0</v>
      </c>
      <c r="AK87" s="42">
        <f t="shared" si="27"/>
        <v>0</v>
      </c>
    </row>
    <row r="88" spans="1:37">
      <c r="A88" s="9" t="s">
        <v>631</v>
      </c>
      <c r="B88" s="9"/>
      <c r="C88" s="9" t="s">
        <v>23</v>
      </c>
      <c r="D88" s="9"/>
      <c r="E88" s="23">
        <v>46755</v>
      </c>
      <c r="G88" s="42">
        <v>7505304</v>
      </c>
      <c r="I88" s="42">
        <v>0</v>
      </c>
      <c r="K88" s="2">
        <f t="shared" si="22"/>
        <v>14984208</v>
      </c>
      <c r="M88" s="42">
        <v>22489512</v>
      </c>
      <c r="O88" s="42">
        <v>0</v>
      </c>
      <c r="Q88" s="2">
        <f t="shared" si="23"/>
        <v>2445273</v>
      </c>
      <c r="S88" s="42">
        <v>0</v>
      </c>
      <c r="U88" s="42">
        <v>2445273</v>
      </c>
      <c r="W88" s="42">
        <v>10299098</v>
      </c>
      <c r="Y88" s="42">
        <f>6104+2925</f>
        <v>9029</v>
      </c>
      <c r="AA88" s="42">
        <f>1155776+931985+157602+8689+159371+60846</f>
        <v>2474269</v>
      </c>
      <c r="AC88" s="42">
        <v>1134653</v>
      </c>
      <c r="AE88" s="42">
        <f>55205+172766+52421+32024+13051</f>
        <v>325467</v>
      </c>
      <c r="AG88" s="42">
        <v>5801723</v>
      </c>
      <c r="AI88" s="10">
        <f t="shared" si="28"/>
        <v>9745141</v>
      </c>
      <c r="AK88" s="42">
        <f t="shared" si="27"/>
        <v>0</v>
      </c>
    </row>
    <row r="89" spans="1:37">
      <c r="A89" s="9" t="s">
        <v>255</v>
      </c>
      <c r="B89" s="9"/>
      <c r="C89" s="9" t="s">
        <v>110</v>
      </c>
      <c r="D89" s="9"/>
      <c r="E89" s="23">
        <v>43687</v>
      </c>
      <c r="G89" s="42">
        <f>5995797+1085810</f>
        <v>7081607</v>
      </c>
      <c r="I89" s="42">
        <v>5605</v>
      </c>
      <c r="K89" s="2">
        <f t="shared" si="22"/>
        <v>6649406</v>
      </c>
      <c r="M89" s="42">
        <v>13736618</v>
      </c>
      <c r="O89" s="42">
        <v>0</v>
      </c>
      <c r="Q89" s="2">
        <f t="shared" si="23"/>
        <v>2208040</v>
      </c>
      <c r="S89" s="42">
        <v>0</v>
      </c>
      <c r="U89" s="42">
        <v>2208040</v>
      </c>
      <c r="W89" s="42">
        <v>4370765</v>
      </c>
      <c r="Y89" s="42">
        <v>6053</v>
      </c>
      <c r="AA89" s="42">
        <v>1950556</v>
      </c>
      <c r="AC89" s="42">
        <v>0</v>
      </c>
      <c r="AE89" s="42">
        <v>355420</v>
      </c>
      <c r="AG89" s="42">
        <v>4845784</v>
      </c>
      <c r="AI89" s="10">
        <f t="shared" si="28"/>
        <v>7157813</v>
      </c>
      <c r="AK89" s="42">
        <f t="shared" si="27"/>
        <v>0</v>
      </c>
    </row>
    <row r="90" spans="1:37">
      <c r="A90" s="9" t="s">
        <v>746</v>
      </c>
      <c r="B90" s="9"/>
      <c r="C90" s="9" t="s">
        <v>52</v>
      </c>
      <c r="D90" s="9"/>
      <c r="E90" s="23">
        <v>45252</v>
      </c>
      <c r="G90" s="42">
        <v>1184384</v>
      </c>
      <c r="I90" s="42">
        <v>28554</v>
      </c>
      <c r="K90" s="2">
        <f t="shared" ref="K90" si="29">M90-G90-I90</f>
        <v>3976903</v>
      </c>
      <c r="M90" s="42">
        <v>5189841</v>
      </c>
      <c r="O90" s="42">
        <v>0</v>
      </c>
      <c r="Q90" s="2">
        <f t="shared" ref="Q90" si="30">U90-S90</f>
        <v>1090557</v>
      </c>
      <c r="S90" s="42">
        <v>0</v>
      </c>
      <c r="U90" s="42">
        <v>1090557</v>
      </c>
      <c r="W90" s="42">
        <v>2924031</v>
      </c>
      <c r="Y90" s="42">
        <v>22047</v>
      </c>
      <c r="AA90" s="42">
        <v>201840</v>
      </c>
      <c r="AC90" s="42">
        <v>0</v>
      </c>
      <c r="AE90" s="42">
        <v>951366</v>
      </c>
      <c r="AG90" s="42">
        <v>0</v>
      </c>
      <c r="AI90" s="10">
        <f t="shared" si="28"/>
        <v>1175253</v>
      </c>
      <c r="AK90" s="42">
        <f t="shared" si="27"/>
        <v>0</v>
      </c>
    </row>
    <row r="91" spans="1:37">
      <c r="A91" s="9" t="s">
        <v>317</v>
      </c>
      <c r="B91" s="9"/>
      <c r="C91" s="9" t="s">
        <v>31</v>
      </c>
      <c r="D91" s="9"/>
      <c r="E91" s="23">
        <v>43695</v>
      </c>
      <c r="G91" s="42">
        <f>5629348+5467+22277</f>
        <v>5657092</v>
      </c>
      <c r="I91" s="42">
        <v>12869</v>
      </c>
      <c r="K91" s="2">
        <f t="shared" ref="K91:K156" si="31">M91-G91-I91</f>
        <v>8670515</v>
      </c>
      <c r="M91" s="42">
        <v>14340476</v>
      </c>
      <c r="O91" s="42">
        <v>0</v>
      </c>
      <c r="Q91" s="2">
        <f t="shared" ref="Q91:Q156" si="32">U91-S91</f>
        <v>3046536</v>
      </c>
      <c r="S91" s="42">
        <v>0</v>
      </c>
      <c r="U91" s="42">
        <v>3046536</v>
      </c>
      <c r="W91" s="42">
        <v>6133087</v>
      </c>
      <c r="Y91" s="42">
        <f>73204+74633+12869+500</f>
        <v>161206</v>
      </c>
      <c r="AA91" s="42">
        <f>2231264+240827+446925+2023+976404+83715</f>
        <v>3981158</v>
      </c>
      <c r="AC91" s="42">
        <f>40474+50657</f>
        <v>91131</v>
      </c>
      <c r="AE91" s="42">
        <f>404450+119020+358584+33601</f>
        <v>915655</v>
      </c>
      <c r="AG91" s="42">
        <v>11703</v>
      </c>
      <c r="AI91" s="10">
        <f t="shared" si="28"/>
        <v>5160853</v>
      </c>
      <c r="AK91" s="42">
        <f t="shared" si="27"/>
        <v>0</v>
      </c>
    </row>
    <row r="92" spans="1:37">
      <c r="A92" s="9" t="s">
        <v>642</v>
      </c>
      <c r="B92" s="9"/>
      <c r="C92" s="9" t="s">
        <v>45</v>
      </c>
      <c r="D92" s="9"/>
      <c r="E92" s="23">
        <v>43703</v>
      </c>
      <c r="G92" s="42">
        <v>1372645</v>
      </c>
      <c r="I92" s="42">
        <v>80192</v>
      </c>
      <c r="K92" s="2">
        <f t="shared" si="31"/>
        <v>3351940</v>
      </c>
      <c r="M92" s="42">
        <v>4804777</v>
      </c>
      <c r="O92" s="42">
        <v>0</v>
      </c>
      <c r="Q92" s="2">
        <f t="shared" si="32"/>
        <v>2040340</v>
      </c>
      <c r="S92" s="42">
        <v>0</v>
      </c>
      <c r="U92" s="42">
        <v>2040340</v>
      </c>
      <c r="W92" s="42">
        <v>3187160</v>
      </c>
      <c r="Y92" s="42">
        <v>1747</v>
      </c>
      <c r="AA92" s="42">
        <v>1173421</v>
      </c>
      <c r="AC92" s="42">
        <v>0</v>
      </c>
      <c r="AE92" s="42">
        <v>0</v>
      </c>
      <c r="AG92" s="42">
        <v>-1597891</v>
      </c>
      <c r="AI92" s="10">
        <f t="shared" si="28"/>
        <v>-422723</v>
      </c>
      <c r="AK92" s="42">
        <f t="shared" si="27"/>
        <v>0</v>
      </c>
    </row>
    <row r="93" spans="1:37">
      <c r="A93" s="9" t="s">
        <v>298</v>
      </c>
      <c r="B93" s="9"/>
      <c r="C93" s="9" t="s">
        <v>27</v>
      </c>
      <c r="D93" s="9"/>
      <c r="E93" s="23">
        <v>46946</v>
      </c>
      <c r="G93" s="42">
        <f>13255088+175</f>
        <v>13255263</v>
      </c>
      <c r="I93" s="42">
        <v>0</v>
      </c>
      <c r="K93" s="2">
        <f t="shared" si="31"/>
        <v>24256306</v>
      </c>
      <c r="M93" s="42">
        <v>37511569</v>
      </c>
      <c r="O93" s="42">
        <v>0</v>
      </c>
      <c r="Q93" s="2">
        <f t="shared" si="32"/>
        <v>4160641</v>
      </c>
      <c r="S93" s="42">
        <v>0</v>
      </c>
      <c r="U93" s="42">
        <v>4160641</v>
      </c>
      <c r="W93" s="42">
        <v>16609126</v>
      </c>
      <c r="Y93" s="42">
        <v>14138</v>
      </c>
      <c r="AA93" s="42">
        <f>2869239+203096+1026631+368202+25584+8926+14138+91751+59250</f>
        <v>4666817</v>
      </c>
      <c r="AC93" s="42">
        <v>58148</v>
      </c>
      <c r="AE93" s="42">
        <f>176372+286732+5198+1200+1607442</f>
        <v>2076944</v>
      </c>
      <c r="AG93" s="42">
        <v>9925755</v>
      </c>
      <c r="AI93" s="10">
        <f t="shared" si="28"/>
        <v>16741802</v>
      </c>
      <c r="AK93" s="42">
        <f t="shared" si="27"/>
        <v>0</v>
      </c>
    </row>
    <row r="94" spans="1:37">
      <c r="A94" s="9" t="s">
        <v>400</v>
      </c>
      <c r="B94" s="9"/>
      <c r="C94" s="9" t="s">
        <v>45</v>
      </c>
      <c r="D94" s="9"/>
      <c r="E94" s="23">
        <v>48314</v>
      </c>
      <c r="G94" s="42">
        <v>8229939</v>
      </c>
      <c r="I94" s="42">
        <v>0</v>
      </c>
      <c r="K94" s="2">
        <f t="shared" si="31"/>
        <v>16947050</v>
      </c>
      <c r="M94" s="42">
        <v>25176989</v>
      </c>
      <c r="O94" s="42">
        <v>0</v>
      </c>
      <c r="Q94" s="2">
        <f t="shared" si="32"/>
        <v>2434141</v>
      </c>
      <c r="S94" s="42">
        <v>0</v>
      </c>
      <c r="U94" s="42">
        <v>2434141</v>
      </c>
      <c r="W94" s="42">
        <v>16778566</v>
      </c>
      <c r="Y94" s="42">
        <v>156020</v>
      </c>
      <c r="AA94" s="42">
        <v>2832449</v>
      </c>
      <c r="AC94" s="42">
        <v>42880</v>
      </c>
      <c r="AE94" s="42">
        <v>94169</v>
      </c>
      <c r="AG94" s="42">
        <v>2838764</v>
      </c>
      <c r="AI94" s="10">
        <f t="shared" si="28"/>
        <v>5964282</v>
      </c>
      <c r="AK94" s="42">
        <f t="shared" si="27"/>
        <v>0</v>
      </c>
    </row>
    <row r="95" spans="1:37">
      <c r="A95" s="9" t="s">
        <v>490</v>
      </c>
      <c r="B95" s="9"/>
      <c r="C95" s="9" t="s">
        <v>62</v>
      </c>
      <c r="D95" s="9"/>
      <c r="E95" s="23">
        <v>43711</v>
      </c>
      <c r="G95" s="42">
        <v>31474000</v>
      </c>
      <c r="I95" s="42">
        <f>13360000+897000</f>
        <v>14257000</v>
      </c>
      <c r="K95" s="2">
        <f>M95-G95-I95</f>
        <v>43457000</v>
      </c>
      <c r="M95" s="42">
        <v>89188000</v>
      </c>
      <c r="O95" s="42">
        <v>0</v>
      </c>
      <c r="Q95" s="2">
        <f>U95-S95</f>
        <v>19486000</v>
      </c>
      <c r="S95" s="42">
        <v>0</v>
      </c>
      <c r="U95" s="42">
        <v>19486000</v>
      </c>
      <c r="W95" s="42">
        <v>37574000</v>
      </c>
      <c r="Y95" s="42">
        <v>233000</v>
      </c>
      <c r="AA95" s="42">
        <v>31478000</v>
      </c>
      <c r="AC95" s="42">
        <v>0</v>
      </c>
      <c r="AE95" s="42">
        <v>809000</v>
      </c>
      <c r="AG95" s="42">
        <v>-392000</v>
      </c>
      <c r="AI95" s="10">
        <f>Y95+AA95+AC95+AE95+AG95</f>
        <v>32128000</v>
      </c>
      <c r="AK95" s="42">
        <f t="shared" si="27"/>
        <v>0</v>
      </c>
    </row>
    <row r="96" spans="1:37">
      <c r="A96" s="9" t="s">
        <v>491</v>
      </c>
      <c r="B96" s="9"/>
      <c r="C96" s="9" t="s">
        <v>62</v>
      </c>
      <c r="D96" s="9"/>
      <c r="E96" s="23">
        <v>49833</v>
      </c>
      <c r="G96" s="42">
        <v>3320916</v>
      </c>
      <c r="I96" s="42">
        <v>0</v>
      </c>
      <c r="K96" s="2">
        <f t="shared" si="31"/>
        <v>9210557</v>
      </c>
      <c r="M96" s="42">
        <v>12531473</v>
      </c>
      <c r="O96" s="42">
        <v>0</v>
      </c>
      <c r="Q96" s="2">
        <f t="shared" si="32"/>
        <v>3524256</v>
      </c>
      <c r="S96" s="42">
        <v>0</v>
      </c>
      <c r="U96" s="42">
        <v>3524256</v>
      </c>
      <c r="W96" s="42">
        <v>8482645</v>
      </c>
      <c r="Y96" s="42">
        <f>14000+16305</f>
        <v>30305</v>
      </c>
      <c r="AA96" s="42">
        <f>23079+13892+17403+19329+5713+66490+19451</f>
        <v>165357</v>
      </c>
      <c r="AC96" s="42">
        <v>0</v>
      </c>
      <c r="AE96" s="42">
        <f>58102+116435+6085+2900+40495</f>
        <v>224017</v>
      </c>
      <c r="AG96" s="42">
        <v>104893</v>
      </c>
      <c r="AI96" s="10">
        <f t="shared" si="28"/>
        <v>524572</v>
      </c>
      <c r="AK96" s="42">
        <f t="shared" si="27"/>
        <v>0</v>
      </c>
    </row>
    <row r="97" spans="1:37">
      <c r="A97" s="9" t="s">
        <v>643</v>
      </c>
      <c r="B97" s="9"/>
      <c r="C97" s="9" t="s">
        <v>30</v>
      </c>
      <c r="D97" s="9"/>
      <c r="E97" s="23">
        <v>47175</v>
      </c>
      <c r="G97" s="42">
        <v>2136171</v>
      </c>
      <c r="I97" s="42">
        <v>0</v>
      </c>
      <c r="K97" s="2">
        <f t="shared" si="31"/>
        <v>7751198</v>
      </c>
      <c r="M97" s="42">
        <v>9887369</v>
      </c>
      <c r="O97" s="42">
        <v>0</v>
      </c>
      <c r="Q97" s="2">
        <f t="shared" si="32"/>
        <v>1831463</v>
      </c>
      <c r="S97" s="42">
        <v>0</v>
      </c>
      <c r="U97" s="42">
        <v>1831463</v>
      </c>
      <c r="W97" s="42">
        <v>6407954</v>
      </c>
      <c r="Y97" s="42">
        <v>68953</v>
      </c>
      <c r="AA97" s="42">
        <v>1760307</v>
      </c>
      <c r="AC97" s="42">
        <v>0</v>
      </c>
      <c r="AE97" s="42">
        <v>0</v>
      </c>
      <c r="AG97" s="42">
        <v>-181308</v>
      </c>
      <c r="AI97" s="10">
        <f t="shared" si="28"/>
        <v>1647952</v>
      </c>
      <c r="AK97" s="42">
        <f t="shared" si="27"/>
        <v>0</v>
      </c>
    </row>
    <row r="98" spans="1:37">
      <c r="A98" s="9" t="s">
        <v>438</v>
      </c>
      <c r="B98" s="9"/>
      <c r="C98" s="9" t="s">
        <v>78</v>
      </c>
      <c r="D98" s="9"/>
      <c r="E98" s="23">
        <v>48793</v>
      </c>
      <c r="G98" s="42">
        <v>1559602</v>
      </c>
      <c r="I98" s="42">
        <v>0</v>
      </c>
      <c r="K98" s="2">
        <f t="shared" si="31"/>
        <v>3212713</v>
      </c>
      <c r="M98" s="42">
        <v>4772315</v>
      </c>
      <c r="O98" s="42">
        <v>0</v>
      </c>
      <c r="Q98" s="2">
        <f t="shared" si="32"/>
        <v>1336430</v>
      </c>
      <c r="S98" s="42">
        <v>0</v>
      </c>
      <c r="U98" s="42">
        <v>1336430</v>
      </c>
      <c r="W98" s="42">
        <v>2554555</v>
      </c>
      <c r="Y98" s="42">
        <f>9569+9500</f>
        <v>19069</v>
      </c>
      <c r="AA98" s="42">
        <f>1019809+2819+400170+3394+3718+35640</f>
        <v>1465550</v>
      </c>
      <c r="AC98" s="42">
        <v>69296</v>
      </c>
      <c r="AE98" s="42">
        <f>27692+5674</f>
        <v>33366</v>
      </c>
      <c r="AG98" s="42">
        <v>-705951</v>
      </c>
      <c r="AI98" s="10">
        <f t="shared" si="28"/>
        <v>881330</v>
      </c>
      <c r="AK98" s="42">
        <f t="shared" si="27"/>
        <v>0</v>
      </c>
    </row>
    <row r="99" spans="1:37" hidden="1">
      <c r="A99" s="9" t="s">
        <v>855</v>
      </c>
      <c r="B99" s="9"/>
      <c r="C99" s="9" t="s">
        <v>553</v>
      </c>
      <c r="D99" s="9"/>
      <c r="E99" s="23">
        <v>45260</v>
      </c>
      <c r="G99" s="42">
        <v>0</v>
      </c>
      <c r="I99" s="42">
        <v>0</v>
      </c>
      <c r="K99" s="2">
        <f t="shared" si="31"/>
        <v>0</v>
      </c>
      <c r="M99" s="42">
        <v>0</v>
      </c>
      <c r="O99" s="42">
        <v>0</v>
      </c>
      <c r="Q99" s="2">
        <f t="shared" si="32"/>
        <v>0</v>
      </c>
      <c r="S99" s="42">
        <v>0</v>
      </c>
      <c r="U99" s="42">
        <v>0</v>
      </c>
      <c r="W99" s="42">
        <v>0</v>
      </c>
      <c r="Y99" s="42">
        <v>0</v>
      </c>
      <c r="AA99" s="42">
        <v>0</v>
      </c>
      <c r="AC99" s="42">
        <v>0</v>
      </c>
      <c r="AE99" s="42">
        <v>0</v>
      </c>
      <c r="AG99" s="42">
        <v>0</v>
      </c>
      <c r="AI99" s="10">
        <f t="shared" si="28"/>
        <v>0</v>
      </c>
      <c r="AK99" s="42">
        <f t="shared" si="27"/>
        <v>0</v>
      </c>
    </row>
    <row r="100" spans="1:37" s="24" customFormat="1">
      <c r="A100" s="51" t="s">
        <v>539</v>
      </c>
      <c r="B100" s="51"/>
      <c r="C100" s="51" t="s">
        <v>69</v>
      </c>
      <c r="D100" s="51"/>
      <c r="E100" s="23">
        <v>50419</v>
      </c>
      <c r="G100" s="42">
        <v>990443</v>
      </c>
      <c r="H100" s="42"/>
      <c r="I100" s="42">
        <v>0</v>
      </c>
      <c r="J100" s="42"/>
      <c r="K100" s="2">
        <f t="shared" si="31"/>
        <v>5200561</v>
      </c>
      <c r="L100" s="42"/>
      <c r="M100" s="42">
        <v>6191004</v>
      </c>
      <c r="N100" s="42"/>
      <c r="O100" s="42">
        <v>0</v>
      </c>
      <c r="P100" s="42"/>
      <c r="Q100" s="2">
        <f t="shared" si="32"/>
        <v>1918410</v>
      </c>
      <c r="R100" s="42"/>
      <c r="S100" s="42">
        <v>0</v>
      </c>
      <c r="T100" s="42"/>
      <c r="U100" s="42">
        <v>1918410</v>
      </c>
      <c r="V100" s="42"/>
      <c r="W100" s="42">
        <v>4055833</v>
      </c>
      <c r="X100" s="42"/>
      <c r="Y100" s="42">
        <v>0</v>
      </c>
      <c r="Z100" s="42"/>
      <c r="AA100" s="42">
        <v>397622</v>
      </c>
      <c r="AB100" s="42"/>
      <c r="AC100" s="42">
        <v>0</v>
      </c>
      <c r="AD100" s="42"/>
      <c r="AE100" s="42">
        <v>113497</v>
      </c>
      <c r="AF100" s="42"/>
      <c r="AG100" s="42">
        <v>-294358</v>
      </c>
      <c r="AH100" s="42"/>
      <c r="AI100" s="10">
        <f t="shared" si="28"/>
        <v>216761</v>
      </c>
      <c r="AJ100" s="42"/>
      <c r="AK100" s="42">
        <f t="shared" si="27"/>
        <v>0</v>
      </c>
    </row>
    <row r="101" spans="1:37" s="24" customFormat="1">
      <c r="A101" s="51" t="s">
        <v>747</v>
      </c>
      <c r="B101" s="51"/>
      <c r="C101" s="51" t="s">
        <v>16</v>
      </c>
      <c r="D101" s="51"/>
      <c r="E101" s="51">
        <v>45278</v>
      </c>
      <c r="G101" s="24">
        <v>4943704</v>
      </c>
      <c r="I101" s="24">
        <v>0</v>
      </c>
      <c r="K101" s="60">
        <f t="shared" si="31"/>
        <v>6988787</v>
      </c>
      <c r="M101" s="24">
        <v>11932491</v>
      </c>
      <c r="O101" s="24">
        <v>0</v>
      </c>
      <c r="Q101" s="60">
        <f t="shared" si="32"/>
        <v>7252077</v>
      </c>
      <c r="S101" s="24">
        <v>0</v>
      </c>
      <c r="U101" s="24">
        <v>7252077</v>
      </c>
      <c r="W101" s="24">
        <v>0</v>
      </c>
      <c r="Y101" s="24">
        <v>60578</v>
      </c>
      <c r="AA101" s="24">
        <v>89742</v>
      </c>
      <c r="AC101" s="24">
        <v>0</v>
      </c>
      <c r="AE101" s="24">
        <v>1842503</v>
      </c>
      <c r="AG101" s="24">
        <v>2687591</v>
      </c>
      <c r="AI101" s="61">
        <f t="shared" si="28"/>
        <v>4680414</v>
      </c>
      <c r="AK101" s="24">
        <f t="shared" si="27"/>
        <v>0</v>
      </c>
    </row>
    <row r="102" spans="1:37">
      <c r="A102" s="9" t="s">
        <v>644</v>
      </c>
      <c r="B102" s="9"/>
      <c r="C102" s="9" t="s">
        <v>113</v>
      </c>
      <c r="D102" s="9"/>
      <c r="E102" s="23">
        <v>47258</v>
      </c>
      <c r="G102" s="42">
        <f>4132047+506+271470</f>
        <v>4404023</v>
      </c>
      <c r="I102" s="42">
        <v>857233</v>
      </c>
      <c r="K102" s="2">
        <f t="shared" si="31"/>
        <v>3126458</v>
      </c>
      <c r="M102" s="42">
        <v>8387714</v>
      </c>
      <c r="O102" s="42">
        <v>0</v>
      </c>
      <c r="Q102" s="2">
        <f t="shared" si="32"/>
        <v>1115419</v>
      </c>
      <c r="S102" s="42">
        <v>0</v>
      </c>
      <c r="U102" s="42">
        <v>1115419</v>
      </c>
      <c r="W102" s="42">
        <v>2385302</v>
      </c>
      <c r="Y102" s="42">
        <v>19516</v>
      </c>
      <c r="AA102" s="42">
        <v>2385256</v>
      </c>
      <c r="AC102" s="42">
        <v>0</v>
      </c>
      <c r="AE102" s="42">
        <v>121228</v>
      </c>
      <c r="AG102" s="42">
        <v>2360993</v>
      </c>
      <c r="AI102" s="10">
        <f t="shared" si="28"/>
        <v>4886993</v>
      </c>
      <c r="AK102" s="42">
        <f t="shared" si="27"/>
        <v>0</v>
      </c>
    </row>
    <row r="103" spans="1:37" hidden="1">
      <c r="A103" s="9" t="s">
        <v>613</v>
      </c>
      <c r="B103" s="9"/>
      <c r="C103" s="9" t="s">
        <v>419</v>
      </c>
      <c r="D103" s="9"/>
      <c r="E103" s="23">
        <v>43729</v>
      </c>
      <c r="G103" s="42">
        <v>0</v>
      </c>
      <c r="I103" s="42">
        <v>0</v>
      </c>
      <c r="K103" s="2">
        <f t="shared" si="31"/>
        <v>0</v>
      </c>
      <c r="M103" s="42">
        <v>0</v>
      </c>
      <c r="O103" s="42">
        <v>0</v>
      </c>
      <c r="Q103" s="2">
        <f t="shared" si="32"/>
        <v>0</v>
      </c>
      <c r="S103" s="42">
        <v>0</v>
      </c>
      <c r="U103" s="42">
        <v>0</v>
      </c>
      <c r="W103" s="42">
        <v>0</v>
      </c>
      <c r="Y103" s="42">
        <v>0</v>
      </c>
      <c r="AA103" s="42">
        <v>0</v>
      </c>
      <c r="AC103" s="42">
        <v>0</v>
      </c>
      <c r="AE103" s="42">
        <v>0</v>
      </c>
      <c r="AG103" s="42">
        <v>0</v>
      </c>
      <c r="AI103" s="10">
        <f t="shared" si="28"/>
        <v>0</v>
      </c>
      <c r="AK103" s="42">
        <f t="shared" si="27"/>
        <v>0</v>
      </c>
    </row>
    <row r="104" spans="1:37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v>0</v>
      </c>
      <c r="I104" s="42">
        <v>0</v>
      </c>
      <c r="K104" s="2">
        <f t="shared" si="31"/>
        <v>0</v>
      </c>
      <c r="M104" s="42">
        <v>0</v>
      </c>
      <c r="O104" s="42">
        <v>0</v>
      </c>
      <c r="Q104" s="2">
        <f t="shared" si="32"/>
        <v>0</v>
      </c>
      <c r="S104" s="42">
        <v>0</v>
      </c>
      <c r="U104" s="42">
        <v>0</v>
      </c>
      <c r="W104" s="42">
        <v>0</v>
      </c>
      <c r="Y104" s="42">
        <v>0</v>
      </c>
      <c r="AA104" s="42">
        <v>0</v>
      </c>
      <c r="AC104" s="42">
        <v>0</v>
      </c>
      <c r="AE104" s="42">
        <v>0</v>
      </c>
      <c r="AG104" s="42">
        <v>0</v>
      </c>
      <c r="AI104" s="10">
        <f t="shared" si="28"/>
        <v>0</v>
      </c>
      <c r="AK104" s="42">
        <f t="shared" si="27"/>
        <v>0</v>
      </c>
    </row>
    <row r="105" spans="1:37">
      <c r="A105" s="9" t="s">
        <v>645</v>
      </c>
      <c r="B105" s="9"/>
      <c r="C105" s="9" t="s">
        <v>50</v>
      </c>
      <c r="D105" s="9"/>
      <c r="E105" s="23">
        <v>43737</v>
      </c>
      <c r="G105" s="42">
        <v>28609839</v>
      </c>
      <c r="I105" s="42">
        <v>2864312</v>
      </c>
      <c r="K105" s="2">
        <f t="shared" si="31"/>
        <v>58009254</v>
      </c>
      <c r="M105" s="42">
        <v>89483405</v>
      </c>
      <c r="O105" s="42">
        <v>0</v>
      </c>
      <c r="Q105" s="2">
        <f t="shared" si="32"/>
        <v>65134448</v>
      </c>
      <c r="S105" s="42">
        <v>0</v>
      </c>
      <c r="U105" s="42">
        <v>65134448</v>
      </c>
      <c r="W105" s="42">
        <v>0</v>
      </c>
      <c r="Y105" s="42">
        <v>30557</v>
      </c>
      <c r="AA105" s="42">
        <v>14749320</v>
      </c>
      <c r="AC105" s="42">
        <v>0</v>
      </c>
      <c r="AE105" s="42">
        <v>6459943</v>
      </c>
      <c r="AG105" s="42">
        <v>3109137</v>
      </c>
      <c r="AI105" s="10">
        <f t="shared" si="28"/>
        <v>24348957</v>
      </c>
      <c r="AK105" s="42">
        <f t="shared" si="27"/>
        <v>0</v>
      </c>
    </row>
    <row r="106" spans="1:37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v>0</v>
      </c>
      <c r="I106" s="42">
        <v>0</v>
      </c>
      <c r="K106" s="2">
        <f t="shared" si="31"/>
        <v>0</v>
      </c>
      <c r="M106" s="42">
        <v>0</v>
      </c>
      <c r="O106" s="42">
        <v>0</v>
      </c>
      <c r="Q106" s="2">
        <f t="shared" si="32"/>
        <v>0</v>
      </c>
      <c r="S106" s="42">
        <v>0</v>
      </c>
      <c r="U106" s="42">
        <v>0</v>
      </c>
      <c r="W106" s="42">
        <v>0</v>
      </c>
      <c r="Y106" s="42">
        <v>0</v>
      </c>
      <c r="AA106" s="42">
        <v>0</v>
      </c>
      <c r="AC106" s="42">
        <v>0</v>
      </c>
      <c r="AE106" s="42">
        <v>0</v>
      </c>
      <c r="AG106" s="42">
        <v>0</v>
      </c>
      <c r="AI106" s="10">
        <f t="shared" si="28"/>
        <v>0</v>
      </c>
      <c r="AK106" s="42">
        <f t="shared" si="27"/>
        <v>0</v>
      </c>
    </row>
    <row r="107" spans="1:37">
      <c r="A107" s="9" t="s">
        <v>748</v>
      </c>
      <c r="B107" s="9"/>
      <c r="C107" s="9" t="s">
        <v>20</v>
      </c>
      <c r="D107" s="9"/>
      <c r="E107" s="23">
        <v>45286</v>
      </c>
      <c r="G107" s="42">
        <v>12107905</v>
      </c>
      <c r="I107" s="42">
        <v>0</v>
      </c>
      <c r="K107" s="2">
        <f t="shared" si="31"/>
        <v>24131402</v>
      </c>
      <c r="M107" s="42">
        <v>36239307</v>
      </c>
      <c r="O107" s="42">
        <v>0</v>
      </c>
      <c r="Q107" s="2">
        <f t="shared" si="32"/>
        <v>23909318</v>
      </c>
      <c r="S107" s="42">
        <v>0</v>
      </c>
      <c r="U107" s="42">
        <v>23909318</v>
      </c>
      <c r="W107" s="42">
        <v>0</v>
      </c>
      <c r="Y107" s="42">
        <v>0</v>
      </c>
      <c r="AA107" s="42">
        <v>4543585</v>
      </c>
      <c r="AC107" s="42">
        <v>0</v>
      </c>
      <c r="AE107" s="42">
        <v>194555</v>
      </c>
      <c r="AG107" s="42">
        <v>7591849</v>
      </c>
      <c r="AI107" s="10">
        <f t="shared" si="28"/>
        <v>12329989</v>
      </c>
      <c r="AK107" s="42">
        <f t="shared" si="27"/>
        <v>0</v>
      </c>
    </row>
    <row r="108" spans="1:37">
      <c r="A108" s="9" t="s">
        <v>516</v>
      </c>
      <c r="B108" s="9"/>
      <c r="C108" s="9" t="s">
        <v>64</v>
      </c>
      <c r="D108" s="9"/>
      <c r="E108" s="23">
        <v>50138</v>
      </c>
      <c r="G108" s="42">
        <v>1099389</v>
      </c>
      <c r="I108" s="42">
        <v>0</v>
      </c>
      <c r="K108" s="2">
        <f t="shared" si="31"/>
        <v>6783941</v>
      </c>
      <c r="M108" s="42">
        <v>7883330</v>
      </c>
      <c r="O108" s="42">
        <v>0</v>
      </c>
      <c r="Q108" s="2">
        <f t="shared" si="32"/>
        <v>1627515</v>
      </c>
      <c r="S108" s="42">
        <v>0</v>
      </c>
      <c r="U108" s="42">
        <v>1627515</v>
      </c>
      <c r="W108" s="42">
        <v>6649208</v>
      </c>
      <c r="Y108" s="42">
        <f>16444+42243</f>
        <v>58687</v>
      </c>
      <c r="AA108" s="42">
        <f>141920+2683+21135</f>
        <v>165738</v>
      </c>
      <c r="AC108" s="42">
        <v>0</v>
      </c>
      <c r="AE108" s="42">
        <f>7130+145466+318+36734+13004</f>
        <v>202652</v>
      </c>
      <c r="AG108" s="42">
        <v>-820470</v>
      </c>
      <c r="AI108" s="10">
        <f t="shared" si="28"/>
        <v>-393393</v>
      </c>
      <c r="AK108" s="42">
        <f t="shared" si="27"/>
        <v>0</v>
      </c>
    </row>
    <row r="109" spans="1:37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v>0</v>
      </c>
      <c r="I109" s="42">
        <v>0</v>
      </c>
      <c r="K109" s="2">
        <f t="shared" si="31"/>
        <v>0</v>
      </c>
      <c r="M109" s="42">
        <v>0</v>
      </c>
      <c r="O109" s="42">
        <v>0</v>
      </c>
      <c r="Q109" s="2">
        <f t="shared" si="32"/>
        <v>0</v>
      </c>
      <c r="S109" s="42">
        <v>0</v>
      </c>
      <c r="U109" s="42">
        <v>0</v>
      </c>
      <c r="W109" s="42">
        <v>0</v>
      </c>
      <c r="Y109" s="42">
        <v>0</v>
      </c>
      <c r="AA109" s="42">
        <v>0</v>
      </c>
      <c r="AC109" s="42">
        <v>0</v>
      </c>
      <c r="AE109" s="42">
        <v>0</v>
      </c>
      <c r="AG109" s="42">
        <v>0</v>
      </c>
      <c r="AI109" s="10">
        <f t="shared" si="28"/>
        <v>0</v>
      </c>
      <c r="AK109" s="42">
        <f t="shared" si="27"/>
        <v>0</v>
      </c>
    </row>
    <row r="110" spans="1:37">
      <c r="A110" s="9" t="s">
        <v>749</v>
      </c>
      <c r="B110" s="9"/>
      <c r="C110" s="9" t="s">
        <v>364</v>
      </c>
      <c r="D110" s="9"/>
      <c r="E110" s="23">
        <v>45294</v>
      </c>
      <c r="G110" s="42">
        <v>3496883</v>
      </c>
      <c r="I110" s="42">
        <v>236546</v>
      </c>
      <c r="K110" s="2">
        <f t="shared" si="31"/>
        <v>3015520</v>
      </c>
      <c r="M110" s="42">
        <v>6748949</v>
      </c>
      <c r="O110" s="42">
        <v>0</v>
      </c>
      <c r="Q110" s="2">
        <f t="shared" si="32"/>
        <v>1765323</v>
      </c>
      <c r="S110" s="42">
        <v>0</v>
      </c>
      <c r="U110" s="42">
        <v>1765323</v>
      </c>
      <c r="W110" s="42">
        <v>2643737</v>
      </c>
      <c r="Y110" s="42">
        <v>4188</v>
      </c>
      <c r="AA110" s="42">
        <v>1774331</v>
      </c>
      <c r="AC110" s="42">
        <v>11000</v>
      </c>
      <c r="AE110" s="42">
        <v>467021</v>
      </c>
      <c r="AG110" s="42">
        <v>83349</v>
      </c>
      <c r="AI110" s="10">
        <f t="shared" si="28"/>
        <v>2339889</v>
      </c>
      <c r="AK110" s="42">
        <f t="shared" si="27"/>
        <v>0</v>
      </c>
    </row>
    <row r="111" spans="1:37">
      <c r="A111" s="9" t="s">
        <v>470</v>
      </c>
      <c r="B111" s="9"/>
      <c r="C111" s="9" t="s">
        <v>58</v>
      </c>
      <c r="D111" s="9"/>
      <c r="E111" s="23">
        <v>43745</v>
      </c>
      <c r="G111" s="42">
        <f>5728753+2961</f>
        <v>5731714</v>
      </c>
      <c r="I111" s="42">
        <v>492</v>
      </c>
      <c r="K111" s="2">
        <f t="shared" si="31"/>
        <v>13433611</v>
      </c>
      <c r="M111" s="42">
        <v>19165817</v>
      </c>
      <c r="O111" s="42">
        <v>0</v>
      </c>
      <c r="Q111" s="2">
        <f t="shared" si="32"/>
        <v>3312712</v>
      </c>
      <c r="S111" s="42">
        <v>0</v>
      </c>
      <c r="U111" s="42">
        <v>3312712</v>
      </c>
      <c r="W111" s="42">
        <v>11750863</v>
      </c>
      <c r="Y111" s="42">
        <v>450000</v>
      </c>
      <c r="AA111" s="42">
        <f>1649269+250415+47435+31708+84521+492+769003+61396+5358</f>
        <v>2899597</v>
      </c>
      <c r="AC111" s="42">
        <f>33459+25693</f>
        <v>59152</v>
      </c>
      <c r="AE111" s="42">
        <f>26512+2525688+97536</f>
        <v>2649736</v>
      </c>
      <c r="AG111" s="42">
        <v>-1956243</v>
      </c>
      <c r="AI111" s="10">
        <f t="shared" si="28"/>
        <v>4102242</v>
      </c>
      <c r="AK111" s="42">
        <f t="shared" si="27"/>
        <v>0</v>
      </c>
    </row>
    <row r="112" spans="1:37">
      <c r="A112" s="9" t="s">
        <v>547</v>
      </c>
      <c r="B112" s="9"/>
      <c r="C112" s="9" t="s">
        <v>71</v>
      </c>
      <c r="D112" s="9"/>
      <c r="E112" s="23">
        <v>50534</v>
      </c>
      <c r="G112" s="42">
        <v>6831296</v>
      </c>
      <c r="I112" s="42">
        <v>0</v>
      </c>
      <c r="K112" s="2">
        <f t="shared" si="31"/>
        <v>4710063</v>
      </c>
      <c r="M112" s="42">
        <v>11541359</v>
      </c>
      <c r="O112" s="42">
        <v>0</v>
      </c>
      <c r="Q112" s="2">
        <f t="shared" si="32"/>
        <v>1344677</v>
      </c>
      <c r="S112" s="42">
        <v>0</v>
      </c>
      <c r="U112" s="42">
        <v>1344677</v>
      </c>
      <c r="W112" s="42">
        <v>3708173</v>
      </c>
      <c r="Y112" s="42">
        <f>44938+13314</f>
        <v>58252</v>
      </c>
      <c r="AA112" s="42">
        <f>291545+2792+57514+28821+30102</f>
        <v>410774</v>
      </c>
      <c r="AC112" s="42">
        <v>0</v>
      </c>
      <c r="AE112" s="42">
        <f>67169+254123+700025+914</f>
        <v>1022231</v>
      </c>
      <c r="AG112" s="42">
        <v>4997252</v>
      </c>
      <c r="AI112" s="10">
        <f t="shared" si="28"/>
        <v>6488509</v>
      </c>
      <c r="AK112" s="42">
        <f t="shared" si="27"/>
        <v>0</v>
      </c>
    </row>
    <row r="113" spans="1:37">
      <c r="A113" s="9" t="s">
        <v>647</v>
      </c>
      <c r="B113" s="9"/>
      <c r="C113" s="9" t="s">
        <v>32</v>
      </c>
      <c r="D113" s="9"/>
      <c r="E113" s="23">
        <v>43752</v>
      </c>
      <c r="G113" s="42">
        <f>248291092+304937</f>
        <v>248596029</v>
      </c>
      <c r="I113" s="42">
        <v>34974664</v>
      </c>
      <c r="K113" s="2">
        <f t="shared" si="31"/>
        <v>381787082</v>
      </c>
      <c r="M113" s="42">
        <v>665357775</v>
      </c>
      <c r="O113" s="42">
        <v>0</v>
      </c>
      <c r="Q113" s="2">
        <f t="shared" si="32"/>
        <v>70687004</v>
      </c>
      <c r="S113" s="42">
        <v>0</v>
      </c>
      <c r="U113" s="42">
        <v>70687004</v>
      </c>
      <c r="W113" s="42">
        <v>327157238</v>
      </c>
      <c r="Y113" s="42">
        <v>1894682</v>
      </c>
      <c r="AA113" s="42">
        <v>112333005</v>
      </c>
      <c r="AC113" s="42">
        <v>0</v>
      </c>
      <c r="AE113" s="42">
        <v>8521334</v>
      </c>
      <c r="AG113" s="42">
        <v>144764512</v>
      </c>
      <c r="AI113" s="10">
        <f t="shared" si="28"/>
        <v>267513533</v>
      </c>
      <c r="AK113" s="42">
        <f t="shared" si="27"/>
        <v>0</v>
      </c>
    </row>
    <row r="114" spans="1:37">
      <c r="A114" s="9" t="s">
        <v>449</v>
      </c>
      <c r="B114" s="9"/>
      <c r="C114" s="9" t="s">
        <v>54</v>
      </c>
      <c r="D114" s="9"/>
      <c r="E114" s="23">
        <v>43760</v>
      </c>
      <c r="G114" s="42">
        <f>49909059+1439756</f>
        <v>51348815</v>
      </c>
      <c r="I114" s="42">
        <v>0</v>
      </c>
      <c r="K114" s="2">
        <f t="shared" si="31"/>
        <v>20082967</v>
      </c>
      <c r="M114" s="42">
        <v>71431782</v>
      </c>
      <c r="O114" s="42">
        <v>0</v>
      </c>
      <c r="Q114" s="2">
        <f t="shared" si="32"/>
        <v>5341665</v>
      </c>
      <c r="S114" s="42">
        <v>0</v>
      </c>
      <c r="U114" s="42">
        <v>5341665</v>
      </c>
      <c r="W114" s="42">
        <v>17397912</v>
      </c>
      <c r="Y114" s="42">
        <f>50487+89632</f>
        <v>140119</v>
      </c>
      <c r="AA114" s="42">
        <f>1761942+33303482+395640+219485+2245+9810+138150</f>
        <v>35830754</v>
      </c>
      <c r="AC114" s="42">
        <f>57972+870337+100000+58000+98810</f>
        <v>1185119</v>
      </c>
      <c r="AE114" s="42">
        <f>37133+126636+180+900347</f>
        <v>1064296</v>
      </c>
      <c r="AG114" s="42">
        <v>10471917</v>
      </c>
      <c r="AI114" s="10">
        <f t="shared" si="28"/>
        <v>48692205</v>
      </c>
      <c r="AK114" s="42">
        <f t="shared" si="27"/>
        <v>0</v>
      </c>
    </row>
    <row r="115" spans="1:37">
      <c r="A115" s="9" t="s">
        <v>229</v>
      </c>
      <c r="B115" s="9"/>
      <c r="C115" s="9" t="s">
        <v>17</v>
      </c>
      <c r="D115" s="9"/>
      <c r="E115" s="23">
        <v>46284</v>
      </c>
      <c r="G115" s="42">
        <v>3017461</v>
      </c>
      <c r="I115" s="42">
        <v>28770</v>
      </c>
      <c r="K115" s="2">
        <f t="shared" si="31"/>
        <v>9798982</v>
      </c>
      <c r="M115" s="42">
        <v>12845213</v>
      </c>
      <c r="O115" s="42">
        <v>0</v>
      </c>
      <c r="Q115" s="2">
        <f t="shared" si="32"/>
        <v>2529518</v>
      </c>
      <c r="S115" s="42">
        <v>0</v>
      </c>
      <c r="U115" s="42">
        <v>2529518</v>
      </c>
      <c r="W115" s="42">
        <v>8284041</v>
      </c>
      <c r="Y115" s="42">
        <v>38356</v>
      </c>
      <c r="AA115" s="42">
        <v>804729</v>
      </c>
      <c r="AC115" s="42">
        <v>11000</v>
      </c>
      <c r="AE115" s="42">
        <v>471261</v>
      </c>
      <c r="AG115" s="42">
        <v>706308</v>
      </c>
      <c r="AI115" s="10">
        <f t="shared" si="28"/>
        <v>2031654</v>
      </c>
      <c r="AK115" s="42">
        <f t="shared" si="27"/>
        <v>0</v>
      </c>
    </row>
    <row r="116" spans="1:37">
      <c r="A116" s="9" t="s">
        <v>477</v>
      </c>
      <c r="B116" s="9"/>
      <c r="C116" s="9" t="s">
        <v>59</v>
      </c>
      <c r="D116" s="9"/>
      <c r="E116" s="23">
        <v>49601</v>
      </c>
      <c r="G116" s="42">
        <f>713348+156303</f>
        <v>869651</v>
      </c>
      <c r="I116" s="42">
        <v>218926</v>
      </c>
      <c r="K116" s="2">
        <f t="shared" si="31"/>
        <v>1652186</v>
      </c>
      <c r="M116" s="42">
        <v>2740763</v>
      </c>
      <c r="O116" s="42">
        <v>0</v>
      </c>
      <c r="Q116" s="2">
        <f t="shared" si="32"/>
        <v>915703</v>
      </c>
      <c r="S116" s="42">
        <v>0</v>
      </c>
      <c r="U116" s="42">
        <v>915703</v>
      </c>
      <c r="W116" s="42">
        <v>1457756</v>
      </c>
      <c r="Y116" s="42">
        <v>9233</v>
      </c>
      <c r="AA116" s="42">
        <v>450178</v>
      </c>
      <c r="AC116" s="42">
        <v>0</v>
      </c>
      <c r="AE116" s="42">
        <v>180185</v>
      </c>
      <c r="AG116" s="42">
        <v>-272292</v>
      </c>
      <c r="AI116" s="10">
        <f t="shared" si="28"/>
        <v>367304</v>
      </c>
      <c r="AK116" s="42">
        <f t="shared" si="27"/>
        <v>0</v>
      </c>
    </row>
    <row r="117" spans="1:37">
      <c r="A117" s="9" t="s">
        <v>529</v>
      </c>
      <c r="B117" s="9"/>
      <c r="C117" s="9" t="s">
        <v>65</v>
      </c>
      <c r="D117" s="9"/>
      <c r="E117" s="23">
        <v>43778</v>
      </c>
      <c r="G117" s="42">
        <v>4542833</v>
      </c>
      <c r="I117" s="42">
        <v>0</v>
      </c>
      <c r="K117" s="2">
        <f t="shared" si="31"/>
        <v>4508815</v>
      </c>
      <c r="M117" s="42">
        <v>9051648</v>
      </c>
      <c r="O117" s="42">
        <v>0</v>
      </c>
      <c r="Q117" s="2">
        <f t="shared" si="32"/>
        <v>2074457</v>
      </c>
      <c r="S117" s="42">
        <v>0</v>
      </c>
      <c r="U117" s="42">
        <v>2074457</v>
      </c>
      <c r="W117" s="42">
        <v>3659971</v>
      </c>
      <c r="Y117" s="42">
        <f>9914+11948</f>
        <v>21862</v>
      </c>
      <c r="AA117" s="42">
        <f>519347+65967+419673+135062+1539+6522+33375+100210+30093</f>
        <v>1311788</v>
      </c>
      <c r="AC117" s="42">
        <v>0</v>
      </c>
      <c r="AE117" s="42">
        <f>112404+165598+8464+62006+207812</f>
        <v>556284</v>
      </c>
      <c r="AG117" s="42">
        <v>1427286</v>
      </c>
      <c r="AI117" s="10">
        <f t="shared" si="28"/>
        <v>3317220</v>
      </c>
      <c r="AK117" s="42">
        <f t="shared" si="27"/>
        <v>0</v>
      </c>
    </row>
    <row r="118" spans="1:37">
      <c r="A118" s="9" t="s">
        <v>465</v>
      </c>
      <c r="B118" s="9"/>
      <c r="C118" s="9" t="s">
        <v>109</v>
      </c>
      <c r="D118" s="9"/>
      <c r="E118" s="23">
        <v>49411</v>
      </c>
      <c r="G118" s="42">
        <f>6917237+189</f>
        <v>6917426</v>
      </c>
      <c r="I118" s="42">
        <v>0</v>
      </c>
      <c r="K118" s="2">
        <f t="shared" si="31"/>
        <v>5289456</v>
      </c>
      <c r="M118" s="42">
        <v>12206882</v>
      </c>
      <c r="O118" s="42">
        <v>0</v>
      </c>
      <c r="Q118" s="2">
        <f t="shared" si="32"/>
        <v>1534331</v>
      </c>
      <c r="S118" s="42">
        <v>0</v>
      </c>
      <c r="U118" s="42">
        <v>1534331</v>
      </c>
      <c r="W118" s="42">
        <v>3665127</v>
      </c>
      <c r="Y118" s="42">
        <f>27834+130325</f>
        <v>158159</v>
      </c>
      <c r="AA118" s="42">
        <f>649424+80781+26123+24168+2521</f>
        <v>783017</v>
      </c>
      <c r="AC118" s="42">
        <v>7639</v>
      </c>
      <c r="AE118" s="42">
        <f>84541+286+19344</f>
        <v>104171</v>
      </c>
      <c r="AG118" s="42">
        <v>5954438</v>
      </c>
      <c r="AI118" s="10">
        <f t="shared" si="28"/>
        <v>7007424</v>
      </c>
      <c r="AK118" s="42">
        <f t="shared" si="27"/>
        <v>0</v>
      </c>
    </row>
    <row r="119" spans="1:37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v>0</v>
      </c>
      <c r="I119" s="42">
        <v>0</v>
      </c>
      <c r="K119" s="2">
        <f t="shared" si="31"/>
        <v>0</v>
      </c>
      <c r="M119" s="42">
        <v>0</v>
      </c>
      <c r="O119" s="42">
        <v>0</v>
      </c>
      <c r="Q119" s="2">
        <f t="shared" si="32"/>
        <v>0</v>
      </c>
      <c r="S119" s="42">
        <v>0</v>
      </c>
      <c r="U119" s="42">
        <v>0</v>
      </c>
      <c r="W119" s="42">
        <v>0</v>
      </c>
      <c r="Y119" s="42">
        <v>0</v>
      </c>
      <c r="AA119" s="42">
        <v>0</v>
      </c>
      <c r="AC119" s="42">
        <v>0</v>
      </c>
      <c r="AE119" s="42">
        <v>0</v>
      </c>
      <c r="AG119" s="42">
        <v>0</v>
      </c>
      <c r="AI119" s="10">
        <f t="shared" si="28"/>
        <v>0</v>
      </c>
      <c r="AK119" s="42">
        <f t="shared" si="27"/>
        <v>0</v>
      </c>
    </row>
    <row r="120" spans="1:37">
      <c r="A120" s="9" t="s">
        <v>648</v>
      </c>
      <c r="B120" s="9"/>
      <c r="C120" s="9" t="s">
        <v>112</v>
      </c>
      <c r="D120" s="9"/>
      <c r="E120" s="23">
        <v>46326</v>
      </c>
      <c r="G120" s="42">
        <v>1410886</v>
      </c>
      <c r="I120" s="42">
        <v>0</v>
      </c>
      <c r="K120" s="2">
        <f t="shared" si="31"/>
        <v>8538330</v>
      </c>
      <c r="M120" s="42">
        <v>9949216</v>
      </c>
      <c r="O120" s="42">
        <v>0</v>
      </c>
      <c r="Q120" s="2">
        <f t="shared" si="32"/>
        <v>7663310</v>
      </c>
      <c r="S120" s="42">
        <v>0</v>
      </c>
      <c r="U120" s="42">
        <v>7663310</v>
      </c>
      <c r="W120" s="42">
        <v>0</v>
      </c>
      <c r="Y120" s="42">
        <v>21561</v>
      </c>
      <c r="AA120" s="42">
        <v>1152495</v>
      </c>
      <c r="AC120" s="42">
        <v>161515</v>
      </c>
      <c r="AE120" s="42">
        <v>114486</v>
      </c>
      <c r="AG120" s="42">
        <v>835849</v>
      </c>
      <c r="AI120" s="10">
        <f t="shared" si="28"/>
        <v>2285906</v>
      </c>
      <c r="AK120" s="42">
        <f t="shared" si="27"/>
        <v>0</v>
      </c>
    </row>
    <row r="121" spans="1:37">
      <c r="A121" s="9" t="s">
        <v>646</v>
      </c>
      <c r="B121" s="9"/>
      <c r="C121" s="9" t="s">
        <v>20</v>
      </c>
      <c r="D121" s="9"/>
      <c r="E121" s="23">
        <v>43794</v>
      </c>
      <c r="G121" s="42">
        <v>24673987</v>
      </c>
      <c r="I121" s="42">
        <v>4226341</v>
      </c>
      <c r="K121" s="2">
        <f t="shared" si="31"/>
        <v>97696555</v>
      </c>
      <c r="M121" s="42">
        <v>126596883</v>
      </c>
      <c r="O121" s="42">
        <v>0</v>
      </c>
      <c r="Q121" s="2">
        <f t="shared" si="32"/>
        <v>78231928</v>
      </c>
      <c r="S121" s="42">
        <v>0</v>
      </c>
      <c r="U121" s="42">
        <v>78231928</v>
      </c>
      <c r="W121" s="42">
        <v>0</v>
      </c>
      <c r="Y121" s="42">
        <v>33381</v>
      </c>
      <c r="AA121" s="42">
        <v>6472636</v>
      </c>
      <c r="AC121" s="42">
        <v>169433</v>
      </c>
      <c r="AE121" s="42">
        <v>2855580</v>
      </c>
      <c r="AG121" s="42">
        <v>38833925</v>
      </c>
      <c r="AI121" s="10">
        <f t="shared" si="28"/>
        <v>48364955</v>
      </c>
      <c r="AK121" s="42">
        <f t="shared" si="27"/>
        <v>0</v>
      </c>
    </row>
    <row r="122" spans="1:37">
      <c r="A122" s="9" t="s">
        <v>263</v>
      </c>
      <c r="B122" s="9"/>
      <c r="C122" s="9" t="s">
        <v>20</v>
      </c>
      <c r="D122" s="9"/>
      <c r="E122" s="23">
        <v>43786</v>
      </c>
      <c r="G122" s="42">
        <f>111013298+1809643</f>
        <v>112822941</v>
      </c>
      <c r="I122" s="42">
        <v>0</v>
      </c>
      <c r="K122" s="2">
        <f t="shared" si="31"/>
        <v>584919514</v>
      </c>
      <c r="M122" s="42">
        <v>697742455</v>
      </c>
      <c r="O122" s="42">
        <v>0</v>
      </c>
      <c r="Q122" s="2">
        <f t="shared" si="32"/>
        <v>94581462</v>
      </c>
      <c r="S122" s="42">
        <v>0</v>
      </c>
      <c r="U122" s="42">
        <v>94581462</v>
      </c>
      <c r="W122" s="42">
        <v>415222519</v>
      </c>
      <c r="Y122" s="42">
        <v>7338334</v>
      </c>
      <c r="AA122" s="42">
        <v>117382182</v>
      </c>
      <c r="AC122" s="42">
        <v>51581280</v>
      </c>
      <c r="AE122" s="42">
        <v>3691706</v>
      </c>
      <c r="AG122" s="42">
        <v>7944972</v>
      </c>
      <c r="AI122" s="10">
        <f t="shared" si="28"/>
        <v>187938474</v>
      </c>
      <c r="AK122" s="42">
        <f t="shared" si="27"/>
        <v>0</v>
      </c>
    </row>
    <row r="123" spans="1:37">
      <c r="A123" s="9" t="s">
        <v>241</v>
      </c>
      <c r="B123" s="9"/>
      <c r="C123" s="9" t="s">
        <v>18</v>
      </c>
      <c r="D123" s="9"/>
      <c r="E123" s="23">
        <v>46391</v>
      </c>
      <c r="G123" s="42">
        <v>4694876</v>
      </c>
      <c r="I123" s="42">
        <v>0</v>
      </c>
      <c r="K123" s="2">
        <f t="shared" si="31"/>
        <v>5601520</v>
      </c>
      <c r="M123" s="42">
        <v>10296396</v>
      </c>
      <c r="O123" s="42">
        <v>0</v>
      </c>
      <c r="Q123" s="2">
        <f t="shared" si="32"/>
        <v>6756612</v>
      </c>
      <c r="S123" s="42">
        <v>0</v>
      </c>
      <c r="U123" s="42">
        <v>6756612</v>
      </c>
      <c r="W123" s="42">
        <v>0</v>
      </c>
      <c r="Y123" s="42">
        <v>13218</v>
      </c>
      <c r="AA123" s="42">
        <v>1355283</v>
      </c>
      <c r="AC123" s="42">
        <v>0</v>
      </c>
      <c r="AE123" s="42">
        <v>834901</v>
      </c>
      <c r="AG123" s="42">
        <v>1336382</v>
      </c>
      <c r="AI123" s="10">
        <f t="shared" si="28"/>
        <v>3539784</v>
      </c>
      <c r="AK123" s="42">
        <f t="shared" si="27"/>
        <v>0</v>
      </c>
    </row>
    <row r="124" spans="1:37">
      <c r="A124" s="9" t="s">
        <v>413</v>
      </c>
      <c r="B124" s="9"/>
      <c r="C124" s="9" t="s">
        <v>47</v>
      </c>
      <c r="D124" s="9"/>
      <c r="E124" s="23">
        <v>48488</v>
      </c>
      <c r="G124" s="42">
        <f>6385806+43720+100006</f>
        <v>6529532</v>
      </c>
      <c r="I124" s="42">
        <v>0</v>
      </c>
      <c r="K124" s="2">
        <f t="shared" si="31"/>
        <v>17177132</v>
      </c>
      <c r="M124" s="42">
        <v>23706664</v>
      </c>
      <c r="O124" s="42">
        <v>0</v>
      </c>
      <c r="Q124" s="2">
        <f t="shared" si="32"/>
        <v>3965366</v>
      </c>
      <c r="S124" s="42">
        <v>0</v>
      </c>
      <c r="U124" s="42">
        <v>3965366</v>
      </c>
      <c r="W124" s="42">
        <v>14377163</v>
      </c>
      <c r="Y124" s="42">
        <f>21490+36204+279706</f>
        <v>337400</v>
      </c>
      <c r="AA124" s="42">
        <f>3961700+39710+64855+49924+4468</f>
        <v>4120657</v>
      </c>
      <c r="AC124" s="42">
        <v>283248</v>
      </c>
      <c r="AE124" s="42">
        <f>3320+111232+50+17071+566414</f>
        <v>698087</v>
      </c>
      <c r="AG124" s="42">
        <v>-75257</v>
      </c>
      <c r="AI124" s="10">
        <f t="shared" si="28"/>
        <v>5364135</v>
      </c>
      <c r="AK124" s="42">
        <f t="shared" si="27"/>
        <v>0</v>
      </c>
    </row>
    <row r="125" spans="1:37">
      <c r="A125" s="9" t="s">
        <v>750</v>
      </c>
      <c r="B125" s="9"/>
      <c r="C125" s="9" t="s">
        <v>79</v>
      </c>
      <c r="D125" s="9"/>
      <c r="E125" s="23">
        <v>45302</v>
      </c>
      <c r="G125" s="42">
        <v>13499104</v>
      </c>
      <c r="I125" s="42">
        <v>0</v>
      </c>
      <c r="K125" s="2">
        <f t="shared" si="31"/>
        <v>8460994</v>
      </c>
      <c r="M125" s="42">
        <v>21960098</v>
      </c>
      <c r="O125" s="42">
        <v>0</v>
      </c>
      <c r="Q125" s="2">
        <f t="shared" si="32"/>
        <v>2396811</v>
      </c>
      <c r="S125" s="42">
        <v>0</v>
      </c>
      <c r="U125" s="42">
        <v>2396811</v>
      </c>
      <c r="W125" s="42">
        <v>6470822</v>
      </c>
      <c r="Y125" s="42">
        <f>7675+77044</f>
        <v>84719</v>
      </c>
      <c r="AA125" s="42">
        <f>879301+8633183+576992+512551+10509+1572+22778+66285+972375</f>
        <v>11675546</v>
      </c>
      <c r="AC125" s="42">
        <v>0</v>
      </c>
      <c r="AE125" s="42">
        <f>65696+22235+211618+12982</f>
        <v>312531</v>
      </c>
      <c r="AG125" s="42">
        <v>1019669</v>
      </c>
      <c r="AI125" s="10">
        <f t="shared" si="28"/>
        <v>13092465</v>
      </c>
      <c r="AK125" s="42">
        <f t="shared" si="27"/>
        <v>0</v>
      </c>
    </row>
    <row r="126" spans="1:37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v>0</v>
      </c>
      <c r="I126" s="42">
        <v>0</v>
      </c>
      <c r="K126" s="2">
        <f t="shared" si="31"/>
        <v>0</v>
      </c>
      <c r="M126" s="42">
        <v>0</v>
      </c>
      <c r="O126" s="42">
        <v>0</v>
      </c>
      <c r="Q126" s="2">
        <f t="shared" si="32"/>
        <v>0</v>
      </c>
      <c r="S126" s="42">
        <v>0</v>
      </c>
      <c r="U126" s="42">
        <v>0</v>
      </c>
      <c r="W126" s="42">
        <v>0</v>
      </c>
      <c r="Y126" s="42">
        <v>0</v>
      </c>
      <c r="AA126" s="42">
        <v>0</v>
      </c>
      <c r="AC126" s="42">
        <v>0</v>
      </c>
      <c r="AE126" s="42">
        <v>0</v>
      </c>
      <c r="AG126" s="42">
        <v>0</v>
      </c>
      <c r="AI126" s="10">
        <f t="shared" si="28"/>
        <v>0</v>
      </c>
      <c r="AK126" s="42">
        <f t="shared" si="27"/>
        <v>0</v>
      </c>
    </row>
    <row r="127" spans="1:37" hidden="1">
      <c r="A127" s="9" t="s">
        <v>605</v>
      </c>
      <c r="B127" s="9"/>
      <c r="C127" s="9" t="s">
        <v>57</v>
      </c>
      <c r="D127" s="9"/>
      <c r="E127" s="23">
        <v>64964</v>
      </c>
      <c r="G127" s="42">
        <v>0</v>
      </c>
      <c r="I127" s="42">
        <v>0</v>
      </c>
      <c r="K127" s="2">
        <f t="shared" si="31"/>
        <v>0</v>
      </c>
      <c r="M127" s="42">
        <v>0</v>
      </c>
      <c r="O127" s="42">
        <v>0</v>
      </c>
      <c r="Q127" s="2">
        <f t="shared" si="32"/>
        <v>0</v>
      </c>
      <c r="S127" s="42">
        <v>0</v>
      </c>
      <c r="U127" s="42">
        <v>0</v>
      </c>
      <c r="W127" s="42">
        <v>0</v>
      </c>
      <c r="Y127" s="42">
        <v>0</v>
      </c>
      <c r="AA127" s="42">
        <v>0</v>
      </c>
      <c r="AC127" s="42">
        <v>0</v>
      </c>
      <c r="AE127" s="42">
        <v>0</v>
      </c>
      <c r="AG127" s="42">
        <v>0</v>
      </c>
      <c r="AI127" s="10">
        <f t="shared" si="28"/>
        <v>0</v>
      </c>
      <c r="AK127" s="42">
        <f t="shared" si="27"/>
        <v>0</v>
      </c>
    </row>
    <row r="128" spans="1:37">
      <c r="A128" s="9" t="s">
        <v>256</v>
      </c>
      <c r="B128" s="9"/>
      <c r="C128" s="9" t="s">
        <v>110</v>
      </c>
      <c r="D128" s="9"/>
      <c r="E128" s="23">
        <v>46516</v>
      </c>
      <c r="G128" s="42">
        <v>2475785</v>
      </c>
      <c r="I128" s="42">
        <v>0</v>
      </c>
      <c r="K128" s="2">
        <f t="shared" si="31"/>
        <v>4055097</v>
      </c>
      <c r="M128" s="42">
        <v>6530882</v>
      </c>
      <c r="O128" s="42">
        <v>0</v>
      </c>
      <c r="Q128" s="2">
        <f t="shared" si="32"/>
        <v>1248978</v>
      </c>
      <c r="S128" s="42">
        <v>0</v>
      </c>
      <c r="U128" s="42">
        <v>1248978</v>
      </c>
      <c r="W128" s="42">
        <v>2091074</v>
      </c>
      <c r="Y128" s="42">
        <v>24473</v>
      </c>
      <c r="AA128" s="42">
        <f>861680+2064+3940+6754+37358+50751</f>
        <v>962547</v>
      </c>
      <c r="AC128" s="42">
        <f>648609+26464</f>
        <v>675073</v>
      </c>
      <c r="AE128" s="42">
        <f>4014+44768+531786+2904</f>
        <v>583472</v>
      </c>
      <c r="AG128" s="42">
        <v>945265</v>
      </c>
      <c r="AI128" s="10">
        <f t="shared" si="28"/>
        <v>3190830</v>
      </c>
      <c r="AK128" s="42">
        <f t="shared" si="27"/>
        <v>0</v>
      </c>
    </row>
    <row r="129" spans="1:37">
      <c r="A129" s="9" t="s">
        <v>380</v>
      </c>
      <c r="B129" s="9"/>
      <c r="C129" s="9" t="s">
        <v>44</v>
      </c>
      <c r="D129" s="9"/>
      <c r="E129" s="23">
        <v>48140</v>
      </c>
      <c r="G129" s="42">
        <f>953219+81846</f>
        <v>1035065</v>
      </c>
      <c r="I129" s="42">
        <v>0</v>
      </c>
      <c r="K129" s="2">
        <f t="shared" si="31"/>
        <v>6531358</v>
      </c>
      <c r="M129" s="42">
        <v>7566423</v>
      </c>
      <c r="O129" s="42">
        <v>0</v>
      </c>
      <c r="Q129" s="2">
        <f t="shared" si="32"/>
        <v>1500185</v>
      </c>
      <c r="S129" s="42">
        <v>0</v>
      </c>
      <c r="U129" s="42">
        <v>1500185</v>
      </c>
      <c r="W129" s="42">
        <v>5892894</v>
      </c>
      <c r="Y129" s="42">
        <v>3091</v>
      </c>
      <c r="AA129" s="42">
        <f>91603+291702+11526+7210+17839+44235</f>
        <v>464115</v>
      </c>
      <c r="AC129" s="42">
        <v>0</v>
      </c>
      <c r="AE129" s="42">
        <v>0</v>
      </c>
      <c r="AG129" s="42">
        <v>-293862</v>
      </c>
      <c r="AI129" s="10">
        <f t="shared" si="28"/>
        <v>173344</v>
      </c>
      <c r="AK129" s="42">
        <f t="shared" si="27"/>
        <v>0</v>
      </c>
    </row>
    <row r="130" spans="1:37">
      <c r="A130" s="9" t="s">
        <v>751</v>
      </c>
      <c r="B130" s="9"/>
      <c r="C130" s="9" t="s">
        <v>111</v>
      </c>
      <c r="D130" s="9"/>
      <c r="E130" s="23">
        <v>45328</v>
      </c>
      <c r="G130" s="42">
        <f>3779888+123531</f>
        <v>3903419</v>
      </c>
      <c r="I130" s="42">
        <v>0</v>
      </c>
      <c r="K130" s="2">
        <f t="shared" si="31"/>
        <v>5211195</v>
      </c>
      <c r="M130" s="42">
        <v>9114614</v>
      </c>
      <c r="O130" s="42">
        <v>0</v>
      </c>
      <c r="Q130" s="2">
        <f t="shared" si="32"/>
        <v>921863</v>
      </c>
      <c r="S130" s="42">
        <v>0</v>
      </c>
      <c r="U130" s="42">
        <v>921863</v>
      </c>
      <c r="W130" s="42">
        <v>4375822</v>
      </c>
      <c r="Y130" s="42">
        <v>1181</v>
      </c>
      <c r="AA130" s="42">
        <v>1207155</v>
      </c>
      <c r="AC130" s="42">
        <v>0</v>
      </c>
      <c r="AE130" s="42">
        <v>92792</v>
      </c>
      <c r="AG130" s="42">
        <v>2515801</v>
      </c>
      <c r="AI130" s="10">
        <f t="shared" si="28"/>
        <v>3816929</v>
      </c>
      <c r="AK130" s="42">
        <f t="shared" si="27"/>
        <v>0</v>
      </c>
    </row>
    <row r="131" spans="1:37">
      <c r="A131" s="9" t="s">
        <v>299</v>
      </c>
      <c r="B131" s="9"/>
      <c r="C131" s="9" t="s">
        <v>27</v>
      </c>
      <c r="D131" s="9"/>
      <c r="E131" s="23">
        <v>43802</v>
      </c>
      <c r="G131" s="42">
        <f>396833175+8277136+67562195</f>
        <v>472672506</v>
      </c>
      <c r="I131" s="42">
        <f>1315330+1438730</f>
        <v>2754060</v>
      </c>
      <c r="K131" s="2">
        <f t="shared" si="31"/>
        <v>455000305</v>
      </c>
      <c r="M131" s="42">
        <v>930426871</v>
      </c>
      <c r="O131" s="42">
        <v>0</v>
      </c>
      <c r="Q131" s="2">
        <f t="shared" si="32"/>
        <v>122752492</v>
      </c>
      <c r="S131" s="42">
        <v>0</v>
      </c>
      <c r="U131" s="42">
        <v>122752492</v>
      </c>
      <c r="W131" s="42">
        <v>371749685</v>
      </c>
      <c r="Y131" s="42">
        <v>498657</v>
      </c>
      <c r="AA131" s="42">
        <v>210435616</v>
      </c>
      <c r="AC131" s="42">
        <v>4620253</v>
      </c>
      <c r="AE131" s="42">
        <v>68962698</v>
      </c>
      <c r="AG131" s="42">
        <v>151407470</v>
      </c>
      <c r="AI131" s="10">
        <f t="shared" si="28"/>
        <v>435924694</v>
      </c>
      <c r="AK131" s="42">
        <f t="shared" si="27"/>
        <v>0</v>
      </c>
    </row>
    <row r="132" spans="1:37" hidden="1">
      <c r="A132" s="9" t="s">
        <v>606</v>
      </c>
      <c r="B132" s="9"/>
      <c r="C132" s="9" t="s">
        <v>464</v>
      </c>
      <c r="D132" s="9"/>
      <c r="E132" s="23">
        <v>49312</v>
      </c>
      <c r="G132" s="42">
        <v>0</v>
      </c>
      <c r="I132" s="42">
        <v>0</v>
      </c>
      <c r="K132" s="2">
        <f t="shared" si="31"/>
        <v>0</v>
      </c>
      <c r="M132" s="42">
        <v>0</v>
      </c>
      <c r="O132" s="42">
        <v>0</v>
      </c>
      <c r="Q132" s="2">
        <f t="shared" si="32"/>
        <v>0</v>
      </c>
      <c r="S132" s="42">
        <v>0</v>
      </c>
      <c r="U132" s="42">
        <v>0</v>
      </c>
      <c r="W132" s="42">
        <v>0</v>
      </c>
      <c r="Y132" s="42">
        <v>0</v>
      </c>
      <c r="AA132" s="42">
        <v>0</v>
      </c>
      <c r="AC132" s="42">
        <v>0</v>
      </c>
      <c r="AE132" s="42">
        <v>0</v>
      </c>
      <c r="AG132" s="42">
        <v>0</v>
      </c>
      <c r="AI132" s="10">
        <f t="shared" si="28"/>
        <v>0</v>
      </c>
      <c r="AK132" s="42">
        <f t="shared" si="27"/>
        <v>0</v>
      </c>
    </row>
    <row r="133" spans="1:37">
      <c r="A133" s="9" t="s">
        <v>206</v>
      </c>
      <c r="B133" s="9"/>
      <c r="C133" s="9" t="s">
        <v>12</v>
      </c>
      <c r="D133" s="9"/>
      <c r="E133" s="23">
        <v>43810</v>
      </c>
      <c r="G133" s="42">
        <v>7271795</v>
      </c>
      <c r="I133" s="42">
        <v>149880</v>
      </c>
      <c r="K133" s="2">
        <f t="shared" si="31"/>
        <v>4995138</v>
      </c>
      <c r="M133" s="42">
        <v>12416813</v>
      </c>
      <c r="O133" s="42">
        <v>0</v>
      </c>
      <c r="Q133" s="2">
        <f t="shared" si="32"/>
        <v>2423918</v>
      </c>
      <c r="S133" s="42">
        <v>0</v>
      </c>
      <c r="U133" s="42">
        <v>2423918</v>
      </c>
      <c r="W133" s="42">
        <v>3865667</v>
      </c>
      <c r="Y133" s="42">
        <v>47657</v>
      </c>
      <c r="AA133" s="42">
        <v>4414750</v>
      </c>
      <c r="AC133" s="42">
        <v>0</v>
      </c>
      <c r="AE133" s="42">
        <v>111801</v>
      </c>
      <c r="AG133" s="42">
        <v>1553020</v>
      </c>
      <c r="AI133" s="10">
        <f t="shared" si="28"/>
        <v>6127228</v>
      </c>
      <c r="AK133" s="42">
        <f t="shared" si="27"/>
        <v>0</v>
      </c>
    </row>
    <row r="134" spans="1:37">
      <c r="A134" s="9" t="s">
        <v>340</v>
      </c>
      <c r="B134" s="9"/>
      <c r="C134" s="9" t="s">
        <v>341</v>
      </c>
      <c r="D134" s="9"/>
      <c r="E134" s="23">
        <v>47548</v>
      </c>
      <c r="G134" s="42">
        <v>795303</v>
      </c>
      <c r="I134" s="42">
        <v>0</v>
      </c>
      <c r="K134" s="2">
        <f t="shared" si="31"/>
        <v>2524853</v>
      </c>
      <c r="M134" s="42">
        <v>3320156</v>
      </c>
      <c r="O134" s="42">
        <v>0</v>
      </c>
      <c r="Q134" s="2">
        <f t="shared" si="32"/>
        <v>462495</v>
      </c>
      <c r="S134" s="42">
        <v>0</v>
      </c>
      <c r="U134" s="42">
        <v>462495</v>
      </c>
      <c r="W134" s="42">
        <v>2110892</v>
      </c>
      <c r="Y134" s="42">
        <f>324+23094</f>
        <v>23418</v>
      </c>
      <c r="AA134" s="42">
        <f>215901+720+36847+1174</f>
        <v>254642</v>
      </c>
      <c r="AC134" s="42">
        <v>0</v>
      </c>
      <c r="AE134" s="42">
        <f>2523+7752</f>
        <v>10275</v>
      </c>
      <c r="AG134" s="42">
        <v>458434</v>
      </c>
      <c r="AI134" s="10">
        <f t="shared" si="28"/>
        <v>746769</v>
      </c>
      <c r="AK134" s="42">
        <f t="shared" si="27"/>
        <v>0</v>
      </c>
    </row>
    <row r="135" spans="1:37" hidden="1">
      <c r="A135" s="9" t="s">
        <v>671</v>
      </c>
      <c r="B135" s="9"/>
      <c r="C135" s="9" t="s">
        <v>464</v>
      </c>
      <c r="D135" s="9"/>
      <c r="E135" s="23">
        <v>49320</v>
      </c>
      <c r="G135" s="42">
        <v>0</v>
      </c>
      <c r="I135" s="42">
        <v>0</v>
      </c>
      <c r="K135" s="2">
        <f t="shared" si="31"/>
        <v>0</v>
      </c>
      <c r="M135" s="42">
        <v>0</v>
      </c>
      <c r="O135" s="42">
        <v>0</v>
      </c>
      <c r="Q135" s="2">
        <f t="shared" si="32"/>
        <v>0</v>
      </c>
      <c r="S135" s="42">
        <v>0</v>
      </c>
      <c r="U135" s="42">
        <v>0</v>
      </c>
      <c r="W135" s="42">
        <v>0</v>
      </c>
      <c r="Y135" s="42">
        <v>0</v>
      </c>
      <c r="AA135" s="42">
        <v>0</v>
      </c>
      <c r="AC135" s="42">
        <v>0</v>
      </c>
      <c r="AE135" s="42">
        <v>0</v>
      </c>
      <c r="AG135" s="42">
        <v>0</v>
      </c>
      <c r="AI135" s="10">
        <f t="shared" si="28"/>
        <v>0</v>
      </c>
      <c r="AK135" s="42">
        <f t="shared" si="27"/>
        <v>0</v>
      </c>
    </row>
    <row r="136" spans="1:37" ht="12" customHeight="1">
      <c r="A136" s="9" t="s">
        <v>504</v>
      </c>
      <c r="B136" s="9"/>
      <c r="C136" s="9" t="s">
        <v>63</v>
      </c>
      <c r="D136" s="9"/>
      <c r="E136" s="23">
        <v>49981</v>
      </c>
      <c r="G136" s="42">
        <v>17901827</v>
      </c>
      <c r="I136" s="42">
        <v>0</v>
      </c>
      <c r="K136" s="2">
        <f t="shared" si="31"/>
        <v>32058392</v>
      </c>
      <c r="M136" s="42">
        <v>49960219</v>
      </c>
      <c r="O136" s="42">
        <v>0</v>
      </c>
      <c r="Q136" s="2">
        <f t="shared" si="32"/>
        <v>5496462</v>
      </c>
      <c r="S136" s="42">
        <v>0</v>
      </c>
      <c r="U136" s="42">
        <v>5496462</v>
      </c>
      <c r="W136" s="42">
        <v>30470058</v>
      </c>
      <c r="Y136" s="42">
        <v>8286</v>
      </c>
      <c r="AA136" s="42">
        <v>4294092</v>
      </c>
      <c r="AC136" s="42">
        <v>0</v>
      </c>
      <c r="AE136" s="42">
        <v>478169</v>
      </c>
      <c r="AG136" s="42">
        <v>9213152</v>
      </c>
      <c r="AI136" s="10">
        <f t="shared" si="28"/>
        <v>13993699</v>
      </c>
      <c r="AK136" s="42">
        <f t="shared" si="27"/>
        <v>0</v>
      </c>
    </row>
    <row r="137" spans="1:37" ht="12" customHeight="1">
      <c r="A137" s="9" t="s">
        <v>334</v>
      </c>
      <c r="B137" s="9"/>
      <c r="C137" s="9" t="s">
        <v>33</v>
      </c>
      <c r="D137" s="9"/>
      <c r="E137" s="23">
        <v>47431</v>
      </c>
      <c r="G137" s="42">
        <v>2897572</v>
      </c>
      <c r="I137" s="42">
        <v>0</v>
      </c>
      <c r="K137" s="2">
        <f t="shared" si="31"/>
        <v>3076292</v>
      </c>
      <c r="M137" s="42">
        <v>5973864</v>
      </c>
      <c r="O137" s="42">
        <v>0</v>
      </c>
      <c r="Q137" s="2">
        <f t="shared" si="32"/>
        <v>1292220</v>
      </c>
      <c r="S137" s="42">
        <v>0</v>
      </c>
      <c r="U137" s="42">
        <v>1292220</v>
      </c>
      <c r="W137" s="42">
        <v>2069388</v>
      </c>
      <c r="Y137" s="42">
        <v>2216</v>
      </c>
      <c r="AA137" s="42">
        <v>1645093</v>
      </c>
      <c r="AC137" s="42">
        <v>0</v>
      </c>
      <c r="AE137" s="42">
        <v>65829</v>
      </c>
      <c r="AG137" s="42">
        <v>899118</v>
      </c>
      <c r="AI137" s="10">
        <f t="shared" si="28"/>
        <v>2612256</v>
      </c>
      <c r="AK137" s="42">
        <f t="shared" si="27"/>
        <v>0</v>
      </c>
    </row>
    <row r="138" spans="1:37" ht="12" customHeight="1">
      <c r="A138" s="9" t="s">
        <v>251</v>
      </c>
      <c r="B138" s="9"/>
      <c r="C138" s="9" t="s">
        <v>19</v>
      </c>
      <c r="D138" s="9"/>
      <c r="E138" s="23">
        <v>43828</v>
      </c>
      <c r="G138" s="42">
        <v>11125592</v>
      </c>
      <c r="I138" s="42">
        <v>365785</v>
      </c>
      <c r="K138" s="2">
        <f t="shared" si="31"/>
        <v>7362572</v>
      </c>
      <c r="M138" s="42">
        <v>18853949</v>
      </c>
      <c r="O138" s="42">
        <v>0</v>
      </c>
      <c r="Q138" s="2">
        <f t="shared" si="32"/>
        <v>2423689</v>
      </c>
      <c r="S138" s="42">
        <v>0</v>
      </c>
      <c r="U138" s="42">
        <v>2423689</v>
      </c>
      <c r="W138" s="42">
        <v>6594324</v>
      </c>
      <c r="Y138" s="42">
        <v>13876</v>
      </c>
      <c r="AA138" s="42">
        <v>8633319</v>
      </c>
      <c r="AC138" s="42">
        <v>0</v>
      </c>
      <c r="AE138" s="42">
        <v>582692</v>
      </c>
      <c r="AG138" s="42">
        <v>606049</v>
      </c>
      <c r="AI138" s="10">
        <f t="shared" si="28"/>
        <v>9835936</v>
      </c>
      <c r="AK138" s="42">
        <f t="shared" si="27"/>
        <v>0</v>
      </c>
    </row>
    <row r="139" spans="1:37" ht="12" customHeight="1">
      <c r="A139" s="9" t="s">
        <v>599</v>
      </c>
      <c r="B139" s="9"/>
      <c r="C139" s="9" t="s">
        <v>63</v>
      </c>
      <c r="D139" s="9"/>
      <c r="E139" s="23">
        <v>49999</v>
      </c>
      <c r="G139" s="42">
        <v>0</v>
      </c>
      <c r="I139" s="42">
        <v>0</v>
      </c>
      <c r="K139" s="2">
        <f t="shared" si="31"/>
        <v>11993310</v>
      </c>
      <c r="M139" s="42">
        <v>11993310</v>
      </c>
      <c r="O139" s="42">
        <v>0</v>
      </c>
      <c r="Q139" s="2">
        <f t="shared" si="32"/>
        <v>4907776</v>
      </c>
      <c r="S139" s="42">
        <v>0</v>
      </c>
      <c r="U139" s="42">
        <f>15633444-10725668</f>
        <v>4907776</v>
      </c>
      <c r="W139" s="42">
        <v>10725668</v>
      </c>
      <c r="Y139" s="42">
        <v>0</v>
      </c>
      <c r="AA139" s="42">
        <v>105859</v>
      </c>
      <c r="AC139" s="42">
        <v>11000</v>
      </c>
      <c r="AE139" s="42">
        <v>61</v>
      </c>
      <c r="AG139" s="42">
        <v>-3757054</v>
      </c>
      <c r="AI139" s="10">
        <f t="shared" si="28"/>
        <v>-3640134</v>
      </c>
      <c r="AK139" s="42">
        <f t="shared" si="27"/>
        <v>0</v>
      </c>
    </row>
    <row r="140" spans="1:37" ht="12" customHeight="1">
      <c r="A140" s="9" t="s">
        <v>752</v>
      </c>
      <c r="B140" s="9"/>
      <c r="C140" s="9" t="s">
        <v>48</v>
      </c>
      <c r="D140" s="9"/>
      <c r="E140" s="23">
        <v>45336</v>
      </c>
      <c r="G140" s="42">
        <v>2070138</v>
      </c>
      <c r="I140" s="42">
        <v>0</v>
      </c>
      <c r="K140" s="2">
        <f t="shared" si="31"/>
        <v>2649202</v>
      </c>
      <c r="M140" s="42">
        <v>4719340</v>
      </c>
      <c r="O140" s="42">
        <v>0</v>
      </c>
      <c r="Q140" s="2">
        <f t="shared" si="32"/>
        <v>733382</v>
      </c>
      <c r="S140" s="42">
        <v>0</v>
      </c>
      <c r="U140" s="42">
        <v>733382</v>
      </c>
      <c r="W140" s="42">
        <v>1625359</v>
      </c>
      <c r="Y140" s="42">
        <f>16818+5394</f>
        <v>22212</v>
      </c>
      <c r="AA140" s="42">
        <f>160808+11925+1436+1161+126316+39763</f>
        <v>341409</v>
      </c>
      <c r="AC140" s="42">
        <v>7635</v>
      </c>
      <c r="AE140" s="42">
        <f>2128+26382+13283</f>
        <v>41793</v>
      </c>
      <c r="AG140" s="42">
        <v>1947550</v>
      </c>
      <c r="AI140" s="10">
        <f t="shared" si="28"/>
        <v>2360599</v>
      </c>
      <c r="AK140" s="42">
        <f t="shared" si="27"/>
        <v>0</v>
      </c>
    </row>
    <row r="141" spans="1:37" ht="12" hidden="1" customHeight="1">
      <c r="A141" s="9" t="s">
        <v>825</v>
      </c>
      <c r="B141" s="9"/>
      <c r="C141" s="9" t="s">
        <v>110</v>
      </c>
      <c r="D141" s="9"/>
      <c r="E141" s="23">
        <v>45344</v>
      </c>
      <c r="G141" s="42">
        <v>0</v>
      </c>
      <c r="I141" s="42">
        <v>0</v>
      </c>
      <c r="K141" s="2">
        <f t="shared" si="31"/>
        <v>0</v>
      </c>
      <c r="M141" s="42">
        <v>0</v>
      </c>
      <c r="O141" s="42">
        <v>0</v>
      </c>
      <c r="Q141" s="2">
        <f t="shared" si="32"/>
        <v>0</v>
      </c>
      <c r="S141" s="42">
        <v>0</v>
      </c>
      <c r="U141" s="42">
        <v>0</v>
      </c>
      <c r="W141" s="42">
        <v>0</v>
      </c>
      <c r="Y141" s="42">
        <v>0</v>
      </c>
      <c r="AA141" s="42">
        <v>0</v>
      </c>
      <c r="AC141" s="42">
        <v>0</v>
      </c>
      <c r="AE141" s="42">
        <v>0</v>
      </c>
      <c r="AG141" s="42">
        <v>0</v>
      </c>
      <c r="AI141" s="10">
        <f t="shared" si="28"/>
        <v>0</v>
      </c>
      <c r="AK141" s="42">
        <f t="shared" si="27"/>
        <v>0</v>
      </c>
    </row>
    <row r="142" spans="1:37" ht="12" customHeight="1">
      <c r="A142" s="9" t="s">
        <v>245</v>
      </c>
      <c r="B142" s="9"/>
      <c r="C142" s="9" t="s">
        <v>111</v>
      </c>
      <c r="D142" s="9"/>
      <c r="E142" s="23">
        <v>46433</v>
      </c>
      <c r="G142" s="42">
        <v>2513314</v>
      </c>
      <c r="I142" s="42">
        <v>0</v>
      </c>
      <c r="K142" s="2">
        <f t="shared" si="31"/>
        <v>3190365</v>
      </c>
      <c r="M142" s="42">
        <v>5703679</v>
      </c>
      <c r="O142" s="42">
        <v>0</v>
      </c>
      <c r="Q142" s="2">
        <f t="shared" si="32"/>
        <v>1359334</v>
      </c>
      <c r="S142" s="42">
        <v>0</v>
      </c>
      <c r="U142" s="42">
        <v>1359334</v>
      </c>
      <c r="W142" s="42">
        <v>2444220</v>
      </c>
      <c r="Y142" s="42">
        <v>43868</v>
      </c>
      <c r="AA142" s="42">
        <v>924366</v>
      </c>
      <c r="AC142" s="42">
        <v>101889</v>
      </c>
      <c r="AE142" s="42">
        <v>152525</v>
      </c>
      <c r="AG142" s="42">
        <v>677477</v>
      </c>
      <c r="AI142" s="10">
        <f t="shared" si="28"/>
        <v>1900125</v>
      </c>
      <c r="AK142" s="42">
        <f t="shared" si="27"/>
        <v>0</v>
      </c>
    </row>
    <row r="143" spans="1:37" ht="12" customHeight="1">
      <c r="A143" s="9" t="s">
        <v>245</v>
      </c>
      <c r="B143" s="9"/>
      <c r="C143" s="9" t="s">
        <v>109</v>
      </c>
      <c r="D143" s="9"/>
      <c r="E143" s="23">
        <v>49429</v>
      </c>
      <c r="G143" s="42">
        <v>7078374</v>
      </c>
      <c r="I143" s="42">
        <v>0</v>
      </c>
      <c r="K143" s="2">
        <f t="shared" si="31"/>
        <v>3358040</v>
      </c>
      <c r="M143" s="42">
        <v>10436414</v>
      </c>
      <c r="O143" s="42">
        <v>0</v>
      </c>
      <c r="Q143" s="2">
        <f t="shared" si="32"/>
        <v>1160418</v>
      </c>
      <c r="S143" s="42">
        <v>0</v>
      </c>
      <c r="U143" s="42">
        <v>1160418</v>
      </c>
      <c r="W143" s="42">
        <v>2577230</v>
      </c>
      <c r="Y143" s="42">
        <f>22820+57177</f>
        <v>79997</v>
      </c>
      <c r="AA143" s="42">
        <f>193164+286547+214276+268666+2585+4444+966+41584</f>
        <v>1012232</v>
      </c>
      <c r="AC143" s="42">
        <v>18791</v>
      </c>
      <c r="AE143" s="42">
        <f>15996+75684+5878+230456+325+753</f>
        <v>329092</v>
      </c>
      <c r="AG143" s="42">
        <v>5258654</v>
      </c>
      <c r="AI143" s="10">
        <f t="shared" si="28"/>
        <v>6698766</v>
      </c>
      <c r="AK143" s="42">
        <f t="shared" ref="AK143:AK206" si="33">+G143+I143+K143+O143-U143-W143-AC143-AA143-Y143-AE143-AG143</f>
        <v>0</v>
      </c>
    </row>
    <row r="144" spans="1:37" ht="12" hidden="1" customHeight="1">
      <c r="A144" s="9" t="s">
        <v>650</v>
      </c>
      <c r="B144" s="9"/>
      <c r="C144" s="9" t="s">
        <v>67</v>
      </c>
      <c r="D144" s="9"/>
      <c r="E144" s="23">
        <v>50351</v>
      </c>
      <c r="G144" s="42">
        <v>0</v>
      </c>
      <c r="I144" s="42">
        <v>0</v>
      </c>
      <c r="K144" s="2">
        <f t="shared" si="31"/>
        <v>0</v>
      </c>
      <c r="M144" s="42">
        <v>0</v>
      </c>
      <c r="O144" s="42">
        <v>0</v>
      </c>
      <c r="Q144" s="2">
        <f t="shared" si="32"/>
        <v>0</v>
      </c>
      <c r="S144" s="42">
        <v>0</v>
      </c>
      <c r="U144" s="42">
        <v>0</v>
      </c>
      <c r="W144" s="42">
        <v>0</v>
      </c>
      <c r="Y144" s="42">
        <v>0</v>
      </c>
      <c r="AA144" s="42">
        <v>0</v>
      </c>
      <c r="AC144" s="42">
        <v>0</v>
      </c>
      <c r="AE144" s="42">
        <v>0</v>
      </c>
      <c r="AG144" s="42">
        <v>0</v>
      </c>
      <c r="AI144" s="10">
        <f t="shared" si="28"/>
        <v>0</v>
      </c>
      <c r="AK144" s="42">
        <f t="shared" si="33"/>
        <v>0</v>
      </c>
    </row>
    <row r="145" spans="1:37" ht="12" customHeight="1">
      <c r="A145" s="9" t="s">
        <v>712</v>
      </c>
      <c r="B145" s="9"/>
      <c r="C145" s="9" t="s">
        <v>56</v>
      </c>
      <c r="D145" s="9"/>
      <c r="E145" s="23">
        <v>49189</v>
      </c>
      <c r="G145" s="42">
        <f>6353994+1684371</f>
        <v>8038365</v>
      </c>
      <c r="I145" s="42">
        <v>0</v>
      </c>
      <c r="K145" s="2">
        <f t="shared" si="31"/>
        <v>8901461</v>
      </c>
      <c r="M145" s="42">
        <v>16939826</v>
      </c>
      <c r="O145" s="42">
        <v>0</v>
      </c>
      <c r="Q145" s="2">
        <f t="shared" si="32"/>
        <v>10675332</v>
      </c>
      <c r="S145" s="42">
        <v>0</v>
      </c>
      <c r="U145" s="42">
        <v>10675332</v>
      </c>
      <c r="W145" s="42">
        <v>0</v>
      </c>
      <c r="Y145" s="42">
        <v>27050</v>
      </c>
      <c r="AA145" s="42">
        <v>5726940</v>
      </c>
      <c r="AC145" s="42">
        <v>0</v>
      </c>
      <c r="AE145" s="42">
        <v>222266</v>
      </c>
      <c r="AG145" s="42">
        <v>288238</v>
      </c>
      <c r="AI145" s="10">
        <f t="shared" si="28"/>
        <v>6264494</v>
      </c>
      <c r="AK145" s="42">
        <f t="shared" si="33"/>
        <v>0</v>
      </c>
    </row>
    <row r="146" spans="1:37" ht="12" customHeight="1">
      <c r="A146" s="9" t="s">
        <v>753</v>
      </c>
      <c r="B146" s="9"/>
      <c r="C146" s="9" t="s">
        <v>448</v>
      </c>
      <c r="D146" s="9"/>
      <c r="E146" s="23">
        <v>45351</v>
      </c>
      <c r="G146" s="42">
        <v>1454838</v>
      </c>
      <c r="I146" s="42">
        <v>21459</v>
      </c>
      <c r="K146" s="2">
        <f t="shared" si="31"/>
        <v>2685831</v>
      </c>
      <c r="M146" s="42">
        <v>4162128</v>
      </c>
      <c r="O146" s="42">
        <v>0</v>
      </c>
      <c r="Q146" s="2">
        <f t="shared" si="32"/>
        <v>1157421</v>
      </c>
      <c r="S146" s="42">
        <v>0</v>
      </c>
      <c r="U146" s="42">
        <v>1157421</v>
      </c>
      <c r="W146" s="42">
        <v>2118725</v>
      </c>
      <c r="Y146" s="42">
        <v>132447</v>
      </c>
      <c r="AA146" s="42">
        <v>846267</v>
      </c>
      <c r="AC146" s="42">
        <v>0</v>
      </c>
      <c r="AE146" s="42">
        <v>96713</v>
      </c>
      <c r="AG146" s="42">
        <v>-189445</v>
      </c>
      <c r="AI146" s="10">
        <f t="shared" si="28"/>
        <v>885982</v>
      </c>
      <c r="AK146" s="42">
        <f t="shared" si="33"/>
        <v>0</v>
      </c>
    </row>
    <row r="147" spans="1:37" ht="12" customHeight="1">
      <c r="A147" s="9" t="s">
        <v>651</v>
      </c>
      <c r="B147" s="9"/>
      <c r="C147" s="9" t="s">
        <v>63</v>
      </c>
      <c r="D147" s="9"/>
      <c r="E147" s="23">
        <v>43836</v>
      </c>
      <c r="G147" s="42">
        <v>6136694</v>
      </c>
      <c r="I147" s="42">
        <v>0</v>
      </c>
      <c r="K147" s="2">
        <f t="shared" si="31"/>
        <v>28697666</v>
      </c>
      <c r="M147" s="42">
        <v>34834360</v>
      </c>
      <c r="O147" s="42">
        <v>0</v>
      </c>
      <c r="Q147" s="2">
        <f t="shared" si="32"/>
        <v>5148083</v>
      </c>
      <c r="S147" s="42">
        <v>0</v>
      </c>
      <c r="U147" s="42">
        <v>5148083</v>
      </c>
      <c r="W147" s="42">
        <v>27155671</v>
      </c>
      <c r="Y147" s="42">
        <f>91519+25170+1369</f>
        <v>118058</v>
      </c>
      <c r="AA147" s="42">
        <f>300664+408016+1078+17974+50855+147745</f>
        <v>926332</v>
      </c>
      <c r="AC147" s="42">
        <f>394493+13663+11000</f>
        <v>419156</v>
      </c>
      <c r="AE147" s="42">
        <f>130109+48876+4192+14150+88827+6089+47395</f>
        <v>339638</v>
      </c>
      <c r="AG147" s="42">
        <v>727422</v>
      </c>
      <c r="AI147" s="10">
        <f t="shared" si="28"/>
        <v>2530606</v>
      </c>
      <c r="AK147" s="42">
        <f t="shared" si="33"/>
        <v>0</v>
      </c>
    </row>
    <row r="148" spans="1:37">
      <c r="A148" s="9" t="s">
        <v>713</v>
      </c>
      <c r="B148" s="9"/>
      <c r="C148" s="9" t="s">
        <v>20</v>
      </c>
      <c r="D148" s="9"/>
      <c r="E148" s="23">
        <v>46557</v>
      </c>
      <c r="G148" s="42">
        <v>2998579</v>
      </c>
      <c r="I148" s="42">
        <v>51309</v>
      </c>
      <c r="K148" s="2">
        <f t="shared" si="31"/>
        <v>11918070</v>
      </c>
      <c r="M148" s="42">
        <v>14967958</v>
      </c>
      <c r="O148" s="42">
        <v>0</v>
      </c>
      <c r="Q148" s="2">
        <f t="shared" si="32"/>
        <v>1424606</v>
      </c>
      <c r="S148" s="42">
        <v>0</v>
      </c>
      <c r="U148" s="42">
        <v>1424606</v>
      </c>
      <c r="W148" s="42">
        <v>10401740</v>
      </c>
      <c r="Y148" s="42">
        <v>5609</v>
      </c>
      <c r="AA148" s="42">
        <v>1421332</v>
      </c>
      <c r="AC148" s="42">
        <v>0</v>
      </c>
      <c r="AE148" s="42">
        <v>139135</v>
      </c>
      <c r="AG148" s="42">
        <v>1575536</v>
      </c>
      <c r="AI148" s="10">
        <f t="shared" ref="AI148:AI213" si="34">Y148+AA148+AC148+AE148+AG148</f>
        <v>3141612</v>
      </c>
      <c r="AK148" s="42">
        <f t="shared" si="33"/>
        <v>0</v>
      </c>
    </row>
    <row r="149" spans="1:37">
      <c r="A149" s="9" t="s">
        <v>604</v>
      </c>
      <c r="B149" s="9"/>
      <c r="C149" s="9" t="s">
        <v>71</v>
      </c>
      <c r="D149" s="9"/>
      <c r="E149" s="23">
        <v>50542</v>
      </c>
      <c r="G149" s="42">
        <f>14272486+1127911</f>
        <v>15400397</v>
      </c>
      <c r="I149" s="42">
        <v>0</v>
      </c>
      <c r="K149" s="2">
        <f t="shared" si="31"/>
        <v>8969371</v>
      </c>
      <c r="M149" s="42">
        <v>24369768</v>
      </c>
      <c r="O149" s="42">
        <v>0</v>
      </c>
      <c r="Q149" s="2">
        <f t="shared" si="32"/>
        <v>1780799</v>
      </c>
      <c r="S149" s="42">
        <v>0</v>
      </c>
      <c r="U149" s="42">
        <v>1780799</v>
      </c>
      <c r="W149" s="42">
        <v>8051655</v>
      </c>
      <c r="Y149" s="42">
        <v>2912</v>
      </c>
      <c r="AA149" s="42">
        <f>451906+12909984+51991+24818+1127+4113+10091</f>
        <v>13454030</v>
      </c>
      <c r="AC149" s="42">
        <v>0</v>
      </c>
      <c r="AE149" s="42">
        <f>262+71789+436697</f>
        <v>508748</v>
      </c>
      <c r="AG149" s="42">
        <v>571624</v>
      </c>
      <c r="AI149" s="10">
        <f t="shared" si="34"/>
        <v>14537314</v>
      </c>
      <c r="AK149" s="42">
        <f t="shared" si="33"/>
        <v>0</v>
      </c>
    </row>
    <row r="150" spans="1:37" hidden="1">
      <c r="A150" s="9" t="s">
        <v>735</v>
      </c>
      <c r="B150" s="9"/>
      <c r="C150" s="9" t="s">
        <v>53</v>
      </c>
      <c r="D150" s="9"/>
      <c r="E150" s="23">
        <v>48934</v>
      </c>
      <c r="G150" s="42">
        <v>0</v>
      </c>
      <c r="I150" s="42">
        <v>0</v>
      </c>
      <c r="K150" s="2">
        <f t="shared" si="31"/>
        <v>0</v>
      </c>
      <c r="M150" s="42">
        <v>0</v>
      </c>
      <c r="O150" s="42">
        <v>0</v>
      </c>
      <c r="Q150" s="2">
        <f t="shared" si="32"/>
        <v>0</v>
      </c>
      <c r="S150" s="42">
        <v>0</v>
      </c>
      <c r="U150" s="42">
        <v>0</v>
      </c>
      <c r="W150" s="42">
        <v>0</v>
      </c>
      <c r="Y150" s="42">
        <v>0</v>
      </c>
      <c r="AA150" s="42">
        <v>0</v>
      </c>
      <c r="AC150" s="42">
        <v>0</v>
      </c>
      <c r="AE150" s="42">
        <v>0</v>
      </c>
      <c r="AG150" s="42">
        <v>0</v>
      </c>
      <c r="AI150" s="10">
        <f t="shared" si="34"/>
        <v>0</v>
      </c>
      <c r="AK150" s="42">
        <f t="shared" si="33"/>
        <v>0</v>
      </c>
    </row>
    <row r="151" spans="1:37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v>0</v>
      </c>
      <c r="I151" s="42">
        <v>0</v>
      </c>
      <c r="K151" s="2">
        <f t="shared" si="31"/>
        <v>0</v>
      </c>
      <c r="M151" s="42">
        <v>0</v>
      </c>
      <c r="O151" s="42">
        <v>0</v>
      </c>
      <c r="Q151" s="2">
        <f t="shared" si="32"/>
        <v>0</v>
      </c>
      <c r="S151" s="42">
        <v>0</v>
      </c>
      <c r="U151" s="42">
        <v>0</v>
      </c>
      <c r="W151" s="42">
        <v>0</v>
      </c>
      <c r="Y151" s="42">
        <v>0</v>
      </c>
      <c r="AA151" s="42">
        <v>0</v>
      </c>
      <c r="AC151" s="42">
        <v>0</v>
      </c>
      <c r="AE151" s="42">
        <v>0</v>
      </c>
      <c r="AG151" s="42">
        <v>0</v>
      </c>
      <c r="AI151" s="10">
        <f t="shared" si="34"/>
        <v>0</v>
      </c>
      <c r="AK151" s="42">
        <f t="shared" si="33"/>
        <v>0</v>
      </c>
    </row>
    <row r="152" spans="1:37">
      <c r="A152" s="9" t="s">
        <v>365</v>
      </c>
      <c r="B152" s="9"/>
      <c r="C152" s="9" t="s">
        <v>364</v>
      </c>
      <c r="D152" s="9"/>
      <c r="E152" s="23">
        <v>47928</v>
      </c>
      <c r="G152" s="42">
        <v>6276183</v>
      </c>
      <c r="I152" s="42">
        <v>0</v>
      </c>
      <c r="K152" s="2">
        <f t="shared" si="31"/>
        <v>1651633</v>
      </c>
      <c r="M152" s="42">
        <v>7927816</v>
      </c>
      <c r="O152" s="42">
        <v>0</v>
      </c>
      <c r="Q152" s="2">
        <f t="shared" si="32"/>
        <v>1708450</v>
      </c>
      <c r="S152" s="42">
        <v>0</v>
      </c>
      <c r="U152" s="42">
        <v>1708450</v>
      </c>
      <c r="W152" s="42">
        <v>1482571</v>
      </c>
      <c r="Y152" s="42">
        <v>22819</v>
      </c>
      <c r="AA152" s="42">
        <v>1145683</v>
      </c>
      <c r="AC152" s="42">
        <v>9541</v>
      </c>
      <c r="AE152" s="42">
        <v>1282331</v>
      </c>
      <c r="AG152" s="42">
        <v>2276421</v>
      </c>
      <c r="AI152" s="10">
        <f t="shared" si="34"/>
        <v>4736795</v>
      </c>
      <c r="AK152" s="42">
        <f t="shared" si="33"/>
        <v>0</v>
      </c>
    </row>
    <row r="153" spans="1:37">
      <c r="A153" s="9" t="s">
        <v>426</v>
      </c>
      <c r="B153" s="9"/>
      <c r="C153" s="9" t="s">
        <v>50</v>
      </c>
      <c r="D153" s="9"/>
      <c r="E153" s="23">
        <v>43844</v>
      </c>
      <c r="G153" s="42">
        <f>65023202+10461082</f>
        <v>75484284</v>
      </c>
      <c r="I153" s="42">
        <v>212254</v>
      </c>
      <c r="K153" s="2">
        <f t="shared" si="31"/>
        <v>130339647</v>
      </c>
      <c r="M153" s="42">
        <v>206036185</v>
      </c>
      <c r="O153" s="42">
        <v>0</v>
      </c>
      <c r="Q153" s="2">
        <f t="shared" si="32"/>
        <v>24332838</v>
      </c>
      <c r="S153" s="42">
        <v>0</v>
      </c>
      <c r="U153" s="42">
        <v>24332838</v>
      </c>
      <c r="W153" s="42">
        <v>119421275</v>
      </c>
      <c r="Y153" s="42">
        <v>161798</v>
      </c>
      <c r="AA153" s="42">
        <v>58376847</v>
      </c>
      <c r="AC153" s="42">
        <v>0</v>
      </c>
      <c r="AE153" s="42">
        <v>4117751</v>
      </c>
      <c r="AG153" s="42">
        <v>-374324</v>
      </c>
      <c r="AI153" s="10">
        <f t="shared" si="34"/>
        <v>62282072</v>
      </c>
      <c r="AK153" s="42">
        <f t="shared" si="33"/>
        <v>0</v>
      </c>
    </row>
    <row r="154" spans="1:37">
      <c r="A154" s="9" t="s">
        <v>877</v>
      </c>
      <c r="B154" s="9"/>
      <c r="C154" s="9" t="s">
        <v>32</v>
      </c>
      <c r="D154" s="9"/>
      <c r="E154" s="23">
        <v>43851</v>
      </c>
      <c r="G154" s="42">
        <v>6290493</v>
      </c>
      <c r="I154" s="42">
        <v>50000</v>
      </c>
      <c r="K154" s="2">
        <f t="shared" si="31"/>
        <v>9156326</v>
      </c>
      <c r="M154" s="42">
        <v>15496819</v>
      </c>
      <c r="O154" s="42">
        <v>0</v>
      </c>
      <c r="Q154" s="2">
        <f t="shared" si="32"/>
        <v>7421357</v>
      </c>
      <c r="S154" s="42">
        <v>0</v>
      </c>
      <c r="U154" s="42">
        <v>7421357</v>
      </c>
      <c r="W154" s="42">
        <v>0</v>
      </c>
      <c r="Y154" s="42">
        <v>24606</v>
      </c>
      <c r="AA154" s="42">
        <v>988492</v>
      </c>
      <c r="AC154" s="42">
        <v>280180</v>
      </c>
      <c r="AE154" s="42">
        <v>1648622</v>
      </c>
      <c r="AG154" s="42">
        <v>5133562</v>
      </c>
      <c r="AI154" s="10">
        <f t="shared" si="34"/>
        <v>8075462</v>
      </c>
      <c r="AK154" s="42">
        <f t="shared" si="33"/>
        <v>0</v>
      </c>
    </row>
    <row r="155" spans="1:37" hidden="1">
      <c r="A155" s="9" t="s">
        <v>653</v>
      </c>
      <c r="B155" s="9"/>
      <c r="C155" s="9" t="s">
        <v>22</v>
      </c>
      <c r="D155" s="9"/>
      <c r="E155" s="23">
        <v>43869</v>
      </c>
      <c r="G155" s="42">
        <v>0</v>
      </c>
      <c r="I155" s="42">
        <v>0</v>
      </c>
      <c r="K155" s="2">
        <f t="shared" si="31"/>
        <v>0</v>
      </c>
      <c r="M155" s="42">
        <v>0</v>
      </c>
      <c r="O155" s="42">
        <v>0</v>
      </c>
      <c r="Q155" s="2">
        <f t="shared" si="32"/>
        <v>0</v>
      </c>
      <c r="S155" s="42">
        <v>0</v>
      </c>
      <c r="U155" s="42">
        <v>0</v>
      </c>
      <c r="W155" s="42">
        <v>0</v>
      </c>
      <c r="Y155" s="42">
        <v>0</v>
      </c>
      <c r="AA155" s="42">
        <v>0</v>
      </c>
      <c r="AC155" s="42">
        <v>0</v>
      </c>
      <c r="AE155" s="42">
        <v>0</v>
      </c>
      <c r="AG155" s="42">
        <v>0</v>
      </c>
      <c r="AI155" s="10">
        <f t="shared" si="34"/>
        <v>0</v>
      </c>
      <c r="AK155" s="42">
        <f t="shared" si="33"/>
        <v>0</v>
      </c>
    </row>
    <row r="156" spans="1:37">
      <c r="A156" s="9" t="s">
        <v>736</v>
      </c>
      <c r="B156" s="9"/>
      <c r="C156" s="9" t="s">
        <v>23</v>
      </c>
      <c r="D156" s="9"/>
      <c r="E156" s="23">
        <v>43877</v>
      </c>
      <c r="G156" s="42">
        <v>11749098</v>
      </c>
      <c r="I156" s="42">
        <v>0</v>
      </c>
      <c r="K156" s="2">
        <f t="shared" si="31"/>
        <v>35619080</v>
      </c>
      <c r="M156" s="42">
        <v>47368178</v>
      </c>
      <c r="O156" s="42">
        <v>0</v>
      </c>
      <c r="Q156" s="2">
        <f t="shared" si="32"/>
        <v>6649775</v>
      </c>
      <c r="S156" s="42">
        <v>0</v>
      </c>
      <c r="U156" s="42">
        <v>6649775</v>
      </c>
      <c r="W156" s="42">
        <v>26034293</v>
      </c>
      <c r="Y156" s="42">
        <v>249791</v>
      </c>
      <c r="AA156" s="42">
        <v>5174017</v>
      </c>
      <c r="AC156" s="42">
        <v>0</v>
      </c>
      <c r="AE156" s="42">
        <v>90959</v>
      </c>
      <c r="AG156" s="42">
        <v>9169343</v>
      </c>
      <c r="AI156" s="10">
        <f t="shared" si="34"/>
        <v>14684110</v>
      </c>
      <c r="AK156" s="42">
        <f t="shared" si="33"/>
        <v>0</v>
      </c>
    </row>
    <row r="157" spans="1:37">
      <c r="A157" s="9" t="s">
        <v>200</v>
      </c>
      <c r="B157" s="9"/>
      <c r="C157" s="9" t="s">
        <v>10</v>
      </c>
      <c r="D157" s="9"/>
      <c r="E157" s="23">
        <v>43885</v>
      </c>
      <c r="G157" s="42">
        <v>1306135</v>
      </c>
      <c r="I157" s="42">
        <v>0</v>
      </c>
      <c r="K157" s="2">
        <f t="shared" ref="K157:K160" si="35">M157-G157-I157</f>
        <v>4582747</v>
      </c>
      <c r="M157" s="42">
        <v>5888882</v>
      </c>
      <c r="O157" s="42">
        <v>0</v>
      </c>
      <c r="Q157" s="2">
        <f t="shared" ref="Q157:Q159" si="36">U157-S157</f>
        <v>1265808</v>
      </c>
      <c r="S157" s="42">
        <v>0</v>
      </c>
      <c r="U157" s="42">
        <v>1265808</v>
      </c>
      <c r="W157" s="42">
        <v>4094295</v>
      </c>
      <c r="Y157" s="42">
        <v>23925</v>
      </c>
      <c r="AA157" s="42">
        <v>739865</v>
      </c>
      <c r="AC157" s="42">
        <v>0</v>
      </c>
      <c r="AE157" s="42">
        <v>115516</v>
      </c>
      <c r="AG157" s="42">
        <v>-350527</v>
      </c>
      <c r="AI157" s="10">
        <f t="shared" si="34"/>
        <v>528779</v>
      </c>
      <c r="AK157" s="42">
        <f t="shared" si="33"/>
        <v>0</v>
      </c>
    </row>
    <row r="158" spans="1:37">
      <c r="A158" s="9" t="s">
        <v>530</v>
      </c>
      <c r="B158" s="9"/>
      <c r="C158" s="9" t="s">
        <v>65</v>
      </c>
      <c r="D158" s="9"/>
      <c r="E158" s="23">
        <v>43893</v>
      </c>
      <c r="G158" s="42">
        <v>10809415</v>
      </c>
      <c r="I158" s="42">
        <v>0</v>
      </c>
      <c r="K158" s="2">
        <f t="shared" si="35"/>
        <v>12642564</v>
      </c>
      <c r="M158" s="42">
        <v>23451979</v>
      </c>
      <c r="O158" s="42">
        <v>0</v>
      </c>
      <c r="Q158" s="2">
        <f t="shared" si="36"/>
        <v>14325551</v>
      </c>
      <c r="S158" s="42">
        <v>0</v>
      </c>
      <c r="U158" s="42">
        <v>14325551</v>
      </c>
      <c r="W158" s="42">
        <v>0</v>
      </c>
      <c r="Y158" s="42">
        <v>0</v>
      </c>
      <c r="AA158" s="42">
        <v>1394725</v>
      </c>
      <c r="AC158" s="42">
        <v>0</v>
      </c>
      <c r="AE158" s="42">
        <v>1868999</v>
      </c>
      <c r="AG158" s="42">
        <v>5862704</v>
      </c>
      <c r="AI158" s="10">
        <f t="shared" si="34"/>
        <v>9126428</v>
      </c>
      <c r="AK158" s="42">
        <f t="shared" si="33"/>
        <v>0</v>
      </c>
    </row>
    <row r="159" spans="1:37">
      <c r="A159" s="9" t="s">
        <v>300</v>
      </c>
      <c r="B159" s="9"/>
      <c r="C159" s="9" t="s">
        <v>27</v>
      </c>
      <c r="D159" s="9"/>
      <c r="E159" s="23">
        <v>47027</v>
      </c>
      <c r="G159" s="42">
        <v>54553493</v>
      </c>
      <c r="I159" s="42">
        <v>0</v>
      </c>
      <c r="K159" s="2">
        <f t="shared" si="35"/>
        <v>257941988</v>
      </c>
      <c r="M159" s="42">
        <v>312495481</v>
      </c>
      <c r="O159" s="42">
        <v>0</v>
      </c>
      <c r="Q159" s="2">
        <f t="shared" si="36"/>
        <v>20105424</v>
      </c>
      <c r="S159" s="42">
        <v>0</v>
      </c>
      <c r="U159" s="42">
        <v>20105424</v>
      </c>
      <c r="W159" s="42">
        <v>203459290</v>
      </c>
      <c r="Y159" s="42">
        <v>225829</v>
      </c>
      <c r="AA159" s="42">
        <f>15349400+131278+200577+364761+14451+90431+67977+158632</f>
        <v>16377507</v>
      </c>
      <c r="AC159" s="42">
        <f>1650848+1916266+12191+1763386</f>
        <v>5342691</v>
      </c>
      <c r="AE159" s="42">
        <f>29407489+1624811+288512+99499+496299+252587</f>
        <v>32169197</v>
      </c>
      <c r="AG159" s="42">
        <v>34815543</v>
      </c>
      <c r="AI159" s="10">
        <f t="shared" si="34"/>
        <v>88930767</v>
      </c>
      <c r="AK159" s="42">
        <f t="shared" si="33"/>
        <v>0</v>
      </c>
    </row>
    <row r="160" spans="1:37">
      <c r="A160" s="9" t="s">
        <v>264</v>
      </c>
      <c r="B160" s="9"/>
      <c r="C160" s="9" t="s">
        <v>20</v>
      </c>
      <c r="D160" s="9"/>
      <c r="E160" s="23">
        <v>43901</v>
      </c>
      <c r="G160" s="42">
        <f>30143642+7889</f>
        <v>30151531</v>
      </c>
      <c r="I160" s="42">
        <v>171765</v>
      </c>
      <c r="K160" s="2">
        <f t="shared" si="35"/>
        <v>15967621</v>
      </c>
      <c r="M160" s="42">
        <v>46290917</v>
      </c>
      <c r="O160" s="42">
        <v>0</v>
      </c>
      <c r="Q160" s="2">
        <f>U160-S160</f>
        <v>10934121</v>
      </c>
      <c r="S160" s="42">
        <v>0</v>
      </c>
      <c r="U160" s="42">
        <v>10934121</v>
      </c>
      <c r="W160" s="42">
        <v>8180444</v>
      </c>
      <c r="Y160" s="42">
        <v>182128</v>
      </c>
      <c r="AA160" s="42">
        <v>5833766</v>
      </c>
      <c r="AC160" s="42">
        <v>0</v>
      </c>
      <c r="AE160" s="42">
        <v>14670913</v>
      </c>
      <c r="AG160" s="42">
        <v>6489545</v>
      </c>
      <c r="AI160" s="10">
        <f t="shared" si="34"/>
        <v>27176352</v>
      </c>
      <c r="AK160" s="42">
        <f t="shared" si="33"/>
        <v>0</v>
      </c>
    </row>
    <row r="161" spans="1:37">
      <c r="A161" s="9" t="s">
        <v>242</v>
      </c>
      <c r="B161" s="9"/>
      <c r="C161" s="9" t="s">
        <v>18</v>
      </c>
      <c r="D161" s="9"/>
      <c r="E161" s="23">
        <v>46409</v>
      </c>
      <c r="G161" s="42">
        <v>5586177</v>
      </c>
      <c r="I161" s="42">
        <v>0</v>
      </c>
      <c r="K161" s="2">
        <f>M161-G161-I161</f>
        <v>3779523</v>
      </c>
      <c r="M161" s="42">
        <v>9365700</v>
      </c>
      <c r="O161" s="42">
        <v>0</v>
      </c>
      <c r="Q161" s="2">
        <f>U161-S161</f>
        <v>1297976</v>
      </c>
      <c r="S161" s="42">
        <v>0</v>
      </c>
      <c r="U161" s="42">
        <v>1297976</v>
      </c>
      <c r="W161" s="42">
        <v>3344395</v>
      </c>
      <c r="Y161" s="42">
        <v>303039</v>
      </c>
      <c r="AA161" s="42">
        <v>1636102</v>
      </c>
      <c r="AC161" s="42">
        <v>28228</v>
      </c>
      <c r="AE161" s="42">
        <v>91919</v>
      </c>
      <c r="AG161" s="42">
        <v>2664041</v>
      </c>
      <c r="AI161" s="10">
        <f t="shared" si="34"/>
        <v>4723329</v>
      </c>
      <c r="AK161" s="42">
        <f t="shared" si="33"/>
        <v>0</v>
      </c>
    </row>
    <row r="162" spans="1:37">
      <c r="A162" s="9" t="s">
        <v>318</v>
      </c>
      <c r="B162" s="9"/>
      <c r="C162" s="9" t="s">
        <v>31</v>
      </c>
      <c r="D162" s="9"/>
      <c r="E162" s="23">
        <v>69682</v>
      </c>
      <c r="G162" s="42">
        <v>6318863</v>
      </c>
      <c r="I162" s="42">
        <v>0</v>
      </c>
      <c r="K162" s="2">
        <f t="shared" ref="K162:K227" si="37">M162-G162-I162</f>
        <v>4074713</v>
      </c>
      <c r="M162" s="42">
        <v>10393576</v>
      </c>
      <c r="O162" s="42">
        <v>0</v>
      </c>
      <c r="Q162" s="2">
        <f t="shared" ref="Q162:Q212" si="38">U162-S162</f>
        <v>3959743</v>
      </c>
      <c r="S162" s="42">
        <v>0</v>
      </c>
      <c r="U162" s="42">
        <v>3959743</v>
      </c>
      <c r="W162" s="42">
        <v>0</v>
      </c>
      <c r="Y162" s="42">
        <v>35804</v>
      </c>
      <c r="AA162" s="42">
        <f>32676+7215+118122+1464075+866200</f>
        <v>2488288</v>
      </c>
      <c r="AC162" s="42">
        <v>688189</v>
      </c>
      <c r="AE162" s="42">
        <v>1013448</v>
      </c>
      <c r="AG162" s="42">
        <v>2208104</v>
      </c>
      <c r="AI162" s="10">
        <f t="shared" si="34"/>
        <v>6433833</v>
      </c>
      <c r="AK162" s="42">
        <f t="shared" si="33"/>
        <v>0</v>
      </c>
    </row>
    <row r="163" spans="1:37">
      <c r="A163" s="9" t="s">
        <v>351</v>
      </c>
      <c r="B163" s="9"/>
      <c r="C163" s="9" t="s">
        <v>36</v>
      </c>
      <c r="D163" s="9"/>
      <c r="E163" s="23">
        <v>47688</v>
      </c>
      <c r="G163" s="42">
        <v>6622909</v>
      </c>
      <c r="I163" s="42">
        <v>0</v>
      </c>
      <c r="K163" s="2">
        <f t="shared" si="37"/>
        <v>9386939</v>
      </c>
      <c r="M163" s="42">
        <v>16009848</v>
      </c>
      <c r="O163" s="42">
        <v>0</v>
      </c>
      <c r="Q163" s="2">
        <f t="shared" si="38"/>
        <v>10532939</v>
      </c>
      <c r="S163" s="42">
        <v>0</v>
      </c>
      <c r="U163" s="42">
        <v>10532939</v>
      </c>
      <c r="W163" s="42">
        <v>0</v>
      </c>
      <c r="Y163" s="42">
        <v>57540</v>
      </c>
      <c r="AA163" s="42">
        <v>1428906</v>
      </c>
      <c r="AC163" s="42">
        <v>0</v>
      </c>
      <c r="AE163" s="42">
        <v>643053</v>
      </c>
      <c r="AG163" s="42">
        <v>3347410</v>
      </c>
      <c r="AI163" s="10">
        <f t="shared" si="34"/>
        <v>5476909</v>
      </c>
      <c r="AK163" s="42">
        <f t="shared" si="33"/>
        <v>0</v>
      </c>
    </row>
    <row r="164" spans="1:37" hidden="1">
      <c r="A164" s="9" t="s">
        <v>654</v>
      </c>
      <c r="B164" s="9"/>
      <c r="C164" s="9" t="s">
        <v>40</v>
      </c>
      <c r="D164" s="9"/>
      <c r="E164" s="23">
        <v>47845</v>
      </c>
      <c r="G164" s="42">
        <v>0</v>
      </c>
      <c r="I164" s="42">
        <v>0</v>
      </c>
      <c r="K164" s="2">
        <f t="shared" si="37"/>
        <v>0</v>
      </c>
      <c r="M164" s="42">
        <v>0</v>
      </c>
      <c r="O164" s="42">
        <v>0</v>
      </c>
      <c r="Q164" s="2">
        <f t="shared" si="38"/>
        <v>0</v>
      </c>
      <c r="S164" s="42">
        <v>0</v>
      </c>
      <c r="U164" s="42">
        <v>0</v>
      </c>
      <c r="W164" s="42">
        <v>0</v>
      </c>
      <c r="Y164" s="42">
        <v>0</v>
      </c>
      <c r="AA164" s="42">
        <v>0</v>
      </c>
      <c r="AC164" s="42">
        <v>0</v>
      </c>
      <c r="AE164" s="42">
        <v>0</v>
      </c>
      <c r="AG164" s="42">
        <v>0</v>
      </c>
      <c r="AI164" s="10">
        <f t="shared" si="34"/>
        <v>0</v>
      </c>
      <c r="AK164" s="42">
        <f t="shared" si="33"/>
        <v>0</v>
      </c>
    </row>
    <row r="165" spans="1:37">
      <c r="A165" s="9" t="s">
        <v>246</v>
      </c>
      <c r="B165" s="9"/>
      <c r="C165" s="9" t="s">
        <v>111</v>
      </c>
      <c r="D165" s="9"/>
      <c r="E165" s="23">
        <v>43919</v>
      </c>
      <c r="G165" s="42">
        <f>7514789+4733243</f>
        <v>12248032</v>
      </c>
      <c r="I165" s="42">
        <v>0</v>
      </c>
      <c r="K165" s="2">
        <f t="shared" si="37"/>
        <v>6815215</v>
      </c>
      <c r="M165" s="42">
        <v>19063247</v>
      </c>
      <c r="O165" s="42">
        <v>0</v>
      </c>
      <c r="Q165" s="2">
        <f t="shared" si="38"/>
        <v>9039780</v>
      </c>
      <c r="S165" s="42">
        <v>0</v>
      </c>
      <c r="U165" s="42">
        <v>9039780</v>
      </c>
      <c r="W165" s="42">
        <v>0</v>
      </c>
      <c r="Y165" s="42">
        <v>0</v>
      </c>
      <c r="AA165" s="42">
        <v>8312709</v>
      </c>
      <c r="AC165" s="42">
        <v>0</v>
      </c>
      <c r="AE165" s="42">
        <v>1748167</v>
      </c>
      <c r="AG165" s="42">
        <v>-37409</v>
      </c>
      <c r="AI165" s="10">
        <f t="shared" si="34"/>
        <v>10023467</v>
      </c>
      <c r="AK165" s="42">
        <f t="shared" si="33"/>
        <v>0</v>
      </c>
    </row>
    <row r="166" spans="1:37">
      <c r="A166" s="9" t="s">
        <v>440</v>
      </c>
      <c r="B166" s="9"/>
      <c r="C166" s="9" t="s">
        <v>51</v>
      </c>
      <c r="D166" s="9"/>
      <c r="E166" s="23">
        <v>48835</v>
      </c>
      <c r="G166" s="42">
        <f>7856272+525</f>
        <v>7856797</v>
      </c>
      <c r="I166" s="42">
        <v>2258</v>
      </c>
      <c r="K166" s="2">
        <f t="shared" si="37"/>
        <v>8699419</v>
      </c>
      <c r="M166" s="42">
        <v>16558474</v>
      </c>
      <c r="O166" s="42">
        <v>0</v>
      </c>
      <c r="Q166" s="2">
        <f t="shared" si="38"/>
        <v>3006588</v>
      </c>
      <c r="S166" s="42">
        <v>0</v>
      </c>
      <c r="U166" s="42">
        <v>3006588</v>
      </c>
      <c r="W166" s="42">
        <v>6004992</v>
      </c>
      <c r="Y166" s="42">
        <f>158675+32209+2258</f>
        <v>193142</v>
      </c>
      <c r="AA166" s="42">
        <f>374224+221+6419+161825+1355054+520959+94878</f>
        <v>2513580</v>
      </c>
      <c r="AC166" s="42">
        <v>0</v>
      </c>
      <c r="AE166" s="42">
        <f>132770+250000+58763</f>
        <v>441533</v>
      </c>
      <c r="AG166" s="42">
        <v>4398639</v>
      </c>
      <c r="AI166" s="10">
        <f t="shared" si="34"/>
        <v>7546894</v>
      </c>
      <c r="AK166" s="42">
        <f t="shared" si="33"/>
        <v>0</v>
      </c>
    </row>
    <row r="167" spans="1:37">
      <c r="A167" s="9" t="s">
        <v>247</v>
      </c>
      <c r="B167" s="9"/>
      <c r="C167" s="9" t="s">
        <v>111</v>
      </c>
      <c r="D167" s="9"/>
      <c r="E167" s="23">
        <v>43927</v>
      </c>
      <c r="G167" s="42">
        <f>2132215+291675</f>
        <v>2423890</v>
      </c>
      <c r="I167" s="42">
        <v>0</v>
      </c>
      <c r="K167" s="2">
        <f t="shared" si="37"/>
        <v>3257310</v>
      </c>
      <c r="M167" s="42">
        <v>5681200</v>
      </c>
      <c r="O167" s="42">
        <v>0</v>
      </c>
      <c r="Q167" s="2">
        <f t="shared" si="38"/>
        <v>4196994</v>
      </c>
      <c r="S167" s="42">
        <v>0</v>
      </c>
      <c r="U167" s="42">
        <v>4196994</v>
      </c>
      <c r="W167" s="42">
        <v>0</v>
      </c>
      <c r="Y167" s="42">
        <v>0</v>
      </c>
      <c r="AA167" s="42">
        <v>1038578</v>
      </c>
      <c r="AC167" s="42">
        <v>0</v>
      </c>
      <c r="AE167" s="42">
        <v>434904</v>
      </c>
      <c r="AG167" s="42">
        <v>10724</v>
      </c>
      <c r="AI167" s="10">
        <f t="shared" si="34"/>
        <v>1484206</v>
      </c>
      <c r="AK167" s="42">
        <f t="shared" si="33"/>
        <v>0</v>
      </c>
    </row>
    <row r="168" spans="1:37">
      <c r="A168" s="9" t="s">
        <v>217</v>
      </c>
      <c r="B168" s="9"/>
      <c r="C168" s="9" t="s">
        <v>77</v>
      </c>
      <c r="D168" s="9"/>
      <c r="E168" s="23">
        <v>46037</v>
      </c>
      <c r="G168" s="42">
        <v>3923240</v>
      </c>
      <c r="I168" s="42">
        <v>0</v>
      </c>
      <c r="K168" s="2">
        <f t="shared" si="37"/>
        <v>5144986</v>
      </c>
      <c r="M168" s="42">
        <v>9068226</v>
      </c>
      <c r="O168" s="42">
        <v>0</v>
      </c>
      <c r="Q168" s="2">
        <f t="shared" si="38"/>
        <v>1459435</v>
      </c>
      <c r="S168" s="42">
        <v>0</v>
      </c>
      <c r="U168" s="42">
        <v>1459435</v>
      </c>
      <c r="W168" s="42">
        <v>3918893</v>
      </c>
      <c r="Y168" s="42">
        <v>0</v>
      </c>
      <c r="AA168" s="42">
        <v>1743606</v>
      </c>
      <c r="AC168" s="42">
        <v>19715</v>
      </c>
      <c r="AE168" s="42">
        <v>66368</v>
      </c>
      <c r="AG168" s="42">
        <v>1860209</v>
      </c>
      <c r="AI168" s="10">
        <f t="shared" si="34"/>
        <v>3689898</v>
      </c>
      <c r="AK168" s="42">
        <f t="shared" si="33"/>
        <v>0</v>
      </c>
    </row>
    <row r="169" spans="1:37">
      <c r="A169" s="9" t="s">
        <v>217</v>
      </c>
      <c r="B169" s="9"/>
      <c r="C169" s="9" t="s">
        <v>417</v>
      </c>
      <c r="D169" s="9"/>
      <c r="E169" s="23">
        <v>48512</v>
      </c>
      <c r="G169" s="42">
        <v>2050240</v>
      </c>
      <c r="I169" s="42">
        <v>52866</v>
      </c>
      <c r="K169" s="2">
        <f t="shared" si="37"/>
        <v>2135213</v>
      </c>
      <c r="M169" s="42">
        <v>4238319</v>
      </c>
      <c r="O169" s="42">
        <v>0</v>
      </c>
      <c r="Q169" s="2">
        <f t="shared" si="38"/>
        <v>1113505</v>
      </c>
      <c r="S169" s="42">
        <v>0</v>
      </c>
      <c r="U169" s="42">
        <v>1113505</v>
      </c>
      <c r="W169" s="42">
        <v>1295759</v>
      </c>
      <c r="Y169" s="42">
        <v>2587</v>
      </c>
      <c r="AA169" s="42">
        <v>855706</v>
      </c>
      <c r="AC169" s="42">
        <v>346984</v>
      </c>
      <c r="AE169" s="42">
        <v>104492</v>
      </c>
      <c r="AG169" s="42">
        <v>519286</v>
      </c>
      <c r="AI169" s="10">
        <f t="shared" si="34"/>
        <v>1829055</v>
      </c>
      <c r="AK169" s="42">
        <f t="shared" si="33"/>
        <v>0</v>
      </c>
    </row>
    <row r="170" spans="1:37" hidden="1">
      <c r="A170" s="9" t="s">
        <v>655</v>
      </c>
      <c r="B170" s="9"/>
      <c r="C170" s="9" t="s">
        <v>55</v>
      </c>
      <c r="D170" s="9"/>
      <c r="E170" s="23">
        <v>49122</v>
      </c>
      <c r="G170" s="42">
        <v>0</v>
      </c>
      <c r="I170" s="42">
        <v>0</v>
      </c>
      <c r="K170" s="2">
        <f t="shared" si="37"/>
        <v>0</v>
      </c>
      <c r="M170" s="42">
        <v>0</v>
      </c>
      <c r="O170" s="42">
        <v>0</v>
      </c>
      <c r="Q170" s="2">
        <f t="shared" si="38"/>
        <v>0</v>
      </c>
      <c r="S170" s="42">
        <v>0</v>
      </c>
      <c r="U170" s="42">
        <v>0</v>
      </c>
      <c r="W170" s="42">
        <v>0</v>
      </c>
      <c r="Y170" s="42">
        <v>0</v>
      </c>
      <c r="AA170" s="42">
        <v>0</v>
      </c>
      <c r="AC170" s="42">
        <v>0</v>
      </c>
      <c r="AE170" s="42">
        <v>0</v>
      </c>
      <c r="AG170" s="42">
        <v>0</v>
      </c>
      <c r="AI170" s="10">
        <f t="shared" si="34"/>
        <v>0</v>
      </c>
      <c r="AK170" s="42">
        <f t="shared" si="33"/>
        <v>0</v>
      </c>
    </row>
    <row r="171" spans="1:37">
      <c r="A171" s="9" t="s">
        <v>550</v>
      </c>
      <c r="B171" s="9"/>
      <c r="C171" s="9" t="s">
        <v>72</v>
      </c>
      <c r="D171" s="9"/>
      <c r="E171" s="23">
        <v>50674</v>
      </c>
      <c r="G171" s="42">
        <v>9873243</v>
      </c>
      <c r="I171" s="42">
        <v>0</v>
      </c>
      <c r="K171" s="2">
        <f t="shared" si="37"/>
        <v>6071886</v>
      </c>
      <c r="M171" s="42">
        <v>15945129</v>
      </c>
      <c r="O171" s="42">
        <v>0</v>
      </c>
      <c r="Q171" s="2">
        <f t="shared" si="38"/>
        <v>1773496</v>
      </c>
      <c r="S171" s="42">
        <v>0</v>
      </c>
      <c r="U171" s="42">
        <v>1773496</v>
      </c>
      <c r="W171" s="42">
        <v>4258385</v>
      </c>
      <c r="Y171" s="42">
        <v>149708</v>
      </c>
      <c r="AA171" s="42">
        <v>589344</v>
      </c>
      <c r="AC171" s="42">
        <v>0</v>
      </c>
      <c r="AE171" s="42">
        <v>2096911</v>
      </c>
      <c r="AG171" s="42">
        <v>7077285</v>
      </c>
      <c r="AI171" s="10">
        <f t="shared" si="34"/>
        <v>9913248</v>
      </c>
      <c r="AK171" s="42">
        <f t="shared" si="33"/>
        <v>0</v>
      </c>
    </row>
    <row r="172" spans="1:37" hidden="1">
      <c r="A172" s="8" t="s">
        <v>858</v>
      </c>
      <c r="B172" s="9"/>
      <c r="C172" s="9" t="s">
        <v>57</v>
      </c>
      <c r="D172" s="9"/>
      <c r="E172" s="23">
        <v>43935</v>
      </c>
      <c r="G172" s="42">
        <v>0</v>
      </c>
      <c r="I172" s="42">
        <v>0</v>
      </c>
      <c r="K172" s="2">
        <f t="shared" si="37"/>
        <v>0</v>
      </c>
      <c r="M172" s="42">
        <v>0</v>
      </c>
      <c r="O172" s="42">
        <v>0</v>
      </c>
      <c r="Q172" s="2">
        <f t="shared" si="38"/>
        <v>0</v>
      </c>
      <c r="S172" s="42">
        <v>0</v>
      </c>
      <c r="U172" s="42">
        <v>0</v>
      </c>
      <c r="W172" s="42">
        <v>0</v>
      </c>
      <c r="Y172" s="42">
        <v>0</v>
      </c>
      <c r="AA172" s="42">
        <v>0</v>
      </c>
      <c r="AC172" s="42">
        <v>0</v>
      </c>
      <c r="AE172" s="42">
        <v>0</v>
      </c>
      <c r="AG172" s="42">
        <v>0</v>
      </c>
      <c r="AI172" s="10">
        <f t="shared" si="34"/>
        <v>0</v>
      </c>
      <c r="AK172" s="42">
        <f t="shared" si="33"/>
        <v>0</v>
      </c>
    </row>
    <row r="173" spans="1:37" hidden="1">
      <c r="A173" s="9" t="s">
        <v>656</v>
      </c>
      <c r="B173" s="9"/>
      <c r="C173" s="9" t="s">
        <v>548</v>
      </c>
      <c r="D173" s="9"/>
      <c r="E173" s="23">
        <v>50617</v>
      </c>
      <c r="G173" s="42">
        <v>0</v>
      </c>
      <c r="I173" s="42">
        <v>0</v>
      </c>
      <c r="K173" s="2">
        <f t="shared" si="37"/>
        <v>0</v>
      </c>
      <c r="M173" s="42">
        <v>0</v>
      </c>
      <c r="O173" s="42">
        <v>0</v>
      </c>
      <c r="Q173" s="2">
        <f t="shared" si="38"/>
        <v>0</v>
      </c>
      <c r="S173" s="42">
        <v>0</v>
      </c>
      <c r="U173" s="42">
        <v>0</v>
      </c>
      <c r="W173" s="42">
        <v>0</v>
      </c>
      <c r="Y173" s="42">
        <v>0</v>
      </c>
      <c r="AA173" s="42">
        <v>0</v>
      </c>
      <c r="AC173" s="42">
        <v>0</v>
      </c>
      <c r="AE173" s="42">
        <v>0</v>
      </c>
      <c r="AG173" s="42">
        <v>0</v>
      </c>
      <c r="AI173" s="10">
        <f t="shared" si="34"/>
        <v>0</v>
      </c>
      <c r="AK173" s="42">
        <f t="shared" si="33"/>
        <v>0</v>
      </c>
    </row>
    <row r="174" spans="1:37">
      <c r="A174" s="9" t="s">
        <v>657</v>
      </c>
      <c r="B174" s="9"/>
      <c r="C174" s="9" t="s">
        <v>220</v>
      </c>
      <c r="D174" s="9"/>
      <c r="E174" s="23">
        <v>46094</v>
      </c>
      <c r="G174" s="42">
        <v>16628736</v>
      </c>
      <c r="I174" s="42">
        <v>0</v>
      </c>
      <c r="K174" s="2">
        <f t="shared" si="37"/>
        <v>20084292</v>
      </c>
      <c r="M174" s="42">
        <v>36713028</v>
      </c>
      <c r="O174" s="42">
        <v>0</v>
      </c>
      <c r="Q174" s="2">
        <f t="shared" si="38"/>
        <v>4522220</v>
      </c>
      <c r="S174" s="42">
        <v>0</v>
      </c>
      <c r="U174" s="42">
        <v>4522220</v>
      </c>
      <c r="W174" s="42">
        <v>19164723</v>
      </c>
      <c r="Y174" s="42">
        <f>23703+769</f>
        <v>24472</v>
      </c>
      <c r="AA174" s="42">
        <f>4325276+3891403+970467+12265+99820+107674</f>
        <v>9406905</v>
      </c>
      <c r="AC174" s="42">
        <v>0</v>
      </c>
      <c r="AE174" s="42">
        <f>46402+208342+4353+45873+3830</f>
        <v>308800</v>
      </c>
      <c r="AG174" s="42">
        <v>3285908</v>
      </c>
      <c r="AI174" s="10">
        <f t="shared" si="34"/>
        <v>13026085</v>
      </c>
      <c r="AK174" s="42">
        <f t="shared" si="33"/>
        <v>0</v>
      </c>
    </row>
    <row r="175" spans="1:37">
      <c r="A175" s="9" t="s">
        <v>360</v>
      </c>
      <c r="B175" s="9"/>
      <c r="C175" s="9" t="s">
        <v>24</v>
      </c>
      <c r="D175" s="9"/>
      <c r="E175" s="23">
        <v>46789</v>
      </c>
      <c r="G175" s="42">
        <v>4530679</v>
      </c>
      <c r="I175" s="42">
        <v>0</v>
      </c>
      <c r="K175" s="2">
        <f t="shared" ref="K175" si="39">M175-G175-I175</f>
        <v>7027703</v>
      </c>
      <c r="M175" s="42">
        <v>11558382</v>
      </c>
      <c r="O175" s="42">
        <v>0</v>
      </c>
      <c r="Q175" s="2">
        <f t="shared" ref="Q175" si="40">U175-S175</f>
        <v>1850004</v>
      </c>
      <c r="S175" s="42">
        <v>0</v>
      </c>
      <c r="U175" s="42">
        <v>1850004</v>
      </c>
      <c r="W175" s="42">
        <v>5778668</v>
      </c>
      <c r="Y175" s="42">
        <f>23582+3751+2379</f>
        <v>29712</v>
      </c>
      <c r="AA175" s="42">
        <f>1991314+182377+21141+23657</f>
        <v>2218489</v>
      </c>
      <c r="AC175" s="42">
        <v>0</v>
      </c>
      <c r="AE175" s="42">
        <f>16005+183026+1463+1044715+176</f>
        <v>1245385</v>
      </c>
      <c r="AG175" s="42">
        <v>436124</v>
      </c>
      <c r="AI175" s="10">
        <f t="shared" ref="AI175" si="41">Y175+AA175+AC175+AE175+AG175</f>
        <v>3929710</v>
      </c>
      <c r="AK175" s="42">
        <f t="shared" si="33"/>
        <v>0</v>
      </c>
    </row>
    <row r="176" spans="1:37">
      <c r="A176" s="9" t="s">
        <v>360</v>
      </c>
      <c r="B176" s="9"/>
      <c r="C176" s="9" t="s">
        <v>39</v>
      </c>
      <c r="D176" s="9"/>
      <c r="E176" s="23">
        <v>47795</v>
      </c>
      <c r="G176" s="42">
        <v>1860963</v>
      </c>
      <c r="I176" s="42">
        <v>0</v>
      </c>
      <c r="K176" s="2">
        <f t="shared" si="37"/>
        <v>8791248</v>
      </c>
      <c r="M176" s="42">
        <v>10652211</v>
      </c>
      <c r="O176" s="42">
        <v>0</v>
      </c>
      <c r="Q176" s="2">
        <f t="shared" si="38"/>
        <v>1876496</v>
      </c>
      <c r="S176" s="42">
        <v>0</v>
      </c>
      <c r="U176" s="42">
        <v>1876496</v>
      </c>
      <c r="W176" s="42">
        <v>7892054</v>
      </c>
      <c r="Y176" s="42">
        <f>19019+88081</f>
        <v>107100</v>
      </c>
      <c r="AA176" s="42">
        <f>229+76553+56045+75379+4419</f>
        <v>212625</v>
      </c>
      <c r="AC176" s="42">
        <v>76825</v>
      </c>
      <c r="AE176" s="42">
        <f>21637+269593+3803+36375+1450</f>
        <v>332858</v>
      </c>
      <c r="AG176" s="42">
        <v>154253</v>
      </c>
      <c r="AI176" s="10">
        <f t="shared" si="34"/>
        <v>883661</v>
      </c>
      <c r="AK176" s="42">
        <f t="shared" si="33"/>
        <v>0</v>
      </c>
    </row>
    <row r="177" spans="1:37" hidden="1">
      <c r="A177" s="9" t="s">
        <v>859</v>
      </c>
      <c r="B177" s="9"/>
      <c r="C177" s="9" t="s">
        <v>548</v>
      </c>
      <c r="D177" s="9"/>
      <c r="E177" s="23">
        <v>50625</v>
      </c>
      <c r="G177" s="42">
        <v>0</v>
      </c>
      <c r="I177" s="42">
        <v>0</v>
      </c>
      <c r="K177" s="2">
        <f t="shared" si="37"/>
        <v>0</v>
      </c>
      <c r="M177" s="42">
        <v>0</v>
      </c>
      <c r="O177" s="42">
        <v>0</v>
      </c>
      <c r="Q177" s="2">
        <f t="shared" si="38"/>
        <v>0</v>
      </c>
      <c r="S177" s="42">
        <v>0</v>
      </c>
      <c r="U177" s="42">
        <v>0</v>
      </c>
      <c r="W177" s="42">
        <v>0</v>
      </c>
      <c r="Y177" s="42">
        <v>0</v>
      </c>
      <c r="AA177" s="42">
        <v>0</v>
      </c>
      <c r="AC177" s="42">
        <v>0</v>
      </c>
      <c r="AE177" s="42">
        <v>0</v>
      </c>
      <c r="AG177" s="42">
        <v>0</v>
      </c>
      <c r="AI177" s="10">
        <f t="shared" si="34"/>
        <v>0</v>
      </c>
      <c r="AK177" s="42">
        <f t="shared" si="33"/>
        <v>0</v>
      </c>
    </row>
    <row r="178" spans="1:37">
      <c r="A178" s="9" t="s">
        <v>672</v>
      </c>
      <c r="B178" s="9"/>
      <c r="C178" s="9" t="s">
        <v>46</v>
      </c>
      <c r="D178" s="9"/>
      <c r="E178" s="23">
        <v>48413</v>
      </c>
      <c r="G178" s="42">
        <f>14691369+749</f>
        <v>14692118</v>
      </c>
      <c r="I178" s="42">
        <f>716682+373853</f>
        <v>1090535</v>
      </c>
      <c r="K178" s="2">
        <f t="shared" si="37"/>
        <v>6943748</v>
      </c>
      <c r="M178" s="42">
        <v>22726401</v>
      </c>
      <c r="O178" s="42">
        <v>0</v>
      </c>
      <c r="Q178" s="2">
        <f t="shared" si="38"/>
        <v>3228116</v>
      </c>
      <c r="S178" s="42">
        <v>0</v>
      </c>
      <c r="U178" s="42">
        <v>3228116</v>
      </c>
      <c r="W178" s="42">
        <v>4965594</v>
      </c>
      <c r="Y178" s="42">
        <v>47887</v>
      </c>
      <c r="AA178" s="42">
        <v>9178154</v>
      </c>
      <c r="AC178" s="42">
        <v>76925</v>
      </c>
      <c r="AE178" s="42">
        <v>173630</v>
      </c>
      <c r="AG178" s="42">
        <v>5056095</v>
      </c>
      <c r="AI178" s="10">
        <f t="shared" ref="AI178" si="42">Y178+AA178+AC178+AE178+AG178</f>
        <v>14532691</v>
      </c>
      <c r="AK178" s="42">
        <f t="shared" si="33"/>
        <v>0</v>
      </c>
    </row>
    <row r="179" spans="1:37" hidden="1">
      <c r="A179" s="9" t="s">
        <v>658</v>
      </c>
      <c r="B179" s="9"/>
      <c r="C179" s="9" t="s">
        <v>10</v>
      </c>
      <c r="D179" s="9"/>
      <c r="E179" s="23">
        <v>45773</v>
      </c>
      <c r="G179" s="42">
        <v>0</v>
      </c>
      <c r="I179" s="42">
        <v>0</v>
      </c>
      <c r="K179" s="2">
        <f t="shared" si="37"/>
        <v>0</v>
      </c>
      <c r="M179" s="42">
        <v>0</v>
      </c>
      <c r="O179" s="42">
        <v>0</v>
      </c>
      <c r="Q179" s="2">
        <f t="shared" si="38"/>
        <v>0</v>
      </c>
      <c r="S179" s="42">
        <v>0</v>
      </c>
      <c r="U179" s="42">
        <v>0</v>
      </c>
      <c r="W179" s="42">
        <v>0</v>
      </c>
      <c r="Y179" s="42">
        <v>0</v>
      </c>
      <c r="AA179" s="42">
        <v>0</v>
      </c>
      <c r="AC179" s="42">
        <v>0</v>
      </c>
      <c r="AE179" s="42">
        <v>0</v>
      </c>
      <c r="AG179" s="42">
        <v>0</v>
      </c>
      <c r="AI179" s="10">
        <f t="shared" si="34"/>
        <v>0</v>
      </c>
      <c r="AK179" s="42">
        <f t="shared" si="33"/>
        <v>0</v>
      </c>
    </row>
    <row r="180" spans="1:37" hidden="1">
      <c r="A180" s="9" t="s">
        <v>687</v>
      </c>
      <c r="B180" s="9"/>
      <c r="C180" s="9" t="s">
        <v>72</v>
      </c>
      <c r="D180" s="9"/>
      <c r="E180" s="23">
        <v>50682</v>
      </c>
      <c r="G180" s="42">
        <v>0</v>
      </c>
      <c r="I180" s="42">
        <v>0</v>
      </c>
      <c r="K180" s="2">
        <f t="shared" ref="K180" si="43">M180-G180-I180</f>
        <v>0</v>
      </c>
      <c r="M180" s="42">
        <v>0</v>
      </c>
      <c r="O180" s="42">
        <v>0</v>
      </c>
      <c r="Q180" s="2">
        <f t="shared" ref="Q180" si="44">U180-S180</f>
        <v>0</v>
      </c>
      <c r="S180" s="42">
        <v>0</v>
      </c>
      <c r="U180" s="42">
        <v>0</v>
      </c>
      <c r="W180" s="42">
        <v>0</v>
      </c>
      <c r="Y180" s="42">
        <v>0</v>
      </c>
      <c r="AA180" s="42">
        <v>0</v>
      </c>
      <c r="AC180" s="42">
        <v>0</v>
      </c>
      <c r="AE180" s="42">
        <v>0</v>
      </c>
      <c r="AG180" s="42">
        <v>0</v>
      </c>
      <c r="AI180" s="10">
        <f t="shared" si="34"/>
        <v>0</v>
      </c>
      <c r="AK180" s="42">
        <f t="shared" si="33"/>
        <v>0</v>
      </c>
    </row>
    <row r="181" spans="1:37">
      <c r="A181" s="9" t="s">
        <v>381</v>
      </c>
      <c r="B181" s="9"/>
      <c r="C181" s="9" t="s">
        <v>44</v>
      </c>
      <c r="D181" s="9"/>
      <c r="E181" s="23">
        <v>43943</v>
      </c>
      <c r="G181" s="42">
        <f>10831210+93407</f>
        <v>10924617</v>
      </c>
      <c r="I181" s="42">
        <v>0</v>
      </c>
      <c r="K181" s="2">
        <f t="shared" si="37"/>
        <v>38727839</v>
      </c>
      <c r="M181" s="42">
        <v>49652456</v>
      </c>
      <c r="O181" s="42">
        <v>0</v>
      </c>
      <c r="Q181" s="2">
        <f t="shared" si="38"/>
        <v>44018456</v>
      </c>
      <c r="S181" s="42">
        <v>0</v>
      </c>
      <c r="U181" s="42">
        <v>44018456</v>
      </c>
      <c r="W181" s="42">
        <v>0</v>
      </c>
      <c r="Y181" s="42">
        <v>5623</v>
      </c>
      <c r="AA181" s="42">
        <v>4160003</v>
      </c>
      <c r="AC181" s="42">
        <v>0</v>
      </c>
      <c r="AE181" s="42">
        <v>1572045</v>
      </c>
      <c r="AG181" s="42">
        <v>-103671</v>
      </c>
      <c r="AI181" s="10">
        <f t="shared" si="34"/>
        <v>5634000</v>
      </c>
      <c r="AK181" s="42">
        <f t="shared" si="33"/>
        <v>0</v>
      </c>
    </row>
    <row r="182" spans="1:37">
      <c r="A182" s="9" t="s">
        <v>265</v>
      </c>
      <c r="B182" s="9"/>
      <c r="C182" s="9" t="s">
        <v>20</v>
      </c>
      <c r="D182" s="9"/>
      <c r="E182" s="23">
        <v>43950</v>
      </c>
      <c r="G182" s="42">
        <v>10519612</v>
      </c>
      <c r="I182" s="42">
        <v>0</v>
      </c>
      <c r="K182" s="2">
        <f t="shared" si="37"/>
        <v>45334768</v>
      </c>
      <c r="M182" s="42">
        <v>55854380</v>
      </c>
      <c r="O182" s="42">
        <v>0</v>
      </c>
      <c r="Q182" s="2">
        <f t="shared" si="38"/>
        <v>9847682</v>
      </c>
      <c r="S182" s="42">
        <v>0</v>
      </c>
      <c r="U182" s="42">
        <v>9847682</v>
      </c>
      <c r="W182" s="42">
        <v>38099853</v>
      </c>
      <c r="Y182" s="42">
        <v>107155</v>
      </c>
      <c r="AA182" s="42">
        <v>8613858</v>
      </c>
      <c r="AC182" s="42">
        <v>237153</v>
      </c>
      <c r="AE182" s="42">
        <v>158858</v>
      </c>
      <c r="AG182" s="42">
        <v>-1210179</v>
      </c>
      <c r="AI182" s="10">
        <f t="shared" si="34"/>
        <v>7906845</v>
      </c>
      <c r="AK182" s="42">
        <f t="shared" si="33"/>
        <v>0</v>
      </c>
    </row>
    <row r="183" spans="1:37" hidden="1">
      <c r="A183" s="9" t="s">
        <v>614</v>
      </c>
      <c r="B183" s="9"/>
      <c r="C183" s="9" t="s">
        <v>28</v>
      </c>
      <c r="D183" s="9"/>
      <c r="E183" s="23">
        <v>47050</v>
      </c>
      <c r="G183" s="42">
        <v>0</v>
      </c>
      <c r="I183" s="42">
        <v>0</v>
      </c>
      <c r="K183" s="2">
        <f t="shared" si="37"/>
        <v>0</v>
      </c>
      <c r="M183" s="42">
        <v>0</v>
      </c>
      <c r="O183" s="42">
        <v>0</v>
      </c>
      <c r="Q183" s="2">
        <f t="shared" si="38"/>
        <v>0</v>
      </c>
      <c r="S183" s="42">
        <v>0</v>
      </c>
      <c r="U183" s="42">
        <v>0</v>
      </c>
      <c r="W183" s="42">
        <v>0</v>
      </c>
      <c r="Y183" s="42">
        <v>0</v>
      </c>
      <c r="AA183" s="42">
        <v>0</v>
      </c>
      <c r="AC183" s="42">
        <v>0</v>
      </c>
      <c r="AE183" s="42">
        <v>0</v>
      </c>
      <c r="AG183" s="42">
        <v>0</v>
      </c>
      <c r="AI183" s="10">
        <f t="shared" si="34"/>
        <v>0</v>
      </c>
      <c r="AK183" s="42">
        <f t="shared" si="33"/>
        <v>0</v>
      </c>
    </row>
    <row r="184" spans="1:37">
      <c r="A184" s="9" t="s">
        <v>535</v>
      </c>
      <c r="B184" s="9"/>
      <c r="C184" s="9" t="s">
        <v>66</v>
      </c>
      <c r="D184" s="9"/>
      <c r="E184" s="23">
        <v>50328</v>
      </c>
      <c r="G184" s="42">
        <v>4449858</v>
      </c>
      <c r="I184" s="42">
        <v>0</v>
      </c>
      <c r="K184" s="2">
        <f t="shared" si="37"/>
        <v>6727882</v>
      </c>
      <c r="M184" s="42">
        <v>11177740</v>
      </c>
      <c r="O184" s="42">
        <v>0</v>
      </c>
      <c r="Q184" s="2">
        <f t="shared" si="38"/>
        <v>1159687</v>
      </c>
      <c r="S184" s="42">
        <v>0</v>
      </c>
      <c r="U184" s="42">
        <v>1159687</v>
      </c>
      <c r="W184" s="42">
        <v>5071549</v>
      </c>
      <c r="Y184" s="42">
        <f>1277+16603</f>
        <v>17880</v>
      </c>
      <c r="AA184" s="42">
        <f>884198+308266+123671+40458+108+3553+38619</f>
        <v>1398873</v>
      </c>
      <c r="AC184" s="42">
        <v>0</v>
      </c>
      <c r="AE184" s="42">
        <f>3189+40584+17550+217836+2197</f>
        <v>281356</v>
      </c>
      <c r="AG184" s="42">
        <v>3248395</v>
      </c>
      <c r="AI184" s="10">
        <f t="shared" si="34"/>
        <v>4946504</v>
      </c>
      <c r="AK184" s="42">
        <f t="shared" si="33"/>
        <v>0</v>
      </c>
    </row>
    <row r="185" spans="1:37">
      <c r="A185" s="9" t="s">
        <v>621</v>
      </c>
      <c r="B185" s="9"/>
      <c r="C185" s="9" t="s">
        <v>113</v>
      </c>
      <c r="D185" s="9"/>
      <c r="E185" s="23">
        <v>43968</v>
      </c>
      <c r="G185" s="42">
        <v>7200170</v>
      </c>
      <c r="I185" s="42">
        <v>0</v>
      </c>
      <c r="K185" s="2">
        <f t="shared" si="37"/>
        <v>19714329</v>
      </c>
      <c r="M185" s="42">
        <v>26914499</v>
      </c>
      <c r="O185" s="42">
        <v>0</v>
      </c>
      <c r="Q185" s="2">
        <f t="shared" si="38"/>
        <v>20402263</v>
      </c>
      <c r="S185" s="42">
        <v>0</v>
      </c>
      <c r="U185" s="42">
        <v>20402263</v>
      </c>
      <c r="W185" s="42">
        <v>0</v>
      </c>
      <c r="Y185" s="42">
        <v>49581</v>
      </c>
      <c r="AA185" s="42">
        <v>2692509</v>
      </c>
      <c r="AC185" s="42">
        <v>606767</v>
      </c>
      <c r="AE185" s="42">
        <v>282913</v>
      </c>
      <c r="AG185" s="42">
        <v>2880466</v>
      </c>
      <c r="AI185" s="10">
        <f t="shared" si="34"/>
        <v>6512236</v>
      </c>
      <c r="AK185" s="42">
        <f t="shared" si="33"/>
        <v>0</v>
      </c>
    </row>
    <row r="186" spans="1:37">
      <c r="A186" s="9" t="s">
        <v>221</v>
      </c>
      <c r="B186" s="9"/>
      <c r="C186" s="9" t="s">
        <v>220</v>
      </c>
      <c r="D186" s="9"/>
      <c r="E186" s="23">
        <v>46102</v>
      </c>
      <c r="G186" s="42">
        <f>27597275+203843</f>
        <v>27801118</v>
      </c>
      <c r="I186" s="42">
        <v>0</v>
      </c>
      <c r="K186" s="2">
        <f t="shared" si="37"/>
        <v>58433090</v>
      </c>
      <c r="M186" s="42">
        <v>86234208</v>
      </c>
      <c r="O186" s="42">
        <v>0</v>
      </c>
      <c r="Q186" s="2">
        <f t="shared" si="38"/>
        <v>65869761</v>
      </c>
      <c r="S186" s="42">
        <v>0</v>
      </c>
      <c r="U186" s="42">
        <v>65869761</v>
      </c>
      <c r="W186" s="42">
        <v>0</v>
      </c>
      <c r="Y186" s="42">
        <v>10710</v>
      </c>
      <c r="AA186" s="42">
        <v>2615682</v>
      </c>
      <c r="AC186" s="42">
        <v>0</v>
      </c>
      <c r="AE186" s="42">
        <v>4037450</v>
      </c>
      <c r="AG186" s="42">
        <v>13700605</v>
      </c>
      <c r="AI186" s="10">
        <f t="shared" si="34"/>
        <v>20364447</v>
      </c>
      <c r="AK186" s="42">
        <f t="shared" si="33"/>
        <v>0</v>
      </c>
    </row>
    <row r="187" spans="1:37">
      <c r="A187" s="9" t="s">
        <v>347</v>
      </c>
      <c r="B187" s="9"/>
      <c r="C187" s="9" t="s">
        <v>346</v>
      </c>
      <c r="D187" s="9"/>
      <c r="E187" s="23">
        <v>47621</v>
      </c>
      <c r="G187" s="42">
        <v>3227174</v>
      </c>
      <c r="I187" s="42">
        <v>0</v>
      </c>
      <c r="K187" s="2">
        <f t="shared" si="37"/>
        <v>1612353</v>
      </c>
      <c r="M187" s="42">
        <v>4839527</v>
      </c>
      <c r="O187" s="42">
        <v>0</v>
      </c>
      <c r="Q187" s="2">
        <f t="shared" si="38"/>
        <v>789510</v>
      </c>
      <c r="S187" s="42">
        <v>0</v>
      </c>
      <c r="U187" s="42">
        <v>789510</v>
      </c>
      <c r="W187" s="42">
        <v>1513406</v>
      </c>
      <c r="Y187" s="42">
        <v>766</v>
      </c>
      <c r="AA187" s="42">
        <v>999647</v>
      </c>
      <c r="AC187" s="42">
        <v>0</v>
      </c>
      <c r="AE187" s="42">
        <v>92786</v>
      </c>
      <c r="AG187" s="42">
        <v>1443412</v>
      </c>
      <c r="AI187" s="10">
        <f t="shared" si="34"/>
        <v>2536611</v>
      </c>
      <c r="AK187" s="42">
        <f t="shared" si="33"/>
        <v>0</v>
      </c>
    </row>
    <row r="188" spans="1:37">
      <c r="A188" s="9" t="s">
        <v>292</v>
      </c>
      <c r="B188" s="9"/>
      <c r="C188" s="9" t="s">
        <v>25</v>
      </c>
      <c r="D188" s="9"/>
      <c r="E188" s="23">
        <v>46870</v>
      </c>
      <c r="G188" s="42">
        <f>18260645+3829</f>
        <v>18264474</v>
      </c>
      <c r="I188" s="42">
        <v>0</v>
      </c>
      <c r="K188" s="2">
        <f t="shared" si="37"/>
        <v>8011281</v>
      </c>
      <c r="M188" s="42">
        <v>26275755</v>
      </c>
      <c r="O188" s="42">
        <v>0</v>
      </c>
      <c r="Q188" s="2">
        <f t="shared" si="38"/>
        <v>2657209</v>
      </c>
      <c r="S188" s="42">
        <v>0</v>
      </c>
      <c r="U188" s="42">
        <v>2657209</v>
      </c>
      <c r="W188" s="42">
        <v>5714658</v>
      </c>
      <c r="Y188" s="42">
        <v>129732</v>
      </c>
      <c r="AA188" s="42">
        <f>3364227+4911793+750017+454350+185564+7932</f>
        <v>9673883</v>
      </c>
      <c r="AC188" s="42">
        <v>2009329</v>
      </c>
      <c r="AE188" s="42">
        <f>167691+234074+827733+11684</f>
        <v>1241182</v>
      </c>
      <c r="AG188" s="42">
        <v>4849762</v>
      </c>
      <c r="AI188" s="10">
        <f t="shared" si="34"/>
        <v>17903888</v>
      </c>
      <c r="AK188" s="42">
        <f t="shared" si="33"/>
        <v>0</v>
      </c>
    </row>
    <row r="189" spans="1:37" s="24" customFormat="1">
      <c r="A189" s="51" t="s">
        <v>366</v>
      </c>
      <c r="B189" s="51"/>
      <c r="C189" s="51" t="s">
        <v>364</v>
      </c>
      <c r="D189" s="51"/>
      <c r="E189" s="23">
        <v>47936</v>
      </c>
      <c r="G189" s="42">
        <v>6302808</v>
      </c>
      <c r="H189" s="42"/>
      <c r="I189" s="42">
        <v>578991</v>
      </c>
      <c r="J189" s="42"/>
      <c r="K189" s="2">
        <f t="shared" si="37"/>
        <v>3674916</v>
      </c>
      <c r="L189" s="42"/>
      <c r="M189" s="42">
        <v>10556715</v>
      </c>
      <c r="N189" s="42"/>
      <c r="O189" s="42">
        <v>0</v>
      </c>
      <c r="P189" s="42"/>
      <c r="Q189" s="2">
        <f t="shared" si="38"/>
        <v>2499412</v>
      </c>
      <c r="R189" s="42"/>
      <c r="S189" s="42">
        <v>0</v>
      </c>
      <c r="T189" s="42"/>
      <c r="U189" s="42">
        <v>2499412</v>
      </c>
      <c r="V189" s="42"/>
      <c r="W189" s="42">
        <v>3284500</v>
      </c>
      <c r="X189" s="42"/>
      <c r="Y189" s="42">
        <f>29310+5546</f>
        <v>34856</v>
      </c>
      <c r="Z189" s="42"/>
      <c r="AA189" s="42">
        <f>1335364+583+434689+82375</f>
        <v>1853011</v>
      </c>
      <c r="AB189" s="42"/>
      <c r="AC189" s="42">
        <f>181097+242854+137327</f>
        <v>561278</v>
      </c>
      <c r="AD189" s="42"/>
      <c r="AE189" s="42">
        <f>39872+110676+108317+1000000</f>
        <v>1258865</v>
      </c>
      <c r="AF189" s="42"/>
      <c r="AG189" s="42">
        <v>1064793</v>
      </c>
      <c r="AH189" s="42"/>
      <c r="AI189" s="10">
        <f t="shared" si="34"/>
        <v>4772803</v>
      </c>
      <c r="AJ189" s="42"/>
      <c r="AK189" s="42">
        <f t="shared" si="33"/>
        <v>0</v>
      </c>
    </row>
    <row r="190" spans="1:37" hidden="1">
      <c r="A190" s="9" t="s">
        <v>615</v>
      </c>
      <c r="B190" s="9"/>
      <c r="C190" s="9" t="s">
        <v>61</v>
      </c>
      <c r="D190" s="9"/>
      <c r="E190" s="23">
        <v>49775</v>
      </c>
      <c r="G190" s="42">
        <v>0</v>
      </c>
      <c r="I190" s="42">
        <v>0</v>
      </c>
      <c r="K190" s="2">
        <f t="shared" si="37"/>
        <v>0</v>
      </c>
      <c r="M190" s="42">
        <v>0</v>
      </c>
      <c r="O190" s="42">
        <v>0</v>
      </c>
      <c r="Q190" s="2">
        <f t="shared" si="38"/>
        <v>0</v>
      </c>
      <c r="S190" s="42">
        <v>0</v>
      </c>
      <c r="U190" s="42">
        <v>0</v>
      </c>
      <c r="W190" s="42">
        <v>0</v>
      </c>
      <c r="Y190" s="42">
        <v>0</v>
      </c>
      <c r="AA190" s="42">
        <v>0</v>
      </c>
      <c r="AC190" s="42">
        <v>0</v>
      </c>
      <c r="AE190" s="42">
        <v>0</v>
      </c>
      <c r="AG190" s="42">
        <v>0</v>
      </c>
      <c r="AI190" s="10">
        <f t="shared" si="34"/>
        <v>0</v>
      </c>
      <c r="AK190" s="42">
        <f t="shared" si="33"/>
        <v>0</v>
      </c>
    </row>
    <row r="191" spans="1:37">
      <c r="A191" s="9" t="s">
        <v>492</v>
      </c>
      <c r="B191" s="9"/>
      <c r="C191" s="9" t="s">
        <v>62</v>
      </c>
      <c r="D191" s="9"/>
      <c r="E191" s="23">
        <v>49841</v>
      </c>
      <c r="G191" s="42">
        <v>4395681</v>
      </c>
      <c r="I191" s="42">
        <v>0</v>
      </c>
      <c r="K191" s="2">
        <f t="shared" si="37"/>
        <v>6153090</v>
      </c>
      <c r="M191" s="42">
        <v>10548771</v>
      </c>
      <c r="O191" s="42">
        <v>0</v>
      </c>
      <c r="Q191" s="2">
        <f t="shared" si="38"/>
        <v>2114413</v>
      </c>
      <c r="S191" s="42">
        <v>0</v>
      </c>
      <c r="U191" s="42">
        <v>2114413</v>
      </c>
      <c r="W191" s="42">
        <v>6028364</v>
      </c>
      <c r="Y191" s="42">
        <f>16185+8240</f>
        <v>24425</v>
      </c>
      <c r="AA191" s="42">
        <f>666985+647079+2070+25782+14020</f>
        <v>1355936</v>
      </c>
      <c r="AC191" s="42">
        <v>0</v>
      </c>
      <c r="AE191" s="42">
        <f>269176+74239+9+1867364+12704</f>
        <v>2223492</v>
      </c>
      <c r="AG191" s="42">
        <v>-1197859</v>
      </c>
      <c r="AI191" s="10">
        <f t="shared" si="34"/>
        <v>2405994</v>
      </c>
      <c r="AK191" s="42">
        <f t="shared" si="33"/>
        <v>0</v>
      </c>
    </row>
    <row r="192" spans="1:37" hidden="1">
      <c r="A192" s="8" t="s">
        <v>878</v>
      </c>
      <c r="B192" s="9"/>
      <c r="C192" s="9" t="s">
        <v>41</v>
      </c>
      <c r="D192" s="9"/>
      <c r="E192" s="23">
        <v>45369</v>
      </c>
      <c r="G192" s="42">
        <v>0</v>
      </c>
      <c r="I192" s="42">
        <v>0</v>
      </c>
      <c r="K192" s="2">
        <f t="shared" si="37"/>
        <v>0</v>
      </c>
      <c r="M192" s="42">
        <v>0</v>
      </c>
      <c r="O192" s="42">
        <v>0</v>
      </c>
      <c r="Q192" s="2">
        <f t="shared" si="38"/>
        <v>0</v>
      </c>
      <c r="S192" s="42">
        <v>0</v>
      </c>
      <c r="U192" s="42">
        <v>0</v>
      </c>
      <c r="W192" s="42">
        <v>0</v>
      </c>
      <c r="Y192" s="42">
        <v>0</v>
      </c>
      <c r="AA192" s="42">
        <v>0</v>
      </c>
      <c r="AC192" s="42">
        <v>0</v>
      </c>
      <c r="AE192" s="42">
        <v>0</v>
      </c>
      <c r="AG192" s="42">
        <v>0</v>
      </c>
      <c r="AI192" s="10">
        <f t="shared" si="34"/>
        <v>0</v>
      </c>
      <c r="AK192" s="42">
        <f t="shared" si="33"/>
        <v>0</v>
      </c>
    </row>
    <row r="193" spans="1:37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v>18169911</v>
      </c>
      <c r="I193" s="24">
        <v>0</v>
      </c>
      <c r="K193" s="60">
        <f t="shared" si="37"/>
        <v>17679854</v>
      </c>
      <c r="M193" s="24">
        <v>35849765</v>
      </c>
      <c r="O193" s="24">
        <v>0</v>
      </c>
      <c r="Q193" s="60">
        <f t="shared" si="38"/>
        <v>2079102</v>
      </c>
      <c r="S193" s="24">
        <v>0</v>
      </c>
      <c r="U193" s="24">
        <v>2079102</v>
      </c>
      <c r="W193" s="24">
        <v>15024085</v>
      </c>
      <c r="Y193" s="24">
        <v>10457</v>
      </c>
      <c r="AA193" s="24">
        <f>2734196+3429+32275+14074+285+10302+27784</f>
        <v>2822345</v>
      </c>
      <c r="AC193" s="24">
        <v>374441</v>
      </c>
      <c r="AE193" s="24">
        <f>55588+160358+7273</f>
        <v>223219</v>
      </c>
      <c r="AG193" s="24">
        <v>15316116</v>
      </c>
      <c r="AI193" s="61">
        <f t="shared" si="34"/>
        <v>18746578</v>
      </c>
      <c r="AK193" s="24">
        <f t="shared" si="33"/>
        <v>0</v>
      </c>
    </row>
    <row r="194" spans="1:37" hidden="1">
      <c r="A194" s="9" t="s">
        <v>739</v>
      </c>
      <c r="B194" s="9"/>
      <c r="C194" s="9" t="s">
        <v>28</v>
      </c>
      <c r="D194" s="9"/>
      <c r="E194" s="23">
        <v>47068</v>
      </c>
      <c r="G194" s="42">
        <v>0</v>
      </c>
      <c r="I194" s="42">
        <v>0</v>
      </c>
      <c r="K194" s="2">
        <f t="shared" si="37"/>
        <v>0</v>
      </c>
      <c r="M194" s="42">
        <v>0</v>
      </c>
      <c r="O194" s="42">
        <v>0</v>
      </c>
      <c r="Q194" s="2">
        <f t="shared" si="38"/>
        <v>0</v>
      </c>
      <c r="S194" s="42">
        <v>0</v>
      </c>
      <c r="U194" s="42">
        <v>0</v>
      </c>
      <c r="W194" s="42">
        <v>0</v>
      </c>
      <c r="Y194" s="42">
        <v>0</v>
      </c>
      <c r="AA194" s="42">
        <v>0</v>
      </c>
      <c r="AC194" s="42">
        <v>0</v>
      </c>
      <c r="AE194" s="42">
        <v>0</v>
      </c>
      <c r="AG194" s="42">
        <v>0</v>
      </c>
      <c r="AI194" s="10">
        <f t="shared" si="34"/>
        <v>0</v>
      </c>
      <c r="AK194" s="42">
        <f t="shared" si="33"/>
        <v>0</v>
      </c>
    </row>
    <row r="195" spans="1:37">
      <c r="A195" s="9" t="s">
        <v>218</v>
      </c>
      <c r="B195" s="9"/>
      <c r="C195" s="9" t="s">
        <v>77</v>
      </c>
      <c r="D195" s="9"/>
      <c r="E195" s="23">
        <v>46045</v>
      </c>
      <c r="G195" s="42">
        <v>3248272</v>
      </c>
      <c r="I195" s="42">
        <v>0</v>
      </c>
      <c r="K195" s="2">
        <f t="shared" si="37"/>
        <v>2882747</v>
      </c>
      <c r="M195" s="42">
        <v>6131019</v>
      </c>
      <c r="O195" s="42">
        <v>0</v>
      </c>
      <c r="Q195" s="2">
        <f t="shared" si="38"/>
        <v>939163</v>
      </c>
      <c r="S195" s="42">
        <v>0</v>
      </c>
      <c r="U195" s="42">
        <v>939163</v>
      </c>
      <c r="W195" s="42">
        <v>2088222</v>
      </c>
      <c r="Y195" s="42">
        <v>0</v>
      </c>
      <c r="AA195" s="42">
        <v>2103545</v>
      </c>
      <c r="AC195" s="42">
        <v>0</v>
      </c>
      <c r="AE195" s="42">
        <v>136735</v>
      </c>
      <c r="AG195" s="42">
        <v>863354</v>
      </c>
      <c r="AI195" s="10">
        <f t="shared" si="34"/>
        <v>3103634</v>
      </c>
      <c r="AK195" s="42">
        <f t="shared" si="33"/>
        <v>0</v>
      </c>
    </row>
    <row r="196" spans="1:37">
      <c r="A196" s="9" t="s">
        <v>737</v>
      </c>
      <c r="B196" s="9"/>
      <c r="C196" s="9" t="s">
        <v>13</v>
      </c>
      <c r="D196" s="9"/>
      <c r="E196" s="23">
        <v>45914</v>
      </c>
      <c r="G196" s="42">
        <f>5012848+120</f>
        <v>5012968</v>
      </c>
      <c r="I196" s="42">
        <v>0</v>
      </c>
      <c r="K196" s="2">
        <f t="shared" si="37"/>
        <v>4070512</v>
      </c>
      <c r="M196" s="42">
        <v>9083480</v>
      </c>
      <c r="O196" s="42">
        <v>0</v>
      </c>
      <c r="Q196" s="2">
        <f t="shared" si="38"/>
        <v>1574640</v>
      </c>
      <c r="S196" s="42">
        <v>0</v>
      </c>
      <c r="U196" s="42">
        <v>1574640</v>
      </c>
      <c r="W196" s="42">
        <v>3281675</v>
      </c>
      <c r="Y196" s="42">
        <v>35084</v>
      </c>
      <c r="AA196" s="42">
        <v>1282184</v>
      </c>
      <c r="AC196" s="42">
        <v>22268</v>
      </c>
      <c r="AE196" s="42">
        <v>78946</v>
      </c>
      <c r="AG196" s="42">
        <v>2808683</v>
      </c>
      <c r="AI196" s="10">
        <f t="shared" si="34"/>
        <v>4227165</v>
      </c>
      <c r="AK196" s="42">
        <f t="shared" si="33"/>
        <v>0</v>
      </c>
    </row>
    <row r="197" spans="1:37">
      <c r="A197" s="9" t="s">
        <v>237</v>
      </c>
      <c r="B197" s="9"/>
      <c r="C197" s="9" t="s">
        <v>112</v>
      </c>
      <c r="D197" s="9"/>
      <c r="E197" s="23">
        <v>46334</v>
      </c>
      <c r="G197" s="42">
        <v>3220381</v>
      </c>
      <c r="I197" s="42">
        <v>0</v>
      </c>
      <c r="K197" s="2">
        <f t="shared" si="37"/>
        <v>2258707</v>
      </c>
      <c r="M197" s="42">
        <v>5479088</v>
      </c>
      <c r="O197" s="42">
        <v>0</v>
      </c>
      <c r="Q197" s="2">
        <f t="shared" si="38"/>
        <v>2763443</v>
      </c>
      <c r="S197" s="42">
        <v>0</v>
      </c>
      <c r="U197" s="42">
        <v>2763443</v>
      </c>
      <c r="W197" s="42">
        <v>0</v>
      </c>
      <c r="Y197" s="42">
        <v>42131</v>
      </c>
      <c r="AA197" s="42">
        <v>1280587</v>
      </c>
      <c r="AC197" s="42">
        <v>0</v>
      </c>
      <c r="AE197" s="42">
        <v>627887</v>
      </c>
      <c r="AG197" s="42">
        <v>765040</v>
      </c>
      <c r="AI197" s="10">
        <f t="shared" si="34"/>
        <v>2715645</v>
      </c>
      <c r="AK197" s="42">
        <f t="shared" si="33"/>
        <v>0</v>
      </c>
    </row>
    <row r="198" spans="1:37">
      <c r="A198" s="9" t="s">
        <v>714</v>
      </c>
      <c r="B198" s="9"/>
      <c r="C198" s="9" t="s">
        <v>56</v>
      </c>
      <c r="D198" s="9"/>
      <c r="E198" s="23">
        <v>49197</v>
      </c>
      <c r="G198" s="42">
        <v>3361672</v>
      </c>
      <c r="I198" s="42">
        <v>30914</v>
      </c>
      <c r="K198" s="2">
        <f t="shared" si="37"/>
        <v>10943264</v>
      </c>
      <c r="M198" s="42">
        <v>14335850</v>
      </c>
      <c r="O198" s="42">
        <v>0</v>
      </c>
      <c r="Q198" s="2">
        <f t="shared" si="38"/>
        <v>1990900</v>
      </c>
      <c r="S198" s="42">
        <v>0</v>
      </c>
      <c r="U198" s="42">
        <v>1990900</v>
      </c>
      <c r="W198" s="42">
        <v>9960271</v>
      </c>
      <c r="Y198" s="42">
        <v>4448</v>
      </c>
      <c r="AA198" s="42">
        <f>959022+2252+329018+26600+30914+82168</f>
        <v>1429974</v>
      </c>
      <c r="AC198" s="42">
        <v>0</v>
      </c>
      <c r="AE198" s="42">
        <f>17375+335232+9274+45315</f>
        <v>407196</v>
      </c>
      <c r="AG198" s="42">
        <v>543061</v>
      </c>
      <c r="AI198" s="10">
        <f t="shared" si="34"/>
        <v>2384679</v>
      </c>
      <c r="AK198" s="42">
        <f t="shared" si="33"/>
        <v>0</v>
      </c>
    </row>
    <row r="199" spans="1:37">
      <c r="A199" s="9" t="s">
        <v>335</v>
      </c>
      <c r="B199" s="9"/>
      <c r="C199" s="9" t="s">
        <v>33</v>
      </c>
      <c r="D199" s="9"/>
      <c r="E199" s="23">
        <v>43984</v>
      </c>
      <c r="G199" s="42">
        <f>25670612+679971</f>
        <v>26350583</v>
      </c>
      <c r="I199" s="42">
        <v>0</v>
      </c>
      <c r="K199" s="2">
        <f t="shared" si="37"/>
        <v>31647954</v>
      </c>
      <c r="M199" s="42">
        <v>57998537</v>
      </c>
      <c r="O199" s="42">
        <v>0</v>
      </c>
      <c r="Q199" s="2">
        <f t="shared" si="38"/>
        <v>7608955</v>
      </c>
      <c r="S199" s="42">
        <v>0</v>
      </c>
      <c r="U199" s="42">
        <v>7608955</v>
      </c>
      <c r="W199" s="42">
        <v>26736038</v>
      </c>
      <c r="Y199" s="42">
        <f>58879+77624+618000</f>
        <v>754503</v>
      </c>
      <c r="AA199" s="42">
        <f>1225964+9491249+1667234+245372+19482+278+30643+13803+355709+339866+72812</f>
        <v>13462412</v>
      </c>
      <c r="AC199" s="42">
        <v>228736</v>
      </c>
      <c r="AE199" s="42">
        <f>400695+837033+2021+16914+211370+1628894+304916</f>
        <v>3401843</v>
      </c>
      <c r="AG199" s="42">
        <v>5806050</v>
      </c>
      <c r="AI199" s="10">
        <f t="shared" si="34"/>
        <v>23653544</v>
      </c>
      <c r="AK199" s="42">
        <f t="shared" si="33"/>
        <v>0</v>
      </c>
    </row>
    <row r="200" spans="1:37">
      <c r="A200" s="9" t="s">
        <v>320</v>
      </c>
      <c r="B200" s="9"/>
      <c r="C200" s="9" t="s">
        <v>32</v>
      </c>
      <c r="D200" s="9"/>
      <c r="E200" s="23">
        <v>47332</v>
      </c>
      <c r="G200" s="42">
        <v>7904530</v>
      </c>
      <c r="I200" s="42">
        <v>0</v>
      </c>
      <c r="K200" s="2">
        <f t="shared" si="37"/>
        <v>12590218</v>
      </c>
      <c r="M200" s="42">
        <v>20494748</v>
      </c>
      <c r="O200" s="42">
        <v>0</v>
      </c>
      <c r="Q200" s="2">
        <f t="shared" si="38"/>
        <v>11880447</v>
      </c>
      <c r="S200" s="42">
        <v>0</v>
      </c>
      <c r="U200" s="42">
        <v>11880447</v>
      </c>
      <c r="W200" s="42">
        <v>0</v>
      </c>
      <c r="Y200" s="42">
        <v>608563</v>
      </c>
      <c r="AA200" s="42">
        <v>4082684</v>
      </c>
      <c r="AC200" s="42">
        <v>0</v>
      </c>
      <c r="AE200" s="42">
        <v>317098</v>
      </c>
      <c r="AG200" s="42">
        <v>3605956</v>
      </c>
      <c r="AI200" s="10">
        <f t="shared" si="34"/>
        <v>8614301</v>
      </c>
      <c r="AK200" s="42">
        <f t="shared" si="33"/>
        <v>0</v>
      </c>
    </row>
    <row r="201" spans="1:37">
      <c r="A201" s="9" t="s">
        <v>382</v>
      </c>
      <c r="B201" s="9"/>
      <c r="C201" s="9" t="s">
        <v>44</v>
      </c>
      <c r="D201" s="9"/>
      <c r="E201" s="23">
        <v>48157</v>
      </c>
      <c r="G201" s="42">
        <v>3942108</v>
      </c>
      <c r="I201" s="42">
        <v>0</v>
      </c>
      <c r="K201" s="2">
        <f t="shared" si="37"/>
        <v>8622166</v>
      </c>
      <c r="M201" s="42">
        <v>12564274</v>
      </c>
      <c r="O201" s="42">
        <v>0</v>
      </c>
      <c r="Q201" s="2">
        <f t="shared" si="38"/>
        <v>2052596</v>
      </c>
      <c r="S201" s="42">
        <v>0</v>
      </c>
      <c r="U201" s="42">
        <v>2052596</v>
      </c>
      <c r="W201" s="42">
        <v>7494110</v>
      </c>
      <c r="Y201" s="42">
        <f>6207+21592</f>
        <v>27799</v>
      </c>
      <c r="AA201" s="42">
        <f>36355+7115</f>
        <v>43470</v>
      </c>
      <c r="AC201" s="42">
        <f>645078+3925+91649+24588+29624</f>
        <v>794864</v>
      </c>
      <c r="AE201" s="42">
        <f>10277+123369+172337</f>
        <v>305983</v>
      </c>
      <c r="AG201" s="42">
        <v>1845452</v>
      </c>
      <c r="AI201" s="10">
        <f t="shared" si="34"/>
        <v>3017568</v>
      </c>
      <c r="AK201" s="42">
        <f t="shared" si="33"/>
        <v>0</v>
      </c>
    </row>
    <row r="202" spans="1:37">
      <c r="A202" s="9" t="s">
        <v>321</v>
      </c>
      <c r="B202" s="9"/>
      <c r="C202" s="9" t="s">
        <v>32</v>
      </c>
      <c r="D202" s="9"/>
      <c r="E202" s="23">
        <v>47340</v>
      </c>
      <c r="G202" s="42">
        <v>15646247</v>
      </c>
      <c r="I202" s="42">
        <v>250638</v>
      </c>
      <c r="K202" s="2">
        <f t="shared" si="37"/>
        <v>52050786</v>
      </c>
      <c r="M202" s="42">
        <v>67947671</v>
      </c>
      <c r="O202" s="42">
        <v>0</v>
      </c>
      <c r="Q202" s="2">
        <f t="shared" si="38"/>
        <v>42896822</v>
      </c>
      <c r="S202" s="42">
        <v>0</v>
      </c>
      <c r="U202" s="42">
        <v>42896822</v>
      </c>
      <c r="W202" s="42">
        <v>0</v>
      </c>
      <c r="Y202" s="42">
        <v>1051838</v>
      </c>
      <c r="AA202" s="42">
        <v>4976333</v>
      </c>
      <c r="AC202" s="42">
        <v>1554198</v>
      </c>
      <c r="AE202" s="42">
        <v>564989</v>
      </c>
      <c r="AG202" s="42">
        <v>16903491</v>
      </c>
      <c r="AI202" s="10">
        <f t="shared" si="34"/>
        <v>25050849</v>
      </c>
      <c r="AK202" s="42">
        <f t="shared" si="33"/>
        <v>0</v>
      </c>
    </row>
    <row r="203" spans="1:37" hidden="1">
      <c r="A203" s="9" t="s">
        <v>611</v>
      </c>
      <c r="B203" s="9"/>
      <c r="C203" s="9" t="s">
        <v>70</v>
      </c>
      <c r="D203" s="9"/>
      <c r="E203" s="23">
        <v>50484</v>
      </c>
      <c r="G203" s="42">
        <v>0</v>
      </c>
      <c r="I203" s="42">
        <v>0</v>
      </c>
      <c r="K203" s="2">
        <f t="shared" si="37"/>
        <v>0</v>
      </c>
      <c r="M203" s="42">
        <v>0</v>
      </c>
      <c r="O203" s="42">
        <v>0</v>
      </c>
      <c r="Q203" s="2">
        <f t="shared" si="38"/>
        <v>0</v>
      </c>
      <c r="S203" s="42">
        <v>0</v>
      </c>
      <c r="U203" s="42">
        <v>0</v>
      </c>
      <c r="W203" s="42">
        <v>0</v>
      </c>
      <c r="Y203" s="42">
        <v>0</v>
      </c>
      <c r="AA203" s="42">
        <v>0</v>
      </c>
      <c r="AC203" s="42">
        <v>0</v>
      </c>
      <c r="AE203" s="42">
        <v>0</v>
      </c>
      <c r="AG203" s="42">
        <v>0</v>
      </c>
      <c r="AI203" s="10">
        <f t="shared" si="34"/>
        <v>0</v>
      </c>
      <c r="AK203" s="42">
        <f t="shared" si="33"/>
        <v>0</v>
      </c>
    </row>
    <row r="204" spans="1:37">
      <c r="A204" s="9" t="s">
        <v>486</v>
      </c>
      <c r="B204" s="9"/>
      <c r="C204" s="9" t="s">
        <v>61</v>
      </c>
      <c r="D204" s="9"/>
      <c r="E204" s="23">
        <v>49783</v>
      </c>
      <c r="G204" s="42">
        <f>4602367+97711</f>
        <v>4700078</v>
      </c>
      <c r="I204" s="42">
        <v>0</v>
      </c>
      <c r="K204" s="2">
        <f t="shared" si="37"/>
        <v>3496709</v>
      </c>
      <c r="M204" s="42">
        <v>8196787</v>
      </c>
      <c r="O204" s="42">
        <v>0</v>
      </c>
      <c r="Q204" s="2">
        <f t="shared" si="38"/>
        <v>1089344</v>
      </c>
      <c r="S204" s="42">
        <v>0</v>
      </c>
      <c r="U204" s="42">
        <v>1089344</v>
      </c>
      <c r="W204" s="42">
        <v>2541012</v>
      </c>
      <c r="Y204" s="42">
        <v>51493</v>
      </c>
      <c r="AA204" s="42">
        <v>1354935</v>
      </c>
      <c r="AC204" s="42">
        <v>0</v>
      </c>
      <c r="AE204" s="42">
        <v>179222</v>
      </c>
      <c r="AG204" s="42">
        <v>2980781</v>
      </c>
      <c r="AI204" s="10">
        <f t="shared" si="34"/>
        <v>4566431</v>
      </c>
      <c r="AK204" s="42">
        <f t="shared" si="33"/>
        <v>0</v>
      </c>
    </row>
    <row r="205" spans="1:37" hidden="1">
      <c r="A205" s="9" t="s">
        <v>758</v>
      </c>
      <c r="B205" s="9"/>
      <c r="C205" s="9" t="s">
        <v>419</v>
      </c>
      <c r="D205" s="9"/>
      <c r="E205" s="23">
        <v>48595</v>
      </c>
      <c r="G205" s="42">
        <v>0</v>
      </c>
      <c r="I205" s="42">
        <v>0</v>
      </c>
      <c r="K205" s="2">
        <f t="shared" si="37"/>
        <v>0</v>
      </c>
      <c r="M205" s="42">
        <v>0</v>
      </c>
      <c r="O205" s="42">
        <v>0</v>
      </c>
      <c r="Q205" s="2">
        <f t="shared" si="38"/>
        <v>0</v>
      </c>
      <c r="S205" s="42">
        <v>0</v>
      </c>
      <c r="U205" s="42">
        <v>0</v>
      </c>
      <c r="W205" s="42">
        <v>0</v>
      </c>
      <c r="Y205" s="42">
        <v>0</v>
      </c>
      <c r="AA205" s="42">
        <v>0</v>
      </c>
      <c r="AC205" s="42">
        <v>0</v>
      </c>
      <c r="AE205" s="42">
        <v>0</v>
      </c>
      <c r="AG205" s="42">
        <v>0</v>
      </c>
      <c r="AI205" s="10">
        <f t="shared" si="34"/>
        <v>0</v>
      </c>
      <c r="AK205" s="42">
        <f t="shared" si="33"/>
        <v>0</v>
      </c>
    </row>
    <row r="206" spans="1:37" hidden="1">
      <c r="A206" s="9" t="s">
        <v>741</v>
      </c>
      <c r="B206" s="9"/>
      <c r="C206" s="9" t="s">
        <v>60</v>
      </c>
      <c r="D206" s="9"/>
      <c r="E206" s="23">
        <v>43992</v>
      </c>
      <c r="G206" s="42">
        <v>0</v>
      </c>
      <c r="I206" s="42">
        <v>0</v>
      </c>
      <c r="K206" s="2">
        <f t="shared" si="37"/>
        <v>0</v>
      </c>
      <c r="M206" s="42">
        <v>0</v>
      </c>
      <c r="O206" s="42">
        <v>0</v>
      </c>
      <c r="Q206" s="2">
        <f t="shared" si="38"/>
        <v>0</v>
      </c>
      <c r="S206" s="42">
        <v>0</v>
      </c>
      <c r="U206" s="42">
        <v>0</v>
      </c>
      <c r="W206" s="42">
        <v>0</v>
      </c>
      <c r="Y206" s="42">
        <v>0</v>
      </c>
      <c r="AA206" s="42">
        <v>0</v>
      </c>
      <c r="AC206" s="42">
        <v>0</v>
      </c>
      <c r="AE206" s="42">
        <v>0</v>
      </c>
      <c r="AG206" s="42">
        <v>0</v>
      </c>
      <c r="AI206" s="10">
        <f t="shared" si="34"/>
        <v>0</v>
      </c>
      <c r="AK206" s="42">
        <f t="shared" si="33"/>
        <v>0</v>
      </c>
    </row>
    <row r="207" spans="1:37">
      <c r="A207" s="9" t="s">
        <v>540</v>
      </c>
      <c r="B207" s="9"/>
      <c r="C207" s="9" t="s">
        <v>69</v>
      </c>
      <c r="D207" s="9"/>
      <c r="E207" s="23">
        <v>44008</v>
      </c>
      <c r="G207" s="42">
        <v>6197919</v>
      </c>
      <c r="I207" s="42">
        <v>0</v>
      </c>
      <c r="K207" s="2">
        <f t="shared" si="37"/>
        <v>13688087</v>
      </c>
      <c r="M207" s="42">
        <v>19886006</v>
      </c>
      <c r="O207" s="42">
        <v>0</v>
      </c>
      <c r="Q207" s="2">
        <f t="shared" si="38"/>
        <v>3124366</v>
      </c>
      <c r="S207" s="42">
        <v>0</v>
      </c>
      <c r="U207" s="42">
        <v>3124366</v>
      </c>
      <c r="W207" s="42">
        <v>11787585</v>
      </c>
      <c r="Y207" s="42">
        <v>14671</v>
      </c>
      <c r="AA207" s="42">
        <v>1576706</v>
      </c>
      <c r="AC207" s="42">
        <v>719044</v>
      </c>
      <c r="AE207" s="42">
        <v>2320676</v>
      </c>
      <c r="AG207" s="42">
        <v>342958</v>
      </c>
      <c r="AI207" s="10">
        <f t="shared" si="34"/>
        <v>4974055</v>
      </c>
      <c r="AK207" s="42">
        <f t="shared" ref="AK207:AK270" si="45">+G207+I207+K207+O207-U207-W207-AC207-AA207-Y207-AE207-AG207</f>
        <v>0</v>
      </c>
    </row>
    <row r="208" spans="1:37">
      <c r="A208" s="9" t="s">
        <v>441</v>
      </c>
      <c r="B208" s="9"/>
      <c r="C208" s="9" t="s">
        <v>51</v>
      </c>
      <c r="D208" s="9"/>
      <c r="E208" s="23">
        <v>48843</v>
      </c>
      <c r="G208" s="42">
        <f>11352863+151</f>
        <v>11353014</v>
      </c>
      <c r="I208" s="42">
        <v>481</v>
      </c>
      <c r="K208" s="2">
        <f t="shared" si="37"/>
        <v>10129303</v>
      </c>
      <c r="M208" s="42">
        <v>21482798</v>
      </c>
      <c r="O208" s="42">
        <v>0</v>
      </c>
      <c r="Q208" s="2">
        <f t="shared" si="38"/>
        <v>3442408</v>
      </c>
      <c r="S208" s="42">
        <v>0</v>
      </c>
      <c r="U208" s="42">
        <v>3442408</v>
      </c>
      <c r="W208" s="42">
        <v>6358313</v>
      </c>
      <c r="Y208" s="42">
        <v>113022</v>
      </c>
      <c r="AA208" s="42">
        <v>2797971</v>
      </c>
      <c r="AC208" s="42">
        <v>2237188</v>
      </c>
      <c r="AE208" s="42">
        <v>1040871</v>
      </c>
      <c r="AG208" s="42">
        <v>5493025</v>
      </c>
      <c r="AI208" s="10">
        <f t="shared" si="34"/>
        <v>11682077</v>
      </c>
      <c r="AK208" s="42">
        <f t="shared" si="45"/>
        <v>0</v>
      </c>
    </row>
    <row r="209" spans="1:37" hidden="1">
      <c r="A209" s="9" t="s">
        <v>610</v>
      </c>
      <c r="B209" s="9"/>
      <c r="C209" s="9" t="s">
        <v>21</v>
      </c>
      <c r="D209" s="9"/>
      <c r="E209" s="23">
        <v>46649</v>
      </c>
      <c r="G209" s="42">
        <v>0</v>
      </c>
      <c r="I209" s="42">
        <v>0</v>
      </c>
      <c r="K209" s="2">
        <f t="shared" si="37"/>
        <v>0</v>
      </c>
      <c r="M209" s="42">
        <v>0</v>
      </c>
      <c r="O209" s="42">
        <v>0</v>
      </c>
      <c r="Q209" s="2">
        <f t="shared" si="38"/>
        <v>0</v>
      </c>
      <c r="S209" s="42">
        <v>0</v>
      </c>
      <c r="U209" s="42">
        <v>0</v>
      </c>
      <c r="W209" s="42">
        <v>0</v>
      </c>
      <c r="Y209" s="42">
        <v>0</v>
      </c>
      <c r="AA209" s="42">
        <v>0</v>
      </c>
      <c r="AC209" s="42">
        <v>0</v>
      </c>
      <c r="AE209" s="42">
        <v>0</v>
      </c>
      <c r="AG209" s="42">
        <v>0</v>
      </c>
      <c r="AI209" s="10">
        <f t="shared" si="34"/>
        <v>0</v>
      </c>
      <c r="AK209" s="42">
        <f t="shared" si="45"/>
        <v>0</v>
      </c>
    </row>
    <row r="210" spans="1:37" hidden="1">
      <c r="A210" s="9" t="s">
        <v>659</v>
      </c>
      <c r="B210" s="9"/>
      <c r="C210" s="9" t="s">
        <v>40</v>
      </c>
      <c r="D210" s="9"/>
      <c r="E210" s="23">
        <v>47852</v>
      </c>
      <c r="G210" s="42">
        <v>0</v>
      </c>
      <c r="I210" s="42">
        <v>0</v>
      </c>
      <c r="K210" s="2">
        <f t="shared" si="37"/>
        <v>0</v>
      </c>
      <c r="M210" s="42">
        <v>0</v>
      </c>
      <c r="O210" s="42">
        <v>0</v>
      </c>
      <c r="Q210" s="2">
        <f t="shared" si="38"/>
        <v>0</v>
      </c>
      <c r="S210" s="42">
        <v>0</v>
      </c>
      <c r="U210" s="42">
        <v>0</v>
      </c>
      <c r="W210" s="42">
        <v>0</v>
      </c>
      <c r="Y210" s="42">
        <v>0</v>
      </c>
      <c r="AA210" s="42">
        <v>0</v>
      </c>
      <c r="AC210" s="42">
        <v>0</v>
      </c>
      <c r="AE210" s="42">
        <v>0</v>
      </c>
      <c r="AG210" s="42">
        <v>0</v>
      </c>
      <c r="AI210" s="10">
        <f t="shared" si="34"/>
        <v>0</v>
      </c>
      <c r="AK210" s="42">
        <f t="shared" si="45"/>
        <v>0</v>
      </c>
    </row>
    <row r="211" spans="1:37">
      <c r="A211" s="9" t="s">
        <v>639</v>
      </c>
      <c r="B211" s="9"/>
      <c r="C211" s="9" t="s">
        <v>79</v>
      </c>
      <c r="D211" s="9"/>
      <c r="E211" s="23">
        <v>44016</v>
      </c>
      <c r="G211" s="42">
        <f>20348567+102825</f>
        <v>20451392</v>
      </c>
      <c r="I211" s="42">
        <v>0</v>
      </c>
      <c r="K211" s="2">
        <f t="shared" si="37"/>
        <v>16775463</v>
      </c>
      <c r="M211" s="42">
        <v>37226855</v>
      </c>
      <c r="O211" s="42">
        <v>0</v>
      </c>
      <c r="Q211" s="2">
        <f t="shared" si="38"/>
        <v>5146397</v>
      </c>
      <c r="S211" s="42">
        <v>0</v>
      </c>
      <c r="U211" s="42">
        <v>5146397</v>
      </c>
      <c r="W211" s="42">
        <v>11864085</v>
      </c>
      <c r="Y211" s="42">
        <v>15925</v>
      </c>
      <c r="AA211" s="42">
        <v>8554120</v>
      </c>
      <c r="AC211" s="42">
        <v>4966336</v>
      </c>
      <c r="AE211" s="42">
        <v>6679442</v>
      </c>
      <c r="AG211" s="42">
        <v>550</v>
      </c>
      <c r="AI211" s="10">
        <f t="shared" si="34"/>
        <v>20216373</v>
      </c>
      <c r="AK211" s="42">
        <f t="shared" si="45"/>
        <v>0</v>
      </c>
    </row>
    <row r="212" spans="1:37">
      <c r="A212" s="9" t="s">
        <v>544</v>
      </c>
      <c r="B212" s="9"/>
      <c r="C212" s="9" t="s">
        <v>70</v>
      </c>
      <c r="D212" s="9"/>
      <c r="E212" s="23">
        <v>50492</v>
      </c>
      <c r="G212" s="42">
        <f>2290123+108</f>
        <v>2290231</v>
      </c>
      <c r="I212" s="42">
        <v>0</v>
      </c>
      <c r="K212" s="2">
        <f t="shared" si="37"/>
        <v>1601866</v>
      </c>
      <c r="M212" s="42">
        <v>3892097</v>
      </c>
      <c r="O212" s="42">
        <v>0</v>
      </c>
      <c r="Q212" s="2">
        <f t="shared" si="38"/>
        <v>778250</v>
      </c>
      <c r="S212" s="42">
        <v>0</v>
      </c>
      <c r="U212" s="42">
        <v>778250</v>
      </c>
      <c r="W212" s="42">
        <v>1473593</v>
      </c>
      <c r="Y212" s="42">
        <v>4967</v>
      </c>
      <c r="AA212" s="42">
        <f>260122+999492+15456+13336+9994</f>
        <v>1298400</v>
      </c>
      <c r="AC212" s="42">
        <v>0</v>
      </c>
      <c r="AE212" s="42">
        <f>58+54116+4073+12257</f>
        <v>70504</v>
      </c>
      <c r="AG212" s="42">
        <v>266383</v>
      </c>
      <c r="AI212" s="10">
        <f t="shared" si="34"/>
        <v>1640254</v>
      </c>
      <c r="AK212" s="42">
        <f t="shared" si="45"/>
        <v>0</v>
      </c>
    </row>
    <row r="213" spans="1:37">
      <c r="A213" s="9" t="s">
        <v>636</v>
      </c>
      <c r="B213" s="9"/>
      <c r="C213" s="9" t="s">
        <v>27</v>
      </c>
      <c r="D213" s="9"/>
      <c r="E213" s="23">
        <v>46961</v>
      </c>
      <c r="G213" s="42">
        <v>18114235</v>
      </c>
      <c r="I213" s="42">
        <v>1021342</v>
      </c>
      <c r="K213" s="2">
        <f t="shared" si="37"/>
        <v>86987481</v>
      </c>
      <c r="M213" s="42">
        <v>106123058</v>
      </c>
      <c r="O213" s="42">
        <v>0</v>
      </c>
      <c r="Q213" s="2">
        <v>12876489</v>
      </c>
      <c r="S213" s="42">
        <v>0</v>
      </c>
      <c r="U213" s="42">
        <v>12876489</v>
      </c>
      <c r="W213" s="42">
        <v>65588096</v>
      </c>
      <c r="Y213" s="42">
        <v>178360</v>
      </c>
      <c r="AA213" s="42">
        <v>9525219</v>
      </c>
      <c r="AC213" s="42">
        <v>23157</v>
      </c>
      <c r="AE213" s="42">
        <v>15434774</v>
      </c>
      <c r="AG213" s="42">
        <v>2496963</v>
      </c>
      <c r="AI213" s="10">
        <f t="shared" si="34"/>
        <v>27658473</v>
      </c>
      <c r="AK213" s="42">
        <f t="shared" si="45"/>
        <v>0</v>
      </c>
    </row>
    <row r="214" spans="1:37">
      <c r="A214" s="9" t="s">
        <v>257</v>
      </c>
      <c r="B214" s="9"/>
      <c r="C214" s="9" t="s">
        <v>110</v>
      </c>
      <c r="D214" s="9"/>
      <c r="E214" s="23">
        <v>44024</v>
      </c>
      <c r="G214" s="42">
        <v>3618312</v>
      </c>
      <c r="I214" s="42">
        <v>1726</v>
      </c>
      <c r="K214" s="2">
        <f t="shared" si="37"/>
        <v>7171692</v>
      </c>
      <c r="M214" s="42">
        <v>10791730</v>
      </c>
      <c r="O214" s="42">
        <v>0</v>
      </c>
      <c r="Q214" s="2">
        <v>2097951</v>
      </c>
      <c r="S214" s="42">
        <v>0</v>
      </c>
      <c r="U214" s="42">
        <v>2097951</v>
      </c>
      <c r="W214" s="42">
        <v>4944428</v>
      </c>
      <c r="Y214" s="42">
        <v>7024</v>
      </c>
      <c r="AA214" s="42">
        <v>2497918</v>
      </c>
      <c r="AC214" s="42">
        <v>0</v>
      </c>
      <c r="AE214" s="42">
        <v>220434</v>
      </c>
      <c r="AG214" s="42">
        <v>1023975</v>
      </c>
      <c r="AI214" s="10">
        <f t="shared" ref="AI214:AI218" si="46">Y214+AA214+AC214+AE214+AG214</f>
        <v>3749351</v>
      </c>
      <c r="AK214" s="42">
        <f t="shared" si="45"/>
        <v>0</v>
      </c>
    </row>
    <row r="215" spans="1:37">
      <c r="A215" s="9" t="s">
        <v>637</v>
      </c>
      <c r="B215" s="9"/>
      <c r="C215" s="9" t="s">
        <v>29</v>
      </c>
      <c r="D215" s="9"/>
      <c r="E215" s="23">
        <v>65680</v>
      </c>
      <c r="G215" s="42">
        <v>16645599</v>
      </c>
      <c r="I215" s="42">
        <v>55891</v>
      </c>
      <c r="K215" s="2">
        <f t="shared" si="37"/>
        <v>14901506</v>
      </c>
      <c r="M215" s="42">
        <v>31602996</v>
      </c>
      <c r="O215" s="42">
        <v>0</v>
      </c>
      <c r="Q215" s="2">
        <v>3144798</v>
      </c>
      <c r="S215" s="42">
        <v>0</v>
      </c>
      <c r="U215" s="42">
        <v>3144798</v>
      </c>
      <c r="W215" s="42">
        <v>13714136</v>
      </c>
      <c r="Y215" s="42">
        <v>92000</v>
      </c>
      <c r="AA215" s="42">
        <v>9914441</v>
      </c>
      <c r="AC215" s="42">
        <v>0</v>
      </c>
      <c r="AE215" s="42">
        <v>1493414</v>
      </c>
      <c r="AG215" s="42">
        <v>3244207</v>
      </c>
      <c r="AI215" s="10">
        <f t="shared" si="46"/>
        <v>14744062</v>
      </c>
      <c r="AK215" s="42">
        <f t="shared" si="45"/>
        <v>0</v>
      </c>
    </row>
    <row r="216" spans="1:37">
      <c r="A216" s="9" t="s">
        <v>311</v>
      </c>
      <c r="B216" s="9"/>
      <c r="C216" s="9" t="s">
        <v>29</v>
      </c>
      <c r="D216" s="9"/>
      <c r="E216" s="23">
        <v>44032</v>
      </c>
      <c r="G216" s="42">
        <v>5700257</v>
      </c>
      <c r="I216" s="42">
        <v>88963</v>
      </c>
      <c r="K216" s="2">
        <f t="shared" si="37"/>
        <v>8061478</v>
      </c>
      <c r="M216" s="42">
        <v>13850698</v>
      </c>
      <c r="O216" s="42">
        <v>0</v>
      </c>
      <c r="Q216" s="2">
        <v>2033114</v>
      </c>
      <c r="S216" s="42">
        <v>0</v>
      </c>
      <c r="U216" s="42">
        <v>2033114</v>
      </c>
      <c r="W216" s="42">
        <v>7337148</v>
      </c>
      <c r="Y216" s="42">
        <v>174165</v>
      </c>
      <c r="AA216" s="42">
        <v>4163909</v>
      </c>
      <c r="AC216" s="42">
        <v>219264</v>
      </c>
      <c r="AE216" s="42">
        <v>33824</v>
      </c>
      <c r="AG216" s="42">
        <v>-110726</v>
      </c>
      <c r="AI216" s="10">
        <f t="shared" si="46"/>
        <v>4480436</v>
      </c>
      <c r="AK216" s="42">
        <f t="shared" si="45"/>
        <v>0</v>
      </c>
    </row>
    <row r="217" spans="1:37">
      <c r="A217" s="9" t="s">
        <v>531</v>
      </c>
      <c r="B217" s="9"/>
      <c r="C217" s="9" t="s">
        <v>65</v>
      </c>
      <c r="D217" s="9"/>
      <c r="E217" s="23">
        <v>50278</v>
      </c>
      <c r="G217" s="42">
        <v>3244594</v>
      </c>
      <c r="I217" s="42">
        <v>0</v>
      </c>
      <c r="K217" s="2">
        <f t="shared" si="37"/>
        <v>5836869</v>
      </c>
      <c r="M217" s="42">
        <v>9081463</v>
      </c>
      <c r="O217" s="42">
        <v>0</v>
      </c>
      <c r="Q217" s="2">
        <v>1877903</v>
      </c>
      <c r="S217" s="42">
        <v>0</v>
      </c>
      <c r="U217" s="42">
        <v>1877903</v>
      </c>
      <c r="W217" s="42">
        <v>5198073</v>
      </c>
      <c r="Y217" s="42">
        <v>10391</v>
      </c>
      <c r="AA217" s="42">
        <v>687642</v>
      </c>
      <c r="AC217" s="42">
        <v>0</v>
      </c>
      <c r="AE217" s="42">
        <v>639213</v>
      </c>
      <c r="AG217" s="42">
        <v>668241</v>
      </c>
      <c r="AI217" s="10">
        <f t="shared" si="46"/>
        <v>2005487</v>
      </c>
      <c r="AK217" s="42">
        <f t="shared" si="45"/>
        <v>0</v>
      </c>
    </row>
    <row r="218" spans="1:37">
      <c r="A218" s="9" t="s">
        <v>673</v>
      </c>
      <c r="B218" s="9"/>
      <c r="C218" s="9" t="s">
        <v>20</v>
      </c>
      <c r="D218" s="9"/>
      <c r="E218" s="23">
        <v>44040</v>
      </c>
      <c r="G218" s="42">
        <v>9415057</v>
      </c>
      <c r="I218" s="42">
        <v>1184067</v>
      </c>
      <c r="K218" s="2">
        <f t="shared" si="37"/>
        <v>23959107</v>
      </c>
      <c r="M218" s="42">
        <v>34558231</v>
      </c>
      <c r="O218" s="42">
        <v>0</v>
      </c>
      <c r="Q218" s="2">
        <v>6881216</v>
      </c>
      <c r="S218" s="42">
        <v>0</v>
      </c>
      <c r="U218" s="42">
        <v>6881216</v>
      </c>
      <c r="W218" s="42">
        <v>21114631</v>
      </c>
      <c r="Y218" s="42">
        <v>0</v>
      </c>
      <c r="AA218" s="42">
        <v>6920599</v>
      </c>
      <c r="AC218" s="42">
        <v>0</v>
      </c>
      <c r="AE218" s="42">
        <v>507280</v>
      </c>
      <c r="AG218" s="42">
        <v>-865495</v>
      </c>
      <c r="AI218" s="10">
        <f t="shared" si="46"/>
        <v>6562384</v>
      </c>
      <c r="AK218" s="42">
        <f t="shared" si="45"/>
        <v>0</v>
      </c>
    </row>
    <row r="219" spans="1:37">
      <c r="A219" s="9" t="s">
        <v>638</v>
      </c>
      <c r="B219" s="9"/>
      <c r="C219" s="9" t="s">
        <v>12</v>
      </c>
      <c r="D219" s="9"/>
      <c r="E219" s="23">
        <v>44057</v>
      </c>
      <c r="G219" s="42">
        <f>10138394+15000+595409</f>
        <v>10748803</v>
      </c>
      <c r="I219" s="42">
        <v>0</v>
      </c>
      <c r="K219" s="2">
        <f t="shared" si="37"/>
        <v>10332170</v>
      </c>
      <c r="M219" s="42">
        <v>21080973</v>
      </c>
      <c r="O219" s="42">
        <v>0</v>
      </c>
      <c r="Q219" s="2">
        <f t="shared" ref="Q219:Q229" si="47">U219-S219</f>
        <v>2628660</v>
      </c>
      <c r="S219" s="42">
        <v>0</v>
      </c>
      <c r="U219" s="42">
        <v>2628660</v>
      </c>
      <c r="W219" s="42">
        <v>7710337</v>
      </c>
      <c r="Y219" s="42">
        <v>107700</v>
      </c>
      <c r="AA219" s="42">
        <v>8896234</v>
      </c>
      <c r="AC219" s="42">
        <v>0</v>
      </c>
      <c r="AE219" s="42">
        <v>1270640</v>
      </c>
      <c r="AG219" s="42">
        <v>467402</v>
      </c>
      <c r="AI219" s="10">
        <f t="shared" ref="AI219:AI278" si="48">Y219+AA219+AC219+AE219+AG219</f>
        <v>10741976</v>
      </c>
      <c r="AK219" s="42">
        <f t="shared" si="45"/>
        <v>0</v>
      </c>
    </row>
    <row r="220" spans="1:37" hidden="1">
      <c r="A220" s="9" t="s">
        <v>826</v>
      </c>
      <c r="B220" s="9"/>
      <c r="C220" s="9" t="s">
        <v>53</v>
      </c>
      <c r="D220" s="9"/>
      <c r="E220" s="23">
        <v>48942</v>
      </c>
      <c r="G220" s="42">
        <v>0</v>
      </c>
      <c r="I220" s="42">
        <v>0</v>
      </c>
      <c r="K220" s="2">
        <f t="shared" si="37"/>
        <v>0</v>
      </c>
      <c r="M220" s="42">
        <v>0</v>
      </c>
      <c r="O220" s="42">
        <v>0</v>
      </c>
      <c r="Q220" s="2">
        <f t="shared" si="47"/>
        <v>0</v>
      </c>
      <c r="S220" s="42">
        <v>0</v>
      </c>
      <c r="U220" s="42">
        <v>0</v>
      </c>
      <c r="W220" s="42">
        <v>0</v>
      </c>
      <c r="Y220" s="42">
        <v>0</v>
      </c>
      <c r="AA220" s="42">
        <v>0</v>
      </c>
      <c r="AC220" s="42">
        <v>0</v>
      </c>
      <c r="AE220" s="42">
        <v>0</v>
      </c>
      <c r="AG220" s="42">
        <v>0</v>
      </c>
      <c r="AI220" s="10">
        <f t="shared" si="48"/>
        <v>0</v>
      </c>
      <c r="AK220" s="42">
        <f t="shared" si="45"/>
        <v>0</v>
      </c>
    </row>
    <row r="221" spans="1:37" hidden="1">
      <c r="A221" s="9" t="s">
        <v>660</v>
      </c>
      <c r="B221" s="9"/>
      <c r="C221" s="9" t="s">
        <v>77</v>
      </c>
      <c r="D221" s="9"/>
      <c r="E221" s="23">
        <v>45377</v>
      </c>
      <c r="G221" s="42">
        <v>0</v>
      </c>
      <c r="I221" s="42">
        <v>0</v>
      </c>
      <c r="K221" s="2">
        <f t="shared" si="37"/>
        <v>0</v>
      </c>
      <c r="M221" s="42">
        <v>0</v>
      </c>
      <c r="O221" s="42">
        <v>0</v>
      </c>
      <c r="Q221" s="2">
        <f t="shared" si="47"/>
        <v>0</v>
      </c>
      <c r="S221" s="42">
        <v>0</v>
      </c>
      <c r="U221" s="42">
        <v>0</v>
      </c>
      <c r="W221" s="42">
        <v>0</v>
      </c>
      <c r="Y221" s="42">
        <v>0</v>
      </c>
      <c r="AA221" s="42">
        <v>0</v>
      </c>
      <c r="AC221" s="42">
        <v>0</v>
      </c>
      <c r="AE221" s="42">
        <v>0</v>
      </c>
      <c r="AG221" s="42">
        <v>0</v>
      </c>
      <c r="AI221" s="10">
        <f t="shared" si="48"/>
        <v>0</v>
      </c>
      <c r="AK221" s="42">
        <f t="shared" si="45"/>
        <v>0</v>
      </c>
    </row>
    <row r="222" spans="1:37">
      <c r="A222" s="9" t="s">
        <v>742</v>
      </c>
      <c r="B222" s="9"/>
      <c r="C222" s="9" t="s">
        <v>79</v>
      </c>
      <c r="D222" s="9"/>
      <c r="E222" s="23">
        <v>45385</v>
      </c>
      <c r="G222" s="42">
        <v>2391175</v>
      </c>
      <c r="I222" s="42">
        <v>52124</v>
      </c>
      <c r="K222" s="2">
        <f t="shared" si="37"/>
        <v>2776238</v>
      </c>
      <c r="M222" s="42">
        <v>5219537</v>
      </c>
      <c r="O222" s="42">
        <v>0</v>
      </c>
      <c r="Q222" s="2">
        <f t="shared" si="47"/>
        <v>1130840</v>
      </c>
      <c r="S222" s="42">
        <v>0</v>
      </c>
      <c r="U222" s="42">
        <v>1130840</v>
      </c>
      <c r="W222" s="42">
        <v>2412519</v>
      </c>
      <c r="Y222" s="42">
        <f>9757+10848</f>
        <v>20605</v>
      </c>
      <c r="AA222" s="42">
        <f>1402881+7008+4253+4187+52124+1435</f>
        <v>1471888</v>
      </c>
      <c r="AC222" s="42">
        <v>5204</v>
      </c>
      <c r="AE222" s="42">
        <f>1626+27442+929+960+180859+165</f>
        <v>211981</v>
      </c>
      <c r="AG222" s="42">
        <v>-33500</v>
      </c>
      <c r="AI222" s="10">
        <f t="shared" si="48"/>
        <v>1676178</v>
      </c>
      <c r="AK222" s="42">
        <f t="shared" si="45"/>
        <v>0</v>
      </c>
    </row>
    <row r="223" spans="1:37">
      <c r="A223" s="9" t="s">
        <v>517</v>
      </c>
      <c r="B223" s="9"/>
      <c r="C223" s="9" t="s">
        <v>64</v>
      </c>
      <c r="D223" s="9"/>
      <c r="E223" s="23">
        <v>44065</v>
      </c>
      <c r="G223" s="42">
        <v>10186632</v>
      </c>
      <c r="I223" s="42">
        <v>0</v>
      </c>
      <c r="K223" s="2">
        <f t="shared" si="37"/>
        <v>6729970</v>
      </c>
      <c r="M223" s="42">
        <v>16916602</v>
      </c>
      <c r="O223" s="42">
        <v>0</v>
      </c>
      <c r="Q223" s="2">
        <f t="shared" si="47"/>
        <v>1799127</v>
      </c>
      <c r="S223" s="42">
        <v>0</v>
      </c>
      <c r="U223" s="42">
        <v>1799127</v>
      </c>
      <c r="W223" s="42">
        <v>6603024</v>
      </c>
      <c r="Y223" s="42">
        <f>4818+3713</f>
        <v>8531</v>
      </c>
      <c r="AA223" s="42">
        <f>312469+3195936+511666+568+382+363+177660</f>
        <v>4199044</v>
      </c>
      <c r="AC223" s="42">
        <v>0</v>
      </c>
      <c r="AE223" s="42">
        <f>21335+359377+15183+324985</f>
        <v>720880</v>
      </c>
      <c r="AG223" s="42">
        <v>3585996</v>
      </c>
      <c r="AI223" s="10">
        <f t="shared" si="48"/>
        <v>8514451</v>
      </c>
      <c r="AK223" s="42">
        <f t="shared" si="45"/>
        <v>0</v>
      </c>
    </row>
    <row r="224" spans="1:37" hidden="1">
      <c r="A224" s="9" t="s">
        <v>784</v>
      </c>
      <c r="B224" s="9"/>
      <c r="C224" s="9" t="s">
        <v>28</v>
      </c>
      <c r="D224" s="9"/>
      <c r="E224" s="23">
        <v>47068</v>
      </c>
      <c r="G224" s="42">
        <v>0</v>
      </c>
      <c r="I224" s="42">
        <v>0</v>
      </c>
      <c r="K224" s="2">
        <f t="shared" si="37"/>
        <v>0</v>
      </c>
      <c r="M224" s="42">
        <v>0</v>
      </c>
      <c r="O224" s="42">
        <v>0</v>
      </c>
      <c r="Q224" s="2">
        <f t="shared" si="47"/>
        <v>0</v>
      </c>
      <c r="S224" s="42">
        <v>0</v>
      </c>
      <c r="U224" s="42">
        <v>0</v>
      </c>
      <c r="W224" s="42">
        <v>0</v>
      </c>
      <c r="Y224" s="42">
        <v>0</v>
      </c>
      <c r="AA224" s="42">
        <v>0</v>
      </c>
      <c r="AC224" s="42">
        <v>0</v>
      </c>
      <c r="AE224" s="42">
        <v>0</v>
      </c>
      <c r="AG224" s="42">
        <v>0</v>
      </c>
      <c r="AI224" s="10">
        <f t="shared" si="48"/>
        <v>0</v>
      </c>
      <c r="AK224" s="42">
        <f t="shared" si="45"/>
        <v>0</v>
      </c>
    </row>
    <row r="225" spans="1:37">
      <c r="A225" s="9" t="s">
        <v>238</v>
      </c>
      <c r="B225" s="9"/>
      <c r="C225" s="9" t="s">
        <v>112</v>
      </c>
      <c r="D225" s="9"/>
      <c r="E225" s="23">
        <v>46342</v>
      </c>
      <c r="G225" s="42">
        <f>4910554+465375</f>
        <v>5375929</v>
      </c>
      <c r="I225" s="42">
        <v>2132</v>
      </c>
      <c r="K225" s="2">
        <f t="shared" si="37"/>
        <v>8237251</v>
      </c>
      <c r="M225" s="42">
        <v>13615312</v>
      </c>
      <c r="O225" s="42">
        <v>0</v>
      </c>
      <c r="Q225" s="2">
        <f t="shared" si="47"/>
        <v>3136095</v>
      </c>
      <c r="S225" s="42">
        <v>0</v>
      </c>
      <c r="U225" s="42">
        <v>3136095</v>
      </c>
      <c r="W225" s="42">
        <v>4404512</v>
      </c>
      <c r="Y225" s="42">
        <v>2418</v>
      </c>
      <c r="AA225" s="42">
        <v>2972493</v>
      </c>
      <c r="AC225" s="42">
        <v>11000</v>
      </c>
      <c r="AE225" s="42">
        <v>53716</v>
      </c>
      <c r="AG225" s="42">
        <v>3035078</v>
      </c>
      <c r="AI225" s="10">
        <f t="shared" si="48"/>
        <v>6074705</v>
      </c>
      <c r="AK225" s="42">
        <f t="shared" si="45"/>
        <v>0</v>
      </c>
    </row>
    <row r="226" spans="1:37" hidden="1">
      <c r="A226" s="9" t="s">
        <v>785</v>
      </c>
      <c r="B226" s="9"/>
      <c r="C226" s="9" t="s">
        <v>227</v>
      </c>
      <c r="D226" s="9"/>
      <c r="E226" s="23">
        <v>46193</v>
      </c>
      <c r="G226" s="42">
        <v>0</v>
      </c>
      <c r="I226" s="42">
        <v>0</v>
      </c>
      <c r="K226" s="2">
        <f t="shared" si="37"/>
        <v>0</v>
      </c>
      <c r="M226" s="42">
        <v>0</v>
      </c>
      <c r="O226" s="42">
        <v>0</v>
      </c>
      <c r="Q226" s="2">
        <f t="shared" si="47"/>
        <v>0</v>
      </c>
      <c r="S226" s="42">
        <v>0</v>
      </c>
      <c r="U226" s="42">
        <v>0</v>
      </c>
      <c r="W226" s="42">
        <v>0</v>
      </c>
      <c r="Y226" s="42">
        <v>0</v>
      </c>
      <c r="AA226" s="42">
        <v>0</v>
      </c>
      <c r="AC226" s="42">
        <v>0</v>
      </c>
      <c r="AE226" s="42">
        <v>0</v>
      </c>
      <c r="AG226" s="42">
        <v>0</v>
      </c>
      <c r="AI226" s="10">
        <f t="shared" si="48"/>
        <v>0</v>
      </c>
      <c r="AK226" s="42">
        <f t="shared" si="45"/>
        <v>0</v>
      </c>
    </row>
    <row r="227" spans="1:37">
      <c r="A227" s="9" t="s">
        <v>207</v>
      </c>
      <c r="B227" s="9"/>
      <c r="C227" s="9" t="s">
        <v>12</v>
      </c>
      <c r="D227" s="9"/>
      <c r="E227" s="23">
        <v>45864</v>
      </c>
      <c r="G227" s="42">
        <v>9906116</v>
      </c>
      <c r="I227" s="42">
        <v>0</v>
      </c>
      <c r="K227" s="2">
        <f t="shared" si="37"/>
        <v>5044970</v>
      </c>
      <c r="M227" s="42">
        <v>14951086</v>
      </c>
      <c r="O227" s="42">
        <v>0</v>
      </c>
      <c r="Q227" s="2">
        <f t="shared" si="47"/>
        <v>1360308</v>
      </c>
      <c r="S227" s="42">
        <v>0</v>
      </c>
      <c r="U227" s="42">
        <v>1360308</v>
      </c>
      <c r="W227" s="42">
        <v>4250838</v>
      </c>
      <c r="Y227" s="42">
        <v>42449</v>
      </c>
      <c r="AA227" s="42">
        <v>8232086</v>
      </c>
      <c r="AC227" s="42">
        <v>101134</v>
      </c>
      <c r="AE227" s="42">
        <v>966949</v>
      </c>
      <c r="AG227" s="42">
        <v>-2678</v>
      </c>
      <c r="AI227" s="10">
        <f t="shared" si="48"/>
        <v>9339940</v>
      </c>
      <c r="AK227" s="42">
        <f t="shared" si="45"/>
        <v>0</v>
      </c>
    </row>
    <row r="228" spans="1:37">
      <c r="A228" s="9" t="s">
        <v>301</v>
      </c>
      <c r="B228" s="9"/>
      <c r="C228" s="9" t="s">
        <v>27</v>
      </c>
      <c r="D228" s="9"/>
      <c r="E228" s="23">
        <v>44073</v>
      </c>
      <c r="G228" s="42">
        <v>8977365</v>
      </c>
      <c r="I228" s="42">
        <v>68902</v>
      </c>
      <c r="K228" s="2">
        <f t="shared" ref="K228:K295" si="49">M228-G228-I228</f>
        <v>11675320</v>
      </c>
      <c r="M228" s="42">
        <v>20721587</v>
      </c>
      <c r="O228" s="42">
        <v>0</v>
      </c>
      <c r="Q228" s="2">
        <f t="shared" si="47"/>
        <v>2109203</v>
      </c>
      <c r="S228" s="42">
        <v>0</v>
      </c>
      <c r="U228" s="42">
        <v>2109203</v>
      </c>
      <c r="W228" s="42">
        <v>9369106</v>
      </c>
      <c r="Y228" s="42">
        <v>78763</v>
      </c>
      <c r="AA228" s="42">
        <f>1017844+560888+68902+3061+14341</f>
        <v>1665036</v>
      </c>
      <c r="AC228" s="42">
        <f>69442+750000</f>
        <v>819442</v>
      </c>
      <c r="AE228" s="42">
        <v>416272</v>
      </c>
      <c r="AG228" s="42">
        <v>6263765</v>
      </c>
      <c r="AI228" s="10">
        <f t="shared" si="48"/>
        <v>9243278</v>
      </c>
      <c r="AK228" s="42">
        <f t="shared" si="45"/>
        <v>0</v>
      </c>
    </row>
    <row r="229" spans="1:37">
      <c r="A229" s="9" t="s">
        <v>661</v>
      </c>
      <c r="B229" s="9"/>
      <c r="C229" s="9" t="s">
        <v>42</v>
      </c>
      <c r="D229" s="9"/>
      <c r="E229" s="23">
        <v>45393</v>
      </c>
      <c r="G229" s="42">
        <f>4544782+5000+17698</f>
        <v>4567480</v>
      </c>
      <c r="I229" s="42">
        <v>0</v>
      </c>
      <c r="K229" s="2">
        <f t="shared" si="49"/>
        <v>19894811</v>
      </c>
      <c r="M229" s="42">
        <v>24462291</v>
      </c>
      <c r="O229" s="42">
        <v>0</v>
      </c>
      <c r="Q229" s="2">
        <f t="shared" si="47"/>
        <v>3829139</v>
      </c>
      <c r="S229" s="42">
        <v>0</v>
      </c>
      <c r="U229" s="42">
        <v>3829139</v>
      </c>
      <c r="W229" s="42">
        <v>17862371</v>
      </c>
      <c r="Y229" s="42">
        <v>700000</v>
      </c>
      <c r="AA229" s="42">
        <f>83479+2585596+262413+57206+66223+95254</f>
        <v>3150171</v>
      </c>
      <c r="AC229" s="42">
        <v>0</v>
      </c>
      <c r="AE229" s="42">
        <v>0</v>
      </c>
      <c r="AG229" s="42">
        <v>-1079390</v>
      </c>
      <c r="AI229" s="10">
        <f t="shared" si="48"/>
        <v>2770781</v>
      </c>
      <c r="AK229" s="42">
        <f t="shared" si="45"/>
        <v>0</v>
      </c>
    </row>
    <row r="230" spans="1:37">
      <c r="A230" s="9" t="s">
        <v>478</v>
      </c>
      <c r="B230" s="9"/>
      <c r="C230" s="9" t="s">
        <v>59</v>
      </c>
      <c r="D230" s="9"/>
      <c r="E230" s="23">
        <v>49619</v>
      </c>
      <c r="G230" s="42">
        <v>1346148</v>
      </c>
      <c r="I230" s="42">
        <v>56962</v>
      </c>
      <c r="K230" s="2">
        <f t="shared" si="49"/>
        <v>2162117</v>
      </c>
      <c r="M230" s="42">
        <v>3565227</v>
      </c>
      <c r="O230" s="42">
        <v>0</v>
      </c>
      <c r="Q230" s="2">
        <f t="shared" ref="Q230:Q295" si="50">U230-S230</f>
        <v>760802</v>
      </c>
      <c r="S230" s="42">
        <v>0</v>
      </c>
      <c r="U230" s="42">
        <v>760802</v>
      </c>
      <c r="W230" s="42">
        <v>1730282</v>
      </c>
      <c r="Y230" s="42">
        <v>0</v>
      </c>
      <c r="AA230" s="42">
        <v>248998</v>
      </c>
      <c r="AC230" s="42">
        <v>75030</v>
      </c>
      <c r="AE230" s="42">
        <v>349224</v>
      </c>
      <c r="AG230" s="42">
        <v>400891</v>
      </c>
      <c r="AI230" s="10">
        <f t="shared" si="48"/>
        <v>1074143</v>
      </c>
      <c r="AK230" s="42">
        <f t="shared" si="45"/>
        <v>0</v>
      </c>
    </row>
    <row r="231" spans="1:37">
      <c r="A231" s="9" t="s">
        <v>478</v>
      </c>
      <c r="B231" s="9"/>
      <c r="C231" s="9" t="s">
        <v>63</v>
      </c>
      <c r="D231" s="9"/>
      <c r="E231" s="23">
        <v>50013</v>
      </c>
      <c r="G231" s="42">
        <v>3518696</v>
      </c>
      <c r="I231" s="42">
        <v>0</v>
      </c>
      <c r="K231" s="2">
        <f t="shared" si="49"/>
        <v>26189181</v>
      </c>
      <c r="M231" s="42">
        <v>29707877</v>
      </c>
      <c r="O231" s="42">
        <v>0</v>
      </c>
      <c r="Q231" s="2">
        <f t="shared" si="50"/>
        <v>8359649</v>
      </c>
      <c r="S231" s="42">
        <v>0</v>
      </c>
      <c r="U231" s="42">
        <f>33172472-24812823</f>
        <v>8359649</v>
      </c>
      <c r="W231" s="42">
        <v>24812823</v>
      </c>
      <c r="Y231" s="42">
        <v>0</v>
      </c>
      <c r="AA231" s="42">
        <v>1822122</v>
      </c>
      <c r="AC231" s="42">
        <v>0</v>
      </c>
      <c r="AE231" s="42">
        <v>14436</v>
      </c>
      <c r="AG231" s="42">
        <v>-5301153</v>
      </c>
      <c r="AI231" s="10">
        <f t="shared" si="48"/>
        <v>-3464595</v>
      </c>
      <c r="AK231" s="42">
        <f t="shared" si="45"/>
        <v>0</v>
      </c>
    </row>
    <row r="232" spans="1:37" hidden="1">
      <c r="A232" s="8" t="s">
        <v>845</v>
      </c>
      <c r="B232" s="9"/>
      <c r="C232" s="9" t="s">
        <v>71</v>
      </c>
      <c r="D232" s="9"/>
      <c r="E232" s="23">
        <v>50559</v>
      </c>
      <c r="G232" s="42">
        <v>0</v>
      </c>
      <c r="I232" s="42">
        <v>0</v>
      </c>
      <c r="K232" s="2">
        <f t="shared" si="49"/>
        <v>0</v>
      </c>
      <c r="M232" s="42">
        <v>0</v>
      </c>
      <c r="O232" s="42">
        <v>0</v>
      </c>
      <c r="Q232" s="2">
        <f t="shared" si="50"/>
        <v>0</v>
      </c>
      <c r="S232" s="42">
        <v>0</v>
      </c>
      <c r="U232" s="42">
        <v>0</v>
      </c>
      <c r="W232" s="42">
        <v>0</v>
      </c>
      <c r="Y232" s="42">
        <v>0</v>
      </c>
      <c r="AA232" s="42">
        <v>0</v>
      </c>
      <c r="AC232" s="42">
        <v>0</v>
      </c>
      <c r="AE232" s="42">
        <v>0</v>
      </c>
      <c r="AG232" s="42">
        <v>0</v>
      </c>
      <c r="AI232" s="10">
        <f t="shared" si="48"/>
        <v>0</v>
      </c>
      <c r="AK232" s="42">
        <f t="shared" si="45"/>
        <v>0</v>
      </c>
    </row>
    <row r="233" spans="1:37">
      <c r="A233" s="9" t="s">
        <v>316</v>
      </c>
      <c r="B233" s="9"/>
      <c r="C233" s="9" t="s">
        <v>113</v>
      </c>
      <c r="D233" s="9"/>
      <c r="E233" s="23">
        <v>47266</v>
      </c>
      <c r="G233" s="42">
        <f>8237333+159504</f>
        <v>8396837</v>
      </c>
      <c r="I233" s="42">
        <v>76238</v>
      </c>
      <c r="K233" s="2">
        <f t="shared" si="49"/>
        <v>5004148</v>
      </c>
      <c r="M233" s="42">
        <v>13477223</v>
      </c>
      <c r="O233" s="42">
        <v>0</v>
      </c>
      <c r="Q233" s="2">
        <f t="shared" si="50"/>
        <v>1532048</v>
      </c>
      <c r="S233" s="42">
        <v>0</v>
      </c>
      <c r="U233" s="42">
        <v>1532048</v>
      </c>
      <c r="W233" s="42">
        <v>3951060</v>
      </c>
      <c r="Y233" s="42">
        <v>5176</v>
      </c>
      <c r="AA233" s="42">
        <v>968947</v>
      </c>
      <c r="AC233" s="42">
        <v>0</v>
      </c>
      <c r="AE233" s="42">
        <v>733356</v>
      </c>
      <c r="AG233" s="42">
        <v>6286636</v>
      </c>
      <c r="AI233" s="10">
        <f t="shared" si="48"/>
        <v>7994115</v>
      </c>
      <c r="AK233" s="42">
        <f t="shared" si="45"/>
        <v>0</v>
      </c>
    </row>
    <row r="234" spans="1:37">
      <c r="A234" s="9" t="s">
        <v>754</v>
      </c>
      <c r="B234" s="9"/>
      <c r="C234" s="9" t="s">
        <v>346</v>
      </c>
      <c r="D234" s="9"/>
      <c r="E234" s="23">
        <v>45401</v>
      </c>
      <c r="G234" s="42">
        <v>13231729</v>
      </c>
      <c r="I234" s="42">
        <v>0</v>
      </c>
      <c r="K234" s="2">
        <f t="shared" si="49"/>
        <v>8907736</v>
      </c>
      <c r="M234" s="42">
        <v>22139465</v>
      </c>
      <c r="O234" s="42">
        <v>0</v>
      </c>
      <c r="Q234" s="2">
        <f t="shared" si="50"/>
        <v>5566400</v>
      </c>
      <c r="S234" s="42">
        <v>0</v>
      </c>
      <c r="U234" s="42">
        <v>5566400</v>
      </c>
      <c r="W234" s="42">
        <v>4270527</v>
      </c>
      <c r="Y234" s="42">
        <v>0</v>
      </c>
      <c r="AA234" s="42">
        <v>3718747</v>
      </c>
      <c r="AC234" s="42">
        <v>459378</v>
      </c>
      <c r="AE234" s="42">
        <v>1095478</v>
      </c>
      <c r="AG234" s="42">
        <v>7028935</v>
      </c>
      <c r="AI234" s="10">
        <f t="shared" si="48"/>
        <v>12302538</v>
      </c>
      <c r="AK234" s="42">
        <f t="shared" si="45"/>
        <v>0</v>
      </c>
    </row>
    <row r="235" spans="1:37">
      <c r="A235" s="9" t="s">
        <v>230</v>
      </c>
      <c r="B235" s="9"/>
      <c r="C235" s="9" t="s">
        <v>17</v>
      </c>
      <c r="D235" s="9"/>
      <c r="E235" s="23">
        <v>46235</v>
      </c>
      <c r="G235" s="42">
        <f>3501782+2644</f>
        <v>3504426</v>
      </c>
      <c r="I235" s="42">
        <v>0</v>
      </c>
      <c r="K235" s="2">
        <f t="shared" si="49"/>
        <v>7936515</v>
      </c>
      <c r="M235" s="42">
        <v>11440941</v>
      </c>
      <c r="O235" s="42">
        <v>0</v>
      </c>
      <c r="Q235" s="2">
        <f t="shared" si="50"/>
        <v>1899177</v>
      </c>
      <c r="S235" s="42">
        <v>0</v>
      </c>
      <c r="U235" s="42">
        <v>1899177</v>
      </c>
      <c r="W235" s="42">
        <v>6642596</v>
      </c>
      <c r="Y235" s="42">
        <f>6568+34251</f>
        <v>40819</v>
      </c>
      <c r="AA235" s="42">
        <f>1175527+24836+14749+20259+24886+45644</f>
        <v>1305901</v>
      </c>
      <c r="AC235" s="42">
        <v>11000</v>
      </c>
      <c r="AE235" s="42">
        <f>5532+61642+731958</f>
        <v>799132</v>
      </c>
      <c r="AG235" s="42">
        <v>742316</v>
      </c>
      <c r="AI235" s="10">
        <f t="shared" si="48"/>
        <v>2899168</v>
      </c>
      <c r="AK235" s="42">
        <f t="shared" si="45"/>
        <v>0</v>
      </c>
    </row>
    <row r="236" spans="1:37">
      <c r="A236" s="9" t="s">
        <v>280</v>
      </c>
      <c r="B236" s="9"/>
      <c r="C236" s="9" t="s">
        <v>21</v>
      </c>
      <c r="D236" s="9"/>
      <c r="E236" s="23">
        <v>44099</v>
      </c>
      <c r="G236" s="42">
        <f>11304740+538+2852</f>
        <v>11308130</v>
      </c>
      <c r="I236" s="42">
        <v>7000</v>
      </c>
      <c r="K236" s="2">
        <f t="shared" si="49"/>
        <v>12970462</v>
      </c>
      <c r="M236" s="42">
        <v>24285592</v>
      </c>
      <c r="O236" s="42">
        <v>0</v>
      </c>
      <c r="Q236" s="2">
        <f t="shared" si="50"/>
        <v>3975582</v>
      </c>
      <c r="S236" s="42">
        <v>0</v>
      </c>
      <c r="U236" s="42">
        <v>3975582</v>
      </c>
      <c r="W236" s="42">
        <v>9751134</v>
      </c>
      <c r="Y236" s="42">
        <v>67069</v>
      </c>
      <c r="AA236" s="42">
        <v>3331319</v>
      </c>
      <c r="AC236" s="42">
        <v>407469</v>
      </c>
      <c r="AE236" s="42">
        <v>845060</v>
      </c>
      <c r="AG236" s="42">
        <v>5907959</v>
      </c>
      <c r="AI236" s="10">
        <f t="shared" si="48"/>
        <v>10558876</v>
      </c>
      <c r="AK236" s="42">
        <f t="shared" si="45"/>
        <v>0</v>
      </c>
    </row>
    <row r="237" spans="1:37">
      <c r="A237" s="9" t="s">
        <v>302</v>
      </c>
      <c r="B237" s="9"/>
      <c r="C237" s="9" t="s">
        <v>27</v>
      </c>
      <c r="D237" s="9"/>
      <c r="E237" s="23">
        <v>46979</v>
      </c>
      <c r="G237" s="42">
        <f>2094778+80293</f>
        <v>2175071</v>
      </c>
      <c r="I237" s="42">
        <v>0</v>
      </c>
      <c r="K237" s="2">
        <f t="shared" si="49"/>
        <v>25849848</v>
      </c>
      <c r="M237" s="42">
        <v>28024919</v>
      </c>
      <c r="O237" s="42">
        <v>0</v>
      </c>
      <c r="Q237" s="2">
        <f t="shared" si="50"/>
        <v>8074461</v>
      </c>
      <c r="S237" s="42">
        <v>0</v>
      </c>
      <c r="U237" s="42">
        <v>8074461</v>
      </c>
      <c r="W237" s="42">
        <v>19556552</v>
      </c>
      <c r="Y237" s="42">
        <v>10049</v>
      </c>
      <c r="AA237" s="42">
        <f>408801+1614156+54828+68525+149402+6454</f>
        <v>2302166</v>
      </c>
      <c r="AC237" s="42">
        <v>0</v>
      </c>
      <c r="AE237" s="42">
        <v>0</v>
      </c>
      <c r="AG237" s="42">
        <v>-1918309</v>
      </c>
      <c r="AI237" s="10">
        <f t="shared" si="48"/>
        <v>393906</v>
      </c>
      <c r="AK237" s="42">
        <f t="shared" si="45"/>
        <v>0</v>
      </c>
    </row>
    <row r="238" spans="1:37" hidden="1">
      <c r="A238" s="8" t="s">
        <v>846</v>
      </c>
      <c r="B238" s="9"/>
      <c r="C238" s="9" t="s">
        <v>220</v>
      </c>
      <c r="D238" s="9"/>
      <c r="E238" s="23">
        <v>44107</v>
      </c>
      <c r="G238" s="42">
        <v>0</v>
      </c>
      <c r="I238" s="42">
        <v>0</v>
      </c>
      <c r="K238" s="2">
        <f t="shared" si="49"/>
        <v>0</v>
      </c>
      <c r="M238" s="42">
        <v>0</v>
      </c>
      <c r="O238" s="42">
        <v>0</v>
      </c>
      <c r="Q238" s="2">
        <f t="shared" si="50"/>
        <v>0</v>
      </c>
      <c r="S238" s="42">
        <v>0</v>
      </c>
      <c r="U238" s="42">
        <v>0</v>
      </c>
      <c r="W238" s="42">
        <v>0</v>
      </c>
      <c r="Y238" s="42">
        <v>0</v>
      </c>
      <c r="AA238" s="42">
        <v>0</v>
      </c>
      <c r="AC238" s="42">
        <v>0</v>
      </c>
      <c r="AE238" s="42">
        <v>0</v>
      </c>
      <c r="AG238" s="42">
        <v>0</v>
      </c>
      <c r="AI238" s="10">
        <f t="shared" si="48"/>
        <v>0</v>
      </c>
      <c r="AK238" s="42">
        <f t="shared" si="45"/>
        <v>0</v>
      </c>
    </row>
    <row r="239" spans="1:37">
      <c r="A239" s="8" t="s">
        <v>796</v>
      </c>
      <c r="B239" s="9"/>
      <c r="C239" s="9" t="s">
        <v>27</v>
      </c>
      <c r="D239" s="9"/>
      <c r="E239" s="23">
        <v>46953</v>
      </c>
      <c r="G239" s="42">
        <v>13996426</v>
      </c>
      <c r="I239" s="42">
        <v>0</v>
      </c>
      <c r="K239" s="2">
        <f t="shared" si="49"/>
        <v>8183696</v>
      </c>
      <c r="M239" s="42">
        <v>22180122</v>
      </c>
      <c r="O239" s="42">
        <v>0</v>
      </c>
      <c r="Q239" s="2">
        <f t="shared" si="50"/>
        <v>2312696</v>
      </c>
      <c r="S239" s="42">
        <v>0</v>
      </c>
      <c r="U239" s="42">
        <v>2312696</v>
      </c>
      <c r="W239" s="42">
        <v>5939366</v>
      </c>
      <c r="Y239" s="42">
        <v>20372</v>
      </c>
      <c r="AA239" s="42">
        <f>1640531+1793331+1045547+77752</f>
        <v>4557161</v>
      </c>
      <c r="AC239" s="42">
        <v>0</v>
      </c>
      <c r="AE239" s="42">
        <f>133371+33390</f>
        <v>166761</v>
      </c>
      <c r="AG239" s="42">
        <v>9183766</v>
      </c>
      <c r="AI239" s="10">
        <f t="shared" si="48"/>
        <v>13928060</v>
      </c>
      <c r="AK239" s="42">
        <f t="shared" si="45"/>
        <v>0</v>
      </c>
    </row>
    <row r="240" spans="1:37" hidden="1">
      <c r="A240" s="8" t="s">
        <v>338</v>
      </c>
      <c r="B240" s="9"/>
      <c r="C240" s="9" t="s">
        <v>337</v>
      </c>
      <c r="D240" s="9"/>
      <c r="E240" s="23">
        <v>47498</v>
      </c>
      <c r="G240" s="42">
        <v>0</v>
      </c>
      <c r="I240" s="42">
        <v>0</v>
      </c>
      <c r="K240" s="2">
        <f t="shared" si="49"/>
        <v>0</v>
      </c>
      <c r="M240" s="42">
        <v>0</v>
      </c>
      <c r="O240" s="42">
        <v>0</v>
      </c>
      <c r="Q240" s="2">
        <f t="shared" si="50"/>
        <v>0</v>
      </c>
      <c r="S240" s="42">
        <v>0</v>
      </c>
      <c r="U240" s="42">
        <v>0</v>
      </c>
      <c r="W240" s="42">
        <v>0</v>
      </c>
      <c r="Y240" s="42">
        <v>0</v>
      </c>
      <c r="AA240" s="42">
        <v>0</v>
      </c>
      <c r="AC240" s="42">
        <v>0</v>
      </c>
      <c r="AE240" s="42">
        <v>0</v>
      </c>
      <c r="AG240" s="42">
        <v>0</v>
      </c>
      <c r="AI240" s="10">
        <f t="shared" si="48"/>
        <v>0</v>
      </c>
      <c r="AK240" s="42">
        <f t="shared" si="45"/>
        <v>0</v>
      </c>
    </row>
    <row r="241" spans="1:37">
      <c r="A241" s="8" t="s">
        <v>487</v>
      </c>
      <c r="B241" s="9"/>
      <c r="C241" s="9" t="s">
        <v>61</v>
      </c>
      <c r="D241" s="9"/>
      <c r="E241" s="23">
        <v>49791</v>
      </c>
      <c r="G241" s="42">
        <v>3633203</v>
      </c>
      <c r="I241" s="42">
        <v>64358</v>
      </c>
      <c r="K241" s="2">
        <f t="shared" si="49"/>
        <v>2774343</v>
      </c>
      <c r="M241" s="42">
        <v>6471904</v>
      </c>
      <c r="O241" s="42">
        <v>0</v>
      </c>
      <c r="Q241" s="2">
        <f t="shared" si="50"/>
        <v>730667</v>
      </c>
      <c r="S241" s="42">
        <v>0</v>
      </c>
      <c r="U241" s="42">
        <v>730667</v>
      </c>
      <c r="W241" s="42">
        <v>2241921</v>
      </c>
      <c r="Y241" s="42">
        <v>4542</v>
      </c>
      <c r="AA241" s="42">
        <v>1757997</v>
      </c>
      <c r="AC241" s="42">
        <v>0</v>
      </c>
      <c r="AE241" s="42">
        <v>254901</v>
      </c>
      <c r="AG241" s="42">
        <v>1481876</v>
      </c>
      <c r="AI241" s="10">
        <f t="shared" si="48"/>
        <v>3499316</v>
      </c>
      <c r="AK241" s="42">
        <f t="shared" si="45"/>
        <v>0</v>
      </c>
    </row>
    <row r="242" spans="1:37" hidden="1">
      <c r="A242" s="8" t="s">
        <v>847</v>
      </c>
      <c r="B242" s="9"/>
      <c r="C242" s="9" t="s">
        <v>341</v>
      </c>
      <c r="D242" s="9"/>
      <c r="E242" s="23">
        <v>45245</v>
      </c>
      <c r="G242" s="42">
        <v>0</v>
      </c>
      <c r="I242" s="42">
        <v>0</v>
      </c>
      <c r="K242" s="2">
        <f t="shared" si="49"/>
        <v>0</v>
      </c>
      <c r="M242" s="42">
        <v>0</v>
      </c>
      <c r="O242" s="42">
        <v>0</v>
      </c>
      <c r="Q242" s="2">
        <f t="shared" si="50"/>
        <v>0</v>
      </c>
      <c r="S242" s="42">
        <v>0</v>
      </c>
      <c r="U242" s="42">
        <v>0</v>
      </c>
      <c r="W242" s="42">
        <v>0</v>
      </c>
      <c r="Y242" s="42">
        <v>0</v>
      </c>
      <c r="AA242" s="42">
        <v>0</v>
      </c>
      <c r="AC242" s="42">
        <v>0</v>
      </c>
      <c r="AE242" s="42">
        <v>0</v>
      </c>
      <c r="AG242" s="42">
        <v>0</v>
      </c>
      <c r="AI242" s="10">
        <f t="shared" si="48"/>
        <v>0</v>
      </c>
      <c r="AK242" s="42">
        <f t="shared" si="45"/>
        <v>0</v>
      </c>
    </row>
    <row r="243" spans="1:37">
      <c r="A243" s="9" t="s">
        <v>371</v>
      </c>
      <c r="B243" s="9"/>
      <c r="C243" s="9" t="s">
        <v>42</v>
      </c>
      <c r="D243" s="9"/>
      <c r="E243" s="23">
        <v>44115</v>
      </c>
      <c r="G243" s="42">
        <f>1996161+1302250</f>
        <v>3298411</v>
      </c>
      <c r="I243" s="42">
        <v>0</v>
      </c>
      <c r="K243" s="2">
        <f t="shared" si="49"/>
        <v>9301485</v>
      </c>
      <c r="M243" s="42">
        <v>12599896</v>
      </c>
      <c r="O243" s="42">
        <v>0</v>
      </c>
      <c r="Q243" s="2">
        <f t="shared" si="50"/>
        <v>1756247</v>
      </c>
      <c r="S243" s="42">
        <v>0</v>
      </c>
      <c r="U243" s="42">
        <v>1756247</v>
      </c>
      <c r="W243" s="42">
        <v>8868724</v>
      </c>
      <c r="Y243" s="42">
        <v>77758</v>
      </c>
      <c r="AA243" s="42">
        <v>1817776</v>
      </c>
      <c r="AC243" s="42">
        <v>0</v>
      </c>
      <c r="AE243" s="42">
        <v>124352</v>
      </c>
      <c r="AG243" s="42">
        <v>-44961</v>
      </c>
      <c r="AI243" s="10">
        <f t="shared" si="48"/>
        <v>1974925</v>
      </c>
      <c r="AK243" s="42">
        <f t="shared" si="45"/>
        <v>0</v>
      </c>
    </row>
    <row r="244" spans="1:37" hidden="1">
      <c r="A244" s="9" t="s">
        <v>662</v>
      </c>
      <c r="B244" s="9"/>
      <c r="C244" s="9" t="s">
        <v>22</v>
      </c>
      <c r="D244" s="9"/>
      <c r="E244" s="23">
        <v>45419</v>
      </c>
      <c r="G244" s="42">
        <v>0</v>
      </c>
      <c r="I244" s="42">
        <v>0</v>
      </c>
      <c r="K244" s="2">
        <f t="shared" si="49"/>
        <v>0</v>
      </c>
      <c r="M244" s="42">
        <v>0</v>
      </c>
      <c r="O244" s="42">
        <v>0</v>
      </c>
      <c r="Q244" s="2">
        <f t="shared" si="50"/>
        <v>0</v>
      </c>
      <c r="S244" s="42">
        <v>0</v>
      </c>
      <c r="U244" s="42">
        <v>0</v>
      </c>
      <c r="W244" s="42">
        <v>0</v>
      </c>
      <c r="Y244" s="42">
        <v>0</v>
      </c>
      <c r="AA244" s="42">
        <v>0</v>
      </c>
      <c r="AC244" s="42">
        <v>0</v>
      </c>
      <c r="AE244" s="42">
        <v>0</v>
      </c>
      <c r="AG244" s="42">
        <v>0</v>
      </c>
      <c r="AI244" s="10">
        <f t="shared" si="48"/>
        <v>0</v>
      </c>
      <c r="AK244" s="42">
        <f t="shared" si="45"/>
        <v>0</v>
      </c>
    </row>
    <row r="245" spans="1:37">
      <c r="A245" s="9" t="s">
        <v>414</v>
      </c>
      <c r="B245" s="9"/>
      <c r="C245" s="9" t="s">
        <v>47</v>
      </c>
      <c r="D245" s="9"/>
      <c r="E245" s="23">
        <v>48496</v>
      </c>
      <c r="G245" s="42">
        <f>16317294+412</f>
        <v>16317706</v>
      </c>
      <c r="I245" s="42">
        <v>0</v>
      </c>
      <c r="K245" s="2">
        <f t="shared" si="49"/>
        <v>24093620</v>
      </c>
      <c r="M245" s="42">
        <v>40411326</v>
      </c>
      <c r="O245" s="42">
        <v>0</v>
      </c>
      <c r="Q245" s="2">
        <f t="shared" si="50"/>
        <v>3591439</v>
      </c>
      <c r="S245" s="42">
        <v>0</v>
      </c>
      <c r="U245" s="42">
        <v>3591439</v>
      </c>
      <c r="W245" s="42">
        <v>21315515</v>
      </c>
      <c r="Y245" s="42">
        <v>95636</v>
      </c>
      <c r="AA245" s="42">
        <v>6469011</v>
      </c>
      <c r="AC245" s="42">
        <v>11000</v>
      </c>
      <c r="AE245" s="42">
        <v>301310</v>
      </c>
      <c r="AG245" s="42">
        <v>8627415</v>
      </c>
      <c r="AI245" s="10">
        <f t="shared" si="48"/>
        <v>15504372</v>
      </c>
      <c r="AK245" s="42">
        <f t="shared" si="45"/>
        <v>0</v>
      </c>
    </row>
    <row r="246" spans="1:37">
      <c r="A246" s="9" t="s">
        <v>414</v>
      </c>
      <c r="B246" s="9"/>
      <c r="C246" s="9" t="s">
        <v>78</v>
      </c>
      <c r="D246" s="9"/>
      <c r="E246" s="23">
        <v>48801</v>
      </c>
      <c r="G246" s="42">
        <v>8882358</v>
      </c>
      <c r="I246" s="42">
        <v>2170</v>
      </c>
      <c r="K246" s="2">
        <f t="shared" si="49"/>
        <v>6180567</v>
      </c>
      <c r="M246" s="42">
        <v>15065095</v>
      </c>
      <c r="O246" s="42">
        <v>0</v>
      </c>
      <c r="Q246" s="2">
        <f t="shared" si="50"/>
        <v>2132825</v>
      </c>
      <c r="S246" s="42">
        <v>0</v>
      </c>
      <c r="U246" s="42">
        <v>2132825</v>
      </c>
      <c r="W246" s="42">
        <v>4503836</v>
      </c>
      <c r="Y246" s="42">
        <v>77176</v>
      </c>
      <c r="AA246" s="42">
        <v>3347999</v>
      </c>
      <c r="AC246" s="42">
        <v>1524334</v>
      </c>
      <c r="AE246" s="42">
        <v>63705</v>
      </c>
      <c r="AG246" s="42">
        <v>3415220</v>
      </c>
      <c r="AI246" s="10">
        <f t="shared" si="48"/>
        <v>8428434</v>
      </c>
      <c r="AK246" s="42">
        <f t="shared" si="45"/>
        <v>0</v>
      </c>
    </row>
    <row r="247" spans="1:37">
      <c r="A247" s="9" t="s">
        <v>303</v>
      </c>
      <c r="B247" s="9"/>
      <c r="C247" s="9" t="s">
        <v>27</v>
      </c>
      <c r="D247" s="9"/>
      <c r="E247" s="23">
        <v>47019</v>
      </c>
      <c r="G247" s="42">
        <f>33584765+3509095</f>
        <v>37093860</v>
      </c>
      <c r="I247" s="42">
        <v>0</v>
      </c>
      <c r="K247" s="2">
        <f t="shared" si="49"/>
        <v>136168031</v>
      </c>
      <c r="M247" s="42">
        <v>173261891</v>
      </c>
      <c r="O247" s="42">
        <v>0</v>
      </c>
      <c r="Q247" s="2">
        <f t="shared" si="50"/>
        <v>17615760</v>
      </c>
      <c r="S247" s="42">
        <v>0</v>
      </c>
      <c r="U247" s="42">
        <v>17615760</v>
      </c>
      <c r="W247" s="42">
        <v>86812800</v>
      </c>
      <c r="Y247" s="42">
        <v>67961</v>
      </c>
      <c r="AA247" s="42">
        <v>21271022</v>
      </c>
      <c r="AC247" s="42">
        <v>732714</v>
      </c>
      <c r="AE247" s="42">
        <v>1540114</v>
      </c>
      <c r="AG247" s="42">
        <v>45221520</v>
      </c>
      <c r="AI247" s="10">
        <f t="shared" si="48"/>
        <v>68833331</v>
      </c>
      <c r="AK247" s="42">
        <f t="shared" si="45"/>
        <v>0</v>
      </c>
    </row>
    <row r="248" spans="1:37">
      <c r="A248" s="9" t="s">
        <v>348</v>
      </c>
      <c r="B248" s="9"/>
      <c r="C248" s="9" t="s">
        <v>346</v>
      </c>
      <c r="D248" s="9"/>
      <c r="E248" s="23">
        <v>44123</v>
      </c>
      <c r="G248" s="42">
        <v>10181007</v>
      </c>
      <c r="I248" s="42">
        <v>164800</v>
      </c>
      <c r="K248" s="2">
        <f t="shared" si="49"/>
        <v>8110482</v>
      </c>
      <c r="M248" s="42">
        <v>18456289</v>
      </c>
      <c r="O248" s="42">
        <v>0</v>
      </c>
      <c r="Q248" s="2">
        <f t="shared" si="50"/>
        <v>2255630</v>
      </c>
      <c r="S248" s="42">
        <v>0</v>
      </c>
      <c r="U248" s="42">
        <v>2255630</v>
      </c>
      <c r="W248" s="42">
        <v>6806137</v>
      </c>
      <c r="Y248" s="42">
        <v>21069</v>
      </c>
      <c r="AA248" s="42">
        <v>4784121</v>
      </c>
      <c r="AC248" s="42">
        <v>335944</v>
      </c>
      <c r="AE248" s="42">
        <v>259842</v>
      </c>
      <c r="AG248" s="42">
        <v>3993546</v>
      </c>
      <c r="AI248" s="10">
        <f t="shared" si="48"/>
        <v>9394522</v>
      </c>
      <c r="AK248" s="42">
        <f t="shared" si="45"/>
        <v>0</v>
      </c>
    </row>
    <row r="249" spans="1:37">
      <c r="A249" s="9" t="s">
        <v>203</v>
      </c>
      <c r="B249" s="9"/>
      <c r="C249" s="9" t="s">
        <v>11</v>
      </c>
      <c r="D249" s="9"/>
      <c r="E249" s="23">
        <v>45823</v>
      </c>
      <c r="G249" s="42">
        <v>767567</v>
      </c>
      <c r="I249" s="42">
        <v>0</v>
      </c>
      <c r="K249" s="2">
        <f t="shared" si="49"/>
        <v>4733962</v>
      </c>
      <c r="M249" s="42">
        <v>5501529</v>
      </c>
      <c r="O249" s="42">
        <v>0</v>
      </c>
      <c r="Q249" s="2">
        <f t="shared" si="50"/>
        <v>1348360</v>
      </c>
      <c r="S249" s="42">
        <v>0</v>
      </c>
      <c r="U249" s="42">
        <v>1348360</v>
      </c>
      <c r="W249" s="42">
        <v>3538939</v>
      </c>
      <c r="Y249" s="42">
        <f>8363+121156</f>
        <v>129519</v>
      </c>
      <c r="AA249" s="42">
        <f>78907+94525+2697+5884+2258+38731</f>
        <v>223002</v>
      </c>
      <c r="AC249" s="42">
        <v>127926</v>
      </c>
      <c r="AE249" s="42">
        <f>4569+49768+91539</f>
        <v>145876</v>
      </c>
      <c r="AG249" s="42">
        <v>-12093</v>
      </c>
      <c r="AI249" s="10">
        <f t="shared" si="48"/>
        <v>614230</v>
      </c>
      <c r="AK249" s="42">
        <f t="shared" si="45"/>
        <v>0</v>
      </c>
    </row>
    <row r="250" spans="1:37">
      <c r="A250" s="9" t="s">
        <v>342</v>
      </c>
      <c r="B250" s="9"/>
      <c r="C250" s="9" t="s">
        <v>34</v>
      </c>
      <c r="D250" s="9"/>
      <c r="E250" s="23">
        <v>47571</v>
      </c>
      <c r="G250" s="42">
        <v>3077657</v>
      </c>
      <c r="I250" s="42">
        <v>0</v>
      </c>
      <c r="K250" s="2">
        <f t="shared" si="49"/>
        <v>1862040</v>
      </c>
      <c r="M250" s="42">
        <v>4939697</v>
      </c>
      <c r="O250" s="42">
        <v>0</v>
      </c>
      <c r="Q250" s="2">
        <f t="shared" si="50"/>
        <v>526323</v>
      </c>
      <c r="S250" s="42">
        <v>0</v>
      </c>
      <c r="U250" s="42">
        <v>526323</v>
      </c>
      <c r="W250" s="42">
        <v>1361155</v>
      </c>
      <c r="Y250" s="42">
        <v>10698</v>
      </c>
      <c r="AA250" s="42">
        <v>1008234</v>
      </c>
      <c r="AC250" s="42">
        <v>0</v>
      </c>
      <c r="AE250" s="42">
        <v>957069</v>
      </c>
      <c r="AG250" s="42">
        <v>1076218</v>
      </c>
      <c r="AI250" s="10">
        <f t="shared" si="48"/>
        <v>3052219</v>
      </c>
      <c r="AK250" s="42">
        <f t="shared" si="45"/>
        <v>0</v>
      </c>
    </row>
    <row r="251" spans="1:37" hidden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2">
        <f t="shared" ref="K251" si="51">M251-G251-I251</f>
        <v>0</v>
      </c>
      <c r="M251" s="42">
        <v>0</v>
      </c>
      <c r="O251" s="42">
        <v>0</v>
      </c>
      <c r="Q251" s="2">
        <f t="shared" ref="Q251" si="52">U251-S251</f>
        <v>0</v>
      </c>
      <c r="S251" s="42">
        <v>0</v>
      </c>
      <c r="U251" s="42">
        <v>0</v>
      </c>
      <c r="W251" s="42">
        <v>0</v>
      </c>
      <c r="Y251" s="42">
        <v>0</v>
      </c>
      <c r="AA251" s="42">
        <v>0</v>
      </c>
      <c r="AC251" s="42">
        <v>0</v>
      </c>
      <c r="AE251" s="42">
        <v>0</v>
      </c>
      <c r="AG251" s="42">
        <v>0</v>
      </c>
      <c r="AI251" s="10">
        <f t="shared" ref="AI251" si="53">Y251+AA251+AC251+AE251+AG251</f>
        <v>0</v>
      </c>
      <c r="AK251" s="42">
        <f t="shared" si="45"/>
        <v>0</v>
      </c>
    </row>
    <row r="252" spans="1:37">
      <c r="A252" s="9" t="s">
        <v>518</v>
      </c>
      <c r="B252" s="9"/>
      <c r="C252" s="9" t="s">
        <v>64</v>
      </c>
      <c r="D252" s="9"/>
      <c r="E252" s="23">
        <v>50161</v>
      </c>
      <c r="G252" s="42">
        <v>1552392</v>
      </c>
      <c r="I252" s="42">
        <v>0</v>
      </c>
      <c r="K252" s="2">
        <f t="shared" si="49"/>
        <v>18696371</v>
      </c>
      <c r="M252" s="42">
        <v>20248763</v>
      </c>
      <c r="O252" s="42">
        <v>0</v>
      </c>
      <c r="Q252" s="2">
        <f t="shared" si="50"/>
        <v>3492245</v>
      </c>
      <c r="S252" s="42">
        <v>0</v>
      </c>
      <c r="U252" s="42">
        <v>3492245</v>
      </c>
      <c r="W252" s="42">
        <v>18270186</v>
      </c>
      <c r="Y252" s="42">
        <f>70051+36499</f>
        <v>106550</v>
      </c>
      <c r="AA252" s="42">
        <f>938+522650+22562+68855+45098+6396+35832</f>
        <v>702331</v>
      </c>
      <c r="AC252" s="42">
        <v>2275</v>
      </c>
      <c r="AE252" s="42">
        <f>30603+15152+635540+10861</f>
        <v>692156</v>
      </c>
      <c r="AG252" s="42">
        <v>-3016980</v>
      </c>
      <c r="AI252" s="10">
        <f t="shared" si="48"/>
        <v>-1513668</v>
      </c>
      <c r="AK252" s="42">
        <f t="shared" si="45"/>
        <v>0</v>
      </c>
    </row>
    <row r="253" spans="1:37">
      <c r="A253" s="9" t="s">
        <v>755</v>
      </c>
      <c r="B253" s="9"/>
      <c r="C253" s="9" t="s">
        <v>64</v>
      </c>
      <c r="D253" s="9"/>
      <c r="E253" s="23">
        <v>45427</v>
      </c>
      <c r="G253" s="42">
        <v>6652338</v>
      </c>
      <c r="I253" s="42">
        <v>96787</v>
      </c>
      <c r="K253" s="2">
        <f t="shared" si="49"/>
        <v>8903531</v>
      </c>
      <c r="M253" s="42">
        <v>15652656</v>
      </c>
      <c r="O253" s="42">
        <v>0</v>
      </c>
      <c r="Q253" s="2">
        <f t="shared" si="50"/>
        <v>2559201</v>
      </c>
      <c r="S253" s="42">
        <v>0</v>
      </c>
      <c r="U253" s="42">
        <v>2559201</v>
      </c>
      <c r="W253" s="42">
        <v>8507412</v>
      </c>
      <c r="Y253" s="42">
        <v>29892</v>
      </c>
      <c r="AA253" s="42">
        <v>3339741</v>
      </c>
      <c r="AC253" s="42">
        <v>148262</v>
      </c>
      <c r="AE253" s="42">
        <v>112280</v>
      </c>
      <c r="AG253" s="42">
        <v>955868</v>
      </c>
      <c r="AI253" s="10">
        <f t="shared" si="48"/>
        <v>4586043</v>
      </c>
      <c r="AK253" s="42">
        <f t="shared" si="45"/>
        <v>0</v>
      </c>
    </row>
    <row r="254" spans="1:37">
      <c r="A254" s="9" t="s">
        <v>427</v>
      </c>
      <c r="B254" s="9"/>
      <c r="C254" s="9" t="s">
        <v>50</v>
      </c>
      <c r="D254" s="9"/>
      <c r="E254" s="23">
        <v>48751</v>
      </c>
      <c r="G254" s="42">
        <f>17386300+17001545</f>
        <v>34387845</v>
      </c>
      <c r="I254" s="42">
        <v>1241353</v>
      </c>
      <c r="K254" s="2">
        <f t="shared" si="49"/>
        <v>32876964</v>
      </c>
      <c r="M254" s="42">
        <v>68506162</v>
      </c>
      <c r="O254" s="42">
        <v>0</v>
      </c>
      <c r="Q254" s="2">
        <f t="shared" si="50"/>
        <v>13425779</v>
      </c>
      <c r="S254" s="42">
        <v>0</v>
      </c>
      <c r="U254" s="42">
        <v>13425779</v>
      </c>
      <c r="W254" s="42">
        <v>29675866</v>
      </c>
      <c r="Y254" s="42">
        <v>314589</v>
      </c>
      <c r="AA254" s="42">
        <v>24378420</v>
      </c>
      <c r="AC254" s="42">
        <v>11000</v>
      </c>
      <c r="AE254" s="42">
        <v>912024</v>
      </c>
      <c r="AG254" s="42">
        <v>-211516</v>
      </c>
      <c r="AI254" s="10">
        <f t="shared" si="48"/>
        <v>25404517</v>
      </c>
      <c r="AK254" s="42">
        <f t="shared" si="45"/>
        <v>0</v>
      </c>
    </row>
    <row r="255" spans="1:37">
      <c r="A255" s="9" t="s">
        <v>505</v>
      </c>
      <c r="B255" s="9"/>
      <c r="C255" s="9" t="s">
        <v>63</v>
      </c>
      <c r="D255" s="9"/>
      <c r="E255" s="23">
        <v>50021</v>
      </c>
      <c r="G255" s="42">
        <v>20324501</v>
      </c>
      <c r="I255" s="42">
        <v>0</v>
      </c>
      <c r="K255" s="2">
        <f t="shared" si="49"/>
        <v>45911751</v>
      </c>
      <c r="M255" s="42">
        <v>66236252</v>
      </c>
      <c r="O255" s="42">
        <v>0</v>
      </c>
      <c r="Q255" s="2">
        <f t="shared" si="50"/>
        <v>7766364</v>
      </c>
      <c r="S255" s="42">
        <v>0</v>
      </c>
      <c r="U255" s="42">
        <v>7766364</v>
      </c>
      <c r="W255" s="42">
        <v>43661592</v>
      </c>
      <c r="Y255" s="42">
        <v>47713</v>
      </c>
      <c r="AA255" s="42">
        <f>1311307+2796076+177524+88662+1910+132+146988+59392</f>
        <v>4581991</v>
      </c>
      <c r="AC255" s="42">
        <v>0</v>
      </c>
      <c r="AE255" s="42">
        <f>105534+617337+2250+288425+12727</f>
        <v>1026273</v>
      </c>
      <c r="AG255" s="42">
        <v>9152319</v>
      </c>
      <c r="AI255" s="10">
        <f t="shared" si="48"/>
        <v>14808296</v>
      </c>
      <c r="AK255" s="42">
        <f t="shared" si="45"/>
        <v>0</v>
      </c>
    </row>
    <row r="256" spans="1:37">
      <c r="A256" s="9" t="s">
        <v>471</v>
      </c>
      <c r="B256" s="9"/>
      <c r="C256" s="9" t="s">
        <v>58</v>
      </c>
      <c r="D256" s="9"/>
      <c r="E256" s="23">
        <v>49502</v>
      </c>
      <c r="G256" s="42">
        <v>5363741</v>
      </c>
      <c r="I256" s="42">
        <v>0</v>
      </c>
      <c r="K256" s="2">
        <f t="shared" si="49"/>
        <v>1645114</v>
      </c>
      <c r="M256" s="42">
        <v>7008855</v>
      </c>
      <c r="O256" s="42">
        <v>0</v>
      </c>
      <c r="Q256" s="2">
        <f t="shared" si="50"/>
        <v>1979411</v>
      </c>
      <c r="S256" s="42">
        <v>0</v>
      </c>
      <c r="U256" s="42">
        <v>1979411</v>
      </c>
      <c r="W256" s="42">
        <v>1364890</v>
      </c>
      <c r="Y256" s="42">
        <v>61999</v>
      </c>
      <c r="AA256" s="42">
        <v>656553</v>
      </c>
      <c r="AC256" s="42">
        <v>0</v>
      </c>
      <c r="AE256" s="42">
        <v>763615</v>
      </c>
      <c r="AG256" s="42">
        <v>2182387</v>
      </c>
      <c r="AI256" s="10">
        <f t="shared" si="48"/>
        <v>3664554</v>
      </c>
      <c r="AK256" s="42">
        <f t="shared" si="45"/>
        <v>0</v>
      </c>
    </row>
    <row r="257" spans="1:37">
      <c r="A257" s="9" t="s">
        <v>284</v>
      </c>
      <c r="B257" s="9"/>
      <c r="C257" s="9" t="s">
        <v>24</v>
      </c>
      <c r="D257" s="9"/>
      <c r="E257" s="23">
        <v>44131</v>
      </c>
      <c r="G257" s="42">
        <f>6348229+9141</f>
        <v>6357370</v>
      </c>
      <c r="I257" s="42">
        <v>26629</v>
      </c>
      <c r="K257" s="2">
        <f t="shared" si="49"/>
        <v>11498541</v>
      </c>
      <c r="M257" s="42">
        <v>17882540</v>
      </c>
      <c r="O257" s="42">
        <v>0</v>
      </c>
      <c r="Q257" s="2">
        <f t="shared" si="50"/>
        <v>1888092</v>
      </c>
      <c r="S257" s="42">
        <v>0</v>
      </c>
      <c r="U257" s="42">
        <v>1888092</v>
      </c>
      <c r="W257" s="42">
        <v>8932208</v>
      </c>
      <c r="Y257" s="42">
        <f>9508+4873</f>
        <v>14381</v>
      </c>
      <c r="AA257" s="42">
        <f>418677+252346+34785+2+9934+3521+15814+26629</f>
        <v>761708</v>
      </c>
      <c r="AC257" s="42">
        <v>0</v>
      </c>
      <c r="AE257" s="42">
        <f>203262+143181+4790+31716+3279604+58447</f>
        <v>3721000</v>
      </c>
      <c r="AG257" s="42">
        <v>2565151</v>
      </c>
      <c r="AI257" s="10">
        <f t="shared" si="48"/>
        <v>7062240</v>
      </c>
      <c r="AK257" s="42">
        <f t="shared" si="45"/>
        <v>0</v>
      </c>
    </row>
    <row r="258" spans="1:37">
      <c r="A258" s="9" t="s">
        <v>267</v>
      </c>
      <c r="B258" s="9"/>
      <c r="C258" s="9" t="s">
        <v>20</v>
      </c>
      <c r="D258" s="9"/>
      <c r="E258" s="23">
        <v>46565</v>
      </c>
      <c r="G258" s="42">
        <v>6659618</v>
      </c>
      <c r="I258" s="42">
        <v>0</v>
      </c>
      <c r="K258" s="2">
        <f t="shared" si="49"/>
        <v>19287501</v>
      </c>
      <c r="M258" s="42">
        <v>25947119</v>
      </c>
      <c r="O258" s="42">
        <v>0</v>
      </c>
      <c r="Q258" s="2">
        <f t="shared" si="50"/>
        <v>17949330</v>
      </c>
      <c r="S258" s="42">
        <v>0</v>
      </c>
      <c r="U258" s="42">
        <v>17949330</v>
      </c>
      <c r="W258" s="42">
        <v>0</v>
      </c>
      <c r="Y258" s="42">
        <v>0</v>
      </c>
      <c r="AA258" s="42">
        <v>3053304</v>
      </c>
      <c r="AC258" s="42">
        <v>0</v>
      </c>
      <c r="AE258" s="42">
        <v>130120</v>
      </c>
      <c r="AG258" s="42">
        <v>4814365</v>
      </c>
      <c r="AI258" s="10">
        <f t="shared" si="48"/>
        <v>7997789</v>
      </c>
      <c r="AK258" s="42">
        <f t="shared" si="45"/>
        <v>0</v>
      </c>
    </row>
    <row r="259" spans="1:37">
      <c r="A259" s="9" t="s">
        <v>361</v>
      </c>
      <c r="B259" s="9"/>
      <c r="C259" s="9" t="s">
        <v>39</v>
      </c>
      <c r="D259" s="9"/>
      <c r="E259" s="23">
        <v>47803</v>
      </c>
      <c r="G259" s="42">
        <v>2723840</v>
      </c>
      <c r="I259" s="42">
        <v>0</v>
      </c>
      <c r="K259" s="2">
        <f t="shared" si="49"/>
        <v>10472499</v>
      </c>
      <c r="M259" s="42">
        <v>13196339</v>
      </c>
      <c r="O259" s="42">
        <v>0</v>
      </c>
      <c r="Q259" s="2">
        <f t="shared" si="50"/>
        <v>2998754</v>
      </c>
      <c r="S259" s="42">
        <v>0</v>
      </c>
      <c r="U259" s="42">
        <v>2998754</v>
      </c>
      <c r="W259" s="42">
        <v>9097507</v>
      </c>
      <c r="Y259" s="42">
        <v>71817</v>
      </c>
      <c r="AA259" s="42">
        <v>2394105</v>
      </c>
      <c r="AC259" s="42">
        <v>16811</v>
      </c>
      <c r="AE259" s="42">
        <v>328781</v>
      </c>
      <c r="AG259" s="42">
        <v>-1711436</v>
      </c>
      <c r="AI259" s="10">
        <f t="shared" si="48"/>
        <v>1100078</v>
      </c>
      <c r="AK259" s="42">
        <f t="shared" si="45"/>
        <v>0</v>
      </c>
    </row>
    <row r="260" spans="1:37">
      <c r="A260" s="9" t="s">
        <v>756</v>
      </c>
      <c r="B260" s="9"/>
      <c r="C260" s="9" t="s">
        <v>32</v>
      </c>
      <c r="D260" s="9"/>
      <c r="E260" s="23">
        <v>45435</v>
      </c>
      <c r="G260" s="42">
        <v>35324150</v>
      </c>
      <c r="I260" s="42">
        <v>0</v>
      </c>
      <c r="K260" s="2">
        <f t="shared" si="49"/>
        <v>31601523</v>
      </c>
      <c r="M260" s="42">
        <v>66925673</v>
      </c>
      <c r="O260" s="42">
        <v>0</v>
      </c>
      <c r="Q260" s="2">
        <f t="shared" si="50"/>
        <v>3195854</v>
      </c>
      <c r="S260" s="42">
        <v>0</v>
      </c>
      <c r="U260" s="42">
        <v>3195854</v>
      </c>
      <c r="W260" s="42">
        <v>19997657</v>
      </c>
      <c r="Y260" s="42">
        <v>12094</v>
      </c>
      <c r="AA260" s="42">
        <f>3466211+246872+174269+2018+151714</f>
        <v>4041084</v>
      </c>
      <c r="AC260" s="42">
        <v>2017639</v>
      </c>
      <c r="AE260" s="42">
        <f>20280+85459+332647+13186+9874</f>
        <v>461446</v>
      </c>
      <c r="AG260" s="42">
        <v>37199899</v>
      </c>
      <c r="AI260" s="10">
        <f t="shared" si="48"/>
        <v>43732162</v>
      </c>
      <c r="AK260" s="42">
        <f t="shared" si="45"/>
        <v>0</v>
      </c>
    </row>
    <row r="261" spans="1:37" hidden="1">
      <c r="A261" s="9" t="s">
        <v>789</v>
      </c>
      <c r="B261" s="9"/>
      <c r="C261" s="9" t="s">
        <v>43</v>
      </c>
      <c r="D261" s="9"/>
      <c r="E261" s="23">
        <v>48082</v>
      </c>
      <c r="G261" s="42">
        <v>0</v>
      </c>
      <c r="I261" s="42">
        <v>0</v>
      </c>
      <c r="K261" s="2">
        <f t="shared" si="49"/>
        <v>0</v>
      </c>
      <c r="M261" s="42">
        <v>0</v>
      </c>
      <c r="O261" s="42">
        <v>0</v>
      </c>
      <c r="Q261" s="2">
        <f t="shared" si="50"/>
        <v>0</v>
      </c>
      <c r="S261" s="42">
        <v>0</v>
      </c>
      <c r="U261" s="42">
        <v>0</v>
      </c>
      <c r="W261" s="42">
        <v>0</v>
      </c>
      <c r="Y261" s="42">
        <v>0</v>
      </c>
      <c r="AA261" s="42">
        <v>0</v>
      </c>
      <c r="AC261" s="42">
        <v>0</v>
      </c>
      <c r="AE261" s="42">
        <v>0</v>
      </c>
      <c r="AG261" s="42">
        <v>0</v>
      </c>
      <c r="AI261" s="10">
        <f t="shared" si="48"/>
        <v>0</v>
      </c>
      <c r="AK261" s="42">
        <f t="shared" si="45"/>
        <v>0</v>
      </c>
    </row>
    <row r="262" spans="1:37">
      <c r="A262" s="9" t="s">
        <v>532</v>
      </c>
      <c r="B262" s="9"/>
      <c r="C262" s="9" t="s">
        <v>65</v>
      </c>
      <c r="D262" s="9"/>
      <c r="E262" s="23">
        <v>50286</v>
      </c>
      <c r="G262" s="42">
        <v>5648045</v>
      </c>
      <c r="I262" s="42">
        <v>0</v>
      </c>
      <c r="K262" s="2">
        <f t="shared" si="49"/>
        <v>5669472</v>
      </c>
      <c r="M262" s="42">
        <v>11317517</v>
      </c>
      <c r="O262" s="42">
        <v>0</v>
      </c>
      <c r="Q262" s="2">
        <f t="shared" si="50"/>
        <v>7331600</v>
      </c>
      <c r="S262" s="42">
        <v>0</v>
      </c>
      <c r="U262" s="42">
        <v>7331600</v>
      </c>
      <c r="W262" s="42">
        <v>0</v>
      </c>
      <c r="Y262" s="42">
        <v>63958</v>
      </c>
      <c r="AA262" s="42">
        <v>1962469</v>
      </c>
      <c r="AC262" s="42">
        <v>0</v>
      </c>
      <c r="AE262" s="42">
        <v>857205</v>
      </c>
      <c r="AG262" s="42">
        <v>1102285</v>
      </c>
      <c r="AI262" s="10">
        <f t="shared" si="48"/>
        <v>3985917</v>
      </c>
      <c r="AK262" s="42">
        <f t="shared" si="45"/>
        <v>0</v>
      </c>
    </row>
    <row r="263" spans="1:37">
      <c r="A263" s="9" t="s">
        <v>367</v>
      </c>
      <c r="B263" s="9"/>
      <c r="C263" s="9" t="s">
        <v>364</v>
      </c>
      <c r="D263" s="9"/>
      <c r="E263" s="23">
        <v>44149</v>
      </c>
      <c r="G263" s="42">
        <v>4858064</v>
      </c>
      <c r="I263" s="42">
        <f>48521+14239</f>
        <v>62760</v>
      </c>
      <c r="K263" s="2">
        <f t="shared" si="49"/>
        <v>6506587</v>
      </c>
      <c r="M263" s="42">
        <v>11427411</v>
      </c>
      <c r="O263" s="42">
        <v>0</v>
      </c>
      <c r="Q263" s="2">
        <f t="shared" si="50"/>
        <v>2092695</v>
      </c>
      <c r="S263" s="42">
        <v>0</v>
      </c>
      <c r="U263" s="42">
        <v>2092695</v>
      </c>
      <c r="W263" s="42">
        <v>5931689</v>
      </c>
      <c r="Y263" s="42">
        <v>23658</v>
      </c>
      <c r="AA263" s="42">
        <v>2345048</v>
      </c>
      <c r="AC263" s="42">
        <v>87111</v>
      </c>
      <c r="AE263" s="42">
        <v>107447</v>
      </c>
      <c r="AG263" s="42">
        <v>839763</v>
      </c>
      <c r="AI263" s="10">
        <f t="shared" si="48"/>
        <v>3403027</v>
      </c>
      <c r="AK263" s="42">
        <f t="shared" si="45"/>
        <v>0</v>
      </c>
    </row>
    <row r="264" spans="1:37" hidden="1">
      <c r="A264" s="9" t="s">
        <v>663</v>
      </c>
      <c r="B264" s="9"/>
      <c r="C264" s="9" t="s">
        <v>61</v>
      </c>
      <c r="D264" s="9"/>
      <c r="E264" s="23">
        <v>49809</v>
      </c>
      <c r="G264" s="42">
        <v>0</v>
      </c>
      <c r="I264" s="42">
        <v>0</v>
      </c>
      <c r="K264" s="2">
        <f t="shared" si="49"/>
        <v>0</v>
      </c>
      <c r="M264" s="42">
        <v>0</v>
      </c>
      <c r="O264" s="42">
        <v>0</v>
      </c>
      <c r="Q264" s="2">
        <f t="shared" si="50"/>
        <v>0</v>
      </c>
      <c r="S264" s="42">
        <v>0</v>
      </c>
      <c r="U264" s="42">
        <v>0</v>
      </c>
      <c r="W264" s="42">
        <v>0</v>
      </c>
      <c r="Y264" s="42">
        <v>0</v>
      </c>
      <c r="AA264" s="42">
        <v>0</v>
      </c>
      <c r="AC264" s="42">
        <v>0</v>
      </c>
      <c r="AE264" s="42">
        <v>0</v>
      </c>
      <c r="AG264" s="42">
        <v>0</v>
      </c>
      <c r="AI264" s="10">
        <f t="shared" si="48"/>
        <v>0</v>
      </c>
      <c r="AK264" s="42">
        <f t="shared" si="45"/>
        <v>0</v>
      </c>
    </row>
    <row r="265" spans="1:37" hidden="1">
      <c r="A265" s="9" t="s">
        <v>674</v>
      </c>
      <c r="B265" s="9"/>
      <c r="C265" s="9" t="s">
        <v>38</v>
      </c>
      <c r="D265" s="9"/>
      <c r="E265" s="23">
        <v>44156</v>
      </c>
      <c r="G265" s="42">
        <v>0</v>
      </c>
      <c r="I265" s="42">
        <v>0</v>
      </c>
      <c r="K265" s="2">
        <f t="shared" si="49"/>
        <v>0</v>
      </c>
      <c r="M265" s="42">
        <v>0</v>
      </c>
      <c r="O265" s="42">
        <v>0</v>
      </c>
      <c r="Q265" s="2">
        <f t="shared" si="50"/>
        <v>0</v>
      </c>
      <c r="S265" s="42">
        <v>0</v>
      </c>
      <c r="U265" s="42">
        <v>0</v>
      </c>
      <c r="W265" s="42">
        <v>0</v>
      </c>
      <c r="Y265" s="42">
        <v>0</v>
      </c>
      <c r="AA265" s="42">
        <v>0</v>
      </c>
      <c r="AC265" s="42">
        <v>0</v>
      </c>
      <c r="AE265" s="42">
        <v>0</v>
      </c>
      <c r="AG265" s="42">
        <v>0</v>
      </c>
      <c r="AI265" s="10">
        <f t="shared" si="48"/>
        <v>0</v>
      </c>
      <c r="AK265" s="42">
        <f t="shared" si="45"/>
        <v>0</v>
      </c>
    </row>
    <row r="266" spans="1:37">
      <c r="A266" s="9" t="s">
        <v>493</v>
      </c>
      <c r="B266" s="9"/>
      <c r="C266" s="9" t="s">
        <v>62</v>
      </c>
      <c r="D266" s="9"/>
      <c r="E266" s="23">
        <v>49858</v>
      </c>
      <c r="G266" s="42">
        <v>26106571</v>
      </c>
      <c r="I266" s="42">
        <v>0</v>
      </c>
      <c r="K266" s="2">
        <f t="shared" si="49"/>
        <v>48916863</v>
      </c>
      <c r="M266" s="42">
        <v>75023434</v>
      </c>
      <c r="O266" s="42">
        <v>0</v>
      </c>
      <c r="Q266" s="2">
        <f t="shared" si="50"/>
        <v>8286126</v>
      </c>
      <c r="S266" s="42">
        <v>0</v>
      </c>
      <c r="U266" s="42">
        <v>8286126</v>
      </c>
      <c r="W266" s="42">
        <v>47875789</v>
      </c>
      <c r="Y266" s="42">
        <f>152747+68819+17829</f>
        <v>239395</v>
      </c>
      <c r="AA266" s="42">
        <f>2875035+892890+85482+37344+355994</f>
        <v>4246745</v>
      </c>
      <c r="AC266" s="42">
        <v>111000</v>
      </c>
      <c r="AE266" s="42">
        <f>17190+541346+997+56661+71090</f>
        <v>687284</v>
      </c>
      <c r="AG266" s="42">
        <v>13577095</v>
      </c>
      <c r="AI266" s="10">
        <f t="shared" si="48"/>
        <v>18861519</v>
      </c>
      <c r="AK266" s="42">
        <f t="shared" si="45"/>
        <v>0</v>
      </c>
    </row>
    <row r="267" spans="1:37">
      <c r="A267" s="9" t="s">
        <v>401</v>
      </c>
      <c r="B267" s="9"/>
      <c r="C267" s="9" t="s">
        <v>45</v>
      </c>
      <c r="D267" s="9"/>
      <c r="E267" s="23">
        <v>48322</v>
      </c>
      <c r="G267" s="42">
        <v>3286920</v>
      </c>
      <c r="I267" s="42">
        <v>0</v>
      </c>
      <c r="K267" s="2">
        <f t="shared" si="49"/>
        <v>6460511</v>
      </c>
      <c r="M267" s="42">
        <v>9747431</v>
      </c>
      <c r="O267" s="42">
        <v>0</v>
      </c>
      <c r="Q267" s="2">
        <f t="shared" si="50"/>
        <v>1205062</v>
      </c>
      <c r="S267" s="42">
        <v>0</v>
      </c>
      <c r="U267" s="42">
        <v>1205062</v>
      </c>
      <c r="W267" s="42">
        <v>6381454</v>
      </c>
      <c r="Y267" s="42">
        <f>2691+12736</f>
        <v>15427</v>
      </c>
      <c r="AA267" s="42">
        <f>569989+197234+615+2041+90807+39482</f>
        <v>900168</v>
      </c>
      <c r="AC267" s="42">
        <v>0</v>
      </c>
      <c r="AE267" s="42">
        <f>23194+582897+33332</f>
        <v>639423</v>
      </c>
      <c r="AG267" s="42">
        <v>605897</v>
      </c>
      <c r="AI267" s="10">
        <f t="shared" si="48"/>
        <v>2160915</v>
      </c>
      <c r="AK267" s="42">
        <f t="shared" si="45"/>
        <v>0</v>
      </c>
    </row>
    <row r="268" spans="1:37">
      <c r="A268" s="9" t="s">
        <v>457</v>
      </c>
      <c r="B268" s="9"/>
      <c r="C268" s="9" t="s">
        <v>56</v>
      </c>
      <c r="D268" s="9"/>
      <c r="E268" s="23">
        <v>49205</v>
      </c>
      <c r="G268" s="42">
        <v>2680530</v>
      </c>
      <c r="I268" s="42">
        <v>0</v>
      </c>
      <c r="K268" s="2">
        <f t="shared" si="49"/>
        <v>5063937</v>
      </c>
      <c r="M268" s="42">
        <v>7744467</v>
      </c>
      <c r="O268" s="42">
        <v>0</v>
      </c>
      <c r="Q268" s="2">
        <f t="shared" si="50"/>
        <v>1778434</v>
      </c>
      <c r="S268" s="42">
        <v>0</v>
      </c>
      <c r="U268" s="42">
        <v>1778434</v>
      </c>
      <c r="W268" s="42">
        <v>4467292</v>
      </c>
      <c r="Y268" s="42">
        <f>56266+27815</f>
        <v>84081</v>
      </c>
      <c r="AA268" s="42">
        <f>253391+932+644+43701+36516</f>
        <v>335184</v>
      </c>
      <c r="AC268" s="42">
        <v>11000</v>
      </c>
      <c r="AE268" s="42">
        <f>3123+95535+67+867191+17659+33709</f>
        <v>1017284</v>
      </c>
      <c r="AG268" s="42">
        <v>51192</v>
      </c>
      <c r="AI268" s="10">
        <f t="shared" si="48"/>
        <v>1498741</v>
      </c>
      <c r="AK268" s="42">
        <f t="shared" si="45"/>
        <v>0</v>
      </c>
    </row>
    <row r="269" spans="1:37">
      <c r="A269" s="9" t="s">
        <v>208</v>
      </c>
      <c r="B269" s="9"/>
      <c r="C269" s="9" t="s">
        <v>12</v>
      </c>
      <c r="D269" s="9"/>
      <c r="E269" s="23">
        <v>45872</v>
      </c>
      <c r="G269" s="42">
        <v>9851799</v>
      </c>
      <c r="I269" s="42">
        <v>0</v>
      </c>
      <c r="K269" s="2">
        <f t="shared" si="49"/>
        <v>9826656</v>
      </c>
      <c r="M269" s="42">
        <v>19678455</v>
      </c>
      <c r="O269" s="42">
        <v>0</v>
      </c>
      <c r="Q269" s="2">
        <f t="shared" si="50"/>
        <v>3618436</v>
      </c>
      <c r="S269" s="42">
        <v>0</v>
      </c>
      <c r="U269" s="42">
        <v>3618436</v>
      </c>
      <c r="W269" s="42">
        <v>8687972</v>
      </c>
      <c r="Y269" s="42">
        <v>14630</v>
      </c>
      <c r="AA269" s="42">
        <v>3229647</v>
      </c>
      <c r="AC269" s="42">
        <v>2441938</v>
      </c>
      <c r="AE269" s="42">
        <v>202352</v>
      </c>
      <c r="AG269" s="42">
        <v>1483480</v>
      </c>
      <c r="AI269" s="10">
        <f t="shared" si="48"/>
        <v>7372047</v>
      </c>
      <c r="AK269" s="42">
        <f t="shared" si="45"/>
        <v>0</v>
      </c>
    </row>
    <row r="270" spans="1:37">
      <c r="A270" s="9" t="s">
        <v>394</v>
      </c>
      <c r="B270" s="9"/>
      <c r="C270" s="9" t="s">
        <v>395</v>
      </c>
      <c r="D270" s="9"/>
      <c r="E270" s="23">
        <v>48256</v>
      </c>
      <c r="G270" s="42">
        <v>6051006</v>
      </c>
      <c r="I270" s="42">
        <v>3882</v>
      </c>
      <c r="K270" s="2">
        <f t="shared" si="49"/>
        <v>6781139</v>
      </c>
      <c r="M270" s="42">
        <v>12836027</v>
      </c>
      <c r="O270" s="42">
        <v>0</v>
      </c>
      <c r="Q270" s="2">
        <f t="shared" si="50"/>
        <v>1356392</v>
      </c>
      <c r="S270" s="42">
        <v>0</v>
      </c>
      <c r="U270" s="42">
        <v>1356392</v>
      </c>
      <c r="W270" s="42">
        <v>3580584</v>
      </c>
      <c r="Y270" s="42">
        <f>5070+63255</f>
        <v>68325</v>
      </c>
      <c r="AA270" s="42">
        <f>1879953+66493+173096+4134+33510+44506+3882</f>
        <v>2205574</v>
      </c>
      <c r="AC270" s="42">
        <v>0</v>
      </c>
      <c r="AE270" s="42">
        <f>241+226484+2943+20+27312+1237164</f>
        <v>1494164</v>
      </c>
      <c r="AG270" s="42">
        <v>4130988</v>
      </c>
      <c r="AI270" s="10">
        <f t="shared" si="48"/>
        <v>7899051</v>
      </c>
      <c r="AK270" s="42">
        <f t="shared" si="45"/>
        <v>0</v>
      </c>
    </row>
    <row r="271" spans="1:37">
      <c r="A271" s="9" t="s">
        <v>675</v>
      </c>
      <c r="B271" s="9"/>
      <c r="C271" s="9" t="s">
        <v>50</v>
      </c>
      <c r="D271" s="9"/>
      <c r="E271" s="23">
        <v>48686</v>
      </c>
      <c r="G271" s="42">
        <v>3858099</v>
      </c>
      <c r="I271" s="42">
        <v>0</v>
      </c>
      <c r="K271" s="2">
        <f t="shared" si="49"/>
        <v>3648604</v>
      </c>
      <c r="M271" s="42">
        <v>7506703</v>
      </c>
      <c r="O271" s="42">
        <v>0</v>
      </c>
      <c r="Q271" s="2">
        <f t="shared" si="50"/>
        <v>538701</v>
      </c>
      <c r="S271" s="42">
        <v>0</v>
      </c>
      <c r="U271" s="42">
        <v>538701</v>
      </c>
      <c r="W271" s="42">
        <v>3392462</v>
      </c>
      <c r="Y271" s="42">
        <f>34551+9303</f>
        <v>43854</v>
      </c>
      <c r="AA271" s="42">
        <f>46266+6552+8010+149</f>
        <v>60977</v>
      </c>
      <c r="AC271" s="42">
        <v>11000</v>
      </c>
      <c r="AE271" s="42">
        <f>13874+49911+319+5000+4195+3053</f>
        <v>76352</v>
      </c>
      <c r="AG271" s="42">
        <v>3383357</v>
      </c>
      <c r="AI271" s="10">
        <f t="shared" si="48"/>
        <v>3575540</v>
      </c>
      <c r="AK271" s="42">
        <f t="shared" ref="AK271:AK334" si="54">+G271+I271+K271+O271-U271-W271-AC271-AA271-Y271-AE271-AG271</f>
        <v>0</v>
      </c>
    </row>
    <row r="272" spans="1:37" hidden="1">
      <c r="A272" s="9" t="s">
        <v>860</v>
      </c>
      <c r="B272" s="9"/>
      <c r="C272" s="9" t="s">
        <v>464</v>
      </c>
      <c r="D272" s="9"/>
      <c r="E272" s="23">
        <v>49338</v>
      </c>
      <c r="G272" s="42">
        <v>0</v>
      </c>
      <c r="I272" s="42">
        <v>0</v>
      </c>
      <c r="K272" s="2">
        <f t="shared" si="49"/>
        <v>0</v>
      </c>
      <c r="M272" s="42">
        <v>0</v>
      </c>
      <c r="O272" s="42">
        <v>0</v>
      </c>
      <c r="Q272" s="2">
        <f t="shared" si="50"/>
        <v>0</v>
      </c>
      <c r="S272" s="42">
        <v>0</v>
      </c>
      <c r="U272" s="42">
        <v>0</v>
      </c>
      <c r="W272" s="42">
        <v>0</v>
      </c>
      <c r="Y272" s="42">
        <v>0</v>
      </c>
      <c r="AA272" s="42">
        <v>0</v>
      </c>
      <c r="AC272" s="42">
        <v>0</v>
      </c>
      <c r="AE272" s="42">
        <v>0</v>
      </c>
      <c r="AG272" s="42">
        <v>0</v>
      </c>
      <c r="AI272" s="10">
        <f t="shared" si="48"/>
        <v>0</v>
      </c>
      <c r="AK272" s="42">
        <f t="shared" si="54"/>
        <v>0</v>
      </c>
    </row>
    <row r="273" spans="1:37">
      <c r="A273" s="9" t="s">
        <v>372</v>
      </c>
      <c r="B273" s="9"/>
      <c r="C273" s="9" t="s">
        <v>42</v>
      </c>
      <c r="D273" s="9"/>
      <c r="E273" s="23">
        <v>47985</v>
      </c>
      <c r="G273" s="42">
        <v>13831383</v>
      </c>
      <c r="I273" s="42">
        <v>0</v>
      </c>
      <c r="K273" s="2">
        <f t="shared" si="49"/>
        <v>7641019</v>
      </c>
      <c r="M273" s="42">
        <v>21472402</v>
      </c>
      <c r="O273" s="42">
        <v>0</v>
      </c>
      <c r="Q273" s="2">
        <f t="shared" si="50"/>
        <v>1224554</v>
      </c>
      <c r="S273" s="42">
        <v>0</v>
      </c>
      <c r="U273" s="42">
        <v>1224554</v>
      </c>
      <c r="W273" s="42">
        <v>6273275</v>
      </c>
      <c r="Y273" s="42">
        <f>12809+10011+35300</f>
        <v>58120</v>
      </c>
      <c r="AA273" s="42">
        <f>3162+199875+9150+99922</f>
        <v>312109</v>
      </c>
      <c r="AC273" s="42">
        <v>0</v>
      </c>
      <c r="AE273" s="42">
        <f>39826+125850+156290</f>
        <v>321966</v>
      </c>
      <c r="AG273" s="42">
        <v>13282378</v>
      </c>
      <c r="AI273" s="10">
        <f t="shared" si="48"/>
        <v>13974573</v>
      </c>
      <c r="AK273" s="42">
        <f t="shared" si="54"/>
        <v>0</v>
      </c>
    </row>
    <row r="274" spans="1:37">
      <c r="A274" s="9" t="s">
        <v>396</v>
      </c>
      <c r="B274" s="9"/>
      <c r="C274" s="9" t="s">
        <v>395</v>
      </c>
      <c r="D274" s="9"/>
      <c r="E274" s="23">
        <v>48264</v>
      </c>
      <c r="G274" s="42">
        <v>1786298</v>
      </c>
      <c r="I274" s="42">
        <v>0</v>
      </c>
      <c r="K274" s="2">
        <f t="shared" si="49"/>
        <v>9393679</v>
      </c>
      <c r="M274" s="42">
        <v>11179977</v>
      </c>
      <c r="O274" s="42">
        <v>0</v>
      </c>
      <c r="Q274" s="2">
        <f t="shared" si="50"/>
        <v>2418264</v>
      </c>
      <c r="S274" s="42">
        <v>0</v>
      </c>
      <c r="U274" s="42">
        <v>2418264</v>
      </c>
      <c r="W274" s="42">
        <v>5999727</v>
      </c>
      <c r="Y274" s="42">
        <v>14441</v>
      </c>
      <c r="AA274" s="42">
        <f>1242296+385890+219349+146723+4658+10490+109302+21026</f>
        <v>2139734</v>
      </c>
      <c r="AC274" s="42">
        <v>11000</v>
      </c>
      <c r="AE274" s="42">
        <f>7842+118860</f>
        <v>126702</v>
      </c>
      <c r="AG274" s="42">
        <v>470109</v>
      </c>
      <c r="AI274" s="10">
        <f t="shared" si="48"/>
        <v>2761986</v>
      </c>
      <c r="AK274" s="42">
        <f t="shared" si="54"/>
        <v>0</v>
      </c>
    </row>
    <row r="275" spans="1:37">
      <c r="A275" s="9" t="s">
        <v>519</v>
      </c>
      <c r="B275" s="9"/>
      <c r="C275" s="9" t="s">
        <v>64</v>
      </c>
      <c r="D275" s="9"/>
      <c r="E275" s="23">
        <v>50179</v>
      </c>
      <c r="G275" s="42">
        <v>3662219</v>
      </c>
      <c r="I275" s="42">
        <v>3418</v>
      </c>
      <c r="K275" s="2">
        <f t="shared" si="49"/>
        <v>3842996</v>
      </c>
      <c r="M275" s="42">
        <v>7508633</v>
      </c>
      <c r="O275" s="42">
        <v>0</v>
      </c>
      <c r="Q275" s="2">
        <f t="shared" si="50"/>
        <v>695975</v>
      </c>
      <c r="S275" s="42">
        <v>0</v>
      </c>
      <c r="U275" s="42">
        <v>695975</v>
      </c>
      <c r="W275" s="42">
        <v>3800430</v>
      </c>
      <c r="Y275" s="42">
        <v>3418</v>
      </c>
      <c r="AA275" s="42">
        <v>1037099</v>
      </c>
      <c r="AC275" s="42">
        <v>84882</v>
      </c>
      <c r="AE275" s="42">
        <v>40337</v>
      </c>
      <c r="AG275" s="42">
        <v>1846492</v>
      </c>
      <c r="AI275" s="10">
        <f t="shared" si="48"/>
        <v>3012228</v>
      </c>
      <c r="AK275" s="42">
        <f t="shared" si="54"/>
        <v>0</v>
      </c>
    </row>
    <row r="276" spans="1:37" hidden="1">
      <c r="A276" s="8" t="s">
        <v>861</v>
      </c>
      <c r="B276" s="8"/>
      <c r="C276" s="8" t="s">
        <v>464</v>
      </c>
      <c r="D276" s="9"/>
      <c r="E276" s="23">
        <v>49346</v>
      </c>
      <c r="G276" s="42">
        <v>0</v>
      </c>
      <c r="I276" s="42">
        <v>0</v>
      </c>
      <c r="K276" s="2">
        <f t="shared" ref="K276" si="55">M276-G276-I276</f>
        <v>0</v>
      </c>
      <c r="M276" s="42">
        <v>0</v>
      </c>
      <c r="O276" s="42">
        <v>0</v>
      </c>
      <c r="Q276" s="2">
        <f t="shared" ref="Q276" si="56">U276-S276</f>
        <v>0</v>
      </c>
      <c r="S276" s="42">
        <v>0</v>
      </c>
      <c r="U276" s="42">
        <v>0</v>
      </c>
      <c r="W276" s="42">
        <v>0</v>
      </c>
      <c r="Y276" s="42">
        <v>0</v>
      </c>
      <c r="AA276" s="42">
        <v>0</v>
      </c>
      <c r="AC276" s="42">
        <v>0</v>
      </c>
      <c r="AE276" s="42">
        <v>0</v>
      </c>
      <c r="AG276" s="42">
        <v>0</v>
      </c>
      <c r="AI276" s="10">
        <f t="shared" ref="AI276" si="57">Y276+AA276+AC276+AE276+AG276</f>
        <v>0</v>
      </c>
      <c r="AK276" s="42">
        <f t="shared" si="54"/>
        <v>0</v>
      </c>
    </row>
    <row r="277" spans="1:37">
      <c r="A277" s="9" t="s">
        <v>285</v>
      </c>
      <c r="B277" s="9"/>
      <c r="C277" s="9" t="s">
        <v>24</v>
      </c>
      <c r="D277" s="9"/>
      <c r="E277" s="23">
        <v>46797</v>
      </c>
      <c r="G277" s="42">
        <v>938281</v>
      </c>
      <c r="I277" s="42">
        <v>0</v>
      </c>
      <c r="K277" s="2">
        <f t="shared" si="49"/>
        <v>538956</v>
      </c>
      <c r="M277" s="42">
        <v>1477237</v>
      </c>
      <c r="O277" s="42">
        <v>0</v>
      </c>
      <c r="Q277" s="2">
        <f t="shared" si="50"/>
        <v>20862</v>
      </c>
      <c r="S277" s="42">
        <v>0</v>
      </c>
      <c r="U277" s="42">
        <v>20862</v>
      </c>
      <c r="W277" s="42">
        <v>444574</v>
      </c>
      <c r="Y277" s="42">
        <v>1314</v>
      </c>
      <c r="AA277" s="42">
        <v>0</v>
      </c>
      <c r="AC277" s="42">
        <v>19703</v>
      </c>
      <c r="AE277" s="42">
        <f>23017+14605+859264</f>
        <v>896886</v>
      </c>
      <c r="AG277" s="42">
        <v>93898</v>
      </c>
      <c r="AI277" s="10">
        <f t="shared" si="48"/>
        <v>1011801</v>
      </c>
      <c r="AK277" s="42">
        <f t="shared" si="54"/>
        <v>0</v>
      </c>
    </row>
    <row r="278" spans="1:37">
      <c r="A278" s="9" t="s">
        <v>312</v>
      </c>
      <c r="B278" s="9"/>
      <c r="C278" s="9" t="s">
        <v>30</v>
      </c>
      <c r="D278" s="9"/>
      <c r="E278" s="23">
        <v>47191</v>
      </c>
      <c r="G278" s="42">
        <v>17129042</v>
      </c>
      <c r="I278" s="42">
        <v>0</v>
      </c>
      <c r="K278" s="2">
        <f t="shared" si="49"/>
        <v>28648117</v>
      </c>
      <c r="M278" s="42">
        <v>45777159</v>
      </c>
      <c r="O278" s="42">
        <v>0</v>
      </c>
      <c r="Q278" s="2">
        <f t="shared" si="50"/>
        <v>5134081</v>
      </c>
      <c r="S278" s="42">
        <v>0</v>
      </c>
      <c r="U278" s="42">
        <v>5134081</v>
      </c>
      <c r="W278" s="42">
        <v>24036920</v>
      </c>
      <c r="Y278" s="42">
        <v>91067</v>
      </c>
      <c r="AA278" s="42">
        <v>5226959</v>
      </c>
      <c r="AC278" s="42">
        <v>265505</v>
      </c>
      <c r="AE278" s="42">
        <v>7910954</v>
      </c>
      <c r="AG278" s="42">
        <v>3111673</v>
      </c>
      <c r="AI278" s="10">
        <f t="shared" si="48"/>
        <v>16606158</v>
      </c>
      <c r="AK278" s="42">
        <f t="shared" si="54"/>
        <v>0</v>
      </c>
    </row>
    <row r="279" spans="1:37">
      <c r="A279" s="9" t="s">
        <v>458</v>
      </c>
      <c r="B279" s="9"/>
      <c r="C279" s="9" t="s">
        <v>56</v>
      </c>
      <c r="D279" s="9"/>
      <c r="E279" s="23">
        <v>44164</v>
      </c>
      <c r="G279" s="42">
        <f>15666445+7500</f>
        <v>15673945</v>
      </c>
      <c r="I279" s="42">
        <v>0</v>
      </c>
      <c r="K279" s="2">
        <f t="shared" si="49"/>
        <v>27034444</v>
      </c>
      <c r="M279" s="42">
        <v>42708389</v>
      </c>
      <c r="O279" s="42">
        <v>0</v>
      </c>
      <c r="Q279" s="2">
        <f t="shared" si="50"/>
        <v>4764853</v>
      </c>
      <c r="S279" s="42">
        <v>0</v>
      </c>
      <c r="U279" s="42">
        <v>4764853</v>
      </c>
      <c r="W279" s="42">
        <v>24827322</v>
      </c>
      <c r="Y279" s="42">
        <v>81706</v>
      </c>
      <c r="AA279" s="42">
        <v>1640048</v>
      </c>
      <c r="AC279" s="42">
        <v>0</v>
      </c>
      <c r="AE279" s="42">
        <v>4738429</v>
      </c>
      <c r="AG279" s="42">
        <v>6656031</v>
      </c>
      <c r="AI279" s="10">
        <f t="shared" ref="AI279:AI344" si="58">Y279+AA279+AC279+AE279+AG279</f>
        <v>13116214</v>
      </c>
      <c r="AK279" s="42">
        <f t="shared" si="54"/>
        <v>0</v>
      </c>
    </row>
    <row r="280" spans="1:37" hidden="1">
      <c r="A280" s="9" t="s">
        <v>902</v>
      </c>
      <c r="B280" s="9"/>
      <c r="C280" s="9" t="s">
        <v>337</v>
      </c>
      <c r="D280" s="9"/>
      <c r="E280" s="23">
        <v>44172</v>
      </c>
      <c r="G280" s="42">
        <v>0</v>
      </c>
      <c r="I280" s="42">
        <v>0</v>
      </c>
      <c r="K280" s="2">
        <f t="shared" si="49"/>
        <v>0</v>
      </c>
      <c r="M280" s="42">
        <v>0</v>
      </c>
      <c r="O280" s="42">
        <v>0</v>
      </c>
      <c r="Q280" s="2">
        <f t="shared" si="50"/>
        <v>0</v>
      </c>
      <c r="S280" s="42">
        <v>0</v>
      </c>
      <c r="U280" s="42">
        <v>0</v>
      </c>
      <c r="W280" s="42">
        <v>0</v>
      </c>
      <c r="Y280" s="42">
        <v>0</v>
      </c>
      <c r="AA280" s="42">
        <v>0</v>
      </c>
      <c r="AC280" s="42">
        <v>0</v>
      </c>
      <c r="AE280" s="42">
        <v>0</v>
      </c>
      <c r="AG280" s="42">
        <v>0</v>
      </c>
      <c r="AI280" s="10">
        <f t="shared" si="58"/>
        <v>0</v>
      </c>
      <c r="AK280" s="42">
        <f t="shared" si="54"/>
        <v>0</v>
      </c>
    </row>
    <row r="281" spans="1:37" s="24" customFormat="1">
      <c r="A281" s="51" t="s">
        <v>428</v>
      </c>
      <c r="B281" s="51"/>
      <c r="C281" s="51" t="s">
        <v>50</v>
      </c>
      <c r="D281" s="51"/>
      <c r="E281" s="23">
        <v>44180</v>
      </c>
      <c r="G281" s="42">
        <f>18427135+17976</f>
        <v>18445111</v>
      </c>
      <c r="H281" s="42"/>
      <c r="I281" s="42">
        <v>0</v>
      </c>
      <c r="J281" s="42"/>
      <c r="K281" s="2">
        <f t="shared" si="49"/>
        <v>63359744</v>
      </c>
      <c r="L281" s="42"/>
      <c r="M281" s="42">
        <v>81804855</v>
      </c>
      <c r="N281" s="42"/>
      <c r="O281" s="42">
        <v>0</v>
      </c>
      <c r="P281" s="42"/>
      <c r="Q281" s="2">
        <f t="shared" si="50"/>
        <v>13482319</v>
      </c>
      <c r="R281" s="42"/>
      <c r="S281" s="42">
        <v>0</v>
      </c>
      <c r="T281" s="42"/>
      <c r="U281" s="42">
        <v>13482319</v>
      </c>
      <c r="V281" s="42"/>
      <c r="W281" s="42">
        <v>60378284</v>
      </c>
      <c r="X281" s="42"/>
      <c r="Y281" s="42">
        <v>291181</v>
      </c>
      <c r="Z281" s="42"/>
      <c r="AA281" s="42">
        <v>5422499</v>
      </c>
      <c r="AB281" s="42"/>
      <c r="AC281" s="42">
        <v>20682</v>
      </c>
      <c r="AD281" s="42"/>
      <c r="AE281" s="42">
        <v>2641974</v>
      </c>
      <c r="AF281" s="42"/>
      <c r="AG281" s="42">
        <v>-432084</v>
      </c>
      <c r="AH281" s="42"/>
      <c r="AI281" s="10">
        <f t="shared" si="58"/>
        <v>7944252</v>
      </c>
      <c r="AJ281" s="42"/>
      <c r="AK281" s="42">
        <f t="shared" si="54"/>
        <v>0</v>
      </c>
    </row>
    <row r="282" spans="1:37">
      <c r="A282" s="9" t="s">
        <v>632</v>
      </c>
      <c r="B282" s="9"/>
      <c r="C282" s="9" t="s">
        <v>44</v>
      </c>
      <c r="D282" s="9"/>
      <c r="E282" s="23">
        <v>48165</v>
      </c>
      <c r="G282" s="42">
        <f>11946854+14541+483563</f>
        <v>12444958</v>
      </c>
      <c r="I282" s="42">
        <v>0</v>
      </c>
      <c r="K282" s="2">
        <f t="shared" si="49"/>
        <v>22079005</v>
      </c>
      <c r="M282" s="42">
        <v>34523963</v>
      </c>
      <c r="O282" s="42">
        <v>0</v>
      </c>
      <c r="Q282" s="2">
        <f t="shared" si="50"/>
        <v>2181067</v>
      </c>
      <c r="S282" s="42">
        <v>0</v>
      </c>
      <c r="U282" s="42">
        <v>2181067</v>
      </c>
      <c r="W282" s="42">
        <v>21281045</v>
      </c>
      <c r="Y282" s="42">
        <f>33001+13606</f>
        <v>46607</v>
      </c>
      <c r="AA282" s="42">
        <f>1644833+5914374+132131+264407+2425+14763+13917+15467</f>
        <v>8002317</v>
      </c>
      <c r="AC282" s="42">
        <v>125427</v>
      </c>
      <c r="AE282" s="42">
        <f>219341+227133+486+24709+44025+6553+265495</f>
        <v>787742</v>
      </c>
      <c r="AG282" s="42">
        <v>2099758</v>
      </c>
      <c r="AI282" s="10">
        <f t="shared" si="58"/>
        <v>11061851</v>
      </c>
      <c r="AK282" s="42">
        <f t="shared" si="54"/>
        <v>0</v>
      </c>
    </row>
    <row r="283" spans="1:37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v>15134262</v>
      </c>
      <c r="I283" s="24">
        <v>0</v>
      </c>
      <c r="K283" s="60">
        <f t="shared" si="49"/>
        <v>30242586</v>
      </c>
      <c r="M283" s="24">
        <v>45376848</v>
      </c>
      <c r="O283" s="24">
        <v>0</v>
      </c>
      <c r="Q283" s="60">
        <f t="shared" si="50"/>
        <v>3791524</v>
      </c>
      <c r="S283" s="24">
        <v>0</v>
      </c>
      <c r="U283" s="24">
        <v>3791524</v>
      </c>
      <c r="W283" s="24">
        <v>25429578</v>
      </c>
      <c r="Y283" s="24">
        <v>0</v>
      </c>
      <c r="AA283" s="24">
        <v>5271854</v>
      </c>
      <c r="AC283" s="24">
        <v>11000</v>
      </c>
      <c r="AE283" s="24">
        <v>327562</v>
      </c>
      <c r="AG283" s="24">
        <v>10545330</v>
      </c>
      <c r="AI283" s="61">
        <f t="shared" si="58"/>
        <v>16155746</v>
      </c>
      <c r="AK283" s="24">
        <f t="shared" si="54"/>
        <v>0</v>
      </c>
    </row>
    <row r="284" spans="1:37">
      <c r="A284" s="9" t="s">
        <v>903</v>
      </c>
      <c r="B284" s="9"/>
      <c r="C284" s="9" t="s">
        <v>41</v>
      </c>
      <c r="D284" s="9"/>
      <c r="E284" s="23">
        <v>47878</v>
      </c>
      <c r="G284" s="42">
        <v>6846295</v>
      </c>
      <c r="I284" s="42">
        <v>0</v>
      </c>
      <c r="K284" s="2">
        <v>11318705</v>
      </c>
      <c r="M284" s="42">
        <v>18165000</v>
      </c>
      <c r="O284" s="42">
        <v>0</v>
      </c>
      <c r="Q284" s="2">
        <v>1902339</v>
      </c>
      <c r="S284" s="42">
        <v>0</v>
      </c>
      <c r="U284" s="42">
        <v>1902339</v>
      </c>
      <c r="W284" s="42">
        <v>10106965</v>
      </c>
      <c r="Y284" s="42">
        <v>0</v>
      </c>
      <c r="AA284" s="42">
        <v>777898</v>
      </c>
      <c r="AC284" s="42">
        <v>79530</v>
      </c>
      <c r="AE284" s="42">
        <v>151316</v>
      </c>
      <c r="AG284" s="42">
        <v>5146952</v>
      </c>
      <c r="AI284" s="10">
        <v>6155696</v>
      </c>
      <c r="AK284" s="42">
        <f t="shared" si="54"/>
        <v>0</v>
      </c>
    </row>
    <row r="285" spans="1:37">
      <c r="A285" s="9" t="s">
        <v>520</v>
      </c>
      <c r="B285" s="9"/>
      <c r="C285" s="9" t="s">
        <v>64</v>
      </c>
      <c r="D285" s="9"/>
      <c r="E285" s="23">
        <v>50245</v>
      </c>
      <c r="G285" s="42">
        <v>4914050</v>
      </c>
      <c r="I285" s="42">
        <v>0</v>
      </c>
      <c r="K285" s="2">
        <v>5130919</v>
      </c>
      <c r="M285" s="42">
        <v>10044969</v>
      </c>
      <c r="O285" s="42">
        <v>0</v>
      </c>
      <c r="Q285" s="2">
        <v>1626630</v>
      </c>
      <c r="S285" s="42">
        <v>0</v>
      </c>
      <c r="U285" s="42">
        <v>1626630</v>
      </c>
      <c r="W285" s="42">
        <v>4917086</v>
      </c>
      <c r="Y285" s="42">
        <v>57427</v>
      </c>
      <c r="AA285" s="42">
        <v>2312872</v>
      </c>
      <c r="AC285" s="42">
        <v>0</v>
      </c>
      <c r="AE285" s="42">
        <v>1032225</v>
      </c>
      <c r="AG285" s="42">
        <v>98729</v>
      </c>
      <c r="AI285" s="10">
        <v>3501253</v>
      </c>
      <c r="AK285" s="42">
        <f t="shared" si="54"/>
        <v>0</v>
      </c>
    </row>
    <row r="286" spans="1:37">
      <c r="A286" s="9" t="s">
        <v>494</v>
      </c>
      <c r="B286" s="9"/>
      <c r="C286" s="9" t="s">
        <v>62</v>
      </c>
      <c r="D286" s="9"/>
      <c r="E286" s="23">
        <v>49866</v>
      </c>
      <c r="G286" s="42">
        <v>7547430</v>
      </c>
      <c r="I286" s="42">
        <v>95898</v>
      </c>
      <c r="K286" s="2">
        <v>15485489</v>
      </c>
      <c r="M286" s="42">
        <v>23128817</v>
      </c>
      <c r="O286" s="42">
        <v>0</v>
      </c>
      <c r="Q286" s="2">
        <v>19496130</v>
      </c>
      <c r="S286" s="42">
        <v>0</v>
      </c>
      <c r="U286" s="42">
        <f>19496130-14795297</f>
        <v>4700833</v>
      </c>
      <c r="W286" s="42">
        <v>14795297</v>
      </c>
      <c r="Y286" s="42">
        <v>0</v>
      </c>
      <c r="AA286" s="42">
        <v>2393982</v>
      </c>
      <c r="AC286" s="42">
        <v>0</v>
      </c>
      <c r="AE286" s="42">
        <v>384228</v>
      </c>
      <c r="AG286" s="42">
        <v>854477</v>
      </c>
      <c r="AI286" s="10">
        <v>3632687</v>
      </c>
      <c r="AK286" s="42">
        <f t="shared" si="54"/>
        <v>0</v>
      </c>
    </row>
    <row r="287" spans="1:37" hidden="1">
      <c r="A287" s="9" t="s">
        <v>790</v>
      </c>
      <c r="B287" s="9"/>
      <c r="C287" s="9" t="s">
        <v>72</v>
      </c>
      <c r="D287" s="9"/>
      <c r="E287" s="23">
        <v>50690</v>
      </c>
      <c r="G287" s="42">
        <v>0</v>
      </c>
      <c r="I287" s="42">
        <v>0</v>
      </c>
      <c r="K287" s="2">
        <f t="shared" si="49"/>
        <v>0</v>
      </c>
      <c r="M287" s="42">
        <v>0</v>
      </c>
      <c r="O287" s="42">
        <v>0</v>
      </c>
      <c r="Q287" s="2">
        <f t="shared" si="50"/>
        <v>0</v>
      </c>
      <c r="S287" s="42">
        <v>0</v>
      </c>
      <c r="U287" s="42">
        <v>0</v>
      </c>
      <c r="W287" s="42">
        <v>0</v>
      </c>
      <c r="Y287" s="42">
        <v>0</v>
      </c>
      <c r="AA287" s="42">
        <v>0</v>
      </c>
      <c r="AC287" s="42">
        <v>0</v>
      </c>
      <c r="AE287" s="42">
        <v>0</v>
      </c>
      <c r="AG287" s="42">
        <v>0</v>
      </c>
      <c r="AI287" s="10">
        <f t="shared" si="58"/>
        <v>0</v>
      </c>
      <c r="AK287" s="42">
        <f t="shared" si="54"/>
        <v>0</v>
      </c>
    </row>
    <row r="288" spans="1:37">
      <c r="A288" s="9" t="s">
        <v>521</v>
      </c>
      <c r="B288" s="9"/>
      <c r="C288" s="9" t="s">
        <v>64</v>
      </c>
      <c r="D288" s="9"/>
      <c r="E288" s="23">
        <v>50187</v>
      </c>
      <c r="G288" s="42">
        <f>2727446+422</f>
        <v>2727868</v>
      </c>
      <c r="I288" s="42">
        <v>0</v>
      </c>
      <c r="K288" s="2">
        <f t="shared" si="49"/>
        <v>9797944</v>
      </c>
      <c r="M288" s="42">
        <v>12525812</v>
      </c>
      <c r="O288" s="42">
        <v>0</v>
      </c>
      <c r="Q288" s="2">
        <f t="shared" si="50"/>
        <v>1761071</v>
      </c>
      <c r="S288" s="42">
        <v>0</v>
      </c>
      <c r="U288" s="42">
        <v>1761071</v>
      </c>
      <c r="W288" s="42">
        <v>9148162</v>
      </c>
      <c r="Y288" s="42">
        <v>118521</v>
      </c>
      <c r="AA288" s="42">
        <v>596094</v>
      </c>
      <c r="AC288" s="42">
        <v>165758</v>
      </c>
      <c r="AE288" s="42">
        <v>45176</v>
      </c>
      <c r="AG288" s="42">
        <v>691030</v>
      </c>
      <c r="AI288" s="10">
        <f t="shared" si="58"/>
        <v>1616579</v>
      </c>
      <c r="AK288" s="42">
        <f t="shared" si="54"/>
        <v>0</v>
      </c>
    </row>
    <row r="289" spans="1:37">
      <c r="A289" s="9" t="s">
        <v>268</v>
      </c>
      <c r="B289" s="9"/>
      <c r="C289" s="9" t="s">
        <v>20</v>
      </c>
      <c r="D289" s="9"/>
      <c r="E289" s="23">
        <v>44198</v>
      </c>
      <c r="G289" s="42">
        <v>28672946</v>
      </c>
      <c r="I289" s="42">
        <v>0</v>
      </c>
      <c r="K289" s="2">
        <f t="shared" si="49"/>
        <v>51225064</v>
      </c>
      <c r="M289" s="42">
        <v>79898010</v>
      </c>
      <c r="O289" s="42">
        <v>0</v>
      </c>
      <c r="Q289" s="2">
        <f t="shared" si="50"/>
        <v>10997830</v>
      </c>
      <c r="S289" s="42">
        <v>0</v>
      </c>
      <c r="U289" s="42">
        <v>10997830</v>
      </c>
      <c r="W289" s="42">
        <v>43432127</v>
      </c>
      <c r="Y289" s="42">
        <v>0</v>
      </c>
      <c r="AA289" s="42">
        <f>5789177+1337420+142086+78112+13802+14965+147729+327985</f>
        <v>7851276</v>
      </c>
      <c r="AC289" s="42">
        <v>714827</v>
      </c>
      <c r="AE289" s="42">
        <f>207426+908637+2175903+53466+59096</f>
        <v>3404528</v>
      </c>
      <c r="AG289" s="42">
        <v>13497422</v>
      </c>
      <c r="AI289" s="10">
        <f t="shared" si="58"/>
        <v>25468053</v>
      </c>
      <c r="AK289" s="42">
        <f t="shared" si="54"/>
        <v>0</v>
      </c>
    </row>
    <row r="290" spans="1:37">
      <c r="A290" s="9" t="s">
        <v>625</v>
      </c>
      <c r="B290" s="9"/>
      <c r="C290" s="9" t="s">
        <v>42</v>
      </c>
      <c r="D290" s="9"/>
      <c r="E290" s="23">
        <v>47993</v>
      </c>
      <c r="G290" s="42">
        <f>707281+9448431</f>
        <v>10155712</v>
      </c>
      <c r="I290" s="42">
        <v>0</v>
      </c>
      <c r="K290" s="2">
        <f t="shared" si="49"/>
        <v>14404447</v>
      </c>
      <c r="M290" s="42">
        <v>24560159</v>
      </c>
      <c r="O290" s="42">
        <v>0</v>
      </c>
      <c r="Q290" s="2">
        <f t="shared" si="50"/>
        <v>2010489</v>
      </c>
      <c r="S290" s="42">
        <v>0</v>
      </c>
      <c r="U290" s="42">
        <v>2010489</v>
      </c>
      <c r="W290" s="42">
        <v>13463134</v>
      </c>
      <c r="Y290" s="42">
        <v>253831</v>
      </c>
      <c r="AA290" s="42">
        <v>1347369</v>
      </c>
      <c r="AC290" s="42">
        <v>204164</v>
      </c>
      <c r="AE290" s="42">
        <v>329917</v>
      </c>
      <c r="AG290" s="42">
        <v>6951255</v>
      </c>
      <c r="AI290" s="10">
        <f t="shared" si="58"/>
        <v>9086536</v>
      </c>
      <c r="AK290" s="42">
        <f t="shared" si="54"/>
        <v>0</v>
      </c>
    </row>
    <row r="291" spans="1:37">
      <c r="A291" s="9" t="s">
        <v>222</v>
      </c>
      <c r="B291" s="9"/>
      <c r="C291" s="9" t="s">
        <v>220</v>
      </c>
      <c r="D291" s="9"/>
      <c r="E291" s="23">
        <v>46110</v>
      </c>
      <c r="G291" s="42">
        <v>43796466</v>
      </c>
      <c r="I291" s="42">
        <v>0</v>
      </c>
      <c r="K291" s="2">
        <f t="shared" si="49"/>
        <v>112330889</v>
      </c>
      <c r="M291" s="42">
        <v>156127355</v>
      </c>
      <c r="O291" s="42">
        <v>0</v>
      </c>
      <c r="Q291" s="2">
        <f t="shared" si="50"/>
        <v>131334255</v>
      </c>
      <c r="S291" s="42">
        <v>0</v>
      </c>
      <c r="U291" s="42">
        <v>131334255</v>
      </c>
      <c r="W291" s="42">
        <v>0</v>
      </c>
      <c r="Y291" s="42">
        <v>67873</v>
      </c>
      <c r="AA291" s="42">
        <v>11371954</v>
      </c>
      <c r="AC291" s="42">
        <v>0</v>
      </c>
      <c r="AE291" s="42">
        <v>2320032</v>
      </c>
      <c r="AG291" s="42">
        <v>11033241</v>
      </c>
      <c r="AI291" s="10">
        <f t="shared" si="58"/>
        <v>24793100</v>
      </c>
      <c r="AK291" s="42">
        <f t="shared" si="54"/>
        <v>0</v>
      </c>
    </row>
    <row r="292" spans="1:37" hidden="1">
      <c r="A292" s="9" t="s">
        <v>791</v>
      </c>
      <c r="B292" s="9"/>
      <c r="C292" s="9" t="s">
        <v>79</v>
      </c>
      <c r="D292" s="9"/>
      <c r="E292" s="23">
        <v>49569</v>
      </c>
      <c r="G292" s="42">
        <v>0</v>
      </c>
      <c r="I292" s="42">
        <v>0</v>
      </c>
      <c r="K292" s="2">
        <f t="shared" si="49"/>
        <v>0</v>
      </c>
      <c r="M292" s="42">
        <v>0</v>
      </c>
      <c r="O292" s="42">
        <v>0</v>
      </c>
      <c r="Q292" s="2">
        <f t="shared" si="50"/>
        <v>0</v>
      </c>
      <c r="S292" s="42">
        <v>0</v>
      </c>
      <c r="U292" s="42">
        <v>0</v>
      </c>
      <c r="W292" s="42">
        <v>0</v>
      </c>
      <c r="Y292" s="42">
        <v>0</v>
      </c>
      <c r="AA292" s="42">
        <v>0</v>
      </c>
      <c r="AC292" s="42">
        <v>0</v>
      </c>
      <c r="AE292" s="42">
        <v>0</v>
      </c>
      <c r="AG292" s="42">
        <v>0</v>
      </c>
      <c r="AI292" s="10">
        <f t="shared" si="58"/>
        <v>0</v>
      </c>
      <c r="AK292" s="42">
        <f t="shared" si="54"/>
        <v>0</v>
      </c>
    </row>
    <row r="293" spans="1:37">
      <c r="A293" s="9" t="s">
        <v>293</v>
      </c>
      <c r="B293" s="9"/>
      <c r="C293" s="9" t="s">
        <v>25</v>
      </c>
      <c r="D293" s="9"/>
      <c r="E293" s="23">
        <v>44206</v>
      </c>
      <c r="G293" s="42">
        <f>49852692+60562815</f>
        <v>110415507</v>
      </c>
      <c r="I293" s="42">
        <v>0</v>
      </c>
      <c r="K293" s="2">
        <f t="shared" si="49"/>
        <v>56028835</v>
      </c>
      <c r="M293" s="42">
        <v>166444342</v>
      </c>
      <c r="O293" s="42">
        <v>0</v>
      </c>
      <c r="Q293" s="2">
        <f t="shared" si="50"/>
        <v>7322696</v>
      </c>
      <c r="S293" s="42">
        <v>0</v>
      </c>
      <c r="U293" s="42">
        <v>7322696</v>
      </c>
      <c r="W293" s="42">
        <v>51263417</v>
      </c>
      <c r="Y293" s="42">
        <v>368598</v>
      </c>
      <c r="AA293" s="42">
        <v>70249342</v>
      </c>
      <c r="AC293" s="42">
        <v>1679049</v>
      </c>
      <c r="AE293" s="42">
        <v>8160679</v>
      </c>
      <c r="AG293" s="42">
        <v>27400561</v>
      </c>
      <c r="AI293" s="10">
        <f t="shared" si="58"/>
        <v>107858229</v>
      </c>
      <c r="AK293" s="42">
        <f t="shared" si="54"/>
        <v>0</v>
      </c>
    </row>
    <row r="294" spans="1:37" hidden="1">
      <c r="A294" s="9" t="s">
        <v>723</v>
      </c>
      <c r="B294" s="9"/>
      <c r="C294" s="9" t="s">
        <v>69</v>
      </c>
      <c r="D294" s="9"/>
      <c r="E294" s="23">
        <v>44214</v>
      </c>
      <c r="G294" s="42">
        <v>0</v>
      </c>
      <c r="I294" s="42">
        <v>0</v>
      </c>
      <c r="K294" s="2">
        <f t="shared" si="49"/>
        <v>0</v>
      </c>
      <c r="M294" s="42">
        <v>0</v>
      </c>
      <c r="O294" s="42">
        <v>0</v>
      </c>
      <c r="Q294" s="2">
        <f t="shared" si="50"/>
        <v>0</v>
      </c>
      <c r="S294" s="42">
        <v>0</v>
      </c>
      <c r="U294" s="42">
        <v>0</v>
      </c>
      <c r="W294" s="42">
        <v>0</v>
      </c>
      <c r="Y294" s="42">
        <v>0</v>
      </c>
      <c r="AA294" s="42">
        <v>0</v>
      </c>
      <c r="AC294" s="42">
        <v>0</v>
      </c>
      <c r="AE294" s="42">
        <v>0</v>
      </c>
      <c r="AG294" s="42">
        <v>0</v>
      </c>
      <c r="AI294" s="10">
        <f t="shared" si="58"/>
        <v>0</v>
      </c>
      <c r="AK294" s="42">
        <f t="shared" si="54"/>
        <v>0</v>
      </c>
    </row>
    <row r="295" spans="1:37">
      <c r="A295" s="9" t="s">
        <v>313</v>
      </c>
      <c r="B295" s="9"/>
      <c r="C295" s="9" t="s">
        <v>30</v>
      </c>
      <c r="D295" s="9"/>
      <c r="E295" s="23">
        <v>47209</v>
      </c>
      <c r="G295" s="42">
        <v>314282</v>
      </c>
      <c r="I295" s="42">
        <v>163827</v>
      </c>
      <c r="K295" s="2">
        <f t="shared" si="49"/>
        <v>2478476</v>
      </c>
      <c r="M295" s="42">
        <v>2956585</v>
      </c>
      <c r="O295" s="42">
        <v>0</v>
      </c>
      <c r="Q295" s="2">
        <f t="shared" si="50"/>
        <v>3508421</v>
      </c>
      <c r="S295" s="42">
        <v>0</v>
      </c>
      <c r="U295" s="42">
        <v>3508421</v>
      </c>
      <c r="W295" s="42">
        <v>1842125</v>
      </c>
      <c r="Y295" s="42">
        <v>11508</v>
      </c>
      <c r="AA295" s="42">
        <v>52483</v>
      </c>
      <c r="AC295" s="42">
        <v>0</v>
      </c>
      <c r="AE295" s="42">
        <v>0</v>
      </c>
      <c r="AG295" s="42">
        <v>-2457952</v>
      </c>
      <c r="AI295" s="10">
        <f t="shared" si="58"/>
        <v>-2393961</v>
      </c>
      <c r="AK295" s="42">
        <f t="shared" si="54"/>
        <v>0</v>
      </c>
    </row>
    <row r="296" spans="1:37" hidden="1">
      <c r="A296" s="9" t="s">
        <v>757</v>
      </c>
      <c r="B296" s="9"/>
      <c r="C296" s="9" t="s">
        <v>111</v>
      </c>
      <c r="D296" s="9"/>
      <c r="E296" s="23">
        <v>45443</v>
      </c>
      <c r="G296" s="42">
        <v>0</v>
      </c>
      <c r="I296" s="42">
        <v>0</v>
      </c>
      <c r="K296" s="2"/>
      <c r="M296" s="42">
        <v>0</v>
      </c>
      <c r="O296" s="42">
        <v>0</v>
      </c>
      <c r="Q296" s="2"/>
      <c r="S296" s="42">
        <v>0</v>
      </c>
      <c r="U296" s="42">
        <v>0</v>
      </c>
      <c r="W296" s="42">
        <v>0</v>
      </c>
      <c r="Y296" s="42">
        <v>0</v>
      </c>
      <c r="AA296" s="42">
        <v>0</v>
      </c>
      <c r="AC296" s="42">
        <v>0</v>
      </c>
      <c r="AE296" s="42">
        <v>0</v>
      </c>
      <c r="AG296" s="42">
        <v>0</v>
      </c>
      <c r="AI296" s="10"/>
      <c r="AK296" s="42">
        <f t="shared" si="54"/>
        <v>0</v>
      </c>
    </row>
    <row r="297" spans="1:37" hidden="1">
      <c r="A297" s="9" t="s">
        <v>676</v>
      </c>
      <c r="B297" s="9"/>
      <c r="C297" s="9" t="s">
        <v>464</v>
      </c>
      <c r="D297" s="9"/>
      <c r="E297" s="23">
        <v>49353</v>
      </c>
      <c r="G297" s="42">
        <v>0</v>
      </c>
      <c r="I297" s="42">
        <v>0</v>
      </c>
      <c r="K297" s="2">
        <f t="shared" ref="K297:K366" si="59">M297-G297-I297</f>
        <v>0</v>
      </c>
      <c r="M297" s="42">
        <v>0</v>
      </c>
      <c r="O297" s="42">
        <v>0</v>
      </c>
      <c r="Q297" s="2">
        <f t="shared" ref="Q297:Q366" si="60">U297-S297</f>
        <v>0</v>
      </c>
      <c r="S297" s="42">
        <v>0</v>
      </c>
      <c r="U297" s="42">
        <v>0</v>
      </c>
      <c r="W297" s="42">
        <v>0</v>
      </c>
      <c r="Y297" s="42">
        <v>0</v>
      </c>
      <c r="AA297" s="42">
        <v>0</v>
      </c>
      <c r="AC297" s="42">
        <v>0</v>
      </c>
      <c r="AE297" s="42">
        <v>0</v>
      </c>
      <c r="AG297" s="42">
        <v>0</v>
      </c>
      <c r="AI297" s="10">
        <f t="shared" si="58"/>
        <v>0</v>
      </c>
      <c r="AK297" s="42">
        <f t="shared" si="54"/>
        <v>0</v>
      </c>
    </row>
    <row r="298" spans="1:37" hidden="1">
      <c r="A298" s="9" t="s">
        <v>792</v>
      </c>
      <c r="B298" s="9"/>
      <c r="C298" s="9" t="s">
        <v>109</v>
      </c>
      <c r="D298" s="9"/>
      <c r="E298" s="23">
        <v>49437</v>
      </c>
      <c r="G298" s="42">
        <v>0</v>
      </c>
      <c r="I298" s="42">
        <v>0</v>
      </c>
      <c r="K298" s="2">
        <f t="shared" si="59"/>
        <v>0</v>
      </c>
      <c r="M298" s="42">
        <v>0</v>
      </c>
      <c r="O298" s="42">
        <v>0</v>
      </c>
      <c r="Q298" s="2">
        <f t="shared" si="60"/>
        <v>0</v>
      </c>
      <c r="S298" s="42">
        <v>0</v>
      </c>
      <c r="U298" s="42">
        <v>0</v>
      </c>
      <c r="W298" s="42">
        <v>0</v>
      </c>
      <c r="Y298" s="42">
        <v>0</v>
      </c>
      <c r="AA298" s="42">
        <v>0</v>
      </c>
      <c r="AC298" s="42">
        <v>0</v>
      </c>
      <c r="AE298" s="42">
        <v>0</v>
      </c>
      <c r="AG298" s="42">
        <v>0</v>
      </c>
      <c r="AI298" s="10">
        <f t="shared" si="58"/>
        <v>0</v>
      </c>
      <c r="AK298" s="42">
        <f t="shared" si="54"/>
        <v>0</v>
      </c>
    </row>
    <row r="299" spans="1:37">
      <c r="A299" s="9" t="s">
        <v>793</v>
      </c>
      <c r="B299" s="9"/>
      <c r="C299" s="9" t="s">
        <v>33</v>
      </c>
      <c r="D299" s="9"/>
      <c r="E299" s="23">
        <v>47449</v>
      </c>
      <c r="G299" s="42">
        <v>7776849</v>
      </c>
      <c r="I299" s="42">
        <v>0</v>
      </c>
      <c r="K299" s="2">
        <f>M299-G299-I299</f>
        <v>5498160</v>
      </c>
      <c r="M299" s="42">
        <v>13275009</v>
      </c>
      <c r="O299" s="42">
        <v>0</v>
      </c>
      <c r="Q299" s="2">
        <f>U299-S299</f>
        <v>1314826</v>
      </c>
      <c r="S299" s="42">
        <v>0</v>
      </c>
      <c r="U299" s="42">
        <v>1314826</v>
      </c>
      <c r="W299" s="42">
        <v>4113430</v>
      </c>
      <c r="Y299" s="42">
        <v>10531</v>
      </c>
      <c r="AA299" s="42">
        <v>658109</v>
      </c>
      <c r="AC299" s="42">
        <v>180657</v>
      </c>
      <c r="AE299" s="42">
        <v>1062883</v>
      </c>
      <c r="AG299" s="42">
        <v>5934573</v>
      </c>
      <c r="AI299" s="10">
        <f>Y299+AA299+AC299+AE299+AG299</f>
        <v>7846753</v>
      </c>
      <c r="AK299" s="42">
        <f t="shared" si="54"/>
        <v>0</v>
      </c>
    </row>
    <row r="300" spans="1:37">
      <c r="A300" s="9" t="s">
        <v>343</v>
      </c>
      <c r="B300" s="9"/>
      <c r="C300" s="9" t="s">
        <v>34</v>
      </c>
      <c r="D300" s="9"/>
      <c r="E300" s="23">
        <v>47589</v>
      </c>
      <c r="G300" s="42">
        <v>6011428</v>
      </c>
      <c r="I300" s="42">
        <v>0</v>
      </c>
      <c r="K300" s="2">
        <f t="shared" si="59"/>
        <v>5955941</v>
      </c>
      <c r="M300" s="42">
        <v>11967369</v>
      </c>
      <c r="O300" s="42">
        <v>0</v>
      </c>
      <c r="Q300" s="2">
        <f t="shared" si="60"/>
        <v>1418438</v>
      </c>
      <c r="S300" s="42">
        <v>0</v>
      </c>
      <c r="U300" s="42">
        <v>1418438</v>
      </c>
      <c r="W300" s="42">
        <v>4636177</v>
      </c>
      <c r="Y300" s="42">
        <v>40661</v>
      </c>
      <c r="AA300" s="42">
        <v>815490</v>
      </c>
      <c r="AC300" s="42">
        <v>0</v>
      </c>
      <c r="AE300" s="42">
        <v>1388570</v>
      </c>
      <c r="AG300" s="42">
        <v>3668033</v>
      </c>
      <c r="AI300" s="10">
        <f t="shared" si="58"/>
        <v>5912754</v>
      </c>
      <c r="AK300" s="42">
        <f t="shared" si="54"/>
        <v>0</v>
      </c>
    </row>
    <row r="301" spans="1:37">
      <c r="A301" s="9" t="s">
        <v>522</v>
      </c>
      <c r="B301" s="9"/>
      <c r="C301" s="9" t="s">
        <v>64</v>
      </c>
      <c r="D301" s="9"/>
      <c r="E301" s="23">
        <v>50195</v>
      </c>
      <c r="G301" s="42">
        <f>2713742+310313</f>
        <v>3024055</v>
      </c>
      <c r="I301" s="42">
        <v>57745</v>
      </c>
      <c r="K301" s="2">
        <f t="shared" si="59"/>
        <v>10514600</v>
      </c>
      <c r="M301" s="42">
        <v>13596400</v>
      </c>
      <c r="O301" s="42">
        <v>0</v>
      </c>
      <c r="Q301" s="2">
        <f t="shared" si="60"/>
        <v>3939804</v>
      </c>
      <c r="S301" s="42">
        <v>0</v>
      </c>
      <c r="U301" s="42">
        <v>3939804</v>
      </c>
      <c r="W301" s="42">
        <v>10253608</v>
      </c>
      <c r="Y301" s="42">
        <v>41069</v>
      </c>
      <c r="AA301" s="42">
        <v>1913222</v>
      </c>
      <c r="AC301" s="42">
        <v>0</v>
      </c>
      <c r="AE301" s="42">
        <v>0</v>
      </c>
      <c r="AG301" s="42">
        <v>-2551303</v>
      </c>
      <c r="AI301" s="10">
        <f t="shared" si="58"/>
        <v>-597012</v>
      </c>
      <c r="AK301" s="42">
        <f t="shared" si="54"/>
        <v>0</v>
      </c>
    </row>
    <row r="302" spans="1:37">
      <c r="A302" s="9" t="s">
        <v>738</v>
      </c>
      <c r="B302" s="9"/>
      <c r="C302" s="9" t="s">
        <v>25</v>
      </c>
      <c r="D302" s="9"/>
      <c r="E302" s="23">
        <v>46888</v>
      </c>
      <c r="G302" s="42">
        <f>12085299+26602</f>
        <v>12111901</v>
      </c>
      <c r="I302" s="42">
        <v>0</v>
      </c>
      <c r="K302" s="2">
        <f t="shared" si="59"/>
        <v>5604785</v>
      </c>
      <c r="M302" s="42">
        <v>17716686</v>
      </c>
      <c r="O302" s="42">
        <v>0</v>
      </c>
      <c r="Q302" s="2">
        <f t="shared" si="60"/>
        <v>1205575</v>
      </c>
      <c r="S302" s="42">
        <v>0</v>
      </c>
      <c r="U302" s="42">
        <v>1205575</v>
      </c>
      <c r="W302" s="42">
        <v>4400295</v>
      </c>
      <c r="Y302" s="42">
        <v>0</v>
      </c>
      <c r="AA302" s="42">
        <v>6419143</v>
      </c>
      <c r="AC302" s="42">
        <v>0</v>
      </c>
      <c r="AE302" s="42">
        <v>84053</v>
      </c>
      <c r="AG302" s="42">
        <v>5607620</v>
      </c>
      <c r="AI302" s="10">
        <f t="shared" si="58"/>
        <v>12110816</v>
      </c>
      <c r="AK302" s="42">
        <f t="shared" si="54"/>
        <v>0</v>
      </c>
    </row>
    <row r="303" spans="1:37">
      <c r="A303" s="9" t="s">
        <v>904</v>
      </c>
      <c r="B303" s="9"/>
      <c r="C303" s="9" t="s">
        <v>42</v>
      </c>
      <c r="D303" s="9"/>
      <c r="E303" s="23">
        <v>48009</v>
      </c>
      <c r="G303" s="42">
        <f>6355385+5250010</f>
        <v>11605395</v>
      </c>
      <c r="I303" s="42">
        <v>0</v>
      </c>
      <c r="K303" s="2">
        <f t="shared" si="59"/>
        <v>24465462</v>
      </c>
      <c r="M303" s="42">
        <v>36070857</v>
      </c>
      <c r="O303" s="42">
        <v>0</v>
      </c>
      <c r="Q303" s="2">
        <f t="shared" si="60"/>
        <v>8144309</v>
      </c>
      <c r="S303" s="42">
        <v>0</v>
      </c>
      <c r="U303" s="42">
        <v>8144309</v>
      </c>
      <c r="W303" s="42">
        <v>19870693</v>
      </c>
      <c r="Y303" s="42">
        <v>0</v>
      </c>
      <c r="AA303" s="42">
        <f>873058+5471121+1092821+90864+6549+2890+33774+15131</f>
        <v>7586208</v>
      </c>
      <c r="AC303" s="42">
        <v>0</v>
      </c>
      <c r="AE303" s="42">
        <f>94026+987878+945+26088</f>
        <v>1108937</v>
      </c>
      <c r="AG303" s="42">
        <v>-639290</v>
      </c>
      <c r="AI303" s="10">
        <f t="shared" si="58"/>
        <v>8055855</v>
      </c>
      <c r="AK303" s="42">
        <f t="shared" si="54"/>
        <v>0</v>
      </c>
    </row>
    <row r="304" spans="1:37">
      <c r="A304" s="9" t="s">
        <v>373</v>
      </c>
      <c r="B304" s="9"/>
      <c r="C304" s="9" t="s">
        <v>42</v>
      </c>
      <c r="D304" s="9"/>
      <c r="E304" s="23">
        <v>48017</v>
      </c>
      <c r="G304" s="42">
        <v>7390119</v>
      </c>
      <c r="I304" s="42">
        <v>1025</v>
      </c>
      <c r="K304" s="2">
        <f t="shared" si="59"/>
        <v>6699684</v>
      </c>
      <c r="M304" s="42">
        <v>14090828</v>
      </c>
      <c r="O304" s="42">
        <v>0</v>
      </c>
      <c r="Q304" s="2">
        <f t="shared" si="60"/>
        <v>1902948</v>
      </c>
      <c r="S304" s="42">
        <v>0</v>
      </c>
      <c r="U304" s="42">
        <v>1902948</v>
      </c>
      <c r="W304" s="42">
        <v>5402664</v>
      </c>
      <c r="Y304" s="42">
        <v>229239</v>
      </c>
      <c r="AA304" s="42">
        <f>808238+323547+233060+89796+46270+13122+12665</f>
        <v>1526698</v>
      </c>
      <c r="AC304" s="42">
        <v>0</v>
      </c>
      <c r="AE304" s="42">
        <f>45928+79635+137974+648381</f>
        <v>911918</v>
      </c>
      <c r="AG304" s="42">
        <v>4117361</v>
      </c>
      <c r="AI304" s="10">
        <f t="shared" si="58"/>
        <v>6785216</v>
      </c>
      <c r="AK304" s="42">
        <f t="shared" si="54"/>
        <v>0</v>
      </c>
    </row>
    <row r="305" spans="1:37" hidden="1">
      <c r="A305" s="9" t="s">
        <v>677</v>
      </c>
      <c r="B305" s="9"/>
      <c r="C305" s="9" t="s">
        <v>10</v>
      </c>
      <c r="D305" s="9"/>
      <c r="E305" s="23">
        <v>44222</v>
      </c>
      <c r="G305" s="42">
        <v>0</v>
      </c>
      <c r="I305" s="42">
        <v>0</v>
      </c>
      <c r="K305" s="2">
        <f t="shared" si="59"/>
        <v>0</v>
      </c>
      <c r="M305" s="42">
        <v>0</v>
      </c>
      <c r="O305" s="42">
        <v>0</v>
      </c>
      <c r="Q305" s="2">
        <f t="shared" si="60"/>
        <v>0</v>
      </c>
      <c r="S305" s="42">
        <v>0</v>
      </c>
      <c r="U305" s="42">
        <v>0</v>
      </c>
      <c r="W305" s="42">
        <v>0</v>
      </c>
      <c r="Y305" s="42">
        <v>0</v>
      </c>
      <c r="AA305" s="42">
        <v>0</v>
      </c>
      <c r="AC305" s="42">
        <v>0</v>
      </c>
      <c r="AE305" s="42">
        <v>0</v>
      </c>
      <c r="AG305" s="42">
        <v>0</v>
      </c>
      <c r="AI305" s="10">
        <f t="shared" si="58"/>
        <v>0</v>
      </c>
      <c r="AK305" s="42">
        <f t="shared" si="54"/>
        <v>0</v>
      </c>
    </row>
    <row r="306" spans="1:37">
      <c r="A306" s="9" t="s">
        <v>537</v>
      </c>
      <c r="B306" s="9"/>
      <c r="C306" s="9" t="s">
        <v>67</v>
      </c>
      <c r="D306" s="9"/>
      <c r="E306" s="23">
        <v>50369</v>
      </c>
      <c r="G306" s="42">
        <f>13260760+2586</f>
        <v>13263346</v>
      </c>
      <c r="I306" s="42">
        <v>0</v>
      </c>
      <c r="K306" s="2">
        <f t="shared" si="59"/>
        <v>3581486</v>
      </c>
      <c r="M306" s="42">
        <v>16844832</v>
      </c>
      <c r="O306" s="42">
        <v>0</v>
      </c>
      <c r="Q306" s="2">
        <f t="shared" si="60"/>
        <v>801872</v>
      </c>
      <c r="S306" s="42">
        <v>0</v>
      </c>
      <c r="U306" s="42">
        <v>801872</v>
      </c>
      <c r="W306" s="42">
        <v>3210729</v>
      </c>
      <c r="Y306" s="42">
        <f>13030+11338</f>
        <v>24368</v>
      </c>
      <c r="AA306" s="42">
        <f>423761+880479+186443+214289+2586+2706+33543</f>
        <v>1743807</v>
      </c>
      <c r="AC306" s="42">
        <v>3437</v>
      </c>
      <c r="AE306" s="42">
        <f>23666+212</f>
        <v>23878</v>
      </c>
      <c r="AG306" s="42">
        <v>11036741</v>
      </c>
      <c r="AI306" s="10">
        <f t="shared" si="58"/>
        <v>12832231</v>
      </c>
      <c r="AK306" s="42">
        <f t="shared" si="54"/>
        <v>0</v>
      </c>
    </row>
    <row r="307" spans="1:37">
      <c r="A307" s="9" t="s">
        <v>760</v>
      </c>
      <c r="B307" s="9"/>
      <c r="C307" s="9" t="s">
        <v>111</v>
      </c>
      <c r="D307" s="9"/>
      <c r="E307" s="23">
        <v>45450</v>
      </c>
      <c r="G307" s="42">
        <v>4832845</v>
      </c>
      <c r="I307" s="42">
        <v>0</v>
      </c>
      <c r="K307" s="2">
        <f t="shared" si="59"/>
        <v>2375051</v>
      </c>
      <c r="M307" s="42">
        <v>7207896</v>
      </c>
      <c r="O307" s="42">
        <v>0</v>
      </c>
      <c r="Q307" s="2">
        <f t="shared" si="60"/>
        <v>848251</v>
      </c>
      <c r="S307" s="42">
        <v>0</v>
      </c>
      <c r="U307" s="42">
        <v>848251</v>
      </c>
      <c r="W307" s="42">
        <v>2215911</v>
      </c>
      <c r="Y307" s="42">
        <v>15136</v>
      </c>
      <c r="AA307" s="42">
        <v>1498892</v>
      </c>
      <c r="AC307" s="42">
        <v>38042</v>
      </c>
      <c r="AE307" s="42">
        <v>35282</v>
      </c>
      <c r="AG307" s="42">
        <v>2556382</v>
      </c>
      <c r="AI307" s="10">
        <f t="shared" si="58"/>
        <v>4143734</v>
      </c>
      <c r="AK307" s="42">
        <f t="shared" si="54"/>
        <v>0</v>
      </c>
    </row>
    <row r="308" spans="1:37">
      <c r="A308" s="9" t="s">
        <v>541</v>
      </c>
      <c r="B308" s="9"/>
      <c r="C308" s="9" t="s">
        <v>69</v>
      </c>
      <c r="D308" s="9"/>
      <c r="E308" s="23">
        <v>50443</v>
      </c>
      <c r="G308" s="42">
        <f>17497833+50710</f>
        <v>17548543</v>
      </c>
      <c r="I308" s="42">
        <v>18000</v>
      </c>
      <c r="K308" s="2">
        <f t="shared" si="59"/>
        <v>36946243</v>
      </c>
      <c r="M308" s="42">
        <v>54512786</v>
      </c>
      <c r="O308" s="42">
        <v>0</v>
      </c>
      <c r="Q308" s="2">
        <f t="shared" si="60"/>
        <v>38922321</v>
      </c>
      <c r="S308" s="42">
        <v>0</v>
      </c>
      <c r="U308" s="42">
        <v>38922321</v>
      </c>
      <c r="W308" s="42">
        <v>0</v>
      </c>
      <c r="Y308" s="42">
        <v>18000</v>
      </c>
      <c r="AA308" s="42">
        <v>4470791</v>
      </c>
      <c r="AC308" s="42">
        <v>1363819</v>
      </c>
      <c r="AE308" s="42">
        <v>1245742</v>
      </c>
      <c r="AG308" s="42">
        <v>8492113</v>
      </c>
      <c r="AI308" s="10">
        <f t="shared" si="58"/>
        <v>15590465</v>
      </c>
      <c r="AK308" s="42">
        <f t="shared" si="54"/>
        <v>0</v>
      </c>
    </row>
    <row r="309" spans="1:37" hidden="1">
      <c r="A309" s="9" t="s">
        <v>794</v>
      </c>
      <c r="B309" s="9"/>
      <c r="C309" s="9" t="s">
        <v>32</v>
      </c>
      <c r="D309" s="9"/>
      <c r="E309" s="23">
        <v>44230</v>
      </c>
      <c r="G309" s="42">
        <v>0</v>
      </c>
      <c r="I309" s="42">
        <v>0</v>
      </c>
      <c r="K309" s="2">
        <f t="shared" si="59"/>
        <v>0</v>
      </c>
      <c r="M309" s="42">
        <v>0</v>
      </c>
      <c r="O309" s="42">
        <v>0</v>
      </c>
      <c r="Q309" s="2">
        <f t="shared" si="60"/>
        <v>0</v>
      </c>
      <c r="S309" s="42">
        <v>0</v>
      </c>
      <c r="U309" s="42">
        <v>0</v>
      </c>
      <c r="W309" s="42">
        <v>0</v>
      </c>
      <c r="Y309" s="42">
        <v>0</v>
      </c>
      <c r="AA309" s="42">
        <v>0</v>
      </c>
      <c r="AC309" s="42">
        <v>0</v>
      </c>
      <c r="AE309" s="42">
        <v>0</v>
      </c>
      <c r="AG309" s="42">
        <v>0</v>
      </c>
      <c r="AI309" s="10">
        <f t="shared" si="58"/>
        <v>0</v>
      </c>
      <c r="AK309" s="42">
        <f t="shared" si="54"/>
        <v>0</v>
      </c>
    </row>
    <row r="310" spans="1:37">
      <c r="A310" s="9" t="s">
        <v>450</v>
      </c>
      <c r="B310" s="9"/>
      <c r="C310" s="9" t="s">
        <v>54</v>
      </c>
      <c r="D310" s="9"/>
      <c r="E310" s="23">
        <v>49080</v>
      </c>
      <c r="G310" s="42">
        <f>8796727+104300</f>
        <v>8901027</v>
      </c>
      <c r="I310" s="42">
        <v>0</v>
      </c>
      <c r="K310" s="2">
        <f t="shared" si="59"/>
        <v>8468096</v>
      </c>
      <c r="M310" s="42">
        <v>17369123</v>
      </c>
      <c r="O310" s="42">
        <v>0</v>
      </c>
      <c r="Q310" s="2">
        <f t="shared" si="60"/>
        <v>2243314</v>
      </c>
      <c r="S310" s="42">
        <v>0</v>
      </c>
      <c r="U310" s="42">
        <v>2243314</v>
      </c>
      <c r="W310" s="42">
        <v>6839562</v>
      </c>
      <c r="Y310" s="42">
        <f>28623+104300</f>
        <v>132923</v>
      </c>
      <c r="AA310" s="42">
        <f>78107+1681+107072+7678+262822</f>
        <v>457360</v>
      </c>
      <c r="AC310" s="42">
        <v>1393132</v>
      </c>
      <c r="AE310" s="42">
        <f>7783+79400+225447+1252642</f>
        <v>1565272</v>
      </c>
      <c r="AG310" s="42">
        <v>4737560</v>
      </c>
      <c r="AI310" s="10">
        <f t="shared" si="58"/>
        <v>8286247</v>
      </c>
      <c r="AK310" s="42">
        <f t="shared" si="54"/>
        <v>0</v>
      </c>
    </row>
    <row r="311" spans="1:37">
      <c r="A311" s="9" t="s">
        <v>350</v>
      </c>
      <c r="B311" s="9"/>
      <c r="C311" s="9" t="s">
        <v>35</v>
      </c>
      <c r="D311" s="9"/>
      <c r="E311" s="23">
        <v>44248</v>
      </c>
      <c r="G311" s="42">
        <v>15460161</v>
      </c>
      <c r="I311" s="42">
        <v>0</v>
      </c>
      <c r="K311" s="2">
        <f t="shared" si="59"/>
        <v>13556240</v>
      </c>
      <c r="M311" s="42">
        <v>29016401</v>
      </c>
      <c r="O311" s="42">
        <v>0</v>
      </c>
      <c r="Q311" s="2">
        <f t="shared" si="60"/>
        <v>5343756</v>
      </c>
      <c r="S311" s="42">
        <v>0</v>
      </c>
      <c r="U311" s="42">
        <v>5343756</v>
      </c>
      <c r="W311" s="42">
        <v>11316039</v>
      </c>
      <c r="Y311" s="42">
        <v>121892</v>
      </c>
      <c r="AA311" s="42">
        <v>8093088</v>
      </c>
      <c r="AC311" s="42">
        <v>0</v>
      </c>
      <c r="AE311" s="42">
        <v>352978</v>
      </c>
      <c r="AG311" s="42">
        <v>3788648</v>
      </c>
      <c r="AI311" s="10">
        <f t="shared" si="58"/>
        <v>12356606</v>
      </c>
      <c r="AK311" s="42">
        <f t="shared" si="54"/>
        <v>0</v>
      </c>
    </row>
    <row r="312" spans="1:37">
      <c r="A312" s="9" t="s">
        <v>397</v>
      </c>
      <c r="B312" s="9"/>
      <c r="C312" s="9" t="s">
        <v>395</v>
      </c>
      <c r="D312" s="9"/>
      <c r="E312" s="23">
        <v>44255</v>
      </c>
      <c r="G312" s="42">
        <v>5753642</v>
      </c>
      <c r="I312" s="42">
        <v>0</v>
      </c>
      <c r="K312" s="2">
        <f t="shared" si="59"/>
        <v>11179481</v>
      </c>
      <c r="M312" s="42">
        <v>16933123</v>
      </c>
      <c r="O312" s="42">
        <v>0</v>
      </c>
      <c r="Q312" s="2">
        <f t="shared" si="60"/>
        <v>2952822</v>
      </c>
      <c r="S312" s="42">
        <v>0</v>
      </c>
      <c r="U312" s="42">
        <v>2952822</v>
      </c>
      <c r="W312" s="42">
        <v>5518567</v>
      </c>
      <c r="Y312" s="42">
        <v>14511</v>
      </c>
      <c r="AA312" s="42">
        <f>3010670+263113+137355+706018+59350+30545</f>
        <v>4207051</v>
      </c>
      <c r="AC312" s="42">
        <v>286400</v>
      </c>
      <c r="AE312" s="42">
        <f>45877+9059</f>
        <v>54936</v>
      </c>
      <c r="AG312" s="42">
        <v>3898836</v>
      </c>
      <c r="AI312" s="10">
        <f t="shared" si="58"/>
        <v>8461734</v>
      </c>
      <c r="AK312" s="42">
        <f t="shared" si="54"/>
        <v>0</v>
      </c>
    </row>
    <row r="313" spans="1:37">
      <c r="A313" s="9" t="s">
        <v>383</v>
      </c>
      <c r="B313" s="9"/>
      <c r="C313" s="9" t="s">
        <v>44</v>
      </c>
      <c r="D313" s="9"/>
      <c r="E313" s="23">
        <v>44263</v>
      </c>
      <c r="G313" s="42">
        <f>24754112+4832541+34567582</f>
        <v>64154235</v>
      </c>
      <c r="I313" s="42">
        <v>0</v>
      </c>
      <c r="K313" s="2">
        <f t="shared" si="59"/>
        <v>69239412</v>
      </c>
      <c r="M313" s="42">
        <v>133393647</v>
      </c>
      <c r="O313" s="42">
        <v>0</v>
      </c>
      <c r="Q313" s="2">
        <f t="shared" si="60"/>
        <v>82081776</v>
      </c>
      <c r="S313" s="42">
        <v>0</v>
      </c>
      <c r="U313" s="42">
        <v>82081776</v>
      </c>
      <c r="W313" s="42">
        <v>0</v>
      </c>
      <c r="Y313" s="42">
        <v>46363</v>
      </c>
      <c r="AA313" s="42">
        <v>53777050</v>
      </c>
      <c r="AC313" s="42">
        <v>0</v>
      </c>
      <c r="AE313" s="42">
        <v>6025</v>
      </c>
      <c r="AG313" s="42">
        <v>-2517567</v>
      </c>
      <c r="AI313" s="10">
        <f t="shared" si="58"/>
        <v>51311871</v>
      </c>
      <c r="AK313" s="42">
        <f t="shared" si="54"/>
        <v>0</v>
      </c>
    </row>
    <row r="314" spans="1:37">
      <c r="A314" s="9" t="s">
        <v>523</v>
      </c>
      <c r="B314" s="9"/>
      <c r="C314" s="9" t="s">
        <v>64</v>
      </c>
      <c r="D314" s="9"/>
      <c r="E314" s="23">
        <v>50203</v>
      </c>
      <c r="G314" s="42">
        <v>778356</v>
      </c>
      <c r="I314" s="42">
        <v>0</v>
      </c>
      <c r="K314" s="2">
        <f t="shared" si="59"/>
        <v>3646108</v>
      </c>
      <c r="M314" s="42">
        <v>4424464</v>
      </c>
      <c r="O314" s="42">
        <v>0</v>
      </c>
      <c r="Q314" s="2">
        <f t="shared" si="60"/>
        <v>766372</v>
      </c>
      <c r="S314" s="42">
        <v>0</v>
      </c>
      <c r="U314" s="42">
        <v>766372</v>
      </c>
      <c r="W314" s="42">
        <v>3614762</v>
      </c>
      <c r="Y314" s="42">
        <v>971</v>
      </c>
      <c r="AA314" s="42">
        <f>105553+5247+103504+400+116+1598</f>
        <v>216418</v>
      </c>
      <c r="AC314" s="42">
        <v>0</v>
      </c>
      <c r="AE314" s="42">
        <v>0</v>
      </c>
      <c r="AG314" s="42">
        <v>-174059</v>
      </c>
      <c r="AI314" s="10">
        <f t="shared" si="58"/>
        <v>43330</v>
      </c>
      <c r="AK314" s="42">
        <f t="shared" si="54"/>
        <v>0</v>
      </c>
    </row>
    <row r="315" spans="1:37">
      <c r="A315" s="9" t="s">
        <v>678</v>
      </c>
      <c r="B315" s="9"/>
      <c r="C315" s="9" t="s">
        <v>11</v>
      </c>
      <c r="D315" s="9"/>
      <c r="E315" s="23">
        <v>45468</v>
      </c>
      <c r="G315" s="42">
        <v>2671819</v>
      </c>
      <c r="I315" s="42">
        <v>0</v>
      </c>
      <c r="K315" s="2">
        <f t="shared" si="59"/>
        <v>5746259</v>
      </c>
      <c r="M315" s="42">
        <v>8418078</v>
      </c>
      <c r="O315" s="42">
        <v>0</v>
      </c>
      <c r="Q315" s="2">
        <f t="shared" si="60"/>
        <v>1475483</v>
      </c>
      <c r="S315" s="42">
        <v>0</v>
      </c>
      <c r="U315" s="42">
        <v>1475483</v>
      </c>
      <c r="W315" s="42">
        <v>3861044</v>
      </c>
      <c r="Y315" s="42">
        <f>19130+50468+1712</f>
        <v>71310</v>
      </c>
      <c r="AA315" s="42">
        <f>112676+9685+30750+89154+17756</f>
        <v>260021</v>
      </c>
      <c r="AC315" s="42">
        <f>31406+77276+11000</f>
        <v>119682</v>
      </c>
      <c r="AE315" s="42">
        <f>2229+7639+24100+788608+31+2247</f>
        <v>824854</v>
      </c>
      <c r="AG315" s="42">
        <v>1805684</v>
      </c>
      <c r="AI315" s="10">
        <f t="shared" si="58"/>
        <v>3081551</v>
      </c>
      <c r="AK315" s="42">
        <f t="shared" si="54"/>
        <v>0</v>
      </c>
    </row>
    <row r="316" spans="1:37">
      <c r="A316" s="9" t="s">
        <v>495</v>
      </c>
      <c r="B316" s="9"/>
      <c r="C316" s="9" t="s">
        <v>62</v>
      </c>
      <c r="D316" s="9"/>
      <c r="E316" s="23">
        <v>49874</v>
      </c>
      <c r="G316" s="42">
        <v>4843022</v>
      </c>
      <c r="I316" s="42">
        <v>4057</v>
      </c>
      <c r="K316" s="2">
        <f t="shared" si="59"/>
        <v>8955046</v>
      </c>
      <c r="M316" s="42">
        <v>13802125</v>
      </c>
      <c r="O316" s="42">
        <v>0</v>
      </c>
      <c r="Q316" s="2">
        <f t="shared" si="60"/>
        <v>3703915</v>
      </c>
      <c r="S316" s="42">
        <v>0</v>
      </c>
      <c r="U316" s="42">
        <v>3703915</v>
      </c>
      <c r="W316" s="42">
        <v>8375894</v>
      </c>
      <c r="Y316" s="42">
        <v>75514</v>
      </c>
      <c r="AA316" s="42">
        <v>3236690</v>
      </c>
      <c r="AC316" s="42">
        <v>0</v>
      </c>
      <c r="AE316" s="42">
        <v>0</v>
      </c>
      <c r="AG316" s="42">
        <v>-1589888</v>
      </c>
      <c r="AI316" s="10">
        <f t="shared" si="58"/>
        <v>1722316</v>
      </c>
      <c r="AK316" s="42">
        <f t="shared" si="54"/>
        <v>0</v>
      </c>
    </row>
    <row r="317" spans="1:37">
      <c r="A317" s="9" t="s">
        <v>322</v>
      </c>
      <c r="B317" s="9"/>
      <c r="C317" s="9" t="s">
        <v>32</v>
      </c>
      <c r="D317" s="9"/>
      <c r="E317" s="23">
        <v>44271</v>
      </c>
      <c r="G317" s="42">
        <v>9674918</v>
      </c>
      <c r="I317" s="42">
        <v>0</v>
      </c>
      <c r="K317" s="2">
        <f t="shared" si="59"/>
        <v>30937211</v>
      </c>
      <c r="M317" s="42">
        <v>40612129</v>
      </c>
      <c r="O317" s="42">
        <v>0</v>
      </c>
      <c r="Q317" s="2">
        <f t="shared" si="60"/>
        <v>31564931</v>
      </c>
      <c r="S317" s="42">
        <v>0</v>
      </c>
      <c r="U317" s="42">
        <v>31564931</v>
      </c>
      <c r="W317" s="42">
        <v>0</v>
      </c>
      <c r="Y317" s="42">
        <v>28119</v>
      </c>
      <c r="AA317" s="42">
        <v>3701327</v>
      </c>
      <c r="AC317" s="42">
        <v>0</v>
      </c>
      <c r="AE317" s="42">
        <v>429546</v>
      </c>
      <c r="AG317" s="42">
        <v>4888206</v>
      </c>
      <c r="AI317" s="10">
        <f t="shared" si="58"/>
        <v>9047198</v>
      </c>
      <c r="AK317" s="42">
        <f t="shared" si="54"/>
        <v>0</v>
      </c>
    </row>
    <row r="318" spans="1:37">
      <c r="A318" s="9" t="s">
        <v>679</v>
      </c>
      <c r="B318" s="9"/>
      <c r="C318" s="9" t="s">
        <v>45</v>
      </c>
      <c r="D318" s="9"/>
      <c r="E318" s="23">
        <v>48330</v>
      </c>
      <c r="G318" s="42">
        <v>4321008</v>
      </c>
      <c r="I318" s="42">
        <v>0</v>
      </c>
      <c r="K318" s="2">
        <f t="shared" si="59"/>
        <v>2124117</v>
      </c>
      <c r="M318" s="42">
        <v>6445125</v>
      </c>
      <c r="O318" s="42">
        <v>0</v>
      </c>
      <c r="Q318" s="2">
        <f t="shared" si="60"/>
        <v>1313892</v>
      </c>
      <c r="S318" s="42">
        <v>0</v>
      </c>
      <c r="U318" s="42">
        <v>1313892</v>
      </c>
      <c r="W318" s="42">
        <v>1155711</v>
      </c>
      <c r="Y318" s="42">
        <f>9322+716957</f>
        <v>726279</v>
      </c>
      <c r="AA318" s="42">
        <f>139165+110432+443995+289279+35893</f>
        <v>1018764</v>
      </c>
      <c r="AC318" s="42">
        <f>752194+28792+224838+228472</f>
        <v>1234296</v>
      </c>
      <c r="AE318" s="42">
        <f>4314+86932+167450</f>
        <v>258696</v>
      </c>
      <c r="AG318" s="42">
        <v>737487</v>
      </c>
      <c r="AI318" s="10">
        <f t="shared" si="58"/>
        <v>3975522</v>
      </c>
      <c r="AK318" s="42">
        <f t="shared" si="54"/>
        <v>0</v>
      </c>
    </row>
    <row r="319" spans="1:37">
      <c r="A319" s="9" t="s">
        <v>795</v>
      </c>
      <c r="B319" s="9"/>
      <c r="C319" s="9" t="s">
        <v>109</v>
      </c>
      <c r="D319" s="9"/>
      <c r="E319" s="23">
        <v>49445</v>
      </c>
      <c r="G319" s="42">
        <v>4565990</v>
      </c>
      <c r="I319" s="42">
        <v>0</v>
      </c>
      <c r="K319" s="2">
        <f t="shared" si="59"/>
        <v>2645254</v>
      </c>
      <c r="M319" s="42">
        <v>7211244</v>
      </c>
      <c r="O319" s="42">
        <v>0</v>
      </c>
      <c r="Q319" s="2">
        <f t="shared" si="60"/>
        <v>571387</v>
      </c>
      <c r="S319" s="42">
        <v>0</v>
      </c>
      <c r="U319" s="42">
        <v>571387</v>
      </c>
      <c r="W319" s="42">
        <v>2001467</v>
      </c>
      <c r="Y319" s="42">
        <f>2984+6670</f>
        <v>9654</v>
      </c>
      <c r="AA319" s="42">
        <f>84793+2248+661+17966</f>
        <v>105668</v>
      </c>
      <c r="AC319" s="42">
        <f>84189+4158+4675</f>
        <v>93022</v>
      </c>
      <c r="AE319" s="42">
        <f>12124+24147+27653+887</f>
        <v>64811</v>
      </c>
      <c r="AG319" s="42">
        <v>4365235</v>
      </c>
      <c r="AI319" s="10">
        <f t="shared" si="58"/>
        <v>4638390</v>
      </c>
      <c r="AK319" s="42">
        <f t="shared" si="54"/>
        <v>0</v>
      </c>
    </row>
    <row r="320" spans="1:37">
      <c r="A320" s="9" t="s">
        <v>349</v>
      </c>
      <c r="B320" s="9"/>
      <c r="C320" s="9" t="s">
        <v>346</v>
      </c>
      <c r="D320" s="9"/>
      <c r="E320" s="23">
        <v>47639</v>
      </c>
      <c r="G320" s="42">
        <v>8211765</v>
      </c>
      <c r="I320" s="42">
        <v>0</v>
      </c>
      <c r="K320" s="2">
        <f t="shared" si="59"/>
        <v>2477557</v>
      </c>
      <c r="M320" s="42">
        <v>10689322</v>
      </c>
      <c r="O320" s="42">
        <v>0</v>
      </c>
      <c r="Q320" s="2">
        <f t="shared" si="60"/>
        <v>1337960</v>
      </c>
      <c r="S320" s="42">
        <v>0</v>
      </c>
      <c r="U320" s="42">
        <v>1337960</v>
      </c>
      <c r="W320" s="42">
        <v>2138700</v>
      </c>
      <c r="Y320" s="42">
        <v>3076</v>
      </c>
      <c r="AA320" s="42">
        <v>1478854</v>
      </c>
      <c r="AC320" s="42">
        <v>11000</v>
      </c>
      <c r="AE320" s="42">
        <v>237784</v>
      </c>
      <c r="AG320" s="42">
        <v>5481948</v>
      </c>
      <c r="AI320" s="10">
        <f t="shared" si="58"/>
        <v>7212662</v>
      </c>
      <c r="AK320" s="42">
        <f t="shared" si="54"/>
        <v>0</v>
      </c>
    </row>
    <row r="321" spans="1:37">
      <c r="A321" s="9" t="s">
        <v>705</v>
      </c>
      <c r="B321" s="9"/>
      <c r="C321" s="9" t="s">
        <v>50</v>
      </c>
      <c r="D321" s="9"/>
      <c r="E321" s="23">
        <v>48702</v>
      </c>
      <c r="G321" s="42">
        <v>15961326</v>
      </c>
      <c r="I321" s="42">
        <v>0</v>
      </c>
      <c r="K321" s="2">
        <f t="shared" si="59"/>
        <v>12218764</v>
      </c>
      <c r="M321" s="42">
        <v>28180090</v>
      </c>
      <c r="O321" s="42">
        <v>0</v>
      </c>
      <c r="Q321" s="2">
        <f t="shared" si="60"/>
        <v>15595602</v>
      </c>
      <c r="S321" s="42">
        <v>0</v>
      </c>
      <c r="U321" s="42">
        <v>15595602</v>
      </c>
      <c r="W321" s="42">
        <v>0</v>
      </c>
      <c r="Y321" s="42">
        <v>17755</v>
      </c>
      <c r="AA321" s="42">
        <v>3552117</v>
      </c>
      <c r="AC321" s="42">
        <v>252634</v>
      </c>
      <c r="AE321" s="42">
        <v>582566</v>
      </c>
      <c r="AG321" s="42">
        <v>8179416</v>
      </c>
      <c r="AI321" s="10">
        <f t="shared" si="58"/>
        <v>12584488</v>
      </c>
      <c r="AK321" s="42">
        <f t="shared" si="54"/>
        <v>0</v>
      </c>
    </row>
    <row r="322" spans="1:37">
      <c r="A322" s="9" t="s">
        <v>323</v>
      </c>
      <c r="B322" s="9"/>
      <c r="C322" s="9" t="s">
        <v>32</v>
      </c>
      <c r="D322" s="9"/>
      <c r="E322" s="23">
        <v>44289</v>
      </c>
      <c r="G322" s="42">
        <v>9026970</v>
      </c>
      <c r="I322" s="42">
        <v>0</v>
      </c>
      <c r="K322" s="2">
        <f t="shared" si="59"/>
        <v>15217349</v>
      </c>
      <c r="M322" s="42">
        <v>24244319</v>
      </c>
      <c r="O322" s="42">
        <v>0</v>
      </c>
      <c r="Q322" s="2">
        <f t="shared" si="60"/>
        <v>12209191</v>
      </c>
      <c r="S322" s="42">
        <v>0</v>
      </c>
      <c r="U322" s="42">
        <v>12209191</v>
      </c>
      <c r="W322" s="42">
        <v>0</v>
      </c>
      <c r="Y322" s="42">
        <v>0</v>
      </c>
      <c r="AA322" s="42">
        <v>1482412</v>
      </c>
      <c r="AC322" s="42">
        <v>0</v>
      </c>
      <c r="AE322" s="42">
        <v>5012337</v>
      </c>
      <c r="AG322" s="42">
        <v>5540379</v>
      </c>
      <c r="AI322" s="10">
        <f t="shared" si="58"/>
        <v>12035128</v>
      </c>
      <c r="AK322" s="42">
        <f t="shared" si="54"/>
        <v>0</v>
      </c>
    </row>
    <row r="323" spans="1:37">
      <c r="A323" s="9" t="s">
        <v>223</v>
      </c>
      <c r="B323" s="9"/>
      <c r="C323" s="9" t="s">
        <v>220</v>
      </c>
      <c r="D323" s="9"/>
      <c r="E323" s="23">
        <v>46128</v>
      </c>
      <c r="G323" s="42">
        <v>3652838</v>
      </c>
      <c r="I323" s="42">
        <v>0</v>
      </c>
      <c r="K323" s="2">
        <f t="shared" si="59"/>
        <v>6018771</v>
      </c>
      <c r="M323" s="42">
        <v>9671609</v>
      </c>
      <c r="O323" s="42">
        <v>0</v>
      </c>
      <c r="Q323" s="2">
        <f t="shared" si="60"/>
        <v>6778951</v>
      </c>
      <c r="S323" s="42">
        <v>0</v>
      </c>
      <c r="U323" s="42">
        <v>6778951</v>
      </c>
      <c r="W323" s="42">
        <v>0</v>
      </c>
      <c r="Y323" s="42">
        <v>2646</v>
      </c>
      <c r="AA323" s="42">
        <v>1575801</v>
      </c>
      <c r="AC323" s="42">
        <v>0</v>
      </c>
      <c r="AE323" s="42">
        <v>681502</v>
      </c>
      <c r="AG323" s="42">
        <v>632709</v>
      </c>
      <c r="AI323" s="10">
        <f t="shared" si="58"/>
        <v>2892658</v>
      </c>
      <c r="AK323" s="42">
        <f t="shared" si="54"/>
        <v>0</v>
      </c>
    </row>
    <row r="324" spans="1:37" hidden="1">
      <c r="A324" s="9" t="s">
        <v>724</v>
      </c>
      <c r="B324" s="9"/>
      <c r="C324" s="9" t="s">
        <v>41</v>
      </c>
      <c r="D324" s="9"/>
      <c r="E324" s="23">
        <v>47886</v>
      </c>
      <c r="G324" s="42">
        <v>0</v>
      </c>
      <c r="I324" s="42">
        <v>0</v>
      </c>
      <c r="K324" s="2">
        <f t="shared" si="59"/>
        <v>0</v>
      </c>
      <c r="M324" s="42">
        <v>0</v>
      </c>
      <c r="O324" s="42">
        <v>0</v>
      </c>
      <c r="Q324" s="2">
        <f t="shared" si="60"/>
        <v>0</v>
      </c>
      <c r="S324" s="42">
        <v>0</v>
      </c>
      <c r="U324" s="42">
        <v>0</v>
      </c>
      <c r="W324" s="42">
        <v>0</v>
      </c>
      <c r="Y324" s="42">
        <v>0</v>
      </c>
      <c r="AA324" s="42">
        <v>0</v>
      </c>
      <c r="AC324" s="42">
        <v>0</v>
      </c>
      <c r="AE324" s="42">
        <v>0</v>
      </c>
      <c r="AG324" s="42">
        <v>0</v>
      </c>
      <c r="AI324" s="10">
        <f t="shared" si="58"/>
        <v>0</v>
      </c>
      <c r="AK324" s="42">
        <f t="shared" si="54"/>
        <v>0</v>
      </c>
    </row>
    <row r="325" spans="1:37">
      <c r="A325" s="9" t="s">
        <v>223</v>
      </c>
      <c r="B325" s="9"/>
      <c r="C325" s="9" t="s">
        <v>109</v>
      </c>
      <c r="D325" s="9"/>
      <c r="E325" s="23">
        <v>49452</v>
      </c>
      <c r="G325" s="42">
        <f>18187186+462973</f>
        <v>18650159</v>
      </c>
      <c r="I325" s="42">
        <v>0</v>
      </c>
      <c r="K325" s="2">
        <f t="shared" si="59"/>
        <v>14015929</v>
      </c>
      <c r="M325" s="42">
        <v>32666088</v>
      </c>
      <c r="O325" s="42">
        <v>0</v>
      </c>
      <c r="Q325" s="2">
        <f t="shared" si="60"/>
        <v>5675879</v>
      </c>
      <c r="S325" s="42">
        <v>0</v>
      </c>
      <c r="U325" s="42">
        <v>5675879</v>
      </c>
      <c r="W325" s="42">
        <v>11756152</v>
      </c>
      <c r="Y325" s="42">
        <v>11578</v>
      </c>
      <c r="AA325" s="42">
        <f>558314+10308110+545808+312140+1603+455+120+69108+8930</f>
        <v>11804588</v>
      </c>
      <c r="AC325" s="42">
        <v>0</v>
      </c>
      <c r="AE325" s="42">
        <f>50449+36930+1474485+68018</f>
        <v>1629882</v>
      </c>
      <c r="AG325" s="42">
        <v>1788009</v>
      </c>
      <c r="AI325" s="10">
        <f t="shared" si="58"/>
        <v>15234057</v>
      </c>
      <c r="AK325" s="42">
        <f t="shared" si="54"/>
        <v>0</v>
      </c>
    </row>
    <row r="326" spans="1:37">
      <c r="A326" s="9" t="s">
        <v>688</v>
      </c>
      <c r="B326" s="9"/>
      <c r="C326" s="9" t="s">
        <v>395</v>
      </c>
      <c r="D326" s="9"/>
      <c r="E326" s="23">
        <v>48272</v>
      </c>
      <c r="G326" s="42">
        <v>8050841</v>
      </c>
      <c r="I326" s="42">
        <v>0</v>
      </c>
      <c r="K326" s="2">
        <f t="shared" si="59"/>
        <v>5136256</v>
      </c>
      <c r="M326" s="42">
        <v>13187097</v>
      </c>
      <c r="O326" s="42">
        <v>0</v>
      </c>
      <c r="Q326" s="2">
        <f t="shared" si="60"/>
        <v>6311469</v>
      </c>
      <c r="S326" s="42">
        <v>0</v>
      </c>
      <c r="U326" s="42">
        <v>6311469</v>
      </c>
      <c r="W326" s="42">
        <v>0</v>
      </c>
      <c r="Y326" s="42">
        <v>0</v>
      </c>
      <c r="AA326" s="42">
        <v>735066</v>
      </c>
      <c r="AC326" s="42">
        <v>0</v>
      </c>
      <c r="AE326" s="42">
        <v>727670</v>
      </c>
      <c r="AG326" s="42">
        <v>5412892</v>
      </c>
      <c r="AI326" s="10">
        <f t="shared" si="58"/>
        <v>6875628</v>
      </c>
      <c r="AK326" s="42">
        <f t="shared" si="54"/>
        <v>0</v>
      </c>
    </row>
    <row r="327" spans="1:37">
      <c r="A327" s="9" t="s">
        <v>600</v>
      </c>
      <c r="B327" s="9"/>
      <c r="C327" s="9" t="s">
        <v>199</v>
      </c>
      <c r="D327" s="9"/>
      <c r="E327" s="54" t="s">
        <v>870</v>
      </c>
      <c r="G327" s="42">
        <v>10853935</v>
      </c>
      <c r="I327" s="42">
        <v>0</v>
      </c>
      <c r="K327" s="2">
        <f t="shared" si="59"/>
        <v>8668933</v>
      </c>
      <c r="M327" s="42">
        <v>19522868</v>
      </c>
      <c r="O327" s="42">
        <v>0</v>
      </c>
      <c r="Q327" s="2">
        <f t="shared" si="60"/>
        <v>1188324</v>
      </c>
      <c r="S327" s="42">
        <v>0</v>
      </c>
      <c r="U327" s="42">
        <v>1188324</v>
      </c>
      <c r="W327" s="42">
        <v>7009879</v>
      </c>
      <c r="Y327" s="42">
        <v>63650</v>
      </c>
      <c r="AA327" s="42">
        <v>1897893</v>
      </c>
      <c r="AC327" s="42">
        <v>0</v>
      </c>
      <c r="AE327" s="42">
        <v>3452664</v>
      </c>
      <c r="AG327" s="42">
        <v>5910458</v>
      </c>
      <c r="AI327" s="10">
        <f t="shared" si="58"/>
        <v>11324665</v>
      </c>
      <c r="AK327" s="42">
        <f t="shared" si="54"/>
        <v>0</v>
      </c>
    </row>
    <row r="328" spans="1:37" hidden="1">
      <c r="A328" s="9" t="s">
        <v>799</v>
      </c>
      <c r="B328" s="9"/>
      <c r="C328" s="9" t="s">
        <v>63</v>
      </c>
      <c r="D328" s="9"/>
      <c r="E328" s="54">
        <v>50005</v>
      </c>
      <c r="G328" s="42">
        <v>0</v>
      </c>
      <c r="I328" s="42">
        <v>0</v>
      </c>
      <c r="K328" s="2">
        <f t="shared" ref="K328" si="61">M328-G328-I328</f>
        <v>0</v>
      </c>
      <c r="M328" s="42">
        <v>0</v>
      </c>
      <c r="O328" s="42">
        <v>0</v>
      </c>
      <c r="Q328" s="2">
        <f t="shared" ref="Q328" si="62">U328-S328</f>
        <v>0</v>
      </c>
      <c r="S328" s="42">
        <v>0</v>
      </c>
      <c r="U328" s="42">
        <v>0</v>
      </c>
      <c r="W328" s="42">
        <v>0</v>
      </c>
      <c r="Y328" s="42">
        <v>0</v>
      </c>
      <c r="AA328" s="42">
        <v>0</v>
      </c>
      <c r="AC328" s="42">
        <v>0</v>
      </c>
      <c r="AE328" s="42">
        <v>0</v>
      </c>
      <c r="AG328" s="42">
        <v>0</v>
      </c>
      <c r="AI328" s="10">
        <f t="shared" ref="AI328" si="63">Y328+AA328+AC328+AE328+AG328</f>
        <v>0</v>
      </c>
      <c r="AK328" s="42">
        <f t="shared" si="54"/>
        <v>0</v>
      </c>
    </row>
    <row r="329" spans="1:37">
      <c r="A329" s="9" t="s">
        <v>466</v>
      </c>
      <c r="B329" s="9"/>
      <c r="C329" s="9" t="s">
        <v>109</v>
      </c>
      <c r="D329" s="9"/>
      <c r="E329" s="23">
        <v>44297</v>
      </c>
      <c r="G329" s="42">
        <v>11362783</v>
      </c>
      <c r="I329" s="42">
        <v>4982</v>
      </c>
      <c r="K329" s="2">
        <f t="shared" si="59"/>
        <v>17326166</v>
      </c>
      <c r="M329" s="42">
        <v>28693931</v>
      </c>
      <c r="O329" s="42">
        <v>0</v>
      </c>
      <c r="Q329" s="2">
        <f t="shared" si="60"/>
        <v>9483884</v>
      </c>
      <c r="S329" s="42">
        <v>0</v>
      </c>
      <c r="U329" s="42">
        <v>9483884</v>
      </c>
      <c r="W329" s="42">
        <v>12866909</v>
      </c>
      <c r="Y329" s="42">
        <f>128889+22651</f>
        <v>151540</v>
      </c>
      <c r="AA329" s="42">
        <f>3827465+2603570+83464+424017+49868+66803+4982+26588+78843</f>
        <v>7165600</v>
      </c>
      <c r="AC329" s="42">
        <v>0</v>
      </c>
      <c r="AE329" s="42">
        <v>0</v>
      </c>
      <c r="AG329" s="42">
        <v>-974002</v>
      </c>
      <c r="AI329" s="10">
        <f t="shared" si="58"/>
        <v>6343138</v>
      </c>
      <c r="AK329" s="42">
        <f t="shared" si="54"/>
        <v>0</v>
      </c>
    </row>
    <row r="330" spans="1:37">
      <c r="A330" s="9" t="s">
        <v>716</v>
      </c>
      <c r="B330" s="9"/>
      <c r="C330" s="9" t="s">
        <v>20</v>
      </c>
      <c r="D330" s="9"/>
      <c r="E330" s="23">
        <v>44305</v>
      </c>
      <c r="G330" s="42">
        <v>17393469</v>
      </c>
      <c r="I330" s="42">
        <v>338718</v>
      </c>
      <c r="K330" s="2">
        <f t="shared" si="59"/>
        <v>22020603</v>
      </c>
      <c r="M330" s="42">
        <v>39752790</v>
      </c>
      <c r="O330" s="42">
        <v>0</v>
      </c>
      <c r="Q330" s="2">
        <f t="shared" si="60"/>
        <v>10129316</v>
      </c>
      <c r="S330" s="42">
        <v>0</v>
      </c>
      <c r="U330" s="42">
        <v>10129316</v>
      </c>
      <c r="W330" s="42">
        <v>19709784</v>
      </c>
      <c r="Y330" s="42">
        <v>0</v>
      </c>
      <c r="AA330" s="42">
        <v>10822916</v>
      </c>
      <c r="AC330" s="42">
        <v>0</v>
      </c>
      <c r="AE330" s="42">
        <v>0</v>
      </c>
      <c r="AG330" s="42">
        <v>-909226</v>
      </c>
      <c r="AI330" s="10">
        <f t="shared" si="58"/>
        <v>9913690</v>
      </c>
      <c r="AK330" s="42">
        <f t="shared" si="54"/>
        <v>0</v>
      </c>
    </row>
    <row r="331" spans="1:37">
      <c r="A331" s="9" t="s">
        <v>204</v>
      </c>
      <c r="B331" s="9"/>
      <c r="C331" s="9" t="s">
        <v>11</v>
      </c>
      <c r="D331" s="9"/>
      <c r="E331" s="23">
        <v>45831</v>
      </c>
      <c r="G331" s="42">
        <f>2855423+38930</f>
        <v>2894353</v>
      </c>
      <c r="I331" s="42">
        <v>0</v>
      </c>
      <c r="K331" s="2">
        <f t="shared" si="59"/>
        <v>3418224</v>
      </c>
      <c r="M331" s="42">
        <v>6312577</v>
      </c>
      <c r="O331" s="42">
        <v>0</v>
      </c>
      <c r="Q331" s="2">
        <f t="shared" si="60"/>
        <v>994705</v>
      </c>
      <c r="S331" s="42">
        <v>0</v>
      </c>
      <c r="U331" s="42">
        <v>994705</v>
      </c>
      <c r="W331" s="42">
        <v>2629078</v>
      </c>
      <c r="Y331" s="42">
        <f>11095+25290</f>
        <v>36385</v>
      </c>
      <c r="AA331" s="42">
        <f>507670+503884+134774+10359+39907</f>
        <v>1196594</v>
      </c>
      <c r="AC331" s="42">
        <v>0</v>
      </c>
      <c r="AE331" s="42">
        <f>809+43148+4160+14130+228376</f>
        <v>290623</v>
      </c>
      <c r="AG331" s="42">
        <v>1165192</v>
      </c>
      <c r="AI331" s="10">
        <f t="shared" si="58"/>
        <v>2688794</v>
      </c>
      <c r="AK331" s="42">
        <f t="shared" si="54"/>
        <v>0</v>
      </c>
    </row>
    <row r="332" spans="1:37">
      <c r="A332" s="9" t="s">
        <v>524</v>
      </c>
      <c r="B332" s="9"/>
      <c r="C332" s="9" t="s">
        <v>64</v>
      </c>
      <c r="D332" s="9"/>
      <c r="E332" s="23">
        <v>50211</v>
      </c>
      <c r="G332" s="42">
        <v>3816170</v>
      </c>
      <c r="I332" s="42">
        <v>0</v>
      </c>
      <c r="K332" s="2">
        <f t="shared" si="59"/>
        <v>2983150</v>
      </c>
      <c r="M332" s="42">
        <v>6799320</v>
      </c>
      <c r="O332" s="42">
        <v>0</v>
      </c>
      <c r="Q332" s="2">
        <f t="shared" si="60"/>
        <v>697746</v>
      </c>
      <c r="S332" s="42">
        <v>0</v>
      </c>
      <c r="U332" s="42">
        <v>697746</v>
      </c>
      <c r="W332" s="42">
        <v>2912172</v>
      </c>
      <c r="Y332" s="42">
        <v>3783</v>
      </c>
      <c r="AA332" s="42">
        <v>690563</v>
      </c>
      <c r="AC332" s="42">
        <v>784</v>
      </c>
      <c r="AE332" s="42">
        <v>32618</v>
      </c>
      <c r="AG332" s="42">
        <v>2461654</v>
      </c>
      <c r="AI332" s="10">
        <f t="shared" si="58"/>
        <v>3189402</v>
      </c>
      <c r="AK332" s="42">
        <f t="shared" si="54"/>
        <v>0</v>
      </c>
    </row>
    <row r="333" spans="1:37">
      <c r="A333" s="9" t="s">
        <v>286</v>
      </c>
      <c r="B333" s="9"/>
      <c r="C333" s="9" t="s">
        <v>24</v>
      </c>
      <c r="D333" s="9"/>
      <c r="E333" s="23">
        <v>46805</v>
      </c>
      <c r="G333" s="42">
        <v>1843682</v>
      </c>
      <c r="I333" s="42">
        <v>0</v>
      </c>
      <c r="K333" s="2">
        <f t="shared" si="59"/>
        <v>6231253</v>
      </c>
      <c r="M333" s="42">
        <v>8074935</v>
      </c>
      <c r="O333" s="42">
        <v>0</v>
      </c>
      <c r="Q333" s="2">
        <f t="shared" si="60"/>
        <v>1442721</v>
      </c>
      <c r="S333" s="42">
        <v>0</v>
      </c>
      <c r="U333" s="42">
        <v>1442721</v>
      </c>
      <c r="W333" s="42">
        <v>5205533</v>
      </c>
      <c r="Y333" s="42">
        <v>1578</v>
      </c>
      <c r="AA333" s="42">
        <f>29095+8048+16860+74280</f>
        <v>128283</v>
      </c>
      <c r="AC333" s="42">
        <v>0</v>
      </c>
      <c r="AE333" s="42">
        <f>5299+207598</f>
        <v>212897</v>
      </c>
      <c r="AG333" s="42">
        <v>1083923</v>
      </c>
      <c r="AI333" s="10">
        <f t="shared" si="58"/>
        <v>1426681</v>
      </c>
      <c r="AK333" s="42">
        <f t="shared" si="54"/>
        <v>0</v>
      </c>
    </row>
    <row r="334" spans="1:37">
      <c r="A334" s="9" t="s">
        <v>324</v>
      </c>
      <c r="B334" s="9"/>
      <c r="C334" s="9" t="s">
        <v>32</v>
      </c>
      <c r="D334" s="9"/>
      <c r="E334" s="23">
        <v>44313</v>
      </c>
      <c r="G334" s="42">
        <v>7806330</v>
      </c>
      <c r="I334" s="42">
        <v>140000</v>
      </c>
      <c r="K334" s="2">
        <f t="shared" si="59"/>
        <v>16935383</v>
      </c>
      <c r="M334" s="42">
        <v>24881713</v>
      </c>
      <c r="O334" s="42">
        <v>0</v>
      </c>
      <c r="Q334" s="2">
        <f t="shared" si="60"/>
        <v>2367274</v>
      </c>
      <c r="S334" s="42">
        <v>0</v>
      </c>
      <c r="U334" s="42">
        <v>2367274</v>
      </c>
      <c r="W334" s="42">
        <v>10332747</v>
      </c>
      <c r="Y334" s="42">
        <v>4258</v>
      </c>
      <c r="AA334" s="42">
        <v>1927249</v>
      </c>
      <c r="AC334" s="42">
        <v>269839</v>
      </c>
      <c r="AE334" s="42">
        <v>0</v>
      </c>
      <c r="AG334" s="42">
        <v>9980346</v>
      </c>
      <c r="AI334" s="10">
        <f t="shared" si="58"/>
        <v>12181692</v>
      </c>
      <c r="AK334" s="42">
        <f t="shared" si="54"/>
        <v>0</v>
      </c>
    </row>
    <row r="335" spans="1:37" hidden="1">
      <c r="A335" s="9" t="s">
        <v>607</v>
      </c>
      <c r="B335" s="9"/>
      <c r="C335" s="9" t="s">
        <v>70</v>
      </c>
      <c r="D335" s="9"/>
      <c r="E335" s="23">
        <v>44321</v>
      </c>
      <c r="G335" s="42">
        <v>0</v>
      </c>
      <c r="I335" s="42">
        <v>0</v>
      </c>
      <c r="K335" s="2">
        <f t="shared" si="59"/>
        <v>0</v>
      </c>
      <c r="M335" s="42">
        <v>0</v>
      </c>
      <c r="O335" s="42">
        <v>0</v>
      </c>
      <c r="Q335" s="2">
        <f t="shared" si="60"/>
        <v>0</v>
      </c>
      <c r="S335" s="42">
        <v>0</v>
      </c>
      <c r="U335" s="42">
        <v>0</v>
      </c>
      <c r="W335" s="42">
        <v>0</v>
      </c>
      <c r="Y335" s="42">
        <v>0</v>
      </c>
      <c r="AA335" s="42">
        <v>0</v>
      </c>
      <c r="AC335" s="42">
        <v>0</v>
      </c>
      <c r="AE335" s="42">
        <v>0</v>
      </c>
      <c r="AG335" s="42">
        <v>0</v>
      </c>
      <c r="AI335" s="10">
        <f t="shared" si="58"/>
        <v>0</v>
      </c>
      <c r="AK335" s="42">
        <f t="shared" ref="AK335:AK398" si="64">+G335+I335+K335+O335-U335-W335-AC335-AA335-Y335-AE335-AG335</f>
        <v>0</v>
      </c>
    </row>
    <row r="336" spans="1:37">
      <c r="A336" s="9" t="s">
        <v>407</v>
      </c>
      <c r="B336" s="9"/>
      <c r="C336" s="9" t="s">
        <v>46</v>
      </c>
      <c r="D336" s="9"/>
      <c r="E336" s="23">
        <v>44339</v>
      </c>
      <c r="G336" s="42">
        <v>15934570</v>
      </c>
      <c r="I336" s="42">
        <v>0</v>
      </c>
      <c r="K336" s="2">
        <f t="shared" si="59"/>
        <v>14330152</v>
      </c>
      <c r="M336" s="42">
        <v>30264722</v>
      </c>
      <c r="O336" s="42">
        <v>0</v>
      </c>
      <c r="Q336" s="2">
        <f t="shared" si="60"/>
        <v>6460113</v>
      </c>
      <c r="S336" s="42">
        <v>0</v>
      </c>
      <c r="U336" s="42">
        <v>6460113</v>
      </c>
      <c r="W336" s="42">
        <v>9879373</v>
      </c>
      <c r="Y336" s="42">
        <v>129836</v>
      </c>
      <c r="AA336" s="42">
        <v>2124182</v>
      </c>
      <c r="AC336" s="42">
        <v>0</v>
      </c>
      <c r="AE336" s="42">
        <v>436252</v>
      </c>
      <c r="AG336" s="42">
        <v>11234966</v>
      </c>
      <c r="AI336" s="10">
        <f t="shared" si="58"/>
        <v>13925236</v>
      </c>
      <c r="AK336" s="42">
        <f t="shared" si="64"/>
        <v>0</v>
      </c>
    </row>
    <row r="337" spans="1:37" hidden="1">
      <c r="A337" s="9" t="s">
        <v>680</v>
      </c>
      <c r="B337" s="9"/>
      <c r="C337" s="9" t="s">
        <v>419</v>
      </c>
      <c r="D337" s="9"/>
      <c r="E337" s="23">
        <v>48553</v>
      </c>
      <c r="G337" s="42">
        <v>0</v>
      </c>
      <c r="I337" s="42">
        <v>0</v>
      </c>
      <c r="K337" s="2">
        <f t="shared" si="59"/>
        <v>0</v>
      </c>
      <c r="M337" s="42">
        <v>0</v>
      </c>
      <c r="O337" s="42">
        <v>0</v>
      </c>
      <c r="Q337" s="2">
        <f t="shared" si="60"/>
        <v>0</v>
      </c>
      <c r="S337" s="42">
        <v>0</v>
      </c>
      <c r="U337" s="42">
        <v>0</v>
      </c>
      <c r="W337" s="42">
        <v>0</v>
      </c>
      <c r="Y337" s="42">
        <v>0</v>
      </c>
      <c r="AA337" s="42">
        <v>0</v>
      </c>
      <c r="AC337" s="42">
        <v>0</v>
      </c>
      <c r="AE337" s="42">
        <v>0</v>
      </c>
      <c r="AG337" s="42">
        <v>0</v>
      </c>
      <c r="AI337" s="10">
        <f t="shared" si="58"/>
        <v>0</v>
      </c>
      <c r="AK337" s="42">
        <f t="shared" si="64"/>
        <v>0</v>
      </c>
    </row>
    <row r="338" spans="1:37">
      <c r="A338" s="9" t="s">
        <v>496</v>
      </c>
      <c r="B338" s="9"/>
      <c r="C338" s="9" t="s">
        <v>62</v>
      </c>
      <c r="D338" s="9"/>
      <c r="E338" s="23">
        <v>49882</v>
      </c>
      <c r="G338" s="42">
        <v>10031622</v>
      </c>
      <c r="I338" s="42">
        <v>0</v>
      </c>
      <c r="K338" s="2">
        <f t="shared" si="59"/>
        <v>9306371</v>
      </c>
      <c r="M338" s="42">
        <v>19337993</v>
      </c>
      <c r="O338" s="42">
        <v>0</v>
      </c>
      <c r="Q338" s="2">
        <f t="shared" si="60"/>
        <v>2657408</v>
      </c>
      <c r="S338" s="42">
        <v>0</v>
      </c>
      <c r="U338" s="42">
        <v>2657408</v>
      </c>
      <c r="W338" s="42">
        <v>8610035</v>
      </c>
      <c r="Y338" s="42">
        <v>148136</v>
      </c>
      <c r="AA338" s="42">
        <v>2054780</v>
      </c>
      <c r="AC338" s="42">
        <v>403141</v>
      </c>
      <c r="AE338" s="42">
        <v>356915</v>
      </c>
      <c r="AG338" s="42">
        <v>5107578</v>
      </c>
      <c r="AI338" s="10">
        <f t="shared" si="58"/>
        <v>8070550</v>
      </c>
      <c r="AK338" s="42">
        <f t="shared" si="64"/>
        <v>0</v>
      </c>
    </row>
    <row r="339" spans="1:37">
      <c r="A339" s="9" t="s">
        <v>215</v>
      </c>
      <c r="B339" s="9"/>
      <c r="C339" s="9" t="s">
        <v>15</v>
      </c>
      <c r="D339" s="9"/>
      <c r="E339" s="23">
        <v>44347</v>
      </c>
      <c r="G339" s="42">
        <v>2371299</v>
      </c>
      <c r="I339" s="42">
        <v>11000</v>
      </c>
      <c r="K339" s="2">
        <f t="shared" si="59"/>
        <v>4535421</v>
      </c>
      <c r="M339" s="42">
        <v>6917720</v>
      </c>
      <c r="O339" s="42">
        <v>0</v>
      </c>
      <c r="Q339" s="2">
        <f t="shared" si="60"/>
        <v>2165727</v>
      </c>
      <c r="S339" s="42">
        <v>0</v>
      </c>
      <c r="U339" s="42">
        <v>2165727</v>
      </c>
      <c r="W339" s="42">
        <v>3513458</v>
      </c>
      <c r="Y339" s="42">
        <v>52677</v>
      </c>
      <c r="AA339" s="42">
        <f>845849+222829+198907+119015+9121+41224+11000</f>
        <v>1447945</v>
      </c>
      <c r="AC339" s="42">
        <v>0</v>
      </c>
      <c r="AE339" s="42">
        <v>0</v>
      </c>
      <c r="AG339" s="42">
        <v>-262087</v>
      </c>
      <c r="AI339" s="10">
        <f t="shared" si="58"/>
        <v>1238535</v>
      </c>
      <c r="AK339" s="42">
        <f t="shared" si="64"/>
        <v>0</v>
      </c>
    </row>
    <row r="340" spans="1:37">
      <c r="A340" s="9" t="s">
        <v>761</v>
      </c>
      <c r="B340" s="9"/>
      <c r="C340" s="9" t="s">
        <v>66</v>
      </c>
      <c r="D340" s="9"/>
      <c r="E340" s="23">
        <v>45476</v>
      </c>
      <c r="G340" s="42">
        <f>11012548+250538</f>
        <v>11263086</v>
      </c>
      <c r="I340" s="42">
        <v>0</v>
      </c>
      <c r="K340" s="2">
        <f t="shared" si="59"/>
        <v>30187409</v>
      </c>
      <c r="M340" s="42">
        <v>41450495</v>
      </c>
      <c r="O340" s="42">
        <v>0</v>
      </c>
      <c r="Q340" s="2">
        <f t="shared" si="60"/>
        <v>8591425</v>
      </c>
      <c r="S340" s="42">
        <v>0</v>
      </c>
      <c r="U340" s="42">
        <v>8591425</v>
      </c>
      <c r="W340" s="42">
        <v>25082322</v>
      </c>
      <c r="Y340" s="42">
        <f>12810+71169</f>
        <v>83979</v>
      </c>
      <c r="AA340" s="42">
        <f>632069+7135875+230682+151955+33243+8945+4600+45361</f>
        <v>8242730</v>
      </c>
      <c r="AC340" s="42">
        <v>0</v>
      </c>
      <c r="AE340" s="42">
        <v>0</v>
      </c>
      <c r="AG340" s="42">
        <v>-549961</v>
      </c>
      <c r="AI340" s="10">
        <f t="shared" si="58"/>
        <v>7776748</v>
      </c>
      <c r="AK340" s="42">
        <f t="shared" si="64"/>
        <v>0</v>
      </c>
    </row>
    <row r="341" spans="1:37">
      <c r="A341" s="9" t="s">
        <v>542</v>
      </c>
      <c r="B341" s="9"/>
      <c r="C341" s="9" t="s">
        <v>69</v>
      </c>
      <c r="D341" s="9"/>
      <c r="E341" s="23">
        <v>50450</v>
      </c>
      <c r="G341" s="42">
        <v>68632484</v>
      </c>
      <c r="I341" s="42">
        <v>85593</v>
      </c>
      <c r="K341" s="2">
        <f t="shared" si="59"/>
        <v>74297815</v>
      </c>
      <c r="M341" s="42">
        <v>143015892</v>
      </c>
      <c r="O341" s="42">
        <v>0</v>
      </c>
      <c r="Q341" s="2">
        <f t="shared" si="60"/>
        <v>91067270</v>
      </c>
      <c r="S341" s="42">
        <v>0</v>
      </c>
      <c r="U341" s="42">
        <v>91067270</v>
      </c>
      <c r="W341" s="42">
        <v>0</v>
      </c>
      <c r="Y341" s="42">
        <v>60368</v>
      </c>
      <c r="AA341" s="42">
        <v>27134389</v>
      </c>
      <c r="AC341" s="42">
        <v>9977</v>
      </c>
      <c r="AE341" s="42">
        <v>6458415</v>
      </c>
      <c r="AG341" s="42">
        <v>18285473</v>
      </c>
      <c r="AI341" s="10">
        <f t="shared" si="58"/>
        <v>51948622</v>
      </c>
      <c r="AK341" s="42">
        <f t="shared" si="64"/>
        <v>0</v>
      </c>
    </row>
    <row r="342" spans="1:37">
      <c r="A342" s="9" t="s">
        <v>497</v>
      </c>
      <c r="B342" s="9"/>
      <c r="C342" s="9" t="s">
        <v>62</v>
      </c>
      <c r="D342" s="9"/>
      <c r="E342" s="23">
        <v>44354</v>
      </c>
      <c r="G342" s="42">
        <f>11329045+92708+2524044</f>
        <v>13945797</v>
      </c>
      <c r="I342" s="42">
        <v>0</v>
      </c>
      <c r="K342" s="2">
        <f t="shared" si="59"/>
        <v>20067242</v>
      </c>
      <c r="M342" s="42">
        <v>34013039</v>
      </c>
      <c r="O342" s="42">
        <v>0</v>
      </c>
      <c r="Q342" s="2">
        <f t="shared" si="60"/>
        <v>24008157</v>
      </c>
      <c r="S342" s="42">
        <v>0</v>
      </c>
      <c r="U342" s="42">
        <v>24008157</v>
      </c>
      <c r="W342" s="42">
        <v>0</v>
      </c>
      <c r="Y342" s="42">
        <v>0</v>
      </c>
      <c r="AA342" s="42">
        <v>7612360</v>
      </c>
      <c r="AC342" s="42">
        <v>0</v>
      </c>
      <c r="AE342" s="42">
        <v>939927</v>
      </c>
      <c r="AG342" s="42">
        <v>1452595</v>
      </c>
      <c r="AI342" s="10">
        <f t="shared" si="58"/>
        <v>10004882</v>
      </c>
      <c r="AK342" s="42">
        <f t="shared" si="64"/>
        <v>0</v>
      </c>
    </row>
    <row r="343" spans="1:37">
      <c r="A343" s="9" t="s">
        <v>525</v>
      </c>
      <c r="B343" s="9"/>
      <c r="C343" s="9" t="s">
        <v>64</v>
      </c>
      <c r="D343" s="9"/>
      <c r="E343" s="23">
        <v>50153</v>
      </c>
      <c r="G343" s="42">
        <v>1380880</v>
      </c>
      <c r="I343" s="42">
        <v>347</v>
      </c>
      <c r="K343" s="2">
        <f t="shared" si="59"/>
        <v>5727109</v>
      </c>
      <c r="M343" s="42">
        <v>7108336</v>
      </c>
      <c r="O343" s="42">
        <v>0</v>
      </c>
      <c r="Q343" s="2">
        <f t="shared" si="60"/>
        <v>1285871</v>
      </c>
      <c r="S343" s="42">
        <v>0</v>
      </c>
      <c r="U343" s="42">
        <v>1285871</v>
      </c>
      <c r="W343" s="42">
        <v>5633158</v>
      </c>
      <c r="Y343" s="42">
        <v>29329</v>
      </c>
      <c r="AA343" s="42">
        <v>378318</v>
      </c>
      <c r="AC343" s="42">
        <v>21162</v>
      </c>
      <c r="AE343" s="42">
        <v>0</v>
      </c>
      <c r="AG343" s="42">
        <v>-239502</v>
      </c>
      <c r="AI343" s="10">
        <f t="shared" si="58"/>
        <v>189307</v>
      </c>
      <c r="AK343" s="42">
        <f t="shared" si="64"/>
        <v>0</v>
      </c>
    </row>
    <row r="344" spans="1:37" hidden="1">
      <c r="A344" s="8" t="s">
        <v>865</v>
      </c>
      <c r="B344" s="9"/>
      <c r="C344" s="9" t="s">
        <v>114</v>
      </c>
      <c r="D344" s="9"/>
      <c r="E344" s="23">
        <v>44362</v>
      </c>
      <c r="G344" s="42">
        <v>0</v>
      </c>
      <c r="I344" s="42">
        <v>0</v>
      </c>
      <c r="K344" s="2">
        <f t="shared" si="59"/>
        <v>0</v>
      </c>
      <c r="M344" s="42">
        <v>0</v>
      </c>
      <c r="O344" s="42">
        <v>0</v>
      </c>
      <c r="Q344" s="2">
        <f t="shared" si="60"/>
        <v>0</v>
      </c>
      <c r="S344" s="42">
        <v>0</v>
      </c>
      <c r="U344" s="42">
        <v>0</v>
      </c>
      <c r="W344" s="42">
        <v>0</v>
      </c>
      <c r="Y344" s="42">
        <v>0</v>
      </c>
      <c r="AA344" s="42">
        <v>0</v>
      </c>
      <c r="AC344" s="42">
        <v>0</v>
      </c>
      <c r="AE344" s="42">
        <v>0</v>
      </c>
      <c r="AG344" s="42">
        <v>0</v>
      </c>
      <c r="AI344" s="10">
        <f t="shared" si="58"/>
        <v>0</v>
      </c>
      <c r="AK344" s="42">
        <f t="shared" si="64"/>
        <v>0</v>
      </c>
    </row>
    <row r="345" spans="1:37">
      <c r="A345" s="9" t="s">
        <v>717</v>
      </c>
      <c r="B345" s="9"/>
      <c r="C345" s="9" t="s">
        <v>20</v>
      </c>
      <c r="D345" s="9"/>
      <c r="E345" s="23">
        <v>44370</v>
      </c>
      <c r="G345" s="42">
        <v>36811054</v>
      </c>
      <c r="I345" s="42">
        <v>0</v>
      </c>
      <c r="K345" s="2">
        <f t="shared" si="59"/>
        <v>63321824</v>
      </c>
      <c r="M345" s="42">
        <v>100132878</v>
      </c>
      <c r="O345" s="42">
        <v>0</v>
      </c>
      <c r="Q345" s="2">
        <f t="shared" si="60"/>
        <v>9720231</v>
      </c>
      <c r="S345" s="42">
        <v>0</v>
      </c>
      <c r="U345" s="42">
        <v>9720231</v>
      </c>
      <c r="W345" s="42">
        <v>54434407</v>
      </c>
      <c r="Y345" s="42">
        <v>184650</v>
      </c>
      <c r="AA345" s="42">
        <v>8820664</v>
      </c>
      <c r="AC345" s="42">
        <v>638116</v>
      </c>
      <c r="AE345" s="42">
        <v>9260925</v>
      </c>
      <c r="AG345" s="42">
        <v>17073885</v>
      </c>
      <c r="AI345" s="10">
        <f t="shared" ref="AI345:AI411" si="65">Y345+AA345+AC345+AE345+AG345</f>
        <v>35978240</v>
      </c>
      <c r="AK345" s="42">
        <f t="shared" si="64"/>
        <v>0</v>
      </c>
    </row>
    <row r="346" spans="1:37">
      <c r="A346" s="9" t="s">
        <v>442</v>
      </c>
      <c r="B346" s="9"/>
      <c r="C346" s="9" t="s">
        <v>51</v>
      </c>
      <c r="D346" s="9"/>
      <c r="E346" s="23">
        <v>48850</v>
      </c>
      <c r="G346" s="42">
        <f>2709612+2485</f>
        <v>2712097</v>
      </c>
      <c r="I346" s="42">
        <v>0</v>
      </c>
      <c r="K346" s="2">
        <f t="shared" si="59"/>
        <v>5151151</v>
      </c>
      <c r="M346" s="42">
        <v>7863248</v>
      </c>
      <c r="O346" s="42">
        <v>0</v>
      </c>
      <c r="Q346" s="2">
        <f t="shared" si="60"/>
        <v>3326685</v>
      </c>
      <c r="S346" s="42">
        <v>0</v>
      </c>
      <c r="U346" s="42">
        <v>3326685</v>
      </c>
      <c r="W346" s="42">
        <v>3608789</v>
      </c>
      <c r="Y346" s="42">
        <v>37731</v>
      </c>
      <c r="AA346" s="42">
        <v>1307880</v>
      </c>
      <c r="AC346" s="42">
        <v>20910</v>
      </c>
      <c r="AE346" s="42">
        <v>3463</v>
      </c>
      <c r="AG346" s="42">
        <v>-442210</v>
      </c>
      <c r="AI346" s="10">
        <f t="shared" si="65"/>
        <v>927774</v>
      </c>
      <c r="AK346" s="42">
        <f t="shared" si="64"/>
        <v>0</v>
      </c>
    </row>
    <row r="347" spans="1:37" hidden="1">
      <c r="A347" s="9" t="s">
        <v>800</v>
      </c>
      <c r="B347" s="9"/>
      <c r="C347" s="9" t="s">
        <v>33</v>
      </c>
      <c r="D347" s="9"/>
      <c r="E347" s="23">
        <v>47456</v>
      </c>
      <c r="G347" s="42">
        <v>0</v>
      </c>
      <c r="I347" s="42">
        <v>0</v>
      </c>
      <c r="K347" s="2">
        <f t="shared" si="59"/>
        <v>0</v>
      </c>
      <c r="M347" s="42">
        <v>0</v>
      </c>
      <c r="O347" s="42">
        <v>0</v>
      </c>
      <c r="Q347" s="2">
        <f t="shared" si="60"/>
        <v>0</v>
      </c>
      <c r="S347" s="42">
        <v>0</v>
      </c>
      <c r="U347" s="42">
        <v>0</v>
      </c>
      <c r="W347" s="42">
        <v>0</v>
      </c>
      <c r="Y347" s="42">
        <v>0</v>
      </c>
      <c r="AA347" s="42">
        <v>0</v>
      </c>
      <c r="AC347" s="42">
        <v>0</v>
      </c>
      <c r="AE347" s="42">
        <v>0</v>
      </c>
      <c r="AG347" s="42">
        <v>0</v>
      </c>
      <c r="AI347" s="10">
        <f t="shared" si="65"/>
        <v>0</v>
      </c>
      <c r="AK347" s="42">
        <f t="shared" si="64"/>
        <v>0</v>
      </c>
    </row>
    <row r="348" spans="1:37">
      <c r="A348" s="9" t="s">
        <v>633</v>
      </c>
      <c r="B348" s="9"/>
      <c r="C348" s="9" t="s">
        <v>64</v>
      </c>
      <c r="D348" s="9"/>
      <c r="E348" s="23">
        <v>50229</v>
      </c>
      <c r="G348" s="42">
        <v>2325181</v>
      </c>
      <c r="I348" s="42">
        <v>21725</v>
      </c>
      <c r="K348" s="2">
        <f t="shared" si="59"/>
        <v>2160767</v>
      </c>
      <c r="M348" s="42">
        <v>4507673</v>
      </c>
      <c r="O348" s="42">
        <v>0</v>
      </c>
      <c r="Q348" s="2">
        <f t="shared" si="60"/>
        <v>682925</v>
      </c>
      <c r="S348" s="42">
        <v>0</v>
      </c>
      <c r="U348" s="42">
        <v>682925</v>
      </c>
      <c r="W348" s="42">
        <v>2092744</v>
      </c>
      <c r="Y348" s="42">
        <v>22068</v>
      </c>
      <c r="AA348" s="42">
        <v>704698</v>
      </c>
      <c r="AC348" s="42">
        <v>0</v>
      </c>
      <c r="AE348" s="42">
        <v>16532</v>
      </c>
      <c r="AG348" s="42">
        <v>988706</v>
      </c>
      <c r="AI348" s="10">
        <f t="shared" si="65"/>
        <v>1732004</v>
      </c>
      <c r="AK348" s="42">
        <f t="shared" si="64"/>
        <v>0</v>
      </c>
    </row>
    <row r="349" spans="1:37">
      <c r="A349" s="9" t="s">
        <v>762</v>
      </c>
      <c r="B349" s="9"/>
      <c r="C349" s="9" t="s">
        <v>227</v>
      </c>
      <c r="D349" s="9"/>
      <c r="E349" s="23">
        <v>45484</v>
      </c>
      <c r="G349" s="42">
        <f>1083918+150942</f>
        <v>1234860</v>
      </c>
      <c r="I349" s="42">
        <v>0</v>
      </c>
      <c r="K349" s="2">
        <f t="shared" si="59"/>
        <v>3510098</v>
      </c>
      <c r="M349" s="42">
        <v>4744958</v>
      </c>
      <c r="O349" s="42">
        <v>0</v>
      </c>
      <c r="Q349" s="2">
        <f t="shared" si="60"/>
        <v>1252957</v>
      </c>
      <c r="S349" s="42">
        <v>0</v>
      </c>
      <c r="U349" s="42">
        <v>1252957</v>
      </c>
      <c r="W349" s="42">
        <v>2374081</v>
      </c>
      <c r="Y349" s="42">
        <f>4141+3622+144447</f>
        <v>152210</v>
      </c>
      <c r="AA349" s="42">
        <f>262094+678202+32228+2603</f>
        <v>975127</v>
      </c>
      <c r="AC349" s="42">
        <v>20357</v>
      </c>
      <c r="AE349" s="42">
        <f>5516+69402+43537+30524+5315</f>
        <v>154294</v>
      </c>
      <c r="AG349" s="42">
        <v>-184068</v>
      </c>
      <c r="AI349" s="10">
        <f t="shared" si="65"/>
        <v>1117920</v>
      </c>
      <c r="AK349" s="42">
        <f t="shared" si="64"/>
        <v>0</v>
      </c>
    </row>
    <row r="350" spans="1:37">
      <c r="A350" s="9" t="s">
        <v>415</v>
      </c>
      <c r="B350" s="9"/>
      <c r="C350" s="9" t="s">
        <v>47</v>
      </c>
      <c r="D350" s="9"/>
      <c r="E350" s="23">
        <v>44388</v>
      </c>
      <c r="G350" s="42">
        <f>33561770+250723</f>
        <v>33812493</v>
      </c>
      <c r="I350" s="42">
        <v>0</v>
      </c>
      <c r="K350" s="2">
        <f t="shared" si="59"/>
        <v>54359181</v>
      </c>
      <c r="M350" s="42">
        <v>88171674</v>
      </c>
      <c r="O350" s="42">
        <v>0</v>
      </c>
      <c r="Q350" s="2">
        <f t="shared" si="60"/>
        <v>8041933</v>
      </c>
      <c r="S350" s="42">
        <v>0</v>
      </c>
      <c r="U350" s="42">
        <v>8041933</v>
      </c>
      <c r="W350" s="42">
        <v>48936003</v>
      </c>
      <c r="Y350" s="42">
        <v>62478</v>
      </c>
      <c r="AA350" s="42">
        <v>11641564</v>
      </c>
      <c r="AC350" s="42">
        <v>0</v>
      </c>
      <c r="AE350" s="42">
        <v>1045996</v>
      </c>
      <c r="AG350" s="42">
        <v>18443700</v>
      </c>
      <c r="AI350" s="10">
        <f t="shared" si="65"/>
        <v>31193738</v>
      </c>
      <c r="AK350" s="42">
        <f t="shared" si="64"/>
        <v>0</v>
      </c>
    </row>
    <row r="351" spans="1:37">
      <c r="A351" s="9" t="s">
        <v>418</v>
      </c>
      <c r="B351" s="9"/>
      <c r="C351" s="9" t="s">
        <v>417</v>
      </c>
      <c r="D351" s="9"/>
      <c r="E351" s="23">
        <v>48520</v>
      </c>
      <c r="G351" s="42">
        <v>1341473</v>
      </c>
      <c r="I351" s="42">
        <v>68154</v>
      </c>
      <c r="K351" s="2">
        <f t="shared" si="59"/>
        <v>5497853</v>
      </c>
      <c r="M351" s="42">
        <v>6907480</v>
      </c>
      <c r="O351" s="42">
        <v>0</v>
      </c>
      <c r="Q351" s="2">
        <f t="shared" si="60"/>
        <v>2134604</v>
      </c>
      <c r="S351" s="42">
        <v>0</v>
      </c>
      <c r="U351" s="42">
        <v>2134604</v>
      </c>
      <c r="W351" s="42">
        <v>3285110</v>
      </c>
      <c r="Y351" s="42">
        <v>106103</v>
      </c>
      <c r="AA351" s="42">
        <v>1146522</v>
      </c>
      <c r="AC351" s="42">
        <v>0</v>
      </c>
      <c r="AE351" s="42">
        <v>206371</v>
      </c>
      <c r="AG351" s="42">
        <v>28770</v>
      </c>
      <c r="AI351" s="10">
        <f t="shared" si="65"/>
        <v>1487766</v>
      </c>
      <c r="AK351" s="42">
        <f t="shared" si="64"/>
        <v>0</v>
      </c>
    </row>
    <row r="352" spans="1:37">
      <c r="A352" s="9" t="s">
        <v>763</v>
      </c>
      <c r="B352" s="9"/>
      <c r="C352" s="9" t="s">
        <v>41</v>
      </c>
      <c r="D352" s="9"/>
      <c r="E352" s="23">
        <v>45492</v>
      </c>
      <c r="G352" s="42">
        <v>58614049</v>
      </c>
      <c r="I352" s="42">
        <v>0</v>
      </c>
      <c r="K352" s="2">
        <f t="shared" si="59"/>
        <v>65015612</v>
      </c>
      <c r="M352" s="42">
        <v>123629661</v>
      </c>
      <c r="O352" s="42">
        <v>0</v>
      </c>
      <c r="Q352" s="2">
        <f t="shared" si="60"/>
        <v>14332544</v>
      </c>
      <c r="S352" s="42">
        <v>0</v>
      </c>
      <c r="U352" s="42">
        <v>14332544</v>
      </c>
      <c r="W352" s="42">
        <v>58663943</v>
      </c>
      <c r="Y352" s="42">
        <v>102281</v>
      </c>
      <c r="AA352" s="42">
        <v>1592997</v>
      </c>
      <c r="AC352" s="42">
        <v>227255</v>
      </c>
      <c r="AE352" s="42">
        <v>12914600</v>
      </c>
      <c r="AG352" s="42">
        <v>35796041</v>
      </c>
      <c r="AI352" s="10">
        <f t="shared" si="65"/>
        <v>50633174</v>
      </c>
      <c r="AK352" s="42">
        <f t="shared" si="64"/>
        <v>0</v>
      </c>
    </row>
    <row r="353" spans="1:37">
      <c r="A353" s="9" t="s">
        <v>421</v>
      </c>
      <c r="B353" s="9"/>
      <c r="C353" s="9" t="s">
        <v>48</v>
      </c>
      <c r="D353" s="9"/>
      <c r="E353" s="23">
        <v>48629</v>
      </c>
      <c r="G353" s="42">
        <f>4717880+70461</f>
        <v>4788341</v>
      </c>
      <c r="I353" s="42">
        <v>0</v>
      </c>
      <c r="K353" s="2">
        <f t="shared" si="59"/>
        <v>6820832</v>
      </c>
      <c r="M353" s="42">
        <v>11609173</v>
      </c>
      <c r="O353" s="42">
        <v>0</v>
      </c>
      <c r="Q353" s="2">
        <f t="shared" si="60"/>
        <v>1779931</v>
      </c>
      <c r="S353" s="42">
        <v>0</v>
      </c>
      <c r="U353" s="42">
        <v>1779931</v>
      </c>
      <c r="W353" s="42">
        <v>4812881</v>
      </c>
      <c r="Y353" s="42">
        <f>41793+5253</f>
        <v>47046</v>
      </c>
      <c r="AA353" s="42">
        <f>964214+1966860+284730+90778+1018+76890+27373</f>
        <v>3411863</v>
      </c>
      <c r="AC353" s="42">
        <v>200001</v>
      </c>
      <c r="AE353" s="42">
        <f>41150+182698+5000+273864+200</f>
        <v>502912</v>
      </c>
      <c r="AG353" s="42">
        <v>854539</v>
      </c>
      <c r="AI353" s="10">
        <f t="shared" si="65"/>
        <v>5016361</v>
      </c>
      <c r="AK353" s="42">
        <f t="shared" si="64"/>
        <v>0</v>
      </c>
    </row>
    <row r="354" spans="1:37">
      <c r="A354" s="9" t="s">
        <v>295</v>
      </c>
      <c r="B354" s="9"/>
      <c r="C354" s="9" t="s">
        <v>26</v>
      </c>
      <c r="D354" s="9"/>
      <c r="E354" s="23">
        <v>46920</v>
      </c>
      <c r="G354" s="42">
        <f>14576819+159212+3370926</f>
        <v>18106957</v>
      </c>
      <c r="I354" s="42">
        <v>0</v>
      </c>
      <c r="K354" s="2">
        <f t="shared" si="59"/>
        <v>15354369</v>
      </c>
      <c r="M354" s="42">
        <v>33461326</v>
      </c>
      <c r="O354" s="42">
        <v>0</v>
      </c>
      <c r="Q354" s="2">
        <f t="shared" si="60"/>
        <v>12522041</v>
      </c>
      <c r="S354" s="42">
        <v>0</v>
      </c>
      <c r="U354" s="42">
        <v>12522041</v>
      </c>
      <c r="W354" s="42">
        <v>0</v>
      </c>
      <c r="Y354" s="42">
        <v>13279</v>
      </c>
      <c r="AA354" s="42">
        <v>5962581</v>
      </c>
      <c r="AC354" s="42">
        <v>544209</v>
      </c>
      <c r="AE354" s="42">
        <v>1480235</v>
      </c>
      <c r="AG354" s="42">
        <v>12938981</v>
      </c>
      <c r="AI354" s="10">
        <f t="shared" si="65"/>
        <v>20939285</v>
      </c>
      <c r="AK354" s="42">
        <f t="shared" si="64"/>
        <v>0</v>
      </c>
    </row>
    <row r="355" spans="1:37">
      <c r="A355" s="9" t="s">
        <v>429</v>
      </c>
      <c r="B355" s="9"/>
      <c r="C355" s="9" t="s">
        <v>50</v>
      </c>
      <c r="D355" s="9"/>
      <c r="E355" s="23">
        <v>44396</v>
      </c>
      <c r="G355" s="42">
        <v>21001298</v>
      </c>
      <c r="I355" s="42">
        <v>0</v>
      </c>
      <c r="K355" s="2">
        <f t="shared" si="59"/>
        <v>38282167</v>
      </c>
      <c r="M355" s="42">
        <v>59283465</v>
      </c>
      <c r="O355" s="42">
        <v>0</v>
      </c>
      <c r="Q355" s="2">
        <f t="shared" si="60"/>
        <v>7808543</v>
      </c>
      <c r="S355" s="42">
        <v>0</v>
      </c>
      <c r="U355" s="42">
        <v>7808543</v>
      </c>
      <c r="W355" s="42">
        <v>35864599</v>
      </c>
      <c r="Y355" s="42">
        <v>23010</v>
      </c>
      <c r="AA355" s="42">
        <v>11042143</v>
      </c>
      <c r="AC355" s="42">
        <v>9400</v>
      </c>
      <c r="AE355" s="42">
        <v>1197414</v>
      </c>
      <c r="AG355" s="42">
        <v>3338356</v>
      </c>
      <c r="AI355" s="10">
        <f t="shared" si="65"/>
        <v>15610323</v>
      </c>
      <c r="AK355" s="42">
        <f t="shared" si="64"/>
        <v>0</v>
      </c>
    </row>
    <row r="356" spans="1:37" hidden="1">
      <c r="A356" s="9" t="s">
        <v>806</v>
      </c>
      <c r="B356" s="9"/>
      <c r="C356" s="9" t="s">
        <v>53</v>
      </c>
      <c r="D356" s="9"/>
      <c r="E356" s="23">
        <v>48959</v>
      </c>
      <c r="G356" s="42">
        <v>0</v>
      </c>
      <c r="I356" s="42">
        <v>0</v>
      </c>
      <c r="K356" s="2">
        <f t="shared" si="59"/>
        <v>0</v>
      </c>
      <c r="M356" s="42">
        <v>0</v>
      </c>
      <c r="O356" s="42">
        <v>0</v>
      </c>
      <c r="Q356" s="2">
        <f t="shared" si="60"/>
        <v>0</v>
      </c>
      <c r="S356" s="42">
        <v>0</v>
      </c>
      <c r="U356" s="42">
        <v>0</v>
      </c>
      <c r="W356" s="42">
        <v>0</v>
      </c>
      <c r="Y356" s="42">
        <v>0</v>
      </c>
      <c r="AA356" s="42">
        <v>0</v>
      </c>
      <c r="AC356" s="42">
        <v>0</v>
      </c>
      <c r="AE356" s="42">
        <v>0</v>
      </c>
      <c r="AG356" s="42">
        <v>0</v>
      </c>
      <c r="AI356" s="10">
        <f t="shared" si="65"/>
        <v>0</v>
      </c>
      <c r="AK356" s="42">
        <f t="shared" si="64"/>
        <v>0</v>
      </c>
    </row>
    <row r="357" spans="1:37">
      <c r="A357" s="9" t="s">
        <v>224</v>
      </c>
      <c r="B357" s="9"/>
      <c r="C357" s="9" t="s">
        <v>220</v>
      </c>
      <c r="D357" s="9"/>
      <c r="E357" s="23">
        <v>44404</v>
      </c>
      <c r="G357" s="42">
        <v>4245319</v>
      </c>
      <c r="I357" s="42">
        <v>24610</v>
      </c>
      <c r="K357" s="2">
        <f t="shared" si="59"/>
        <v>34713248</v>
      </c>
      <c r="M357" s="42">
        <v>38983177</v>
      </c>
      <c r="O357" s="42">
        <v>0</v>
      </c>
      <c r="Q357" s="2">
        <f t="shared" si="60"/>
        <v>8143815</v>
      </c>
      <c r="S357" s="42">
        <v>0</v>
      </c>
      <c r="U357" s="42">
        <v>8143815</v>
      </c>
      <c r="W357" s="42">
        <v>32091584</v>
      </c>
      <c r="Y357" s="42">
        <v>48607</v>
      </c>
      <c r="AA357" s="42">
        <v>2237028</v>
      </c>
      <c r="AC357" s="42">
        <v>8463</v>
      </c>
      <c r="AE357" s="42">
        <v>386691</v>
      </c>
      <c r="AG357" s="42">
        <v>-3933011</v>
      </c>
      <c r="AI357" s="10">
        <f t="shared" si="65"/>
        <v>-1252222</v>
      </c>
      <c r="AK357" s="42">
        <f t="shared" si="64"/>
        <v>0</v>
      </c>
    </row>
    <row r="358" spans="1:37">
      <c r="A358" s="9" t="s">
        <v>384</v>
      </c>
      <c r="B358" s="9"/>
      <c r="C358" s="9" t="s">
        <v>44</v>
      </c>
      <c r="D358" s="9"/>
      <c r="E358" s="23">
        <v>48173</v>
      </c>
      <c r="G358" s="42">
        <f>5098318+5075</f>
        <v>5103393</v>
      </c>
      <c r="I358" s="42">
        <v>1966651</v>
      </c>
      <c r="K358" s="2">
        <f t="shared" si="59"/>
        <v>16098843</v>
      </c>
      <c r="M358" s="42">
        <v>23168887</v>
      </c>
      <c r="O358" s="42">
        <v>0</v>
      </c>
      <c r="Q358" s="2">
        <f t="shared" si="60"/>
        <v>18288692</v>
      </c>
      <c r="S358" s="42">
        <v>0</v>
      </c>
      <c r="U358" s="42">
        <v>18288692</v>
      </c>
      <c r="W358" s="42">
        <v>0</v>
      </c>
      <c r="Y358" s="42">
        <v>214980</v>
      </c>
      <c r="AA358" s="42">
        <v>4541513</v>
      </c>
      <c r="AC358" s="42">
        <v>445596</v>
      </c>
      <c r="AE358" s="42">
        <v>215253</v>
      </c>
      <c r="AG358" s="42">
        <v>-537147</v>
      </c>
      <c r="AI358" s="10">
        <f t="shared" si="65"/>
        <v>4880195</v>
      </c>
      <c r="AK358" s="42">
        <f t="shared" si="64"/>
        <v>0</v>
      </c>
    </row>
    <row r="359" spans="1:37">
      <c r="A359" s="9" t="s">
        <v>764</v>
      </c>
      <c r="B359" s="9"/>
      <c r="C359" s="9" t="s">
        <v>112</v>
      </c>
      <c r="D359" s="9"/>
      <c r="E359" s="23">
        <v>45500</v>
      </c>
      <c r="G359" s="42">
        <v>20822528</v>
      </c>
      <c r="I359" s="42">
        <v>10051</v>
      </c>
      <c r="K359" s="2">
        <f t="shared" si="59"/>
        <v>39929352</v>
      </c>
      <c r="M359" s="42">
        <v>60761931</v>
      </c>
      <c r="O359" s="42">
        <v>0</v>
      </c>
      <c r="Q359" s="2">
        <f t="shared" si="60"/>
        <v>41260997</v>
      </c>
      <c r="S359" s="42">
        <v>0</v>
      </c>
      <c r="U359" s="42">
        <v>41260997</v>
      </c>
      <c r="W359" s="42">
        <v>0</v>
      </c>
      <c r="Y359" s="42">
        <v>154513</v>
      </c>
      <c r="AA359" s="42">
        <v>5241246</v>
      </c>
      <c r="AC359" s="42">
        <v>0</v>
      </c>
      <c r="AE359" s="42">
        <v>5332327</v>
      </c>
      <c r="AG359" s="42">
        <v>8772848</v>
      </c>
      <c r="AI359" s="10">
        <f t="shared" si="65"/>
        <v>19500934</v>
      </c>
      <c r="AK359" s="42">
        <f t="shared" si="64"/>
        <v>0</v>
      </c>
    </row>
    <row r="360" spans="1:37" hidden="1">
      <c r="A360" s="9" t="s">
        <v>608</v>
      </c>
      <c r="B360" s="9"/>
      <c r="C360" s="9" t="s">
        <v>548</v>
      </c>
      <c r="D360" s="9"/>
      <c r="E360" s="23">
        <v>50633</v>
      </c>
      <c r="G360" s="42">
        <v>0</v>
      </c>
      <c r="I360" s="42">
        <v>0</v>
      </c>
      <c r="K360" s="2">
        <f t="shared" si="59"/>
        <v>0</v>
      </c>
      <c r="M360" s="42">
        <v>0</v>
      </c>
      <c r="O360" s="42">
        <v>0</v>
      </c>
      <c r="Q360" s="2">
        <f t="shared" si="60"/>
        <v>0</v>
      </c>
      <c r="S360" s="42">
        <v>0</v>
      </c>
      <c r="U360" s="42">
        <v>0</v>
      </c>
      <c r="W360" s="42">
        <v>0</v>
      </c>
      <c r="Y360" s="42">
        <v>0</v>
      </c>
      <c r="AA360" s="42">
        <v>0</v>
      </c>
      <c r="AC360" s="42">
        <v>0</v>
      </c>
      <c r="AE360" s="42">
        <v>0</v>
      </c>
      <c r="AG360" s="42">
        <v>0</v>
      </c>
      <c r="AI360" s="10">
        <f t="shared" si="65"/>
        <v>0</v>
      </c>
      <c r="AK360" s="42">
        <f t="shared" si="64"/>
        <v>0</v>
      </c>
    </row>
    <row r="361" spans="1:37" hidden="1">
      <c r="A361" s="9" t="s">
        <v>880</v>
      </c>
      <c r="B361" s="9"/>
      <c r="C361" s="9" t="s">
        <v>464</v>
      </c>
      <c r="D361" s="9"/>
      <c r="E361" s="23">
        <v>49361</v>
      </c>
      <c r="G361" s="42">
        <v>0</v>
      </c>
      <c r="I361" s="42">
        <v>0</v>
      </c>
      <c r="K361" s="2">
        <f t="shared" si="59"/>
        <v>0</v>
      </c>
      <c r="M361" s="42">
        <v>0</v>
      </c>
      <c r="O361" s="42">
        <v>0</v>
      </c>
      <c r="Q361" s="2">
        <f t="shared" si="60"/>
        <v>0</v>
      </c>
      <c r="S361" s="42">
        <v>0</v>
      </c>
      <c r="U361" s="42">
        <v>0</v>
      </c>
      <c r="W361" s="42">
        <v>0</v>
      </c>
      <c r="Y361" s="42">
        <v>0</v>
      </c>
      <c r="AA361" s="42">
        <v>0</v>
      </c>
      <c r="AC361" s="42">
        <v>0</v>
      </c>
      <c r="AE361" s="42">
        <v>0</v>
      </c>
      <c r="AG361" s="42">
        <v>0</v>
      </c>
      <c r="AI361" s="10">
        <f t="shared" si="65"/>
        <v>0</v>
      </c>
      <c r="AK361" s="42">
        <f t="shared" si="64"/>
        <v>0</v>
      </c>
    </row>
    <row r="362" spans="1:37" hidden="1">
      <c r="A362" s="9" t="s">
        <v>801</v>
      </c>
      <c r="B362" s="9"/>
      <c r="C362" s="9" t="s">
        <v>48</v>
      </c>
      <c r="D362" s="9"/>
      <c r="E362" s="23">
        <v>45518</v>
      </c>
      <c r="G362" s="42">
        <v>0</v>
      </c>
      <c r="I362" s="42">
        <v>0</v>
      </c>
      <c r="K362" s="2">
        <f t="shared" si="59"/>
        <v>0</v>
      </c>
      <c r="M362" s="42">
        <v>0</v>
      </c>
      <c r="O362" s="42">
        <v>0</v>
      </c>
      <c r="Q362" s="2">
        <f t="shared" si="60"/>
        <v>0</v>
      </c>
      <c r="S362" s="42">
        <v>0</v>
      </c>
      <c r="U362" s="42">
        <v>0</v>
      </c>
      <c r="W362" s="42">
        <v>0</v>
      </c>
      <c r="Y362" s="42">
        <v>0</v>
      </c>
      <c r="AA362" s="42">
        <v>0</v>
      </c>
      <c r="AC362" s="42">
        <v>0</v>
      </c>
      <c r="AE362" s="42">
        <v>0</v>
      </c>
      <c r="AG362" s="42">
        <v>0</v>
      </c>
      <c r="AI362" s="10">
        <f t="shared" si="65"/>
        <v>0</v>
      </c>
      <c r="AK362" s="42">
        <f t="shared" si="64"/>
        <v>0</v>
      </c>
    </row>
    <row r="363" spans="1:37">
      <c r="A363" s="9" t="s">
        <v>498</v>
      </c>
      <c r="B363" s="9"/>
      <c r="C363" s="9" t="s">
        <v>62</v>
      </c>
      <c r="D363" s="9"/>
      <c r="E363" s="23">
        <v>49890</v>
      </c>
      <c r="G363" s="42">
        <v>2881726</v>
      </c>
      <c r="I363" s="42">
        <v>0</v>
      </c>
      <c r="K363" s="2">
        <f t="shared" si="59"/>
        <v>7185200</v>
      </c>
      <c r="M363" s="42">
        <v>10066926</v>
      </c>
      <c r="O363" s="42">
        <v>0</v>
      </c>
      <c r="Q363" s="2">
        <f t="shared" si="60"/>
        <v>8082546</v>
      </c>
      <c r="S363" s="42">
        <v>0</v>
      </c>
      <c r="U363" s="42">
        <v>8082546</v>
      </c>
      <c r="W363" s="42">
        <v>0</v>
      </c>
      <c r="Y363" s="42">
        <v>440689</v>
      </c>
      <c r="AA363" s="42">
        <v>1326005</v>
      </c>
      <c r="AC363" s="42">
        <v>0</v>
      </c>
      <c r="AE363" s="42">
        <v>304877</v>
      </c>
      <c r="AG363" s="42">
        <v>-87191</v>
      </c>
      <c r="AI363" s="10">
        <f t="shared" si="65"/>
        <v>1984380</v>
      </c>
      <c r="AK363" s="42">
        <f t="shared" si="64"/>
        <v>0</v>
      </c>
    </row>
    <row r="364" spans="1:37">
      <c r="A364" s="9" t="s">
        <v>479</v>
      </c>
      <c r="B364" s="9"/>
      <c r="C364" s="9" t="s">
        <v>59</v>
      </c>
      <c r="D364" s="9"/>
      <c r="E364" s="23">
        <v>49627</v>
      </c>
      <c r="G364" s="42">
        <v>2028018</v>
      </c>
      <c r="I364" s="42">
        <v>0</v>
      </c>
      <c r="K364" s="2">
        <f t="shared" si="59"/>
        <v>2827065</v>
      </c>
      <c r="M364" s="42">
        <v>4855083</v>
      </c>
      <c r="O364" s="42">
        <v>0</v>
      </c>
      <c r="Q364" s="2">
        <f t="shared" si="60"/>
        <v>1360961</v>
      </c>
      <c r="S364" s="42">
        <v>0</v>
      </c>
      <c r="U364" s="42">
        <v>1360961</v>
      </c>
      <c r="W364" s="42">
        <v>2285553</v>
      </c>
      <c r="Y364" s="42">
        <v>0</v>
      </c>
      <c r="AA364" s="42">
        <v>1130947</v>
      </c>
      <c r="AC364" s="42">
        <v>0</v>
      </c>
      <c r="AE364" s="42">
        <v>124878</v>
      </c>
      <c r="AG364" s="42">
        <v>-47256</v>
      </c>
      <c r="AI364" s="10">
        <f t="shared" si="65"/>
        <v>1208569</v>
      </c>
      <c r="AK364" s="42">
        <f t="shared" si="64"/>
        <v>0</v>
      </c>
    </row>
    <row r="365" spans="1:37">
      <c r="A365" s="9" t="s">
        <v>212</v>
      </c>
      <c r="B365" s="9"/>
      <c r="C365" s="9" t="s">
        <v>14</v>
      </c>
      <c r="D365" s="9"/>
      <c r="E365" s="23">
        <v>45948</v>
      </c>
      <c r="G365" s="42">
        <v>1697392</v>
      </c>
      <c r="I365" s="42">
        <v>10076</v>
      </c>
      <c r="K365" s="2">
        <f t="shared" si="59"/>
        <v>5162174</v>
      </c>
      <c r="M365" s="42">
        <v>6869642</v>
      </c>
      <c r="O365" s="42">
        <v>0</v>
      </c>
      <c r="Q365" s="2">
        <f t="shared" si="60"/>
        <v>1089356</v>
      </c>
      <c r="S365" s="42">
        <v>0</v>
      </c>
      <c r="U365" s="42">
        <v>1089356</v>
      </c>
      <c r="W365" s="42">
        <v>3611970</v>
      </c>
      <c r="Y365" s="42">
        <v>37253</v>
      </c>
      <c r="AA365" s="42">
        <v>966360</v>
      </c>
      <c r="AC365" s="42">
        <v>0</v>
      </c>
      <c r="AE365" s="42">
        <v>52474</v>
      </c>
      <c r="AG365" s="42">
        <v>1112229</v>
      </c>
      <c r="AI365" s="10">
        <f t="shared" si="65"/>
        <v>2168316</v>
      </c>
      <c r="AK365" s="42">
        <f t="shared" si="64"/>
        <v>0</v>
      </c>
    </row>
    <row r="366" spans="1:37" hidden="1">
      <c r="A366" s="9" t="s">
        <v>635</v>
      </c>
      <c r="B366" s="9"/>
      <c r="C366" s="9" t="s">
        <v>21</v>
      </c>
      <c r="D366" s="9"/>
      <c r="E366" s="23">
        <v>46672</v>
      </c>
      <c r="G366" s="42">
        <v>0</v>
      </c>
      <c r="I366" s="42">
        <v>0</v>
      </c>
      <c r="K366" s="2">
        <f t="shared" si="59"/>
        <v>0</v>
      </c>
      <c r="M366" s="42">
        <v>0</v>
      </c>
      <c r="O366" s="42">
        <v>0</v>
      </c>
      <c r="Q366" s="2">
        <f t="shared" si="60"/>
        <v>0</v>
      </c>
      <c r="S366" s="42">
        <v>0</v>
      </c>
      <c r="U366" s="42">
        <v>0</v>
      </c>
      <c r="W366" s="42">
        <v>0</v>
      </c>
      <c r="Y366" s="42">
        <v>0</v>
      </c>
      <c r="AA366" s="42">
        <v>0</v>
      </c>
      <c r="AC366" s="42">
        <v>0</v>
      </c>
      <c r="AE366" s="42">
        <v>0</v>
      </c>
      <c r="AG366" s="42">
        <v>0</v>
      </c>
      <c r="AI366" s="10">
        <f t="shared" si="65"/>
        <v>0</v>
      </c>
      <c r="AK366" s="42">
        <f t="shared" si="64"/>
        <v>0</v>
      </c>
    </row>
    <row r="367" spans="1:37">
      <c r="A367" s="9" t="s">
        <v>506</v>
      </c>
      <c r="B367" s="9"/>
      <c r="C367" s="9" t="s">
        <v>63</v>
      </c>
      <c r="D367" s="9"/>
      <c r="E367" s="23">
        <v>50039</v>
      </c>
      <c r="G367" s="42">
        <f>2820662+1565</f>
        <v>2822227</v>
      </c>
      <c r="I367" s="42">
        <v>31768</v>
      </c>
      <c r="K367" s="2">
        <f t="shared" ref="K367:K435" si="66">M367-G367-I367</f>
        <v>3682843</v>
      </c>
      <c r="M367" s="42">
        <v>6536838</v>
      </c>
      <c r="O367" s="42">
        <v>0</v>
      </c>
      <c r="Q367" s="2">
        <f t="shared" ref="Q367:Q435" si="67">U367-S367</f>
        <v>4456113</v>
      </c>
      <c r="S367" s="42">
        <v>0</v>
      </c>
      <c r="U367" s="42">
        <v>4456113</v>
      </c>
      <c r="W367" s="42">
        <v>0</v>
      </c>
      <c r="Y367" s="42">
        <v>0</v>
      </c>
      <c r="AA367" s="42">
        <v>647392</v>
      </c>
      <c r="AC367" s="42">
        <v>0</v>
      </c>
      <c r="AE367" s="42">
        <v>873930</v>
      </c>
      <c r="AG367" s="42">
        <v>559403</v>
      </c>
      <c r="AI367" s="10">
        <f t="shared" si="65"/>
        <v>2080725</v>
      </c>
      <c r="AK367" s="42">
        <f t="shared" si="64"/>
        <v>0</v>
      </c>
    </row>
    <row r="368" spans="1:37" hidden="1">
      <c r="A368" s="9" t="s">
        <v>616</v>
      </c>
      <c r="B368" s="9"/>
      <c r="C368" s="9" t="s">
        <v>553</v>
      </c>
      <c r="D368" s="9"/>
      <c r="E368" s="23">
        <v>50740</v>
      </c>
      <c r="G368" s="42">
        <v>0</v>
      </c>
      <c r="I368" s="42">
        <v>0</v>
      </c>
      <c r="K368" s="2">
        <f t="shared" si="66"/>
        <v>0</v>
      </c>
      <c r="M368" s="42">
        <v>0</v>
      </c>
      <c r="O368" s="42">
        <v>0</v>
      </c>
      <c r="Q368" s="2">
        <f t="shared" si="67"/>
        <v>0</v>
      </c>
      <c r="S368" s="42">
        <v>0</v>
      </c>
      <c r="U368" s="42">
        <v>0</v>
      </c>
      <c r="W368" s="42">
        <v>0</v>
      </c>
      <c r="Y368" s="42">
        <v>0</v>
      </c>
      <c r="AA368" s="42">
        <v>0</v>
      </c>
      <c r="AC368" s="42">
        <v>0</v>
      </c>
      <c r="AE368" s="42">
        <v>0</v>
      </c>
      <c r="AG368" s="42">
        <v>0</v>
      </c>
      <c r="AI368" s="10">
        <f t="shared" si="65"/>
        <v>0</v>
      </c>
      <c r="AK368" s="42">
        <f t="shared" si="64"/>
        <v>0</v>
      </c>
    </row>
    <row r="369" spans="1:37">
      <c r="A369" s="8" t="s">
        <v>905</v>
      </c>
      <c r="B369" s="9"/>
      <c r="C369" s="9" t="s">
        <v>220</v>
      </c>
      <c r="D369" s="9"/>
      <c r="E369" s="23">
        <v>139303</v>
      </c>
      <c r="G369" s="42">
        <v>5656343</v>
      </c>
      <c r="I369" s="42">
        <v>0</v>
      </c>
      <c r="K369" s="2">
        <f t="shared" si="66"/>
        <v>16417159</v>
      </c>
      <c r="M369" s="42">
        <v>22073502</v>
      </c>
      <c r="O369" s="42">
        <v>0</v>
      </c>
      <c r="Q369" s="2">
        <f t="shared" si="67"/>
        <v>4136824</v>
      </c>
      <c r="S369" s="42">
        <v>0</v>
      </c>
      <c r="U369" s="42">
        <v>4136824</v>
      </c>
      <c r="W369" s="42">
        <v>13549687</v>
      </c>
      <c r="Y369" s="42">
        <v>2485518</v>
      </c>
      <c r="AA369" s="42">
        <v>3630232</v>
      </c>
      <c r="AC369" s="42">
        <v>0</v>
      </c>
      <c r="AE369" s="42">
        <v>541375</v>
      </c>
      <c r="AG369" s="42">
        <v>-2270134</v>
      </c>
      <c r="AI369" s="10">
        <f t="shared" si="65"/>
        <v>4386991</v>
      </c>
      <c r="AK369" s="42">
        <f t="shared" si="64"/>
        <v>0</v>
      </c>
    </row>
    <row r="370" spans="1:37" s="24" customFormat="1">
      <c r="A370" s="51" t="s">
        <v>354</v>
      </c>
      <c r="B370" s="51"/>
      <c r="C370" s="51" t="s">
        <v>37</v>
      </c>
      <c r="D370" s="51"/>
      <c r="E370" s="23">
        <v>47712</v>
      </c>
      <c r="G370" s="42">
        <v>5217146</v>
      </c>
      <c r="H370" s="42"/>
      <c r="I370" s="42">
        <v>5235</v>
      </c>
      <c r="J370" s="42"/>
      <c r="K370" s="2">
        <f t="shared" si="66"/>
        <v>2966191</v>
      </c>
      <c r="L370" s="42"/>
      <c r="M370" s="42">
        <v>8188572</v>
      </c>
      <c r="N370" s="42"/>
      <c r="O370" s="42">
        <v>0</v>
      </c>
      <c r="P370" s="42"/>
      <c r="Q370" s="2">
        <f t="shared" si="67"/>
        <v>877203</v>
      </c>
      <c r="R370" s="42"/>
      <c r="S370" s="42">
        <v>0</v>
      </c>
      <c r="T370" s="42"/>
      <c r="U370" s="42">
        <v>877203</v>
      </c>
      <c r="V370" s="42"/>
      <c r="W370" s="42">
        <v>2288581</v>
      </c>
      <c r="X370" s="42"/>
      <c r="Y370" s="42">
        <f>2119+3965+648</f>
        <v>6732</v>
      </c>
      <c r="Z370" s="42"/>
      <c r="AA370" s="42">
        <f>240260+4377832+15806+1210+27160+3004+5235</f>
        <v>4670507</v>
      </c>
      <c r="AB370" s="42"/>
      <c r="AC370" s="42">
        <v>0</v>
      </c>
      <c r="AD370" s="42"/>
      <c r="AE370" s="42">
        <f>55584+112162+1638+2225+137718+2800</f>
        <v>312127</v>
      </c>
      <c r="AF370" s="42"/>
      <c r="AG370" s="42">
        <v>33422</v>
      </c>
      <c r="AH370" s="42"/>
      <c r="AI370" s="10">
        <f t="shared" si="65"/>
        <v>5022788</v>
      </c>
      <c r="AJ370" s="42"/>
      <c r="AK370" s="42">
        <f t="shared" si="64"/>
        <v>0</v>
      </c>
    </row>
    <row r="371" spans="1:37" hidden="1">
      <c r="A371" s="9" t="s">
        <v>802</v>
      </c>
      <c r="B371" s="9"/>
      <c r="C371" s="9" t="s">
        <v>548</v>
      </c>
      <c r="D371" s="9"/>
      <c r="E371" s="23">
        <v>45526</v>
      </c>
      <c r="G371" s="42">
        <v>0</v>
      </c>
      <c r="I371" s="42">
        <v>0</v>
      </c>
      <c r="K371" s="2">
        <f t="shared" si="66"/>
        <v>0</v>
      </c>
      <c r="M371" s="42">
        <v>0</v>
      </c>
      <c r="O371" s="42">
        <v>0</v>
      </c>
      <c r="Q371" s="2">
        <f t="shared" si="67"/>
        <v>0</v>
      </c>
      <c r="S371" s="42">
        <v>0</v>
      </c>
      <c r="U371" s="42">
        <v>0</v>
      </c>
      <c r="W371" s="42">
        <v>0</v>
      </c>
      <c r="Y371" s="42">
        <v>0</v>
      </c>
      <c r="AA371" s="42">
        <v>0</v>
      </c>
      <c r="AC371" s="42">
        <v>0</v>
      </c>
      <c r="AE371" s="42">
        <v>0</v>
      </c>
      <c r="AG371" s="42">
        <v>0</v>
      </c>
      <c r="AI371" s="10">
        <f t="shared" si="65"/>
        <v>0</v>
      </c>
      <c r="AK371" s="42">
        <f t="shared" si="64"/>
        <v>0</v>
      </c>
    </row>
    <row r="372" spans="1:37" s="24" customFormat="1">
      <c r="A372" s="51" t="s">
        <v>436</v>
      </c>
      <c r="B372" s="51"/>
      <c r="C372" s="51" t="s">
        <v>437</v>
      </c>
      <c r="D372" s="51"/>
      <c r="E372" s="51">
        <v>48777</v>
      </c>
      <c r="G372" s="24">
        <v>14531068</v>
      </c>
      <c r="I372" s="24">
        <v>76683</v>
      </c>
      <c r="K372" s="60">
        <f t="shared" si="66"/>
        <v>6620970</v>
      </c>
      <c r="M372" s="24">
        <v>21228721</v>
      </c>
      <c r="O372" s="24">
        <v>0</v>
      </c>
      <c r="Q372" s="60">
        <f t="shared" si="67"/>
        <v>2590966</v>
      </c>
      <c r="S372" s="24">
        <v>0</v>
      </c>
      <c r="U372" s="24">
        <v>2590966</v>
      </c>
      <c r="W372" s="24">
        <v>5693495</v>
      </c>
      <c r="Y372" s="24">
        <v>75287</v>
      </c>
      <c r="AA372" s="24">
        <v>5962082</v>
      </c>
      <c r="AC372" s="24">
        <v>0</v>
      </c>
      <c r="AE372" s="24">
        <v>992770</v>
      </c>
      <c r="AG372" s="24">
        <v>5914121</v>
      </c>
      <c r="AI372" s="61">
        <f t="shared" si="65"/>
        <v>12944260</v>
      </c>
      <c r="AK372" s="24">
        <f t="shared" si="64"/>
        <v>0</v>
      </c>
    </row>
    <row r="373" spans="1:37">
      <c r="A373" s="9" t="s">
        <v>765</v>
      </c>
      <c r="B373" s="9"/>
      <c r="C373" s="9" t="s">
        <v>78</v>
      </c>
      <c r="D373" s="9"/>
      <c r="E373" s="23">
        <v>45534</v>
      </c>
      <c r="G373" s="42">
        <v>5610046</v>
      </c>
      <c r="I373" s="42">
        <v>0</v>
      </c>
      <c r="K373" s="2">
        <f t="shared" si="66"/>
        <v>5964581</v>
      </c>
      <c r="M373" s="42">
        <v>11574627</v>
      </c>
      <c r="O373" s="42">
        <v>0</v>
      </c>
      <c r="Q373" s="2">
        <f t="shared" si="67"/>
        <v>5751558</v>
      </c>
      <c r="S373" s="42">
        <v>0</v>
      </c>
      <c r="U373" s="42">
        <v>5751558</v>
      </c>
      <c r="W373" s="42">
        <v>0</v>
      </c>
      <c r="Y373" s="42">
        <v>0</v>
      </c>
      <c r="AA373" s="42">
        <v>2858535</v>
      </c>
      <c r="AC373" s="42">
        <v>0</v>
      </c>
      <c r="AE373" s="42">
        <v>397294</v>
      </c>
      <c r="AG373" s="42">
        <v>2567240</v>
      </c>
      <c r="AI373" s="10">
        <f t="shared" si="65"/>
        <v>5823069</v>
      </c>
      <c r="AK373" s="42">
        <f t="shared" si="64"/>
        <v>0</v>
      </c>
    </row>
    <row r="374" spans="1:37" hidden="1">
      <c r="A374" s="8" t="s">
        <v>866</v>
      </c>
      <c r="B374" s="9"/>
      <c r="C374" s="9" t="s">
        <v>40</v>
      </c>
      <c r="D374" s="9"/>
      <c r="E374" s="23">
        <v>44420</v>
      </c>
      <c r="G374" s="42">
        <v>0</v>
      </c>
      <c r="I374" s="42">
        <v>0</v>
      </c>
      <c r="K374" s="2">
        <f t="shared" si="66"/>
        <v>0</v>
      </c>
      <c r="M374" s="42">
        <v>0</v>
      </c>
      <c r="O374" s="42">
        <v>0</v>
      </c>
      <c r="Q374" s="2">
        <f t="shared" si="67"/>
        <v>0</v>
      </c>
      <c r="S374" s="42">
        <v>0</v>
      </c>
      <c r="U374" s="42">
        <v>0</v>
      </c>
      <c r="W374" s="42">
        <v>0</v>
      </c>
      <c r="Y374" s="42">
        <v>0</v>
      </c>
      <c r="AA374" s="42">
        <v>0</v>
      </c>
      <c r="AC374" s="42">
        <v>0</v>
      </c>
      <c r="AE374" s="42">
        <v>0</v>
      </c>
      <c r="AG374" s="42">
        <v>0</v>
      </c>
      <c r="AI374" s="10">
        <f t="shared" si="65"/>
        <v>0</v>
      </c>
      <c r="AK374" s="42">
        <f t="shared" si="64"/>
        <v>0</v>
      </c>
    </row>
    <row r="375" spans="1:37">
      <c r="A375" s="9" t="s">
        <v>706</v>
      </c>
      <c r="B375" s="9"/>
      <c r="C375" s="9" t="s">
        <v>32</v>
      </c>
      <c r="D375" s="9"/>
      <c r="E375" s="23">
        <v>44412</v>
      </c>
      <c r="G375" s="42">
        <v>8443726</v>
      </c>
      <c r="I375" s="42">
        <v>302368</v>
      </c>
      <c r="K375" s="2">
        <f t="shared" si="66"/>
        <v>16114882</v>
      </c>
      <c r="M375" s="42">
        <v>24860976</v>
      </c>
      <c r="O375" s="42">
        <v>0</v>
      </c>
      <c r="Q375" s="2">
        <f t="shared" si="67"/>
        <v>14340423</v>
      </c>
      <c r="S375" s="42">
        <v>0</v>
      </c>
      <c r="U375" s="42">
        <v>14340423</v>
      </c>
      <c r="W375" s="42">
        <v>0</v>
      </c>
      <c r="Y375" s="42">
        <v>30546</v>
      </c>
      <c r="AA375" s="42">
        <v>2457359</v>
      </c>
      <c r="AC375" s="42">
        <v>0</v>
      </c>
      <c r="AE375" s="42">
        <v>1818990</v>
      </c>
      <c r="AG375" s="42">
        <v>6213658</v>
      </c>
      <c r="AI375" s="10">
        <f t="shared" si="65"/>
        <v>10520553</v>
      </c>
      <c r="AK375" s="42">
        <f t="shared" si="64"/>
        <v>0</v>
      </c>
    </row>
    <row r="376" spans="1:37">
      <c r="A376" s="9" t="s">
        <v>344</v>
      </c>
      <c r="B376" s="9"/>
      <c r="C376" s="9" t="s">
        <v>34</v>
      </c>
      <c r="D376" s="9"/>
      <c r="E376" s="23">
        <v>44438</v>
      </c>
      <c r="G376" s="42">
        <f>13016906+31976472</f>
        <v>44993378</v>
      </c>
      <c r="I376" s="42">
        <v>51337</v>
      </c>
      <c r="K376" s="2">
        <f t="shared" si="66"/>
        <v>13143616</v>
      </c>
      <c r="M376" s="42">
        <v>58188331</v>
      </c>
      <c r="O376" s="42">
        <v>0</v>
      </c>
      <c r="Q376" s="2">
        <f t="shared" si="67"/>
        <v>3097165</v>
      </c>
      <c r="S376" s="42">
        <v>0</v>
      </c>
      <c r="U376" s="42">
        <v>3097165</v>
      </c>
      <c r="W376" s="42">
        <v>11214242</v>
      </c>
      <c r="Y376" s="42">
        <v>138418</v>
      </c>
      <c r="AA376" s="42">
        <v>35569957</v>
      </c>
      <c r="AC376" s="42">
        <v>100000</v>
      </c>
      <c r="AE376" s="42">
        <v>2446318</v>
      </c>
      <c r="AG376" s="42">
        <v>5622231</v>
      </c>
      <c r="AI376" s="10">
        <f t="shared" si="65"/>
        <v>43876924</v>
      </c>
      <c r="AK376" s="42">
        <f t="shared" si="64"/>
        <v>0</v>
      </c>
    </row>
    <row r="377" spans="1:37" hidden="1">
      <c r="A377" s="9" t="s">
        <v>759</v>
      </c>
      <c r="B377" s="9"/>
      <c r="C377" s="9" t="s">
        <v>57</v>
      </c>
      <c r="D377" s="9"/>
      <c r="E377" s="23">
        <v>49270</v>
      </c>
      <c r="G377" s="42">
        <v>0</v>
      </c>
      <c r="I377" s="42">
        <v>0</v>
      </c>
      <c r="K377" s="2"/>
      <c r="M377" s="42">
        <v>0</v>
      </c>
      <c r="O377" s="42">
        <v>0</v>
      </c>
      <c r="Q377" s="2"/>
      <c r="S377" s="42">
        <v>0</v>
      </c>
      <c r="U377" s="42">
        <v>0</v>
      </c>
      <c r="W377" s="42">
        <v>0</v>
      </c>
      <c r="Y377" s="42">
        <v>0</v>
      </c>
      <c r="AA377" s="42">
        <v>0</v>
      </c>
      <c r="AC377" s="42">
        <v>0</v>
      </c>
      <c r="AE377" s="42">
        <v>0</v>
      </c>
      <c r="AG377" s="42">
        <v>0</v>
      </c>
      <c r="AI377" s="10"/>
      <c r="AK377" s="42">
        <f t="shared" si="64"/>
        <v>0</v>
      </c>
    </row>
    <row r="378" spans="1:37">
      <c r="A378" s="9" t="s">
        <v>210</v>
      </c>
      <c r="B378" s="9"/>
      <c r="C378" s="9" t="s">
        <v>13</v>
      </c>
      <c r="D378" s="9"/>
      <c r="E378" s="23">
        <v>44446</v>
      </c>
      <c r="G378" s="42">
        <f>6440799+81807</f>
        <v>6522606</v>
      </c>
      <c r="I378" s="42">
        <v>0</v>
      </c>
      <c r="K378" s="2">
        <f t="shared" si="66"/>
        <v>3182908</v>
      </c>
      <c r="M378" s="42">
        <v>9705514</v>
      </c>
      <c r="O378" s="42">
        <v>0</v>
      </c>
      <c r="Q378" s="2">
        <f t="shared" si="67"/>
        <v>1731246</v>
      </c>
      <c r="S378" s="42">
        <v>0</v>
      </c>
      <c r="U378" s="42">
        <v>1731246</v>
      </c>
      <c r="W378" s="42">
        <v>2372107</v>
      </c>
      <c r="Y378" s="42">
        <v>42364</v>
      </c>
      <c r="AA378" s="42">
        <v>3005549</v>
      </c>
      <c r="AC378" s="42">
        <v>132681</v>
      </c>
      <c r="AE378" s="42">
        <v>73598</v>
      </c>
      <c r="AG378" s="42">
        <v>2347969</v>
      </c>
      <c r="AI378" s="10">
        <f t="shared" si="65"/>
        <v>5602161</v>
      </c>
      <c r="AK378" s="42">
        <f t="shared" si="64"/>
        <v>0</v>
      </c>
    </row>
    <row r="379" spans="1:37">
      <c r="A379" s="9" t="s">
        <v>603</v>
      </c>
      <c r="B379" s="9"/>
      <c r="C379" s="9" t="s">
        <v>27</v>
      </c>
      <c r="D379" s="9"/>
      <c r="E379" s="23">
        <v>46995</v>
      </c>
      <c r="G379" s="42">
        <v>69555785</v>
      </c>
      <c r="I379" s="42">
        <v>0</v>
      </c>
      <c r="K379" s="2">
        <f t="shared" si="66"/>
        <v>51095402</v>
      </c>
      <c r="M379" s="42">
        <v>120651187</v>
      </c>
      <c r="O379" s="42">
        <v>0</v>
      </c>
      <c r="Q379" s="2">
        <f t="shared" si="67"/>
        <v>7526150</v>
      </c>
      <c r="S379" s="42">
        <v>0</v>
      </c>
      <c r="U379" s="42">
        <v>7526150</v>
      </c>
      <c r="W379" s="42">
        <v>34062310</v>
      </c>
      <c r="Y379" s="42">
        <v>27121</v>
      </c>
      <c r="AA379" s="42">
        <f>9140379+45601092+166028+914746+13529+6261+173285</f>
        <v>56015320</v>
      </c>
      <c r="AC379" s="42">
        <v>0</v>
      </c>
      <c r="AE379" s="42">
        <f>189752+46393+200888+2743497+199539+126792</f>
        <v>3506861</v>
      </c>
      <c r="AG379" s="42">
        <v>19513425</v>
      </c>
      <c r="AI379" s="10">
        <f t="shared" si="65"/>
        <v>79062727</v>
      </c>
      <c r="AK379" s="42">
        <f t="shared" si="64"/>
        <v>0</v>
      </c>
    </row>
    <row r="380" spans="1:37">
      <c r="A380" s="9" t="s">
        <v>480</v>
      </c>
      <c r="B380" s="9"/>
      <c r="C380" s="9" t="s">
        <v>59</v>
      </c>
      <c r="D380" s="9"/>
      <c r="E380" s="23">
        <v>44461</v>
      </c>
      <c r="G380" s="42">
        <v>2982696</v>
      </c>
      <c r="I380" s="42">
        <v>0</v>
      </c>
      <c r="K380" s="2">
        <f t="shared" si="66"/>
        <v>2549011</v>
      </c>
      <c r="M380" s="42">
        <v>5531707</v>
      </c>
      <c r="O380" s="42">
        <v>0</v>
      </c>
      <c r="Q380" s="2">
        <f t="shared" si="67"/>
        <v>1400707</v>
      </c>
      <c r="S380" s="42">
        <v>0</v>
      </c>
      <c r="U380" s="42">
        <v>1400707</v>
      </c>
      <c r="W380" s="42">
        <v>2311017</v>
      </c>
      <c r="Y380" s="42">
        <v>17642</v>
      </c>
      <c r="AA380" s="42">
        <v>639794</v>
      </c>
      <c r="AC380" s="42">
        <v>0</v>
      </c>
      <c r="AE380" s="42">
        <v>298487</v>
      </c>
      <c r="AG380" s="42">
        <v>864060</v>
      </c>
      <c r="AI380" s="10">
        <f t="shared" si="65"/>
        <v>1819983</v>
      </c>
      <c r="AK380" s="42">
        <f t="shared" si="64"/>
        <v>0</v>
      </c>
    </row>
    <row r="381" spans="1:37">
      <c r="A381" s="9" t="s">
        <v>213</v>
      </c>
      <c r="B381" s="9"/>
      <c r="C381" s="9" t="s">
        <v>14</v>
      </c>
      <c r="D381" s="9"/>
      <c r="E381" s="23">
        <v>45955</v>
      </c>
      <c r="G381" s="42">
        <v>7440827</v>
      </c>
      <c r="I381" s="42">
        <v>0</v>
      </c>
      <c r="K381" s="2">
        <f t="shared" si="66"/>
        <v>3433027</v>
      </c>
      <c r="M381" s="42">
        <v>10873854</v>
      </c>
      <c r="O381" s="42">
        <v>0</v>
      </c>
      <c r="Q381" s="2">
        <f t="shared" si="67"/>
        <v>1183465</v>
      </c>
      <c r="S381" s="42">
        <v>0</v>
      </c>
      <c r="U381" s="42">
        <v>1183465</v>
      </c>
      <c r="W381" s="42">
        <v>2390069</v>
      </c>
      <c r="Y381" s="42">
        <v>7075</v>
      </c>
      <c r="AA381" s="42">
        <v>1626438</v>
      </c>
      <c r="AC381" s="42">
        <v>0</v>
      </c>
      <c r="AE381" s="42">
        <v>16616</v>
      </c>
      <c r="AG381" s="42">
        <v>5650191</v>
      </c>
      <c r="AI381" s="10">
        <f t="shared" si="65"/>
        <v>7300320</v>
      </c>
      <c r="AK381" s="42">
        <f t="shared" si="64"/>
        <v>0</v>
      </c>
    </row>
    <row r="382" spans="1:37" hidden="1">
      <c r="A382" s="9" t="s">
        <v>700</v>
      </c>
      <c r="B382" s="9"/>
      <c r="C382" s="9" t="s">
        <v>14</v>
      </c>
      <c r="D382" s="9"/>
      <c r="E382" s="23">
        <v>45963</v>
      </c>
      <c r="G382" s="42">
        <v>0</v>
      </c>
      <c r="I382" s="42">
        <v>0</v>
      </c>
      <c r="K382" s="2">
        <f t="shared" si="66"/>
        <v>0</v>
      </c>
      <c r="M382" s="42">
        <v>0</v>
      </c>
      <c r="O382" s="42">
        <v>0</v>
      </c>
      <c r="Q382" s="2">
        <f t="shared" si="67"/>
        <v>0</v>
      </c>
      <c r="S382" s="42">
        <v>0</v>
      </c>
      <c r="U382" s="42">
        <v>0</v>
      </c>
      <c r="W382" s="42">
        <v>0</v>
      </c>
      <c r="Y382" s="42">
        <v>0</v>
      </c>
      <c r="AA382" s="42">
        <v>0</v>
      </c>
      <c r="AC382" s="42">
        <v>0</v>
      </c>
      <c r="AE382" s="42">
        <v>0</v>
      </c>
      <c r="AG382" s="42">
        <v>0</v>
      </c>
      <c r="AI382" s="10">
        <f t="shared" si="65"/>
        <v>0</v>
      </c>
      <c r="AK382" s="42">
        <f t="shared" si="64"/>
        <v>0</v>
      </c>
    </row>
    <row r="383" spans="1:37">
      <c r="A383" s="9" t="s">
        <v>430</v>
      </c>
      <c r="B383" s="9"/>
      <c r="C383" s="9" t="s">
        <v>50</v>
      </c>
      <c r="D383" s="9"/>
      <c r="E383" s="23">
        <v>48710</v>
      </c>
      <c r="G383" s="42">
        <v>7601538</v>
      </c>
      <c r="I383" s="42">
        <v>0</v>
      </c>
      <c r="K383" s="2">
        <f t="shared" si="66"/>
        <v>4004434</v>
      </c>
      <c r="M383" s="42">
        <v>11605972</v>
      </c>
      <c r="O383" s="42">
        <v>0</v>
      </c>
      <c r="Q383" s="2">
        <f t="shared" si="67"/>
        <v>4982339</v>
      </c>
      <c r="S383" s="42">
        <v>0</v>
      </c>
      <c r="U383" s="42">
        <v>4982339</v>
      </c>
      <c r="W383" s="42">
        <v>0</v>
      </c>
      <c r="Y383" s="42">
        <v>8062</v>
      </c>
      <c r="AA383" s="42">
        <v>1394805</v>
      </c>
      <c r="AC383" s="42">
        <v>0</v>
      </c>
      <c r="AE383" s="42">
        <v>41629</v>
      </c>
      <c r="AG383" s="42">
        <v>5179137</v>
      </c>
      <c r="AI383" s="10">
        <f t="shared" si="65"/>
        <v>6623633</v>
      </c>
      <c r="AK383" s="42">
        <f t="shared" si="64"/>
        <v>0</v>
      </c>
    </row>
    <row r="384" spans="1:37" hidden="1">
      <c r="A384" s="9" t="s">
        <v>803</v>
      </c>
      <c r="B384" s="9"/>
      <c r="C384" s="9" t="s">
        <v>448</v>
      </c>
      <c r="D384" s="9"/>
      <c r="E384" s="23">
        <v>44479</v>
      </c>
      <c r="G384" s="42">
        <v>0</v>
      </c>
      <c r="I384" s="42">
        <v>0</v>
      </c>
      <c r="K384" s="2">
        <f t="shared" si="66"/>
        <v>0</v>
      </c>
      <c r="M384" s="42">
        <v>0</v>
      </c>
      <c r="O384" s="42">
        <v>0</v>
      </c>
      <c r="Q384" s="2">
        <f t="shared" si="67"/>
        <v>0</v>
      </c>
      <c r="S384" s="42">
        <v>0</v>
      </c>
      <c r="U384" s="42">
        <v>0</v>
      </c>
      <c r="W384" s="42">
        <v>0</v>
      </c>
      <c r="Y384" s="42">
        <v>0</v>
      </c>
      <c r="AA384" s="42">
        <v>0</v>
      </c>
      <c r="AC384" s="42">
        <v>0</v>
      </c>
      <c r="AE384" s="42">
        <v>0</v>
      </c>
      <c r="AG384" s="42">
        <v>0</v>
      </c>
      <c r="AI384" s="10">
        <f t="shared" si="65"/>
        <v>0</v>
      </c>
      <c r="AK384" s="42">
        <f t="shared" si="64"/>
        <v>0</v>
      </c>
    </row>
    <row r="385" spans="1:37">
      <c r="A385" s="9" t="s">
        <v>355</v>
      </c>
      <c r="B385" s="9"/>
      <c r="C385" s="9" t="s">
        <v>37</v>
      </c>
      <c r="D385" s="9"/>
      <c r="E385" s="23">
        <v>47720</v>
      </c>
      <c r="G385" s="42">
        <v>2484091</v>
      </c>
      <c r="I385" s="42">
        <v>0</v>
      </c>
      <c r="K385" s="2">
        <f t="shared" si="66"/>
        <v>3074269</v>
      </c>
      <c r="M385" s="42">
        <v>5558360</v>
      </c>
      <c r="O385" s="42">
        <v>0</v>
      </c>
      <c r="Q385" s="2">
        <f t="shared" si="67"/>
        <v>1208712</v>
      </c>
      <c r="S385" s="42">
        <v>0</v>
      </c>
      <c r="U385" s="42">
        <v>1208712</v>
      </c>
      <c r="W385" s="42">
        <v>2269831</v>
      </c>
      <c r="Y385" s="42">
        <v>11355</v>
      </c>
      <c r="AA385" s="42">
        <v>1092724</v>
      </c>
      <c r="AC385" s="42">
        <v>0</v>
      </c>
      <c r="AE385" s="42">
        <v>1021847</v>
      </c>
      <c r="AG385" s="42">
        <v>-46109</v>
      </c>
      <c r="AI385" s="10">
        <f t="shared" si="65"/>
        <v>2079817</v>
      </c>
      <c r="AK385" s="42">
        <f t="shared" si="64"/>
        <v>0</v>
      </c>
    </row>
    <row r="386" spans="1:37">
      <c r="A386" s="9" t="s">
        <v>225</v>
      </c>
      <c r="B386" s="9"/>
      <c r="C386" s="9" t="s">
        <v>220</v>
      </c>
      <c r="D386" s="9"/>
      <c r="E386" s="23">
        <v>46136</v>
      </c>
      <c r="G386" s="42">
        <v>4163183</v>
      </c>
      <c r="I386" s="42">
        <v>0</v>
      </c>
      <c r="K386" s="2">
        <f t="shared" si="66"/>
        <v>1688548</v>
      </c>
      <c r="M386" s="42">
        <v>5851731</v>
      </c>
      <c r="O386" s="42">
        <v>0</v>
      </c>
      <c r="Q386" s="2">
        <f t="shared" si="67"/>
        <v>2238890</v>
      </c>
      <c r="S386" s="42">
        <v>0</v>
      </c>
      <c r="U386" s="42">
        <v>2238890</v>
      </c>
      <c r="W386" s="42">
        <v>0</v>
      </c>
      <c r="Y386" s="42">
        <v>9259</v>
      </c>
      <c r="AA386" s="42">
        <v>537852</v>
      </c>
      <c r="AC386" s="42">
        <v>0</v>
      </c>
      <c r="AE386" s="42">
        <v>3119704</v>
      </c>
      <c r="AG386" s="42">
        <v>-53974</v>
      </c>
      <c r="AI386" s="10">
        <f t="shared" si="65"/>
        <v>3612841</v>
      </c>
      <c r="AK386" s="42">
        <f t="shared" si="64"/>
        <v>0</v>
      </c>
    </row>
    <row r="387" spans="1:37">
      <c r="A387" s="9" t="s">
        <v>533</v>
      </c>
      <c r="B387" s="9"/>
      <c r="C387" s="9" t="s">
        <v>65</v>
      </c>
      <c r="D387" s="9"/>
      <c r="E387" s="23">
        <v>44487</v>
      </c>
      <c r="G387" s="42">
        <v>7140112</v>
      </c>
      <c r="I387" s="42">
        <v>0</v>
      </c>
      <c r="K387" s="2">
        <f t="shared" si="66"/>
        <v>13244632</v>
      </c>
      <c r="M387" s="42">
        <v>20384744</v>
      </c>
      <c r="O387" s="42">
        <v>0</v>
      </c>
      <c r="Q387" s="2">
        <f t="shared" si="67"/>
        <v>14653718</v>
      </c>
      <c r="S387" s="42">
        <v>0</v>
      </c>
      <c r="U387" s="42">
        <v>14653718</v>
      </c>
      <c r="W387" s="42">
        <v>0</v>
      </c>
      <c r="Y387" s="42">
        <f>51345+19279</f>
        <v>70624</v>
      </c>
      <c r="AA387" s="42">
        <f>771674+730583+402497</f>
        <v>1904754</v>
      </c>
      <c r="AC387" s="42">
        <v>0</v>
      </c>
      <c r="AE387" s="42">
        <v>2021873</v>
      </c>
      <c r="AG387" s="42">
        <v>1733775</v>
      </c>
      <c r="AI387" s="10">
        <f t="shared" si="65"/>
        <v>5731026</v>
      </c>
      <c r="AK387" s="42">
        <f t="shared" si="64"/>
        <v>0</v>
      </c>
    </row>
    <row r="388" spans="1:37">
      <c r="A388" s="9" t="s">
        <v>766</v>
      </c>
      <c r="B388" s="9"/>
      <c r="C388" s="9" t="s">
        <v>112</v>
      </c>
      <c r="D388" s="9"/>
      <c r="E388" s="23">
        <v>45559</v>
      </c>
      <c r="G388" s="42">
        <v>24408349</v>
      </c>
      <c r="I388" s="42">
        <v>0</v>
      </c>
      <c r="K388" s="2">
        <f t="shared" si="66"/>
        <v>14138707</v>
      </c>
      <c r="M388" s="42">
        <v>38547056</v>
      </c>
      <c r="O388" s="42">
        <v>0</v>
      </c>
      <c r="Q388" s="2">
        <f t="shared" si="67"/>
        <v>14709701</v>
      </c>
      <c r="S388" s="42">
        <v>0</v>
      </c>
      <c r="U388" s="42">
        <v>14709701</v>
      </c>
      <c r="W388" s="42">
        <v>0</v>
      </c>
      <c r="Y388" s="42">
        <v>0</v>
      </c>
      <c r="AA388" s="42">
        <v>123952</v>
      </c>
      <c r="AC388" s="42">
        <v>11505</v>
      </c>
      <c r="AE388" s="42">
        <v>5936025</v>
      </c>
      <c r="AG388" s="42">
        <v>17765873</v>
      </c>
      <c r="AI388" s="10">
        <f t="shared" si="65"/>
        <v>23837355</v>
      </c>
      <c r="AK388" s="42">
        <f t="shared" si="64"/>
        <v>0</v>
      </c>
    </row>
    <row r="389" spans="1:37" hidden="1">
      <c r="A389" s="9" t="s">
        <v>804</v>
      </c>
      <c r="B389" s="9"/>
      <c r="C389" s="9" t="s">
        <v>60</v>
      </c>
      <c r="D389" s="9"/>
      <c r="E389" s="23">
        <v>49718</v>
      </c>
      <c r="G389" s="42">
        <v>0</v>
      </c>
      <c r="I389" s="42">
        <v>0</v>
      </c>
      <c r="K389" s="2">
        <f t="shared" si="66"/>
        <v>0</v>
      </c>
      <c r="M389" s="42">
        <v>0</v>
      </c>
      <c r="O389" s="42">
        <v>0</v>
      </c>
      <c r="Q389" s="2">
        <f t="shared" si="67"/>
        <v>0</v>
      </c>
      <c r="S389" s="42">
        <v>0</v>
      </c>
      <c r="U389" s="42">
        <v>0</v>
      </c>
      <c r="W389" s="42">
        <v>0</v>
      </c>
      <c r="Y389" s="42">
        <v>0</v>
      </c>
      <c r="AA389" s="42">
        <v>0</v>
      </c>
      <c r="AC389" s="42">
        <v>0</v>
      </c>
      <c r="AE389" s="42">
        <v>0</v>
      </c>
      <c r="AG389" s="42">
        <v>0</v>
      </c>
      <c r="AI389" s="10">
        <f t="shared" si="65"/>
        <v>0</v>
      </c>
      <c r="AK389" s="42">
        <f t="shared" si="64"/>
        <v>0</v>
      </c>
    </row>
    <row r="390" spans="1:37">
      <c r="A390" s="9" t="s">
        <v>374</v>
      </c>
      <c r="B390" s="9"/>
      <c r="C390" s="9" t="s">
        <v>42</v>
      </c>
      <c r="D390" s="9"/>
      <c r="E390" s="23">
        <v>44453</v>
      </c>
      <c r="G390" s="42">
        <v>29238034</v>
      </c>
      <c r="I390" s="42">
        <v>0</v>
      </c>
      <c r="K390" s="2">
        <f t="shared" si="66"/>
        <v>31995972</v>
      </c>
      <c r="M390" s="42">
        <v>61234006</v>
      </c>
      <c r="O390" s="42">
        <v>0</v>
      </c>
      <c r="Q390" s="2">
        <f t="shared" si="67"/>
        <v>8202791</v>
      </c>
      <c r="S390" s="42">
        <v>0</v>
      </c>
      <c r="U390" s="42">
        <v>8202791</v>
      </c>
      <c r="W390" s="42">
        <v>27201281</v>
      </c>
      <c r="Y390" s="42">
        <f>38852+70877</f>
        <v>109729</v>
      </c>
      <c r="AA390" s="42">
        <f>2416115+5828103+2414060+884692+3178+628+17573+241808</f>
        <v>11806157</v>
      </c>
      <c r="AC390" s="42">
        <v>689729</v>
      </c>
      <c r="AE390" s="42">
        <f>75038+879470+635501+289+17594</f>
        <v>1607892</v>
      </c>
      <c r="AG390" s="42">
        <v>11616427</v>
      </c>
      <c r="AI390" s="10">
        <f t="shared" si="65"/>
        <v>25829934</v>
      </c>
      <c r="AK390" s="42">
        <f t="shared" si="64"/>
        <v>0</v>
      </c>
    </row>
    <row r="391" spans="1:37" hidden="1">
      <c r="A391" s="8" t="s">
        <v>867</v>
      </c>
      <c r="B391" s="9"/>
      <c r="C391" s="9" t="s">
        <v>30</v>
      </c>
      <c r="D391" s="9"/>
      <c r="E391" s="23">
        <v>47217</v>
      </c>
      <c r="G391" s="42">
        <v>0</v>
      </c>
      <c r="I391" s="42">
        <v>0</v>
      </c>
      <c r="K391" s="2">
        <f t="shared" si="66"/>
        <v>0</v>
      </c>
      <c r="M391" s="42">
        <v>0</v>
      </c>
      <c r="O391" s="42">
        <v>0</v>
      </c>
      <c r="Q391" s="2">
        <f t="shared" si="67"/>
        <v>0</v>
      </c>
      <c r="S391" s="42">
        <v>0</v>
      </c>
      <c r="U391" s="42">
        <v>0</v>
      </c>
      <c r="W391" s="42">
        <v>0</v>
      </c>
      <c r="Y391" s="42">
        <v>0</v>
      </c>
      <c r="AA391" s="42">
        <v>0</v>
      </c>
      <c r="AC391" s="42">
        <v>0</v>
      </c>
      <c r="AE391" s="42">
        <v>0</v>
      </c>
      <c r="AG391" s="42">
        <v>0</v>
      </c>
      <c r="AI391" s="10">
        <f t="shared" si="65"/>
        <v>0</v>
      </c>
      <c r="AK391" s="42">
        <f t="shared" si="64"/>
        <v>0</v>
      </c>
    </row>
    <row r="392" spans="1:37">
      <c r="A392" s="9" t="s">
        <v>767</v>
      </c>
      <c r="B392" s="9"/>
      <c r="C392" s="9" t="s">
        <v>65</v>
      </c>
      <c r="D392" s="9"/>
      <c r="E392" s="23">
        <v>45542</v>
      </c>
      <c r="G392" s="42">
        <v>1065094</v>
      </c>
      <c r="I392" s="42">
        <v>0</v>
      </c>
      <c r="K392" s="2">
        <f t="shared" si="66"/>
        <v>3835244</v>
      </c>
      <c r="M392" s="42">
        <v>4900338</v>
      </c>
      <c r="O392" s="42">
        <v>0</v>
      </c>
      <c r="Q392" s="2">
        <f t="shared" si="67"/>
        <v>1805613</v>
      </c>
      <c r="S392" s="42">
        <v>0</v>
      </c>
      <c r="U392" s="42">
        <v>1805613</v>
      </c>
      <c r="W392" s="42">
        <v>2785442</v>
      </c>
      <c r="Y392" s="42">
        <f>3652+817</f>
        <v>4469</v>
      </c>
      <c r="AA392" s="42">
        <f>274926+64827+204500+35719+165226+35983</f>
        <v>781181</v>
      </c>
      <c r="AC392" s="42">
        <v>0</v>
      </c>
      <c r="AE392" s="42">
        <f>10001+71336+1010+11260</f>
        <v>93607</v>
      </c>
      <c r="AG392" s="42">
        <v>-569974</v>
      </c>
      <c r="AI392" s="10">
        <f t="shared" si="65"/>
        <v>309283</v>
      </c>
      <c r="AK392" s="42">
        <f t="shared" si="64"/>
        <v>0</v>
      </c>
    </row>
    <row r="393" spans="1:37">
      <c r="A393" s="9" t="s">
        <v>768</v>
      </c>
      <c r="B393" s="9"/>
      <c r="C393" s="9" t="s">
        <v>64</v>
      </c>
      <c r="D393" s="9"/>
      <c r="E393" s="23">
        <v>45567</v>
      </c>
      <c r="G393" s="42">
        <v>1527013</v>
      </c>
      <c r="I393" s="42">
        <v>0</v>
      </c>
      <c r="K393" s="2">
        <f t="shared" si="66"/>
        <v>4052273</v>
      </c>
      <c r="M393" s="42">
        <v>5579286</v>
      </c>
      <c r="O393" s="42">
        <v>0</v>
      </c>
      <c r="Q393" s="2">
        <f t="shared" si="67"/>
        <v>1473827</v>
      </c>
      <c r="S393" s="42">
        <v>0</v>
      </c>
      <c r="U393" s="42">
        <v>1473827</v>
      </c>
      <c r="W393" s="42">
        <v>3943774</v>
      </c>
      <c r="Y393" s="42">
        <v>1310</v>
      </c>
      <c r="AA393" s="42">
        <v>712310</v>
      </c>
      <c r="AC393" s="42">
        <v>0</v>
      </c>
      <c r="AE393" s="42">
        <v>0</v>
      </c>
      <c r="AG393" s="42">
        <v>-551935</v>
      </c>
      <c r="AI393" s="10">
        <f t="shared" si="65"/>
        <v>161685</v>
      </c>
      <c r="AK393" s="42">
        <f t="shared" si="64"/>
        <v>0</v>
      </c>
    </row>
    <row r="394" spans="1:37" hidden="1">
      <c r="A394" s="9" t="s">
        <v>805</v>
      </c>
      <c r="B394" s="9"/>
      <c r="C394" s="9" t="s">
        <v>48</v>
      </c>
      <c r="D394" s="9"/>
      <c r="E394" s="23">
        <v>48637</v>
      </c>
      <c r="G394" s="42">
        <v>0</v>
      </c>
      <c r="I394" s="42">
        <v>0</v>
      </c>
      <c r="K394" s="2">
        <f t="shared" si="66"/>
        <v>0</v>
      </c>
      <c r="M394" s="42">
        <v>0</v>
      </c>
      <c r="O394" s="42">
        <v>0</v>
      </c>
      <c r="Q394" s="2">
        <f t="shared" si="67"/>
        <v>0</v>
      </c>
      <c r="S394" s="42">
        <v>0</v>
      </c>
      <c r="U394" s="42">
        <v>0</v>
      </c>
      <c r="W394" s="42">
        <v>0</v>
      </c>
      <c r="Y394" s="42">
        <v>0</v>
      </c>
      <c r="AA394" s="42">
        <v>0</v>
      </c>
      <c r="AC394" s="42">
        <v>0</v>
      </c>
      <c r="AE394" s="42">
        <v>0</v>
      </c>
      <c r="AG394" s="42">
        <v>0</v>
      </c>
      <c r="AI394" s="10">
        <f t="shared" si="65"/>
        <v>0</v>
      </c>
      <c r="AK394" s="42">
        <f t="shared" si="64"/>
        <v>0</v>
      </c>
    </row>
    <row r="395" spans="1:37">
      <c r="A395" s="9" t="s">
        <v>601</v>
      </c>
      <c r="B395" s="9"/>
      <c r="C395" s="9" t="s">
        <v>64</v>
      </c>
      <c r="D395" s="9"/>
      <c r="E395" s="23">
        <v>44495</v>
      </c>
      <c r="G395" s="42">
        <v>9620550</v>
      </c>
      <c r="I395" s="42">
        <v>0</v>
      </c>
      <c r="K395" s="2">
        <f t="shared" si="66"/>
        <v>10830521</v>
      </c>
      <c r="M395" s="42">
        <v>20451071</v>
      </c>
      <c r="O395" s="42">
        <v>0</v>
      </c>
      <c r="Q395" s="2">
        <f t="shared" si="67"/>
        <v>3631002</v>
      </c>
      <c r="S395" s="42">
        <v>0</v>
      </c>
      <c r="U395" s="42">
        <v>3631002</v>
      </c>
      <c r="W395" s="42">
        <v>10488396</v>
      </c>
      <c r="Y395" s="42">
        <v>0</v>
      </c>
      <c r="AA395" s="42">
        <v>8268019</v>
      </c>
      <c r="AC395" s="42">
        <v>161043</v>
      </c>
      <c r="AE395" s="42">
        <v>22498</v>
      </c>
      <c r="AG395" s="42">
        <v>-2119887</v>
      </c>
      <c r="AI395" s="10">
        <f t="shared" si="65"/>
        <v>6331673</v>
      </c>
      <c r="AK395" s="42">
        <f t="shared" si="64"/>
        <v>0</v>
      </c>
    </row>
    <row r="396" spans="1:37">
      <c r="A396" s="9" t="s">
        <v>446</v>
      </c>
      <c r="B396" s="9"/>
      <c r="C396" s="9" t="s">
        <v>52</v>
      </c>
      <c r="D396" s="9"/>
      <c r="E396" s="23">
        <v>48900</v>
      </c>
      <c r="G396" s="42">
        <v>3334069</v>
      </c>
      <c r="I396" s="42">
        <v>379</v>
      </c>
      <c r="K396" s="2">
        <f t="shared" si="66"/>
        <v>5323220</v>
      </c>
      <c r="M396" s="42">
        <v>8657668</v>
      </c>
      <c r="O396" s="42">
        <v>0</v>
      </c>
      <c r="Q396" s="2">
        <f t="shared" si="67"/>
        <v>1547034</v>
      </c>
      <c r="S396" s="42">
        <v>0</v>
      </c>
      <c r="U396" s="42">
        <v>1547034</v>
      </c>
      <c r="W396" s="42">
        <v>3677093</v>
      </c>
      <c r="Y396" s="42">
        <v>54260</v>
      </c>
      <c r="AA396" s="42">
        <v>41058</v>
      </c>
      <c r="AC396" s="42">
        <v>0</v>
      </c>
      <c r="AE396" s="42">
        <v>1409534</v>
      </c>
      <c r="AG396" s="42">
        <v>1928689</v>
      </c>
      <c r="AI396" s="10">
        <f t="shared" si="65"/>
        <v>3433541</v>
      </c>
      <c r="AK396" s="42">
        <f t="shared" si="64"/>
        <v>0</v>
      </c>
    </row>
    <row r="397" spans="1:37">
      <c r="A397" s="9" t="s">
        <v>507</v>
      </c>
      <c r="B397" s="9"/>
      <c r="C397" s="9" t="s">
        <v>63</v>
      </c>
      <c r="D397" s="9"/>
      <c r="E397" s="23">
        <v>50047</v>
      </c>
      <c r="G397" s="42">
        <v>13652488</v>
      </c>
      <c r="I397" s="42">
        <v>15298</v>
      </c>
      <c r="K397" s="2">
        <f t="shared" si="66"/>
        <v>34148319</v>
      </c>
      <c r="M397" s="42">
        <v>47816105</v>
      </c>
      <c r="O397" s="42">
        <v>0</v>
      </c>
      <c r="Q397" s="2">
        <f t="shared" si="67"/>
        <v>3280546</v>
      </c>
      <c r="S397" s="42">
        <v>0</v>
      </c>
      <c r="U397" s="42">
        <v>3280546</v>
      </c>
      <c r="W397" s="42">
        <v>32675158</v>
      </c>
      <c r="Y397" s="42">
        <v>50319</v>
      </c>
      <c r="AA397" s="42">
        <v>2434029</v>
      </c>
      <c r="AC397" s="42">
        <v>63370</v>
      </c>
      <c r="AE397" s="42">
        <v>371891</v>
      </c>
      <c r="AG397" s="42">
        <v>8940792</v>
      </c>
      <c r="AI397" s="10">
        <f t="shared" si="65"/>
        <v>11860401</v>
      </c>
      <c r="AK397" s="42">
        <f t="shared" si="64"/>
        <v>0</v>
      </c>
    </row>
    <row r="398" spans="1:37">
      <c r="A398" s="9" t="s">
        <v>551</v>
      </c>
      <c r="B398" s="9"/>
      <c r="C398" s="9" t="s">
        <v>72</v>
      </c>
      <c r="D398" s="9"/>
      <c r="E398" s="23">
        <v>50708</v>
      </c>
      <c r="G398" s="42">
        <v>6169945</v>
      </c>
      <c r="I398" s="42">
        <v>0</v>
      </c>
      <c r="K398" s="2">
        <f t="shared" si="66"/>
        <v>4360232</v>
      </c>
      <c r="M398" s="42">
        <v>10530177</v>
      </c>
      <c r="O398" s="42">
        <v>0</v>
      </c>
      <c r="Q398" s="2">
        <f t="shared" si="67"/>
        <v>4374708</v>
      </c>
      <c r="S398" s="42">
        <v>0</v>
      </c>
      <c r="U398" s="42">
        <v>4374708</v>
      </c>
      <c r="W398" s="42">
        <v>0</v>
      </c>
      <c r="Y398" s="42">
        <v>8370</v>
      </c>
      <c r="AA398" s="42">
        <v>2698420</v>
      </c>
      <c r="AC398" s="42">
        <v>0</v>
      </c>
      <c r="AE398" s="42">
        <v>189463</v>
      </c>
      <c r="AG398" s="42">
        <v>3259216</v>
      </c>
      <c r="AI398" s="10">
        <f t="shared" si="65"/>
        <v>6155469</v>
      </c>
      <c r="AK398" s="42">
        <f t="shared" si="64"/>
        <v>0</v>
      </c>
    </row>
    <row r="399" spans="1:37" hidden="1">
      <c r="A399" s="9" t="s">
        <v>807</v>
      </c>
      <c r="B399" s="9"/>
      <c r="C399" s="9" t="s">
        <v>53</v>
      </c>
      <c r="D399" s="9"/>
      <c r="E399" s="23">
        <v>48967</v>
      </c>
      <c r="G399" s="42">
        <v>0</v>
      </c>
      <c r="I399" s="42">
        <v>0</v>
      </c>
      <c r="K399" s="2">
        <f t="shared" si="66"/>
        <v>0</v>
      </c>
      <c r="M399" s="42">
        <v>0</v>
      </c>
      <c r="O399" s="42">
        <v>0</v>
      </c>
      <c r="Q399" s="2">
        <f t="shared" si="67"/>
        <v>0</v>
      </c>
      <c r="S399" s="42">
        <v>0</v>
      </c>
      <c r="U399" s="42">
        <v>0</v>
      </c>
      <c r="W399" s="42">
        <v>0</v>
      </c>
      <c r="Y399" s="42">
        <v>0</v>
      </c>
      <c r="AA399" s="42">
        <v>0</v>
      </c>
      <c r="AC399" s="42">
        <v>0</v>
      </c>
      <c r="AE399" s="42">
        <v>0</v>
      </c>
      <c r="AG399" s="42">
        <v>0</v>
      </c>
      <c r="AI399" s="10">
        <f t="shared" si="65"/>
        <v>0</v>
      </c>
      <c r="AK399" s="42">
        <f t="shared" ref="AK399:AK462" si="68">+G399+I399+K399+O399-U399-W399-AC399-AA399-Y399-AE399-AG399</f>
        <v>0</v>
      </c>
    </row>
    <row r="400" spans="1:37">
      <c r="A400" s="9" t="s">
        <v>499</v>
      </c>
      <c r="B400" s="9"/>
      <c r="C400" s="9" t="s">
        <v>62</v>
      </c>
      <c r="D400" s="9"/>
      <c r="E400" s="23">
        <v>44503</v>
      </c>
      <c r="G400" s="42">
        <v>8819708</v>
      </c>
      <c r="I400" s="42">
        <v>2542</v>
      </c>
      <c r="K400" s="2">
        <f t="shared" si="66"/>
        <v>26307483</v>
      </c>
      <c r="M400" s="42">
        <v>35129733</v>
      </c>
      <c r="O400" s="42">
        <v>0</v>
      </c>
      <c r="Q400" s="2">
        <f t="shared" si="67"/>
        <v>6742592</v>
      </c>
      <c r="S400" s="42">
        <v>0</v>
      </c>
      <c r="U400" s="42">
        <v>6742592</v>
      </c>
      <c r="W400" s="42">
        <v>25548892</v>
      </c>
      <c r="Y400" s="42">
        <v>76624</v>
      </c>
      <c r="AA400" s="42">
        <f>1492279+46585+104222+55119+444+38608+117961</f>
        <v>1855218</v>
      </c>
      <c r="AC400" s="42">
        <v>87</v>
      </c>
      <c r="AE400" s="42">
        <f>397596+736841+3569+11014+709799+114912</f>
        <v>1973731</v>
      </c>
      <c r="AG400" s="42">
        <v>-1067411</v>
      </c>
      <c r="AI400" s="10">
        <f t="shared" si="65"/>
        <v>2838249</v>
      </c>
      <c r="AK400" s="42">
        <f t="shared" si="68"/>
        <v>0</v>
      </c>
    </row>
    <row r="401" spans="1:37" hidden="1">
      <c r="A401" s="9" t="s">
        <v>808</v>
      </c>
      <c r="B401" s="9"/>
      <c r="C401" s="9" t="s">
        <v>548</v>
      </c>
      <c r="D401" s="9"/>
      <c r="E401" s="23">
        <v>50641</v>
      </c>
      <c r="G401" s="42">
        <v>0</v>
      </c>
      <c r="I401" s="42">
        <v>0</v>
      </c>
      <c r="K401" s="2">
        <f t="shared" si="66"/>
        <v>0</v>
      </c>
      <c r="M401" s="42">
        <v>0</v>
      </c>
      <c r="O401" s="42">
        <v>0</v>
      </c>
      <c r="Q401" s="2">
        <f t="shared" si="67"/>
        <v>0</v>
      </c>
      <c r="S401" s="42">
        <v>0</v>
      </c>
      <c r="U401" s="42">
        <v>0</v>
      </c>
      <c r="W401" s="42">
        <v>0</v>
      </c>
      <c r="Y401" s="42">
        <v>0</v>
      </c>
      <c r="AA401" s="42">
        <v>0</v>
      </c>
      <c r="AC401" s="42">
        <v>0</v>
      </c>
      <c r="AE401" s="42">
        <v>0</v>
      </c>
      <c r="AG401" s="42">
        <v>0</v>
      </c>
      <c r="AI401" s="10">
        <f t="shared" si="65"/>
        <v>0</v>
      </c>
      <c r="AK401" s="42">
        <f t="shared" si="68"/>
        <v>0</v>
      </c>
    </row>
    <row r="402" spans="1:37">
      <c r="A402" s="9" t="s">
        <v>703</v>
      </c>
      <c r="B402" s="9"/>
      <c r="C402" s="9" t="s">
        <v>32</v>
      </c>
      <c r="D402" s="9"/>
      <c r="E402" s="23">
        <v>44511</v>
      </c>
      <c r="G402" s="42">
        <v>2947396</v>
      </c>
      <c r="I402" s="42">
        <v>0</v>
      </c>
      <c r="K402" s="2">
        <f t="shared" si="66"/>
        <v>5559336</v>
      </c>
      <c r="M402" s="42">
        <v>8506732</v>
      </c>
      <c r="O402" s="42">
        <v>0</v>
      </c>
      <c r="Q402" s="2">
        <f t="shared" si="67"/>
        <v>1735631</v>
      </c>
      <c r="S402" s="42">
        <v>0</v>
      </c>
      <c r="U402" s="42">
        <v>1735631</v>
      </c>
      <c r="W402" s="42">
        <v>3444950</v>
      </c>
      <c r="Y402" s="42">
        <v>23097</v>
      </c>
      <c r="AA402" s="42">
        <v>2729487</v>
      </c>
      <c r="AC402" s="42">
        <v>22263</v>
      </c>
      <c r="AE402" s="42">
        <v>1201</v>
      </c>
      <c r="AG402" s="42">
        <v>550103</v>
      </c>
      <c r="AI402" s="10">
        <f t="shared" si="65"/>
        <v>3326151</v>
      </c>
      <c r="AK402" s="42">
        <f t="shared" si="68"/>
        <v>0</v>
      </c>
    </row>
    <row r="403" spans="1:37">
      <c r="A403" s="9" t="s">
        <v>375</v>
      </c>
      <c r="B403" s="9"/>
      <c r="C403" s="9" t="s">
        <v>42</v>
      </c>
      <c r="D403" s="9"/>
      <c r="E403" s="23">
        <v>48025</v>
      </c>
      <c r="G403" s="42">
        <v>4172269</v>
      </c>
      <c r="I403" s="42">
        <v>27758</v>
      </c>
      <c r="K403" s="2">
        <f t="shared" si="66"/>
        <v>6348288</v>
      </c>
      <c r="M403" s="42">
        <v>10548315</v>
      </c>
      <c r="O403" s="42">
        <v>0</v>
      </c>
      <c r="Q403" s="2">
        <f t="shared" si="67"/>
        <v>1961167</v>
      </c>
      <c r="S403" s="42">
        <v>0</v>
      </c>
      <c r="U403" s="42">
        <v>1961167</v>
      </c>
      <c r="W403" s="42">
        <v>4903245</v>
      </c>
      <c r="Y403" s="42">
        <v>1643</v>
      </c>
      <c r="AA403" s="42">
        <f>421768+1651037+342657+6729+52453+27758</f>
        <v>2502402</v>
      </c>
      <c r="AC403" s="42">
        <v>11000</v>
      </c>
      <c r="AE403" s="42">
        <f>61895+5000</f>
        <v>66895</v>
      </c>
      <c r="AG403" s="42">
        <v>1101963</v>
      </c>
      <c r="AI403" s="10">
        <f t="shared" si="65"/>
        <v>3683903</v>
      </c>
      <c r="AK403" s="42">
        <f t="shared" si="68"/>
        <v>0</v>
      </c>
    </row>
    <row r="404" spans="1:37">
      <c r="A404" s="9" t="s">
        <v>269</v>
      </c>
      <c r="B404" s="9"/>
      <c r="C404" s="9" t="s">
        <v>20</v>
      </c>
      <c r="D404" s="9"/>
      <c r="E404" s="23">
        <v>44529</v>
      </c>
      <c r="G404" s="42">
        <v>26269725</v>
      </c>
      <c r="I404" s="42">
        <v>223073</v>
      </c>
      <c r="K404" s="2">
        <f t="shared" si="66"/>
        <v>41452950</v>
      </c>
      <c r="M404" s="42">
        <v>67945748</v>
      </c>
      <c r="O404" s="42">
        <v>0</v>
      </c>
      <c r="Q404" s="2">
        <f t="shared" si="67"/>
        <v>9556845</v>
      </c>
      <c r="S404" s="42">
        <v>0</v>
      </c>
      <c r="U404" s="42">
        <v>9556845</v>
      </c>
      <c r="W404" s="42">
        <v>35377774</v>
      </c>
      <c r="Y404" s="42">
        <v>28923</v>
      </c>
      <c r="AA404" s="42">
        <v>2064303</v>
      </c>
      <c r="AC404" s="42">
        <v>1519073</v>
      </c>
      <c r="AE404" s="42">
        <v>1006641</v>
      </c>
      <c r="AG404" s="42">
        <v>18392189</v>
      </c>
      <c r="AI404" s="10">
        <f t="shared" si="65"/>
        <v>23011129</v>
      </c>
      <c r="AK404" s="42">
        <f t="shared" si="68"/>
        <v>0</v>
      </c>
    </row>
    <row r="405" spans="1:37">
      <c r="A405" s="9" t="s">
        <v>385</v>
      </c>
      <c r="B405" s="9"/>
      <c r="C405" s="9" t="s">
        <v>44</v>
      </c>
      <c r="D405" s="9"/>
      <c r="E405" s="23">
        <v>44537</v>
      </c>
      <c r="G405" s="42">
        <v>5543244</v>
      </c>
      <c r="I405" s="42">
        <v>0</v>
      </c>
      <c r="K405" s="2">
        <f t="shared" si="66"/>
        <v>27397549</v>
      </c>
      <c r="M405" s="42">
        <v>32940793</v>
      </c>
      <c r="O405" s="42">
        <v>0</v>
      </c>
      <c r="Q405" s="2">
        <f t="shared" si="67"/>
        <v>5837429</v>
      </c>
      <c r="S405" s="42">
        <v>0</v>
      </c>
      <c r="U405" s="42">
        <v>5837429</v>
      </c>
      <c r="W405" s="42">
        <v>22953650</v>
      </c>
      <c r="Y405" s="42">
        <v>0</v>
      </c>
      <c r="AA405" s="42">
        <v>792127</v>
      </c>
      <c r="AC405" s="42">
        <v>0</v>
      </c>
      <c r="AE405" s="42">
        <v>476910</v>
      </c>
      <c r="AG405" s="42">
        <v>2880677</v>
      </c>
      <c r="AI405" s="10">
        <f t="shared" si="65"/>
        <v>4149714</v>
      </c>
      <c r="AK405" s="42">
        <f t="shared" si="68"/>
        <v>0</v>
      </c>
    </row>
    <row r="406" spans="1:37">
      <c r="A406" s="9" t="s">
        <v>270</v>
      </c>
      <c r="B406" s="9"/>
      <c r="C406" s="9" t="s">
        <v>20</v>
      </c>
      <c r="D406" s="9"/>
      <c r="E406" s="23">
        <v>44545</v>
      </c>
      <c r="G406" s="42">
        <v>16189731</v>
      </c>
      <c r="I406" s="42">
        <v>0</v>
      </c>
      <c r="K406" s="2">
        <f t="shared" si="66"/>
        <v>39091669</v>
      </c>
      <c r="M406" s="42">
        <v>55281400</v>
      </c>
      <c r="O406" s="42">
        <v>0</v>
      </c>
      <c r="Q406" s="2">
        <f t="shared" si="67"/>
        <v>5819816</v>
      </c>
      <c r="S406" s="42">
        <v>0</v>
      </c>
      <c r="U406" s="42">
        <v>5819816</v>
      </c>
      <c r="W406" s="42">
        <v>33721038</v>
      </c>
      <c r="Y406" s="42">
        <v>174838</v>
      </c>
      <c r="AA406" s="42">
        <v>5255079</v>
      </c>
      <c r="AC406" s="42">
        <v>1200</v>
      </c>
      <c r="AE406" s="42">
        <v>1928311</v>
      </c>
      <c r="AG406" s="42">
        <v>8381118</v>
      </c>
      <c r="AI406" s="10">
        <f t="shared" si="65"/>
        <v>15740546</v>
      </c>
      <c r="AK406" s="42">
        <f t="shared" si="68"/>
        <v>0</v>
      </c>
    </row>
    <row r="407" spans="1:37">
      <c r="A407" s="9" t="s">
        <v>536</v>
      </c>
      <c r="B407" s="9"/>
      <c r="C407" s="9" t="s">
        <v>66</v>
      </c>
      <c r="D407" s="9"/>
      <c r="E407" s="23">
        <v>50336</v>
      </c>
      <c r="G407" s="42">
        <f>11421215+16484</f>
        <v>11437699</v>
      </c>
      <c r="I407" s="42">
        <v>0</v>
      </c>
      <c r="K407" s="2">
        <f t="shared" si="66"/>
        <v>5481954</v>
      </c>
      <c r="M407" s="42">
        <v>16919653</v>
      </c>
      <c r="O407" s="42">
        <v>0</v>
      </c>
      <c r="Q407" s="2">
        <f t="shared" si="67"/>
        <v>1890721</v>
      </c>
      <c r="S407" s="42">
        <v>0</v>
      </c>
      <c r="U407" s="42">
        <v>1890721</v>
      </c>
      <c r="W407" s="42">
        <v>4112233</v>
      </c>
      <c r="Y407" s="42">
        <v>1674</v>
      </c>
      <c r="AA407" s="42">
        <v>1720912</v>
      </c>
      <c r="AC407" s="42">
        <v>0</v>
      </c>
      <c r="AE407" s="42">
        <v>731803</v>
      </c>
      <c r="AG407" s="42">
        <v>8462310</v>
      </c>
      <c r="AI407" s="10">
        <f t="shared" si="65"/>
        <v>10916699</v>
      </c>
      <c r="AK407" s="42">
        <f t="shared" si="68"/>
        <v>0</v>
      </c>
    </row>
    <row r="408" spans="1:37">
      <c r="A408" s="9" t="s">
        <v>231</v>
      </c>
      <c r="B408" s="9"/>
      <c r="C408" s="9" t="s">
        <v>17</v>
      </c>
      <c r="D408" s="9"/>
      <c r="E408" s="23">
        <v>46250</v>
      </c>
      <c r="G408" s="42">
        <f>5335621+4000+11764</f>
        <v>5351385</v>
      </c>
      <c r="I408" s="42">
        <v>0</v>
      </c>
      <c r="K408" s="2">
        <f t="shared" si="66"/>
        <v>13045331</v>
      </c>
      <c r="M408" s="42">
        <v>18396716</v>
      </c>
      <c r="O408" s="42">
        <v>0</v>
      </c>
      <c r="Q408" s="2">
        <f t="shared" si="67"/>
        <v>3668509</v>
      </c>
      <c r="S408" s="42">
        <v>0</v>
      </c>
      <c r="U408" s="42">
        <v>3668509</v>
      </c>
      <c r="W408" s="42">
        <v>10328192</v>
      </c>
      <c r="Y408" s="42">
        <v>112750</v>
      </c>
      <c r="AA408" s="42">
        <v>1423146</v>
      </c>
      <c r="AC408" s="42">
        <v>0</v>
      </c>
      <c r="AE408" s="42">
        <v>1129424</v>
      </c>
      <c r="AG408" s="42">
        <v>1734695</v>
      </c>
      <c r="AI408" s="10">
        <f t="shared" si="65"/>
        <v>4400015</v>
      </c>
      <c r="AK408" s="42">
        <f t="shared" si="68"/>
        <v>0</v>
      </c>
    </row>
    <row r="409" spans="1:37" hidden="1">
      <c r="A409" s="9" t="s">
        <v>809</v>
      </c>
      <c r="B409" s="9"/>
      <c r="C409" s="9" t="s">
        <v>22</v>
      </c>
      <c r="D409" s="9"/>
      <c r="E409" s="23">
        <v>46722</v>
      </c>
      <c r="G409" s="42">
        <v>0</v>
      </c>
      <c r="I409" s="42">
        <v>0</v>
      </c>
      <c r="K409" s="2">
        <f t="shared" si="66"/>
        <v>0</v>
      </c>
      <c r="M409" s="42">
        <v>0</v>
      </c>
      <c r="O409" s="42">
        <v>0</v>
      </c>
      <c r="Q409" s="2">
        <f t="shared" si="67"/>
        <v>0</v>
      </c>
      <c r="S409" s="42">
        <v>0</v>
      </c>
      <c r="U409" s="42">
        <v>0</v>
      </c>
      <c r="W409" s="42">
        <v>0</v>
      </c>
      <c r="Y409" s="42">
        <v>0</v>
      </c>
      <c r="AA409" s="42">
        <v>0</v>
      </c>
      <c r="AC409" s="42">
        <v>0</v>
      </c>
      <c r="AE409" s="42">
        <v>0</v>
      </c>
      <c r="AG409" s="42">
        <v>0</v>
      </c>
      <c r="AI409" s="10">
        <f t="shared" si="65"/>
        <v>0</v>
      </c>
      <c r="AK409" s="42">
        <f t="shared" si="68"/>
        <v>0</v>
      </c>
    </row>
    <row r="410" spans="1:37" hidden="1">
      <c r="A410" s="9" t="s">
        <v>810</v>
      </c>
      <c r="B410" s="9"/>
      <c r="C410" s="9" t="s">
        <v>448</v>
      </c>
      <c r="D410" s="9"/>
      <c r="E410" s="23">
        <v>49056</v>
      </c>
      <c r="G410" s="42">
        <v>0</v>
      </c>
      <c r="I410" s="42">
        <v>0</v>
      </c>
      <c r="K410" s="2">
        <f t="shared" si="66"/>
        <v>0</v>
      </c>
      <c r="M410" s="42">
        <v>0</v>
      </c>
      <c r="O410" s="42">
        <v>0</v>
      </c>
      <c r="Q410" s="2">
        <f t="shared" si="67"/>
        <v>0</v>
      </c>
      <c r="S410" s="42">
        <v>0</v>
      </c>
      <c r="U410" s="42">
        <v>0</v>
      </c>
      <c r="W410" s="42">
        <v>0</v>
      </c>
      <c r="Y410" s="42">
        <v>0</v>
      </c>
      <c r="AA410" s="42">
        <v>0</v>
      </c>
      <c r="AC410" s="42">
        <v>0</v>
      </c>
      <c r="AE410" s="42">
        <v>0</v>
      </c>
      <c r="AG410" s="42">
        <v>0</v>
      </c>
      <c r="AI410" s="10">
        <f t="shared" si="65"/>
        <v>0</v>
      </c>
      <c r="AK410" s="42">
        <f t="shared" si="68"/>
        <v>0</v>
      </c>
    </row>
    <row r="411" spans="1:37">
      <c r="A411" s="9" t="s">
        <v>431</v>
      </c>
      <c r="B411" s="9"/>
      <c r="C411" s="9" t="s">
        <v>50</v>
      </c>
      <c r="D411" s="9"/>
      <c r="E411" s="23">
        <v>48728</v>
      </c>
      <c r="G411" s="42">
        <v>70033009</v>
      </c>
      <c r="I411" s="42">
        <v>126556</v>
      </c>
      <c r="K411" s="2">
        <f t="shared" si="66"/>
        <v>52497099</v>
      </c>
      <c r="M411" s="42">
        <v>122656664</v>
      </c>
      <c r="O411" s="42">
        <v>0</v>
      </c>
      <c r="Q411" s="2">
        <f t="shared" si="67"/>
        <v>60334318</v>
      </c>
      <c r="S411" s="42">
        <v>0</v>
      </c>
      <c r="U411" s="42">
        <v>60334318</v>
      </c>
      <c r="W411" s="42">
        <v>0</v>
      </c>
      <c r="Y411" s="42">
        <v>0</v>
      </c>
      <c r="AA411" s="42">
        <v>57913931</v>
      </c>
      <c r="AC411" s="42">
        <v>0</v>
      </c>
      <c r="AE411" s="42">
        <v>4118014</v>
      </c>
      <c r="AG411" s="42">
        <v>290401</v>
      </c>
      <c r="AI411" s="10">
        <f t="shared" si="65"/>
        <v>62322346</v>
      </c>
      <c r="AK411" s="42">
        <f t="shared" si="68"/>
        <v>0</v>
      </c>
    </row>
    <row r="412" spans="1:37">
      <c r="A412" s="9" t="s">
        <v>439</v>
      </c>
      <c r="B412" s="9"/>
      <c r="C412" s="9" t="s">
        <v>78</v>
      </c>
      <c r="D412" s="9"/>
      <c r="E412" s="23">
        <v>48819</v>
      </c>
      <c r="G412" s="42">
        <f>2072249+51394</f>
        <v>2123643</v>
      </c>
      <c r="I412" s="42">
        <v>0</v>
      </c>
      <c r="K412" s="2">
        <f t="shared" si="66"/>
        <v>5246491</v>
      </c>
      <c r="M412" s="42">
        <v>7370134</v>
      </c>
      <c r="O412" s="42">
        <v>0</v>
      </c>
      <c r="Q412" s="2">
        <f t="shared" si="67"/>
        <v>1733271</v>
      </c>
      <c r="S412" s="42">
        <v>0</v>
      </c>
      <c r="U412" s="42">
        <v>1733271</v>
      </c>
      <c r="W412" s="42">
        <v>3584652</v>
      </c>
      <c r="Y412" s="42">
        <f>15603+17894+26122</f>
        <v>59619</v>
      </c>
      <c r="AA412" s="42">
        <f>428595+1297290+158347+117482+80+226+35209+9817</f>
        <v>2047046</v>
      </c>
      <c r="AC412" s="42">
        <f>4216+35703</f>
        <v>39919</v>
      </c>
      <c r="AE412" s="42">
        <f>9674+120</f>
        <v>9794</v>
      </c>
      <c r="AG412" s="42">
        <v>-104167</v>
      </c>
      <c r="AI412" s="10">
        <f t="shared" ref="AI412:AI478" si="69">Y412+AA412+AC412+AE412+AG412</f>
        <v>2052211</v>
      </c>
      <c r="AK412" s="42">
        <f t="shared" si="68"/>
        <v>0</v>
      </c>
    </row>
    <row r="413" spans="1:37">
      <c r="A413" s="9" t="s">
        <v>376</v>
      </c>
      <c r="B413" s="9"/>
      <c r="C413" s="9" t="s">
        <v>42</v>
      </c>
      <c r="D413" s="9"/>
      <c r="E413" s="23">
        <v>48033</v>
      </c>
      <c r="G413" s="42">
        <f>9047502+2057</f>
        <v>9049559</v>
      </c>
      <c r="I413" s="42">
        <v>0</v>
      </c>
      <c r="K413" s="2">
        <f t="shared" si="66"/>
        <v>7645861</v>
      </c>
      <c r="M413" s="42">
        <v>16695420</v>
      </c>
      <c r="O413" s="42">
        <v>0</v>
      </c>
      <c r="Q413" s="2">
        <f t="shared" si="67"/>
        <v>1101624</v>
      </c>
      <c r="S413" s="42">
        <v>0</v>
      </c>
      <c r="U413" s="42">
        <v>1101624</v>
      </c>
      <c r="W413" s="42">
        <v>6795546</v>
      </c>
      <c r="Y413" s="42">
        <v>12423</v>
      </c>
      <c r="AA413" s="42">
        <v>914182</v>
      </c>
      <c r="AC413" s="42">
        <v>237869</v>
      </c>
      <c r="AE413" s="42">
        <v>51634</v>
      </c>
      <c r="AG413" s="42">
        <v>7582142</v>
      </c>
      <c r="AI413" s="10">
        <f t="shared" si="69"/>
        <v>8798250</v>
      </c>
      <c r="AK413" s="42">
        <f t="shared" si="68"/>
        <v>0</v>
      </c>
    </row>
    <row r="414" spans="1:37">
      <c r="A414" s="9" t="s">
        <v>376</v>
      </c>
      <c r="B414" s="9"/>
      <c r="C414" s="9" t="s">
        <v>50</v>
      </c>
      <c r="D414" s="9"/>
      <c r="E414" s="23">
        <v>48736</v>
      </c>
      <c r="G414" s="42">
        <f>7609605+2000</f>
        <v>7611605</v>
      </c>
      <c r="I414" s="42">
        <f>2492749+52637</f>
        <v>2545386</v>
      </c>
      <c r="K414" s="2">
        <f t="shared" si="66"/>
        <v>10466116</v>
      </c>
      <c r="M414" s="42">
        <v>20623107</v>
      </c>
      <c r="O414" s="42">
        <v>0</v>
      </c>
      <c r="Q414" s="2">
        <f t="shared" si="67"/>
        <v>1652476</v>
      </c>
      <c r="S414" s="42">
        <v>0</v>
      </c>
      <c r="U414" s="42">
        <v>1652476</v>
      </c>
      <c r="W414" s="42">
        <v>9915234</v>
      </c>
      <c r="Y414" s="42">
        <v>15199</v>
      </c>
      <c r="AA414" s="42">
        <v>3784461</v>
      </c>
      <c r="AC414" s="42">
        <v>0</v>
      </c>
      <c r="AE414" s="42">
        <v>442293</v>
      </c>
      <c r="AG414" s="42">
        <v>4813444</v>
      </c>
      <c r="AI414" s="10">
        <f t="shared" si="69"/>
        <v>9055397</v>
      </c>
      <c r="AK414" s="42">
        <f t="shared" si="68"/>
        <v>0</v>
      </c>
    </row>
    <row r="415" spans="1:37">
      <c r="A415" s="9" t="s">
        <v>325</v>
      </c>
      <c r="B415" s="9"/>
      <c r="C415" s="9" t="s">
        <v>32</v>
      </c>
      <c r="D415" s="9"/>
      <c r="E415" s="23">
        <v>47365</v>
      </c>
      <c r="G415" s="42">
        <v>35785024</v>
      </c>
      <c r="I415" s="42">
        <v>0</v>
      </c>
      <c r="K415" s="2">
        <f t="shared" si="66"/>
        <v>55326899</v>
      </c>
      <c r="M415" s="42">
        <v>91111923</v>
      </c>
      <c r="O415" s="42">
        <v>0</v>
      </c>
      <c r="Q415" s="2">
        <f t="shared" si="67"/>
        <v>10467337</v>
      </c>
      <c r="S415" s="42">
        <v>0</v>
      </c>
      <c r="U415" s="42">
        <v>10467337</v>
      </c>
      <c r="W415" s="42">
        <v>34755395</v>
      </c>
      <c r="Y415" s="42">
        <v>79000</v>
      </c>
      <c r="AA415" s="42">
        <v>7145000</v>
      </c>
      <c r="AC415" s="42">
        <v>7341409</v>
      </c>
      <c r="AE415" s="42">
        <v>931943</v>
      </c>
      <c r="AG415" s="42">
        <v>30391839</v>
      </c>
      <c r="AI415" s="10">
        <f t="shared" si="69"/>
        <v>45889191</v>
      </c>
      <c r="AK415" s="42">
        <f t="shared" si="68"/>
        <v>0</v>
      </c>
    </row>
    <row r="416" spans="1:37">
      <c r="A416" s="9" t="s">
        <v>592</v>
      </c>
      <c r="B416" s="9"/>
      <c r="C416" s="9" t="s">
        <v>59</v>
      </c>
      <c r="D416" s="9"/>
      <c r="E416" s="23">
        <v>49635</v>
      </c>
      <c r="G416" s="42">
        <v>1032530</v>
      </c>
      <c r="I416" s="42">
        <v>87229</v>
      </c>
      <c r="K416" s="2">
        <f t="shared" si="66"/>
        <v>3094913</v>
      </c>
      <c r="M416" s="42">
        <v>4214672</v>
      </c>
      <c r="O416" s="42">
        <v>0</v>
      </c>
      <c r="Q416" s="2">
        <f t="shared" si="67"/>
        <v>2297507</v>
      </c>
      <c r="S416" s="42">
        <v>0</v>
      </c>
      <c r="U416" s="42">
        <v>2297507</v>
      </c>
      <c r="W416" s="42">
        <v>2514411</v>
      </c>
      <c r="Y416" s="42">
        <v>0</v>
      </c>
      <c r="AA416" s="42">
        <v>903244</v>
      </c>
      <c r="AC416" s="42">
        <v>15505</v>
      </c>
      <c r="AE416" s="42">
        <v>87357</v>
      </c>
      <c r="AG416" s="42">
        <v>-1603352</v>
      </c>
      <c r="AI416" s="10">
        <f t="shared" si="69"/>
        <v>-597246</v>
      </c>
      <c r="AK416" s="42">
        <f t="shared" si="68"/>
        <v>0</v>
      </c>
    </row>
    <row r="417" spans="1:37">
      <c r="A417" s="9" t="s">
        <v>325</v>
      </c>
      <c r="B417" s="9"/>
      <c r="C417" s="9" t="s">
        <v>62</v>
      </c>
      <c r="D417" s="9"/>
      <c r="E417" s="23">
        <v>49908</v>
      </c>
      <c r="G417" s="42">
        <f>5168003+391234</f>
        <v>5559237</v>
      </c>
      <c r="I417" s="42">
        <v>220000</v>
      </c>
      <c r="K417" s="2">
        <f t="shared" si="66"/>
        <v>9311060</v>
      </c>
      <c r="M417" s="42">
        <v>15090297</v>
      </c>
      <c r="O417" s="42">
        <v>0</v>
      </c>
      <c r="Q417" s="2">
        <f t="shared" si="67"/>
        <v>4060768</v>
      </c>
      <c r="S417" s="42">
        <v>0</v>
      </c>
      <c r="U417" s="42">
        <v>4060768</v>
      </c>
      <c r="W417" s="42">
        <v>7827011</v>
      </c>
      <c r="Y417" s="42">
        <f>52925+13158</f>
        <v>66083</v>
      </c>
      <c r="AA417" s="42">
        <f>1199005+342607+309231+90121+52605+3572+17156</f>
        <v>2014297</v>
      </c>
      <c r="AC417" s="42">
        <v>42381</v>
      </c>
      <c r="AE417" s="42">
        <f>15810+85111+3408+32</f>
        <v>104361</v>
      </c>
      <c r="AG417" s="42">
        <v>975396</v>
      </c>
      <c r="AI417" s="10">
        <f t="shared" si="69"/>
        <v>3202518</v>
      </c>
      <c r="AK417" s="42">
        <f t="shared" si="68"/>
        <v>0</v>
      </c>
    </row>
    <row r="418" spans="1:37">
      <c r="A418" s="9" t="s">
        <v>232</v>
      </c>
      <c r="B418" s="9"/>
      <c r="C418" s="9" t="s">
        <v>17</v>
      </c>
      <c r="D418" s="9"/>
      <c r="E418" s="23">
        <v>46268</v>
      </c>
      <c r="G418" s="42">
        <v>6785272</v>
      </c>
      <c r="I418" s="42">
        <f>13382709+1101347</f>
        <v>14484056</v>
      </c>
      <c r="K418" s="2">
        <f t="shared" si="66"/>
        <v>9387220</v>
      </c>
      <c r="M418" s="42">
        <v>30656548</v>
      </c>
      <c r="O418" s="42">
        <v>0</v>
      </c>
      <c r="Q418" s="2">
        <f t="shared" si="67"/>
        <v>6666750</v>
      </c>
      <c r="S418" s="42">
        <v>0</v>
      </c>
      <c r="U418" s="42">
        <v>6666750</v>
      </c>
      <c r="W418" s="42">
        <v>7200463</v>
      </c>
      <c r="Y418" s="42">
        <v>60771</v>
      </c>
      <c r="AA418" s="42">
        <v>12427245</v>
      </c>
      <c r="AC418" s="42">
        <v>102766</v>
      </c>
      <c r="AE418" s="42">
        <v>194289</v>
      </c>
      <c r="AG418" s="42">
        <v>4004264</v>
      </c>
      <c r="AI418" s="10">
        <f t="shared" si="69"/>
        <v>16789335</v>
      </c>
      <c r="AK418" s="42">
        <f t="shared" si="68"/>
        <v>0</v>
      </c>
    </row>
    <row r="419" spans="1:37" hidden="1">
      <c r="A419" s="9" t="s">
        <v>733</v>
      </c>
      <c r="B419" s="9"/>
      <c r="C419" s="9" t="s">
        <v>71</v>
      </c>
      <c r="D419" s="9"/>
      <c r="E419" s="23">
        <v>50575</v>
      </c>
      <c r="G419" s="42">
        <v>0</v>
      </c>
      <c r="I419" s="42">
        <v>0</v>
      </c>
      <c r="K419" s="2"/>
      <c r="M419" s="42">
        <v>0</v>
      </c>
      <c r="O419" s="42">
        <v>0</v>
      </c>
      <c r="Q419" s="2"/>
      <c r="S419" s="42">
        <v>0</v>
      </c>
      <c r="U419" s="42">
        <v>0</v>
      </c>
      <c r="W419" s="42">
        <v>0</v>
      </c>
      <c r="Y419" s="42">
        <v>0</v>
      </c>
      <c r="AA419" s="42">
        <v>0</v>
      </c>
      <c r="AC419" s="42">
        <v>0</v>
      </c>
      <c r="AE419" s="42">
        <v>0</v>
      </c>
      <c r="AG419" s="42">
        <v>0</v>
      </c>
      <c r="AI419" s="10"/>
      <c r="AK419" s="42">
        <f t="shared" si="68"/>
        <v>0</v>
      </c>
    </row>
    <row r="420" spans="1:37" hidden="1">
      <c r="A420" s="8" t="s">
        <v>868</v>
      </c>
      <c r="B420" s="9"/>
      <c r="C420" s="9" t="s">
        <v>72</v>
      </c>
      <c r="D420" s="9"/>
      <c r="E420" s="23">
        <v>50716</v>
      </c>
      <c r="G420" s="42">
        <v>0</v>
      </c>
      <c r="I420" s="42">
        <v>0</v>
      </c>
      <c r="K420" s="2">
        <f t="shared" si="66"/>
        <v>0</v>
      </c>
      <c r="M420" s="42">
        <v>0</v>
      </c>
      <c r="O420" s="42">
        <v>0</v>
      </c>
      <c r="Q420" s="2">
        <f t="shared" si="67"/>
        <v>0</v>
      </c>
      <c r="S420" s="42">
        <v>0</v>
      </c>
      <c r="U420" s="42">
        <v>0</v>
      </c>
      <c r="W420" s="42">
        <v>0</v>
      </c>
      <c r="Y420" s="42">
        <v>0</v>
      </c>
      <c r="AA420" s="42">
        <v>0</v>
      </c>
      <c r="AC420" s="42">
        <v>0</v>
      </c>
      <c r="AE420" s="42">
        <v>0</v>
      </c>
      <c r="AG420" s="42">
        <v>0</v>
      </c>
      <c r="AI420" s="10">
        <f t="shared" si="69"/>
        <v>0</v>
      </c>
      <c r="AK420" s="42">
        <f t="shared" si="68"/>
        <v>0</v>
      </c>
    </row>
    <row r="421" spans="1:37">
      <c r="A421" s="9" t="s">
        <v>508</v>
      </c>
      <c r="B421" s="9"/>
      <c r="C421" s="9" t="s">
        <v>63</v>
      </c>
      <c r="D421" s="9"/>
      <c r="E421" s="23">
        <v>44552</v>
      </c>
      <c r="G421" s="42">
        <v>5979498</v>
      </c>
      <c r="I421" s="42">
        <v>15909</v>
      </c>
      <c r="K421" s="2">
        <f t="shared" si="66"/>
        <v>10119296</v>
      </c>
      <c r="M421" s="42">
        <v>16114703</v>
      </c>
      <c r="O421" s="42">
        <v>0</v>
      </c>
      <c r="Q421" s="2">
        <f t="shared" si="67"/>
        <v>2359709</v>
      </c>
      <c r="S421" s="42">
        <v>0</v>
      </c>
      <c r="U421" s="42">
        <v>2359709</v>
      </c>
      <c r="W421" s="42">
        <v>9248111</v>
      </c>
      <c r="Y421" s="42">
        <v>108520</v>
      </c>
      <c r="AA421" s="42">
        <v>2591169</v>
      </c>
      <c r="AC421" s="42">
        <v>11000</v>
      </c>
      <c r="AE421" s="42">
        <v>1863530</v>
      </c>
      <c r="AG421" s="42">
        <v>-67336</v>
      </c>
      <c r="AI421" s="10">
        <f t="shared" si="69"/>
        <v>4506883</v>
      </c>
      <c r="AK421" s="42">
        <f t="shared" si="68"/>
        <v>0</v>
      </c>
    </row>
    <row r="422" spans="1:37">
      <c r="A422" s="9" t="s">
        <v>356</v>
      </c>
      <c r="B422" s="9"/>
      <c r="C422" s="9" t="s">
        <v>37</v>
      </c>
      <c r="D422" s="9"/>
      <c r="E422" s="23">
        <v>44560</v>
      </c>
      <c r="G422" s="42">
        <v>8325232</v>
      </c>
      <c r="I422" s="42">
        <v>717700</v>
      </c>
      <c r="K422" s="2">
        <f t="shared" si="66"/>
        <v>9243237</v>
      </c>
      <c r="M422" s="42">
        <v>18286169</v>
      </c>
      <c r="O422" s="42">
        <v>0</v>
      </c>
      <c r="Q422" s="2">
        <f t="shared" si="67"/>
        <v>9873589</v>
      </c>
      <c r="S422" s="42">
        <v>0</v>
      </c>
      <c r="U422" s="42">
        <v>9873589</v>
      </c>
      <c r="W422" s="42">
        <v>0</v>
      </c>
      <c r="Y422" s="42">
        <v>9346</v>
      </c>
      <c r="AA422" s="42">
        <v>3987136</v>
      </c>
      <c r="AC422" s="42">
        <v>10947</v>
      </c>
      <c r="AE422" s="42">
        <v>508855</v>
      </c>
      <c r="AG422" s="42">
        <v>3896296</v>
      </c>
      <c r="AI422" s="10">
        <f t="shared" si="69"/>
        <v>8412580</v>
      </c>
      <c r="AK422" s="42">
        <f t="shared" si="68"/>
        <v>0</v>
      </c>
    </row>
    <row r="423" spans="1:37" hidden="1">
      <c r="A423" s="9" t="s">
        <v>811</v>
      </c>
      <c r="B423" s="9"/>
      <c r="C423" s="9" t="s">
        <v>71</v>
      </c>
      <c r="D423" s="9"/>
      <c r="E423" s="23">
        <v>50567</v>
      </c>
      <c r="G423" s="42">
        <v>0</v>
      </c>
      <c r="I423" s="42">
        <v>0</v>
      </c>
      <c r="K423" s="2">
        <f t="shared" ref="K423" si="70">M423-G423-I423</f>
        <v>0</v>
      </c>
      <c r="M423" s="42">
        <v>0</v>
      </c>
      <c r="O423" s="42">
        <v>0</v>
      </c>
      <c r="Q423" s="2">
        <f t="shared" ref="Q423" si="71">U423-S423</f>
        <v>0</v>
      </c>
      <c r="S423" s="42">
        <v>0</v>
      </c>
      <c r="U423" s="42">
        <v>0</v>
      </c>
      <c r="W423" s="42">
        <v>0</v>
      </c>
      <c r="Y423" s="42">
        <v>0</v>
      </c>
      <c r="AA423" s="42">
        <v>0</v>
      </c>
      <c r="AC423" s="42">
        <v>0</v>
      </c>
      <c r="AE423" s="42">
        <v>0</v>
      </c>
      <c r="AG423" s="42">
        <v>0</v>
      </c>
      <c r="AI423" s="10">
        <f t="shared" ref="AI423" si="72">Y423+AA423+AC423+AE423+AG423</f>
        <v>0</v>
      </c>
      <c r="AK423" s="42">
        <f t="shared" si="68"/>
        <v>0</v>
      </c>
    </row>
    <row r="424" spans="1:37">
      <c r="A424" s="9" t="s">
        <v>626</v>
      </c>
      <c r="B424" s="9"/>
      <c r="C424" s="9" t="s">
        <v>32</v>
      </c>
      <c r="D424" s="9"/>
      <c r="E424" s="23">
        <v>44578</v>
      </c>
      <c r="G424" s="42">
        <v>6980637</v>
      </c>
      <c r="I424" s="42">
        <v>20000</v>
      </c>
      <c r="K424" s="2">
        <f t="shared" si="66"/>
        <v>17538795</v>
      </c>
      <c r="M424" s="42">
        <v>24539432</v>
      </c>
      <c r="O424" s="42">
        <v>0</v>
      </c>
      <c r="Q424" s="2">
        <f t="shared" si="67"/>
        <v>14694528</v>
      </c>
      <c r="S424" s="42">
        <v>0</v>
      </c>
      <c r="U424" s="42">
        <v>14694528</v>
      </c>
      <c r="W424" s="42">
        <v>0</v>
      </c>
      <c r="Y424" s="42">
        <v>37626</v>
      </c>
      <c r="AA424" s="42">
        <v>4086758</v>
      </c>
      <c r="AC424" s="42">
        <v>0</v>
      </c>
      <c r="AE424" s="42">
        <v>2085724</v>
      </c>
      <c r="AG424" s="42">
        <v>3634796</v>
      </c>
      <c r="AI424" s="10">
        <f t="shared" si="69"/>
        <v>9844904</v>
      </c>
      <c r="AK424" s="42">
        <f t="shared" si="68"/>
        <v>0</v>
      </c>
    </row>
    <row r="425" spans="1:37" hidden="1">
      <c r="A425" s="9" t="s">
        <v>732</v>
      </c>
      <c r="B425" s="9"/>
      <c r="C425" s="9" t="s">
        <v>38</v>
      </c>
      <c r="D425" s="9"/>
      <c r="E425" s="23">
        <v>47761</v>
      </c>
      <c r="G425" s="42">
        <v>0</v>
      </c>
      <c r="I425" s="42">
        <v>0</v>
      </c>
      <c r="K425" s="2"/>
      <c r="M425" s="42">
        <v>0</v>
      </c>
      <c r="O425" s="42">
        <v>0</v>
      </c>
      <c r="Q425" s="2"/>
      <c r="S425" s="42">
        <v>0</v>
      </c>
      <c r="U425" s="42">
        <v>0</v>
      </c>
      <c r="W425" s="42">
        <v>0</v>
      </c>
      <c r="Y425" s="42">
        <v>0</v>
      </c>
      <c r="AA425" s="42">
        <v>0</v>
      </c>
      <c r="AC425" s="42">
        <v>0</v>
      </c>
      <c r="AE425" s="42">
        <v>0</v>
      </c>
      <c r="AG425" s="42">
        <v>0</v>
      </c>
      <c r="AI425" s="10"/>
      <c r="AK425" s="42">
        <f t="shared" si="68"/>
        <v>0</v>
      </c>
    </row>
    <row r="426" spans="1:37">
      <c r="A426" s="9" t="s">
        <v>326</v>
      </c>
      <c r="B426" s="9"/>
      <c r="C426" s="9" t="s">
        <v>32</v>
      </c>
      <c r="D426" s="9"/>
      <c r="E426" s="23">
        <v>47373</v>
      </c>
      <c r="G426" s="42">
        <v>24836688</v>
      </c>
      <c r="I426" s="42">
        <v>0</v>
      </c>
      <c r="K426" s="2">
        <f t="shared" si="66"/>
        <v>39976558</v>
      </c>
      <c r="M426" s="42">
        <v>64813246</v>
      </c>
      <c r="O426" s="42">
        <v>0</v>
      </c>
      <c r="Q426" s="2">
        <f t="shared" si="67"/>
        <v>36315497</v>
      </c>
      <c r="S426" s="42">
        <v>0</v>
      </c>
      <c r="U426" s="42">
        <v>36315497</v>
      </c>
      <c r="W426" s="42">
        <v>0</v>
      </c>
      <c r="Y426" s="42">
        <v>6838</v>
      </c>
      <c r="AA426" s="42">
        <v>3812737</v>
      </c>
      <c r="AC426" s="42">
        <v>8476565</v>
      </c>
      <c r="AE426" s="42">
        <v>3988644</v>
      </c>
      <c r="AG426" s="42">
        <v>12212965</v>
      </c>
      <c r="AI426" s="10">
        <f t="shared" si="69"/>
        <v>28497749</v>
      </c>
      <c r="AK426" s="42">
        <f t="shared" si="68"/>
        <v>0</v>
      </c>
    </row>
    <row r="427" spans="1:37">
      <c r="A427" s="9" t="s">
        <v>432</v>
      </c>
      <c r="B427" s="9"/>
      <c r="C427" s="9" t="s">
        <v>50</v>
      </c>
      <c r="D427" s="9"/>
      <c r="E427" s="23">
        <v>44586</v>
      </c>
      <c r="G427" s="42">
        <f>3220851+2468</f>
        <v>3223319</v>
      </c>
      <c r="I427" s="42">
        <v>0</v>
      </c>
      <c r="K427" s="2">
        <f t="shared" si="66"/>
        <v>16116367</v>
      </c>
      <c r="M427" s="42">
        <v>19339686</v>
      </c>
      <c r="O427" s="42">
        <v>0</v>
      </c>
      <c r="Q427" s="2">
        <f t="shared" si="67"/>
        <v>3246254</v>
      </c>
      <c r="S427" s="42">
        <v>0</v>
      </c>
      <c r="U427" s="42">
        <v>3246254</v>
      </c>
      <c r="W427" s="42">
        <v>15041864</v>
      </c>
      <c r="Y427" s="42">
        <v>26157</v>
      </c>
      <c r="AA427" s="42">
        <v>2008558</v>
      </c>
      <c r="AC427" s="42">
        <v>209339</v>
      </c>
      <c r="AE427" s="42">
        <v>1107905</v>
      </c>
      <c r="AG427" s="42">
        <v>-2300391</v>
      </c>
      <c r="AI427" s="10">
        <f t="shared" si="69"/>
        <v>1051568</v>
      </c>
      <c r="AK427" s="42">
        <f t="shared" si="68"/>
        <v>0</v>
      </c>
    </row>
    <row r="428" spans="1:37">
      <c r="A428" s="9" t="s">
        <v>386</v>
      </c>
      <c r="B428" s="9"/>
      <c r="C428" s="9" t="s">
        <v>44</v>
      </c>
      <c r="D428" s="9"/>
      <c r="E428" s="23">
        <v>44594</v>
      </c>
      <c r="G428" s="42">
        <v>1496002</v>
      </c>
      <c r="I428" s="42">
        <v>0</v>
      </c>
      <c r="K428" s="2">
        <f t="shared" si="66"/>
        <v>6939899</v>
      </c>
      <c r="M428" s="42">
        <v>8435901</v>
      </c>
      <c r="O428" s="42">
        <v>0</v>
      </c>
      <c r="Q428" s="2">
        <f t="shared" si="67"/>
        <v>1819449</v>
      </c>
      <c r="S428" s="42">
        <v>0</v>
      </c>
      <c r="U428" s="42">
        <v>1819449</v>
      </c>
      <c r="W428" s="42">
        <v>4803060</v>
      </c>
      <c r="Y428" s="42">
        <v>2897</v>
      </c>
      <c r="AA428" s="42">
        <v>174405</v>
      </c>
      <c r="AC428" s="42">
        <v>0</v>
      </c>
      <c r="AE428" s="42">
        <v>496299</v>
      </c>
      <c r="AG428" s="42">
        <v>1139791</v>
      </c>
      <c r="AI428" s="10">
        <f t="shared" si="69"/>
        <v>1813392</v>
      </c>
      <c r="AK428" s="42">
        <f t="shared" si="68"/>
        <v>0</v>
      </c>
    </row>
    <row r="429" spans="1:37" hidden="1">
      <c r="A429" s="9" t="s">
        <v>609</v>
      </c>
      <c r="B429" s="9"/>
      <c r="C429" s="9" t="s">
        <v>60</v>
      </c>
      <c r="D429" s="9"/>
      <c r="E429" s="23">
        <v>49726</v>
      </c>
      <c r="G429" s="42">
        <v>0</v>
      </c>
      <c r="I429" s="42">
        <v>0</v>
      </c>
      <c r="K429" s="2">
        <f t="shared" si="66"/>
        <v>0</v>
      </c>
      <c r="M429" s="42">
        <v>0</v>
      </c>
      <c r="O429" s="42">
        <v>0</v>
      </c>
      <c r="Q429" s="2">
        <f t="shared" si="67"/>
        <v>0</v>
      </c>
      <c r="S429" s="42">
        <v>0</v>
      </c>
      <c r="U429" s="42">
        <v>0</v>
      </c>
      <c r="W429" s="42">
        <v>0</v>
      </c>
      <c r="Y429" s="42">
        <v>0</v>
      </c>
      <c r="AA429" s="42">
        <v>0</v>
      </c>
      <c r="AC429" s="42">
        <v>0</v>
      </c>
      <c r="AE429" s="42">
        <v>0</v>
      </c>
      <c r="AG429" s="42">
        <v>0</v>
      </c>
      <c r="AI429" s="10">
        <f t="shared" si="69"/>
        <v>0</v>
      </c>
      <c r="AK429" s="42">
        <f t="shared" si="68"/>
        <v>0</v>
      </c>
    </row>
    <row r="430" spans="1:37">
      <c r="A430" s="9" t="s">
        <v>282</v>
      </c>
      <c r="B430" s="9"/>
      <c r="C430" s="9" t="s">
        <v>23</v>
      </c>
      <c r="D430" s="9"/>
      <c r="E430" s="23">
        <v>46763</v>
      </c>
      <c r="G430" s="42">
        <v>81568403</v>
      </c>
      <c r="I430" s="42">
        <v>283573</v>
      </c>
      <c r="K430" s="2">
        <f t="shared" si="66"/>
        <v>169070485</v>
      </c>
      <c r="M430" s="42">
        <v>250922461</v>
      </c>
      <c r="O430" s="42">
        <v>0</v>
      </c>
      <c r="Q430" s="2">
        <f t="shared" si="67"/>
        <v>23000341</v>
      </c>
      <c r="S430" s="42">
        <v>0</v>
      </c>
      <c r="U430" s="42">
        <v>23000341</v>
      </c>
      <c r="W430" s="42">
        <v>128001744</v>
      </c>
      <c r="Y430" s="42">
        <v>436884</v>
      </c>
      <c r="AA430" s="42">
        <v>41705723</v>
      </c>
      <c r="AC430" s="42">
        <v>0</v>
      </c>
      <c r="AE430" s="42">
        <v>2738579</v>
      </c>
      <c r="AG430" s="42">
        <v>55039190</v>
      </c>
      <c r="AI430" s="10">
        <f t="shared" si="69"/>
        <v>99920376</v>
      </c>
      <c r="AK430" s="42">
        <f t="shared" si="68"/>
        <v>0</v>
      </c>
    </row>
    <row r="431" spans="1:37">
      <c r="A431" s="9" t="s">
        <v>271</v>
      </c>
      <c r="B431" s="9"/>
      <c r="C431" s="9" t="s">
        <v>20</v>
      </c>
      <c r="D431" s="9"/>
      <c r="E431" s="23">
        <v>46573</v>
      </c>
      <c r="G431" s="42">
        <v>14292729</v>
      </c>
      <c r="I431" s="42">
        <v>0</v>
      </c>
      <c r="K431" s="2">
        <f t="shared" si="66"/>
        <v>30936253</v>
      </c>
      <c r="M431" s="42">
        <v>45228982</v>
      </c>
      <c r="O431" s="42">
        <v>0</v>
      </c>
      <c r="Q431" s="2">
        <f t="shared" si="67"/>
        <v>7429261</v>
      </c>
      <c r="S431" s="42">
        <v>0</v>
      </c>
      <c r="U431" s="42">
        <v>7429261</v>
      </c>
      <c r="W431" s="42">
        <v>26941473</v>
      </c>
      <c r="Y431" s="42">
        <v>405527</v>
      </c>
      <c r="AA431" s="42">
        <v>3995460</v>
      </c>
      <c r="AC431" s="42">
        <v>10000</v>
      </c>
      <c r="AE431" s="42">
        <v>1852809</v>
      </c>
      <c r="AG431" s="42">
        <v>4594452</v>
      </c>
      <c r="AI431" s="10">
        <f t="shared" si="69"/>
        <v>10858248</v>
      </c>
      <c r="AK431" s="42">
        <f t="shared" si="68"/>
        <v>0</v>
      </c>
    </row>
    <row r="432" spans="1:37">
      <c r="A432" s="9" t="s">
        <v>467</v>
      </c>
      <c r="B432" s="9"/>
      <c r="C432" s="9" t="s">
        <v>109</v>
      </c>
      <c r="D432" s="9"/>
      <c r="E432" s="23">
        <v>49478</v>
      </c>
      <c r="G432" s="42">
        <v>7197569</v>
      </c>
      <c r="I432" s="42">
        <v>0</v>
      </c>
      <c r="K432" s="2">
        <f t="shared" si="66"/>
        <v>10956980</v>
      </c>
      <c r="M432" s="42">
        <v>18154549</v>
      </c>
      <c r="O432" s="42">
        <v>0</v>
      </c>
      <c r="Q432" s="2">
        <f t="shared" si="67"/>
        <v>2433050</v>
      </c>
      <c r="S432" s="42">
        <v>0</v>
      </c>
      <c r="U432" s="42">
        <v>2433050</v>
      </c>
      <c r="W432" s="42">
        <v>8480857</v>
      </c>
      <c r="Y432" s="42">
        <f>220411+2436</f>
        <v>222847</v>
      </c>
      <c r="AA432" s="42">
        <f>2583281+64835+45613+63+66551</f>
        <v>2760343</v>
      </c>
      <c r="AC432" s="42">
        <v>0</v>
      </c>
      <c r="AE432" s="42">
        <f>57660+2314</f>
        <v>59974</v>
      </c>
      <c r="AG432" s="42">
        <v>4197478</v>
      </c>
      <c r="AI432" s="10">
        <f t="shared" si="69"/>
        <v>7240642</v>
      </c>
      <c r="AK432" s="42">
        <f t="shared" si="68"/>
        <v>0</v>
      </c>
    </row>
    <row r="433" spans="1:37">
      <c r="A433" s="9" t="s">
        <v>272</v>
      </c>
      <c r="B433" s="9"/>
      <c r="C433" s="9" t="s">
        <v>20</v>
      </c>
      <c r="D433" s="9"/>
      <c r="E433" s="23">
        <v>46581</v>
      </c>
      <c r="G433" s="42">
        <f>40123868+824844</f>
        <v>40948712</v>
      </c>
      <c r="I433" s="42">
        <v>0</v>
      </c>
      <c r="K433" s="2">
        <f t="shared" si="66"/>
        <v>44193886</v>
      </c>
      <c r="M433" s="42">
        <v>85142598</v>
      </c>
      <c r="O433" s="42">
        <v>0</v>
      </c>
      <c r="Q433" s="2">
        <f t="shared" si="67"/>
        <v>6132759</v>
      </c>
      <c r="S433" s="42">
        <v>0</v>
      </c>
      <c r="U433" s="42">
        <v>6132759</v>
      </c>
      <c r="W433" s="42">
        <v>38102450</v>
      </c>
      <c r="Y433" s="42">
        <f>108063+10413+29894</f>
        <v>148370</v>
      </c>
      <c r="AA433" s="42">
        <f>3933451+5393768+149213+37236+4686+215+23395+149185</f>
        <v>9691149</v>
      </c>
      <c r="AC433" s="42">
        <f>1692160+683619+36341</f>
        <v>2412120</v>
      </c>
      <c r="AE433" s="42">
        <f>22115+119749+3627978+80208+163</f>
        <v>3850213</v>
      </c>
      <c r="AG433" s="42">
        <v>24805537</v>
      </c>
      <c r="AI433" s="10">
        <f t="shared" si="69"/>
        <v>40907389</v>
      </c>
      <c r="AK433" s="42">
        <f t="shared" si="68"/>
        <v>0</v>
      </c>
    </row>
    <row r="434" spans="1:37">
      <c r="A434" s="9" t="s">
        <v>388</v>
      </c>
      <c r="B434" s="9"/>
      <c r="C434" s="9" t="s">
        <v>114</v>
      </c>
      <c r="D434" s="9"/>
      <c r="E434" s="23">
        <v>44602</v>
      </c>
      <c r="G434" s="42">
        <v>16246873</v>
      </c>
      <c r="I434" s="42">
        <v>0</v>
      </c>
      <c r="K434" s="2">
        <f t="shared" si="66"/>
        <v>22695547</v>
      </c>
      <c r="M434" s="42">
        <v>38942420</v>
      </c>
      <c r="O434" s="42">
        <v>0</v>
      </c>
      <c r="Q434" s="2">
        <f t="shared" si="67"/>
        <v>5006552</v>
      </c>
      <c r="S434" s="42">
        <v>0</v>
      </c>
      <c r="U434" s="42">
        <v>5006552</v>
      </c>
      <c r="W434" s="42">
        <v>21458223</v>
      </c>
      <c r="Y434" s="42">
        <f>18740+45565</f>
        <v>64305</v>
      </c>
      <c r="AA434" s="42">
        <f>1807138+3113028+445422+22039+30824+20476+1759+90808+115733</f>
        <v>5647227</v>
      </c>
      <c r="AC434" s="42">
        <v>533735</v>
      </c>
      <c r="AE434" s="42">
        <f>64076+385181+807212+17962</f>
        <v>1274431</v>
      </c>
      <c r="AG434" s="42">
        <v>4957947</v>
      </c>
      <c r="AI434" s="10">
        <f t="shared" si="69"/>
        <v>12477645</v>
      </c>
      <c r="AK434" s="42">
        <f t="shared" si="68"/>
        <v>0</v>
      </c>
    </row>
    <row r="435" spans="1:37" hidden="1">
      <c r="A435" s="9" t="s">
        <v>812</v>
      </c>
      <c r="B435" s="9"/>
      <c r="C435" s="9" t="s">
        <v>71</v>
      </c>
      <c r="D435" s="9"/>
      <c r="E435" s="23">
        <v>44610</v>
      </c>
      <c r="G435" s="42">
        <v>0</v>
      </c>
      <c r="I435" s="42">
        <v>0</v>
      </c>
      <c r="K435" s="2">
        <f t="shared" si="66"/>
        <v>0</v>
      </c>
      <c r="M435" s="42">
        <v>0</v>
      </c>
      <c r="O435" s="42">
        <v>0</v>
      </c>
      <c r="Q435" s="2">
        <f t="shared" si="67"/>
        <v>0</v>
      </c>
      <c r="S435" s="42">
        <v>0</v>
      </c>
      <c r="U435" s="42">
        <v>0</v>
      </c>
      <c r="W435" s="42">
        <v>0</v>
      </c>
      <c r="Y435" s="42">
        <v>0</v>
      </c>
      <c r="AA435" s="42">
        <v>0</v>
      </c>
      <c r="AC435" s="42">
        <v>0</v>
      </c>
      <c r="AE435" s="42">
        <v>0</v>
      </c>
      <c r="AG435" s="42">
        <v>0</v>
      </c>
      <c r="AI435" s="10">
        <f t="shared" si="69"/>
        <v>0</v>
      </c>
      <c r="AK435" s="42">
        <f t="shared" si="68"/>
        <v>0</v>
      </c>
    </row>
    <row r="436" spans="1:37" hidden="1">
      <c r="A436" s="8" t="s">
        <v>869</v>
      </c>
      <c r="B436" s="9"/>
      <c r="C436" s="9" t="s">
        <v>62</v>
      </c>
      <c r="D436" s="9"/>
      <c r="E436" s="23">
        <v>49916</v>
      </c>
      <c r="G436" s="42">
        <v>0</v>
      </c>
      <c r="I436" s="42">
        <v>0</v>
      </c>
      <c r="K436" s="2">
        <f>M436-G436-I436</f>
        <v>0</v>
      </c>
      <c r="M436" s="42">
        <v>0</v>
      </c>
      <c r="O436" s="42">
        <v>0</v>
      </c>
      <c r="Q436" s="2">
        <f>U436-S436</f>
        <v>0</v>
      </c>
      <c r="S436" s="42">
        <v>0</v>
      </c>
      <c r="U436" s="42">
        <v>0</v>
      </c>
      <c r="W436" s="42">
        <v>0</v>
      </c>
      <c r="Y436" s="42">
        <v>0</v>
      </c>
      <c r="AA436" s="42">
        <v>0</v>
      </c>
      <c r="AC436" s="42">
        <v>0</v>
      </c>
      <c r="AE436" s="42">
        <v>0</v>
      </c>
      <c r="AG436" s="42">
        <v>0</v>
      </c>
      <c r="AI436" s="10">
        <f t="shared" si="69"/>
        <v>0</v>
      </c>
      <c r="AK436" s="42">
        <f t="shared" si="68"/>
        <v>0</v>
      </c>
    </row>
    <row r="437" spans="1:37">
      <c r="A437" s="9" t="s">
        <v>552</v>
      </c>
      <c r="B437" s="9"/>
      <c r="C437" s="9" t="s">
        <v>72</v>
      </c>
      <c r="D437" s="9"/>
      <c r="E437" s="23">
        <v>50724</v>
      </c>
      <c r="G437" s="42">
        <v>4935555</v>
      </c>
      <c r="I437" s="42">
        <f>364179+212544</f>
        <v>576723</v>
      </c>
      <c r="K437" s="2">
        <f>M437-G437-I437</f>
        <v>7025682</v>
      </c>
      <c r="M437" s="42">
        <v>12537960</v>
      </c>
      <c r="O437" s="42">
        <v>0</v>
      </c>
      <c r="Q437" s="2">
        <f>U437-S437</f>
        <v>1721298</v>
      </c>
      <c r="S437" s="42">
        <v>0</v>
      </c>
      <c r="U437" s="42">
        <v>1721298</v>
      </c>
      <c r="W437" s="42">
        <v>5276550</v>
      </c>
      <c r="Y437" s="42">
        <v>1869</v>
      </c>
      <c r="AA437" s="42">
        <v>2152053</v>
      </c>
      <c r="AC437" s="42">
        <v>303166</v>
      </c>
      <c r="AE437" s="42">
        <v>216768</v>
      </c>
      <c r="AG437" s="42">
        <v>2866256</v>
      </c>
      <c r="AI437" s="10">
        <f t="shared" si="69"/>
        <v>5540112</v>
      </c>
      <c r="AK437" s="42">
        <f t="shared" si="68"/>
        <v>0</v>
      </c>
    </row>
    <row r="438" spans="1:37">
      <c r="A438" s="9" t="s">
        <v>389</v>
      </c>
      <c r="B438" s="9"/>
      <c r="C438" s="9" t="s">
        <v>114</v>
      </c>
      <c r="D438" s="9"/>
      <c r="E438" s="23">
        <v>48215</v>
      </c>
      <c r="G438" s="42">
        <f>2766954+131097</f>
        <v>2898051</v>
      </c>
      <c r="I438" s="42">
        <v>70859</v>
      </c>
      <c r="K438" s="2">
        <f>M438-G438-I438</f>
        <v>13369176</v>
      </c>
      <c r="M438" s="42">
        <v>16338086</v>
      </c>
      <c r="O438" s="42">
        <v>0</v>
      </c>
      <c r="Q438" s="2">
        <f>U438-S438</f>
        <v>1177728</v>
      </c>
      <c r="S438" s="42">
        <v>0</v>
      </c>
      <c r="U438" s="42">
        <v>1177728</v>
      </c>
      <c r="W438" s="42">
        <v>9923925</v>
      </c>
      <c r="Y438" s="42">
        <v>0</v>
      </c>
      <c r="AA438" s="42">
        <v>727142</v>
      </c>
      <c r="AC438" s="42">
        <v>96952</v>
      </c>
      <c r="AE438" s="42">
        <v>94002</v>
      </c>
      <c r="AG438" s="42">
        <v>4318337</v>
      </c>
      <c r="AI438" s="10">
        <f t="shared" si="69"/>
        <v>5236433</v>
      </c>
      <c r="AK438" s="42">
        <f t="shared" si="68"/>
        <v>0</v>
      </c>
    </row>
    <row r="439" spans="1:37" hidden="1">
      <c r="A439" s="9" t="s">
        <v>704</v>
      </c>
      <c r="B439" s="9"/>
      <c r="C439" s="9" t="s">
        <v>464</v>
      </c>
      <c r="D439" s="9"/>
      <c r="E439" s="23">
        <v>49379</v>
      </c>
      <c r="G439" s="42">
        <v>0</v>
      </c>
      <c r="I439" s="42">
        <v>0</v>
      </c>
      <c r="K439" s="2">
        <f t="shared" ref="K439:K489" si="73">M439-G439-I439</f>
        <v>0</v>
      </c>
      <c r="M439" s="42">
        <v>0</v>
      </c>
      <c r="O439" s="42">
        <v>0</v>
      </c>
      <c r="Q439" s="2">
        <f t="shared" ref="Q439:Q489" si="74">U439-S439</f>
        <v>0</v>
      </c>
      <c r="S439" s="42">
        <v>0</v>
      </c>
      <c r="U439" s="42">
        <v>0</v>
      </c>
      <c r="W439" s="42">
        <v>0</v>
      </c>
      <c r="Y439" s="42">
        <v>0</v>
      </c>
      <c r="AA439" s="42">
        <v>0</v>
      </c>
      <c r="AC439" s="42">
        <v>0</v>
      </c>
      <c r="AE439" s="42">
        <v>0</v>
      </c>
      <c r="AG439" s="42">
        <v>0</v>
      </c>
      <c r="AI439" s="10">
        <f t="shared" si="69"/>
        <v>0</v>
      </c>
      <c r="AK439" s="42">
        <f t="shared" si="68"/>
        <v>0</v>
      </c>
    </row>
    <row r="440" spans="1:37" hidden="1">
      <c r="A440" s="9" t="s">
        <v>813</v>
      </c>
      <c r="B440" s="9"/>
      <c r="C440" s="9" t="s">
        <v>464</v>
      </c>
      <c r="D440" s="9"/>
      <c r="E440" s="23">
        <v>49387</v>
      </c>
      <c r="G440" s="42">
        <v>0</v>
      </c>
      <c r="I440" s="42">
        <v>0</v>
      </c>
      <c r="K440" s="2">
        <f t="shared" si="73"/>
        <v>0</v>
      </c>
      <c r="M440" s="42">
        <v>0</v>
      </c>
      <c r="O440" s="42">
        <v>0</v>
      </c>
      <c r="Q440" s="2">
        <f t="shared" si="74"/>
        <v>0</v>
      </c>
      <c r="S440" s="42">
        <v>0</v>
      </c>
      <c r="U440" s="42">
        <v>0</v>
      </c>
      <c r="W440" s="42">
        <v>0</v>
      </c>
      <c r="Y440" s="42">
        <v>0</v>
      </c>
      <c r="AA440" s="42">
        <v>0</v>
      </c>
      <c r="AC440" s="42">
        <v>0</v>
      </c>
      <c r="AE440" s="42">
        <v>0</v>
      </c>
      <c r="AG440" s="42">
        <v>0</v>
      </c>
      <c r="AI440" s="10">
        <f t="shared" si="69"/>
        <v>0</v>
      </c>
      <c r="AK440" s="42">
        <f t="shared" si="68"/>
        <v>0</v>
      </c>
    </row>
    <row r="441" spans="1:37" hidden="1">
      <c r="A441" s="9" t="s">
        <v>814</v>
      </c>
      <c r="B441" s="9"/>
      <c r="C441" s="9" t="s">
        <v>41</v>
      </c>
      <c r="D441" s="9"/>
      <c r="E441" s="23">
        <v>44628</v>
      </c>
      <c r="G441" s="42">
        <v>0</v>
      </c>
      <c r="I441" s="42">
        <v>0</v>
      </c>
      <c r="K441" s="2">
        <f t="shared" si="73"/>
        <v>0</v>
      </c>
      <c r="M441" s="42">
        <v>0</v>
      </c>
      <c r="O441" s="42">
        <v>0</v>
      </c>
      <c r="Q441" s="2">
        <f t="shared" si="74"/>
        <v>0</v>
      </c>
      <c r="S441" s="42">
        <v>0</v>
      </c>
      <c r="U441" s="42">
        <v>0</v>
      </c>
      <c r="W441" s="42">
        <v>0</v>
      </c>
      <c r="Y441" s="42">
        <v>0</v>
      </c>
      <c r="AA441" s="42">
        <v>0</v>
      </c>
      <c r="AC441" s="42">
        <v>0</v>
      </c>
      <c r="AE441" s="42">
        <v>0</v>
      </c>
      <c r="AG441" s="42">
        <v>0</v>
      </c>
      <c r="AI441" s="10">
        <f t="shared" si="69"/>
        <v>0</v>
      </c>
      <c r="AK441" s="42">
        <f t="shared" si="68"/>
        <v>0</v>
      </c>
    </row>
    <row r="442" spans="1:37" hidden="1">
      <c r="A442" s="9" t="s">
        <v>778</v>
      </c>
      <c r="B442" s="9"/>
      <c r="C442" s="9" t="s">
        <v>41</v>
      </c>
      <c r="D442" s="9"/>
      <c r="E442" s="23">
        <v>47894</v>
      </c>
      <c r="G442" s="42">
        <v>0</v>
      </c>
      <c r="I442" s="42">
        <v>0</v>
      </c>
      <c r="K442" s="2">
        <f t="shared" si="73"/>
        <v>0</v>
      </c>
      <c r="M442" s="42">
        <v>0</v>
      </c>
      <c r="O442" s="42">
        <v>0</v>
      </c>
      <c r="Q442" s="2">
        <f t="shared" si="74"/>
        <v>0</v>
      </c>
      <c r="S442" s="42">
        <v>0</v>
      </c>
      <c r="U442" s="42">
        <v>0</v>
      </c>
      <c r="W442" s="42">
        <v>0</v>
      </c>
      <c r="Y442" s="42">
        <v>0</v>
      </c>
      <c r="AA442" s="42">
        <v>0</v>
      </c>
      <c r="AC442" s="42">
        <v>0</v>
      </c>
      <c r="AE442" s="42">
        <v>0</v>
      </c>
      <c r="AG442" s="42">
        <v>0</v>
      </c>
      <c r="AI442" s="10">
        <f t="shared" si="69"/>
        <v>0</v>
      </c>
      <c r="AK442" s="42">
        <f t="shared" si="68"/>
        <v>0</v>
      </c>
    </row>
    <row r="443" spans="1:37">
      <c r="A443" s="9" t="s">
        <v>472</v>
      </c>
      <c r="B443" s="9"/>
      <c r="C443" s="9" t="s">
        <v>58</v>
      </c>
      <c r="D443" s="9"/>
      <c r="E443" s="23">
        <v>49510</v>
      </c>
      <c r="G443" s="42">
        <v>2977064</v>
      </c>
      <c r="I443" s="42">
        <v>0</v>
      </c>
      <c r="K443" s="2">
        <f t="shared" si="73"/>
        <v>1986366</v>
      </c>
      <c r="M443" s="42">
        <v>4963430</v>
      </c>
      <c r="O443" s="42">
        <v>0</v>
      </c>
      <c r="Q443" s="2">
        <f t="shared" si="74"/>
        <v>1119011</v>
      </c>
      <c r="S443" s="42">
        <v>0</v>
      </c>
      <c r="U443" s="42">
        <v>1119011</v>
      </c>
      <c r="W443" s="42">
        <v>1677753</v>
      </c>
      <c r="Y443" s="42">
        <v>3000</v>
      </c>
      <c r="AA443" s="42">
        <v>754096</v>
      </c>
      <c r="AC443" s="42">
        <v>2947</v>
      </c>
      <c r="AE443" s="42">
        <v>81888</v>
      </c>
      <c r="AG443" s="42">
        <v>1324735</v>
      </c>
      <c r="AI443" s="10">
        <f t="shared" si="69"/>
        <v>2166666</v>
      </c>
      <c r="AK443" s="42">
        <f t="shared" si="68"/>
        <v>0</v>
      </c>
    </row>
    <row r="444" spans="1:37" hidden="1">
      <c r="A444" s="9" t="s">
        <v>681</v>
      </c>
      <c r="B444" s="9"/>
      <c r="C444" s="9" t="s">
        <v>464</v>
      </c>
      <c r="D444" s="9"/>
      <c r="E444" s="23">
        <v>49395</v>
      </c>
      <c r="G444" s="42">
        <v>0</v>
      </c>
      <c r="I444" s="42">
        <v>0</v>
      </c>
      <c r="K444" s="2">
        <f t="shared" si="73"/>
        <v>0</v>
      </c>
      <c r="M444" s="42">
        <v>0</v>
      </c>
      <c r="O444" s="42">
        <v>0</v>
      </c>
      <c r="Q444" s="2">
        <f t="shared" si="74"/>
        <v>0</v>
      </c>
      <c r="S444" s="42">
        <v>0</v>
      </c>
      <c r="U444" s="42">
        <v>0</v>
      </c>
      <c r="W444" s="42">
        <v>0</v>
      </c>
      <c r="Y444" s="42">
        <v>0</v>
      </c>
      <c r="AA444" s="42">
        <v>0</v>
      </c>
      <c r="AC444" s="42">
        <v>0</v>
      </c>
      <c r="AE444" s="42">
        <v>0</v>
      </c>
      <c r="AG444" s="42">
        <v>0</v>
      </c>
      <c r="AI444" s="10">
        <f t="shared" si="69"/>
        <v>0</v>
      </c>
      <c r="AK444" s="42">
        <f t="shared" si="68"/>
        <v>0</v>
      </c>
    </row>
    <row r="445" spans="1:37" hidden="1">
      <c r="A445" s="9" t="s">
        <v>682</v>
      </c>
      <c r="B445" s="9"/>
      <c r="C445" s="9" t="s">
        <v>419</v>
      </c>
      <c r="D445" s="9"/>
      <c r="E445" s="23">
        <v>48579</v>
      </c>
      <c r="G445" s="42">
        <v>0</v>
      </c>
      <c r="I445" s="42">
        <v>0</v>
      </c>
      <c r="K445" s="2">
        <f t="shared" si="73"/>
        <v>0</v>
      </c>
      <c r="M445" s="42">
        <v>0</v>
      </c>
      <c r="O445" s="42">
        <v>0</v>
      </c>
      <c r="Q445" s="2">
        <f t="shared" si="74"/>
        <v>0</v>
      </c>
      <c r="S445" s="42">
        <v>0</v>
      </c>
      <c r="U445" s="42">
        <v>0</v>
      </c>
      <c r="W445" s="42">
        <v>0</v>
      </c>
      <c r="Y445" s="42">
        <v>0</v>
      </c>
      <c r="AA445" s="42">
        <v>0</v>
      </c>
      <c r="AC445" s="42">
        <v>0</v>
      </c>
      <c r="AE445" s="42">
        <v>0</v>
      </c>
      <c r="AG445" s="42">
        <v>0</v>
      </c>
      <c r="AI445" s="10">
        <f t="shared" si="69"/>
        <v>0</v>
      </c>
      <c r="AK445" s="42">
        <f t="shared" si="68"/>
        <v>0</v>
      </c>
    </row>
    <row r="446" spans="1:37">
      <c r="A446" s="9" t="s">
        <v>273</v>
      </c>
      <c r="B446" s="9"/>
      <c r="C446" s="9" t="s">
        <v>20</v>
      </c>
      <c r="D446" s="9"/>
      <c r="E446" s="23">
        <v>44636</v>
      </c>
      <c r="G446" s="42">
        <v>20756061</v>
      </c>
      <c r="I446" s="42">
        <v>0</v>
      </c>
      <c r="K446" s="2">
        <f t="shared" si="73"/>
        <v>103457279</v>
      </c>
      <c r="M446" s="42">
        <v>124213340</v>
      </c>
      <c r="O446" s="42">
        <v>0</v>
      </c>
      <c r="Q446" s="2">
        <f t="shared" si="74"/>
        <v>16308317</v>
      </c>
      <c r="S446" s="42">
        <v>0</v>
      </c>
      <c r="U446" s="42">
        <v>16308317</v>
      </c>
      <c r="W446" s="42">
        <v>87686621</v>
      </c>
      <c r="Y446" s="42">
        <v>196845</v>
      </c>
      <c r="AA446" s="42">
        <v>3484641</v>
      </c>
      <c r="AC446" s="42">
        <v>0</v>
      </c>
      <c r="AE446" s="42">
        <v>3479995</v>
      </c>
      <c r="AG446" s="42">
        <v>13056921</v>
      </c>
      <c r="AI446" s="10">
        <f t="shared" si="69"/>
        <v>20218402</v>
      </c>
      <c r="AK446" s="42">
        <f t="shared" si="68"/>
        <v>0</v>
      </c>
    </row>
    <row r="447" spans="1:37">
      <c r="A447" s="9" t="s">
        <v>345</v>
      </c>
      <c r="B447" s="9"/>
      <c r="C447" s="9" t="s">
        <v>34</v>
      </c>
      <c r="D447" s="9"/>
      <c r="E447" s="23">
        <v>47597</v>
      </c>
      <c r="G447" s="42">
        <v>4204117</v>
      </c>
      <c r="I447" s="42">
        <v>0</v>
      </c>
      <c r="K447" s="2">
        <f t="shared" si="73"/>
        <v>6175654</v>
      </c>
      <c r="M447" s="42">
        <v>10379771</v>
      </c>
      <c r="O447" s="42">
        <v>0</v>
      </c>
      <c r="Q447" s="2">
        <f t="shared" si="74"/>
        <v>6266709</v>
      </c>
      <c r="S447" s="42">
        <v>0</v>
      </c>
      <c r="U447" s="42">
        <v>6266709</v>
      </c>
      <c r="W447" s="42">
        <v>0</v>
      </c>
      <c r="Y447" s="42">
        <v>5839</v>
      </c>
      <c r="AA447" s="42">
        <v>1504832</v>
      </c>
      <c r="AC447" s="42">
        <v>5318</v>
      </c>
      <c r="AE447" s="42">
        <v>74330</v>
      </c>
      <c r="AG447" s="42">
        <v>2522743</v>
      </c>
      <c r="AI447" s="10">
        <f t="shared" si="69"/>
        <v>4113062</v>
      </c>
      <c r="AK447" s="42">
        <f t="shared" si="68"/>
        <v>0</v>
      </c>
    </row>
    <row r="448" spans="1:37" hidden="1">
      <c r="A448" s="9" t="s">
        <v>769</v>
      </c>
      <c r="B448" s="9"/>
      <c r="C448" s="9" t="s">
        <v>447</v>
      </c>
      <c r="D448" s="9"/>
      <c r="E448" s="23">
        <v>45575</v>
      </c>
      <c r="G448" s="42">
        <v>0</v>
      </c>
      <c r="I448" s="42">
        <v>0</v>
      </c>
      <c r="K448" s="2">
        <f t="shared" si="73"/>
        <v>0</v>
      </c>
      <c r="M448" s="42">
        <v>0</v>
      </c>
      <c r="O448" s="42">
        <v>0</v>
      </c>
      <c r="Q448" s="2">
        <f t="shared" si="74"/>
        <v>0</v>
      </c>
      <c r="S448" s="42">
        <v>0</v>
      </c>
      <c r="U448" s="42">
        <v>0</v>
      </c>
      <c r="W448" s="42">
        <v>0</v>
      </c>
      <c r="Y448" s="42">
        <v>0</v>
      </c>
      <c r="AA448" s="42">
        <v>0</v>
      </c>
      <c r="AC448" s="42">
        <v>0</v>
      </c>
      <c r="AE448" s="42">
        <v>0</v>
      </c>
      <c r="AG448" s="42">
        <v>0</v>
      </c>
      <c r="AI448" s="10">
        <f t="shared" si="69"/>
        <v>0</v>
      </c>
      <c r="AK448" s="42">
        <f t="shared" si="68"/>
        <v>0</v>
      </c>
    </row>
    <row r="449" spans="1:37">
      <c r="A449" s="9" t="s">
        <v>287</v>
      </c>
      <c r="B449" s="9"/>
      <c r="C449" s="9" t="s">
        <v>24</v>
      </c>
      <c r="D449" s="9"/>
      <c r="E449" s="23">
        <v>46813</v>
      </c>
      <c r="G449" s="42">
        <f>2359166+78055+1771</f>
        <v>2438992</v>
      </c>
      <c r="I449" s="42">
        <v>0</v>
      </c>
      <c r="K449" s="2">
        <f t="shared" si="73"/>
        <v>15568800</v>
      </c>
      <c r="M449" s="42">
        <v>18007792</v>
      </c>
      <c r="O449" s="42">
        <v>0</v>
      </c>
      <c r="Q449" s="2">
        <f t="shared" si="74"/>
        <v>3504457</v>
      </c>
      <c r="S449" s="42">
        <v>0</v>
      </c>
      <c r="U449" s="42">
        <v>3504457</v>
      </c>
      <c r="W449" s="42">
        <v>13281315</v>
      </c>
      <c r="Y449" s="42">
        <f>118232+530</f>
        <v>118762</v>
      </c>
      <c r="AA449" s="42">
        <f>1105379+490278+3434+41713+364333</f>
        <v>2005137</v>
      </c>
      <c r="AC449" s="42">
        <v>0</v>
      </c>
      <c r="AE449" s="42">
        <f>47273+87270</f>
        <v>134543</v>
      </c>
      <c r="AG449" s="42">
        <v>-1036422</v>
      </c>
      <c r="AI449" s="10">
        <f t="shared" si="69"/>
        <v>1222020</v>
      </c>
      <c r="AK449" s="42">
        <f t="shared" si="68"/>
        <v>0</v>
      </c>
    </row>
    <row r="450" spans="1:37" hidden="1">
      <c r="A450" s="9" t="s">
        <v>683</v>
      </c>
      <c r="B450" s="9"/>
      <c r="C450" s="9" t="s">
        <v>10</v>
      </c>
      <c r="D450" s="9"/>
      <c r="E450" s="23">
        <v>45781</v>
      </c>
      <c r="G450" s="42">
        <v>0</v>
      </c>
      <c r="I450" s="42">
        <v>0</v>
      </c>
      <c r="K450" s="2">
        <f t="shared" si="73"/>
        <v>0</v>
      </c>
      <c r="M450" s="42">
        <v>0</v>
      </c>
      <c r="O450" s="42">
        <v>0</v>
      </c>
      <c r="Q450" s="2">
        <f t="shared" si="74"/>
        <v>0</v>
      </c>
      <c r="S450" s="42">
        <v>0</v>
      </c>
      <c r="U450" s="42">
        <v>0</v>
      </c>
      <c r="W450" s="42">
        <v>0</v>
      </c>
      <c r="Y450" s="42">
        <v>0</v>
      </c>
      <c r="AA450" s="42">
        <v>0</v>
      </c>
      <c r="AC450" s="42">
        <v>0</v>
      </c>
      <c r="AE450" s="42">
        <v>0</v>
      </c>
      <c r="AG450" s="42">
        <v>0</v>
      </c>
      <c r="AI450" s="10">
        <f t="shared" si="69"/>
        <v>0</v>
      </c>
      <c r="AK450" s="42">
        <f t="shared" si="68"/>
        <v>0</v>
      </c>
    </row>
    <row r="451" spans="1:37">
      <c r="A451" s="9" t="s">
        <v>201</v>
      </c>
      <c r="B451" s="9"/>
      <c r="C451" s="9" t="s">
        <v>41</v>
      </c>
      <c r="D451" s="9"/>
      <c r="E451" s="23">
        <v>47902</v>
      </c>
      <c r="G451" s="42">
        <v>36295049</v>
      </c>
      <c r="I451" s="42">
        <v>58165</v>
      </c>
      <c r="K451" s="2">
        <f t="shared" si="73"/>
        <v>16322271</v>
      </c>
      <c r="M451" s="42">
        <v>52675485</v>
      </c>
      <c r="O451" s="42">
        <v>0</v>
      </c>
      <c r="Q451" s="2">
        <f t="shared" si="74"/>
        <v>3176013</v>
      </c>
      <c r="S451" s="42">
        <v>0</v>
      </c>
      <c r="U451" s="42">
        <v>3176013</v>
      </c>
      <c r="W451" s="42">
        <v>15091773</v>
      </c>
      <c r="Y451" s="42">
        <v>223587</v>
      </c>
      <c r="AA451" s="42">
        <v>1535811</v>
      </c>
      <c r="AC451" s="42">
        <v>442840</v>
      </c>
      <c r="AE451" s="42">
        <v>15009325</v>
      </c>
      <c r="AG451" s="42">
        <v>17196136</v>
      </c>
      <c r="AI451" s="10">
        <f t="shared" si="69"/>
        <v>34407699</v>
      </c>
      <c r="AK451" s="42">
        <f t="shared" si="68"/>
        <v>0</v>
      </c>
    </row>
    <row r="452" spans="1:37">
      <c r="A452" s="9" t="s">
        <v>201</v>
      </c>
      <c r="B452" s="9"/>
      <c r="C452" s="9" t="s">
        <v>62</v>
      </c>
      <c r="D452" s="9"/>
      <c r="E452" s="23">
        <v>49924</v>
      </c>
      <c r="G452" s="42">
        <v>23295141</v>
      </c>
      <c r="I452" s="42">
        <v>0</v>
      </c>
      <c r="K452" s="2">
        <f t="shared" si="73"/>
        <v>19442016</v>
      </c>
      <c r="M452" s="42">
        <v>42737157</v>
      </c>
      <c r="O452" s="42">
        <v>0</v>
      </c>
      <c r="Q452" s="2">
        <f t="shared" si="74"/>
        <v>5773728</v>
      </c>
      <c r="S452" s="42">
        <v>0</v>
      </c>
      <c r="U452" s="42">
        <v>5773728</v>
      </c>
      <c r="W452" s="42">
        <v>18726761</v>
      </c>
      <c r="Y452" s="42">
        <v>109216</v>
      </c>
      <c r="AA452" s="42">
        <v>1434331</v>
      </c>
      <c r="AC452" s="42">
        <v>0</v>
      </c>
      <c r="AE452" s="42">
        <v>390604</v>
      </c>
      <c r="AG452" s="42">
        <v>16302517</v>
      </c>
      <c r="AI452" s="10">
        <f t="shared" si="69"/>
        <v>18236668</v>
      </c>
      <c r="AK452" s="42">
        <f t="shared" si="68"/>
        <v>0</v>
      </c>
    </row>
    <row r="453" spans="1:37">
      <c r="A453" s="9" t="s">
        <v>770</v>
      </c>
      <c r="B453" s="9"/>
      <c r="C453" s="9" t="s">
        <v>72</v>
      </c>
      <c r="D453" s="9"/>
      <c r="E453" s="23">
        <v>45583</v>
      </c>
      <c r="G453" s="42">
        <v>6886804</v>
      </c>
      <c r="I453" s="42">
        <v>1270</v>
      </c>
      <c r="K453" s="2">
        <f t="shared" si="73"/>
        <v>32965330</v>
      </c>
      <c r="M453" s="42">
        <v>39853404</v>
      </c>
      <c r="O453" s="42">
        <v>0</v>
      </c>
      <c r="Q453" s="2">
        <f t="shared" si="74"/>
        <v>6388354</v>
      </c>
      <c r="S453" s="42">
        <v>0</v>
      </c>
      <c r="U453" s="42">
        <v>6388354</v>
      </c>
      <c r="W453" s="42">
        <v>23568842</v>
      </c>
      <c r="Y453" s="42">
        <v>41037</v>
      </c>
      <c r="AA453" s="42">
        <v>4372342</v>
      </c>
      <c r="AC453" s="42">
        <v>684241</v>
      </c>
      <c r="AE453" s="42">
        <v>311193</v>
      </c>
      <c r="AG453" s="42">
        <v>4487395</v>
      </c>
      <c r="AI453" s="10">
        <f t="shared" si="69"/>
        <v>9896208</v>
      </c>
      <c r="AK453" s="42">
        <f t="shared" si="68"/>
        <v>0</v>
      </c>
    </row>
    <row r="454" spans="1:37" hidden="1">
      <c r="A454" s="9" t="s">
        <v>884</v>
      </c>
      <c r="B454" s="9"/>
      <c r="C454" s="9" t="s">
        <v>28</v>
      </c>
      <c r="D454" s="9"/>
      <c r="E454" s="23">
        <v>47076</v>
      </c>
      <c r="G454" s="42">
        <v>0</v>
      </c>
      <c r="I454" s="42">
        <v>0</v>
      </c>
      <c r="K454" s="2">
        <f t="shared" si="73"/>
        <v>0</v>
      </c>
      <c r="M454" s="42">
        <v>0</v>
      </c>
      <c r="O454" s="42">
        <v>0</v>
      </c>
      <c r="Q454" s="2">
        <f t="shared" si="74"/>
        <v>0</v>
      </c>
      <c r="S454" s="42">
        <v>0</v>
      </c>
      <c r="U454" s="42">
        <v>0</v>
      </c>
      <c r="W454" s="42">
        <v>0</v>
      </c>
      <c r="Y454" s="42">
        <v>0</v>
      </c>
      <c r="AA454" s="42">
        <v>0</v>
      </c>
      <c r="AC454" s="42">
        <v>0</v>
      </c>
      <c r="AE454" s="42">
        <v>0</v>
      </c>
      <c r="AG454" s="42">
        <v>0</v>
      </c>
      <c r="AI454" s="10">
        <f t="shared" si="69"/>
        <v>0</v>
      </c>
      <c r="AK454" s="42">
        <f t="shared" si="68"/>
        <v>0</v>
      </c>
    </row>
    <row r="455" spans="1:37">
      <c r="A455" s="9" t="s">
        <v>294</v>
      </c>
      <c r="B455" s="9"/>
      <c r="C455" s="9" t="s">
        <v>25</v>
      </c>
      <c r="D455" s="9"/>
      <c r="E455" s="23">
        <v>46896</v>
      </c>
      <c r="G455" s="42">
        <f>48629198+21881+470534</f>
        <v>49121613</v>
      </c>
      <c r="I455" s="42">
        <v>22684</v>
      </c>
      <c r="K455" s="2">
        <f t="shared" si="73"/>
        <v>57725689</v>
      </c>
      <c r="M455" s="42">
        <v>106869986</v>
      </c>
      <c r="O455" s="42">
        <v>0</v>
      </c>
      <c r="Q455" s="2">
        <f t="shared" si="74"/>
        <v>12777245</v>
      </c>
      <c r="S455" s="42">
        <v>0</v>
      </c>
      <c r="U455" s="42">
        <v>12777245</v>
      </c>
      <c r="W455" s="42">
        <v>50537481</v>
      </c>
      <c r="Y455" s="42">
        <f>35942+111533</f>
        <v>147475</v>
      </c>
      <c r="AA455" s="42">
        <f>15482227+6434205+3875972+1001353+20628+147326+511482+22684</f>
        <v>27495877</v>
      </c>
      <c r="AC455" s="42">
        <v>2210191</v>
      </c>
      <c r="AE455" s="42">
        <f>119358+1580128+8158+164366+87680+590688</f>
        <v>2550378</v>
      </c>
      <c r="AG455" s="42">
        <v>11151339</v>
      </c>
      <c r="AI455" s="10">
        <f t="shared" si="69"/>
        <v>43555260</v>
      </c>
      <c r="AK455" s="42">
        <f t="shared" si="68"/>
        <v>0</v>
      </c>
    </row>
    <row r="456" spans="1:37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2">
        <f t="shared" si="73"/>
        <v>0</v>
      </c>
      <c r="M456" s="42">
        <v>0</v>
      </c>
      <c r="O456" s="42">
        <v>0</v>
      </c>
      <c r="Q456" s="2">
        <f t="shared" si="74"/>
        <v>0</v>
      </c>
      <c r="S456" s="42">
        <v>0</v>
      </c>
      <c r="U456" s="42">
        <v>0</v>
      </c>
      <c r="W456" s="42">
        <v>0</v>
      </c>
      <c r="Y456" s="42">
        <v>0</v>
      </c>
      <c r="AA456" s="42">
        <v>0</v>
      </c>
      <c r="AC456" s="42">
        <v>0</v>
      </c>
      <c r="AE456" s="42">
        <v>0</v>
      </c>
      <c r="AG456" s="42">
        <v>0</v>
      </c>
      <c r="AI456" s="10">
        <f t="shared" si="69"/>
        <v>0</v>
      </c>
      <c r="AK456" s="42">
        <f t="shared" si="68"/>
        <v>0</v>
      </c>
    </row>
    <row r="457" spans="1:37">
      <c r="A457" s="9" t="s">
        <v>422</v>
      </c>
      <c r="B457" s="9"/>
      <c r="C457" s="9" t="s">
        <v>48</v>
      </c>
      <c r="D457" s="9"/>
      <c r="E457" s="23">
        <v>44644</v>
      </c>
      <c r="G457" s="42">
        <v>47666023</v>
      </c>
      <c r="I457" s="42">
        <v>762</v>
      </c>
      <c r="K457" s="2">
        <f t="shared" si="73"/>
        <v>34973141</v>
      </c>
      <c r="M457" s="42">
        <v>82639926</v>
      </c>
      <c r="O457" s="42">
        <v>0</v>
      </c>
      <c r="Q457" s="2">
        <f t="shared" si="74"/>
        <v>4787783</v>
      </c>
      <c r="S457" s="42">
        <v>0</v>
      </c>
      <c r="U457" s="42">
        <v>4787783</v>
      </c>
      <c r="W457" s="42">
        <v>30449207</v>
      </c>
      <c r="Y457" s="42">
        <v>46284</v>
      </c>
      <c r="AA457" s="42">
        <v>38662999</v>
      </c>
      <c r="AC457" s="42">
        <v>0</v>
      </c>
      <c r="AE457" s="42">
        <v>851936</v>
      </c>
      <c r="AG457" s="42">
        <v>7841717</v>
      </c>
      <c r="AI457" s="10">
        <f t="shared" si="69"/>
        <v>47402936</v>
      </c>
      <c r="AK457" s="42">
        <f t="shared" si="68"/>
        <v>0</v>
      </c>
    </row>
    <row r="458" spans="1:37">
      <c r="A458" s="9" t="s">
        <v>304</v>
      </c>
      <c r="B458" s="9"/>
      <c r="C458" s="9" t="s">
        <v>62</v>
      </c>
      <c r="D458" s="9"/>
      <c r="E458" s="23">
        <v>49932</v>
      </c>
      <c r="G458" s="42">
        <v>16480720</v>
      </c>
      <c r="I458" s="42">
        <v>1887</v>
      </c>
      <c r="K458" s="2">
        <f t="shared" si="73"/>
        <v>31915990</v>
      </c>
      <c r="M458" s="42">
        <v>48398597</v>
      </c>
      <c r="O458" s="42">
        <v>0</v>
      </c>
      <c r="Q458" s="2">
        <f t="shared" si="74"/>
        <v>6559315</v>
      </c>
      <c r="S458" s="42">
        <v>0</v>
      </c>
      <c r="U458" s="42">
        <v>6559315</v>
      </c>
      <c r="W458" s="42">
        <v>29593690</v>
      </c>
      <c r="Y458" s="42">
        <f>110455+33080+355</f>
        <v>143890</v>
      </c>
      <c r="AA458" s="42">
        <f>2580844+957725+966338+83815+55544+43003+18450+5601+2186+1887</f>
        <v>4715393</v>
      </c>
      <c r="AC458" s="42">
        <v>0</v>
      </c>
      <c r="AE458" s="42">
        <f>508878+579722</f>
        <v>1088600</v>
      </c>
      <c r="AG458" s="42">
        <v>6297709</v>
      </c>
      <c r="AI458" s="10">
        <f t="shared" si="69"/>
        <v>12245592</v>
      </c>
      <c r="AK458" s="42">
        <f t="shared" si="68"/>
        <v>0</v>
      </c>
    </row>
    <row r="459" spans="1:37">
      <c r="A459" s="9" t="s">
        <v>408</v>
      </c>
      <c r="B459" s="9"/>
      <c r="C459" s="9" t="s">
        <v>46</v>
      </c>
      <c r="D459" s="9"/>
      <c r="E459" s="23">
        <v>48421</v>
      </c>
      <c r="G459" s="42">
        <v>3831958</v>
      </c>
      <c r="I459" s="42">
        <v>0</v>
      </c>
      <c r="K459" s="2">
        <f t="shared" si="73"/>
        <v>4580880</v>
      </c>
      <c r="M459" s="42">
        <v>8412838</v>
      </c>
      <c r="O459" s="42">
        <v>0</v>
      </c>
      <c r="Q459" s="2">
        <f t="shared" si="74"/>
        <v>1412655</v>
      </c>
      <c r="S459" s="42">
        <v>0</v>
      </c>
      <c r="U459" s="42">
        <v>1412655</v>
      </c>
      <c r="W459" s="42">
        <v>2670006</v>
      </c>
      <c r="Y459" s="42">
        <v>15105</v>
      </c>
      <c r="AA459" s="42">
        <v>831424</v>
      </c>
      <c r="AC459" s="42">
        <v>11000</v>
      </c>
      <c r="AE459" s="42">
        <v>1054211</v>
      </c>
      <c r="AG459" s="42">
        <v>2418437</v>
      </c>
      <c r="AI459" s="10">
        <f t="shared" si="69"/>
        <v>4330177</v>
      </c>
      <c r="AK459" s="42">
        <f t="shared" si="68"/>
        <v>0</v>
      </c>
    </row>
    <row r="460" spans="1:37">
      <c r="A460" s="9" t="s">
        <v>468</v>
      </c>
      <c r="B460" s="9"/>
      <c r="C460" s="9" t="s">
        <v>109</v>
      </c>
      <c r="D460" s="9"/>
      <c r="E460" s="23">
        <v>49460</v>
      </c>
      <c r="G460" s="42">
        <f>3744281+313628</f>
        <v>4057909</v>
      </c>
      <c r="I460" s="42">
        <v>25818</v>
      </c>
      <c r="K460" s="2">
        <f t="shared" si="73"/>
        <v>2282454</v>
      </c>
      <c r="M460" s="42">
        <v>6366181</v>
      </c>
      <c r="O460" s="42">
        <v>0</v>
      </c>
      <c r="Q460" s="2">
        <f t="shared" si="74"/>
        <v>1060222</v>
      </c>
      <c r="S460" s="42">
        <v>0</v>
      </c>
      <c r="U460" s="42">
        <v>1060222</v>
      </c>
      <c r="W460" s="42">
        <v>1490443</v>
      </c>
      <c r="Y460" s="42">
        <f>51643+20599</f>
        <v>72242</v>
      </c>
      <c r="AA460" s="42">
        <f>204775+687999+97667+47482+8633+1260+96179+25818</f>
        <v>1169813</v>
      </c>
      <c r="AC460" s="42">
        <v>168231</v>
      </c>
      <c r="AE460" s="42">
        <f>74422+133865+214+102195+103+2036</f>
        <v>312835</v>
      </c>
      <c r="AG460" s="42">
        <v>2092395</v>
      </c>
      <c r="AI460" s="10">
        <f t="shared" si="69"/>
        <v>3815516</v>
      </c>
      <c r="AK460" s="42">
        <f t="shared" si="68"/>
        <v>0</v>
      </c>
    </row>
    <row r="461" spans="1:37">
      <c r="A461" s="9" t="s">
        <v>718</v>
      </c>
      <c r="B461" s="9"/>
      <c r="C461" s="9" t="s">
        <v>45</v>
      </c>
      <c r="D461" s="9"/>
      <c r="E461" s="23">
        <v>48348</v>
      </c>
      <c r="G461" s="42">
        <v>4914171</v>
      </c>
      <c r="I461" s="42">
        <v>77235</v>
      </c>
      <c r="K461" s="2">
        <f t="shared" si="73"/>
        <v>14681544</v>
      </c>
      <c r="M461" s="42">
        <v>19672950</v>
      </c>
      <c r="O461" s="42">
        <v>0</v>
      </c>
      <c r="Q461" s="2">
        <f t="shared" si="74"/>
        <v>3528833</v>
      </c>
      <c r="S461" s="42">
        <v>0</v>
      </c>
      <c r="U461" s="42">
        <v>3528833</v>
      </c>
      <c r="W461" s="42">
        <v>14585986</v>
      </c>
      <c r="Y461" s="42">
        <v>0</v>
      </c>
      <c r="AA461" s="42">
        <v>1743535</v>
      </c>
      <c r="AC461" s="42">
        <v>258765</v>
      </c>
      <c r="AE461" s="42">
        <v>734622</v>
      </c>
      <c r="AG461" s="42">
        <v>-1178791</v>
      </c>
      <c r="AI461" s="10">
        <f t="shared" si="69"/>
        <v>1558131</v>
      </c>
      <c r="AK461" s="42">
        <f t="shared" si="68"/>
        <v>0</v>
      </c>
    </row>
    <row r="462" spans="1:37" hidden="1">
      <c r="A462" s="9" t="s">
        <v>816</v>
      </c>
      <c r="B462" s="9"/>
      <c r="C462" s="9" t="s">
        <v>53</v>
      </c>
      <c r="D462" s="9"/>
      <c r="E462" s="23">
        <v>44651</v>
      </c>
      <c r="G462" s="42">
        <v>0</v>
      </c>
      <c r="I462" s="42">
        <v>0</v>
      </c>
      <c r="K462" s="2">
        <f t="shared" si="73"/>
        <v>0</v>
      </c>
      <c r="M462" s="42">
        <v>0</v>
      </c>
      <c r="O462" s="42">
        <v>0</v>
      </c>
      <c r="Q462" s="2">
        <f t="shared" si="74"/>
        <v>0</v>
      </c>
      <c r="S462" s="42">
        <v>0</v>
      </c>
      <c r="U462" s="42">
        <v>0</v>
      </c>
      <c r="W462" s="42">
        <v>0</v>
      </c>
      <c r="Y462" s="42">
        <v>0</v>
      </c>
      <c r="AA462" s="42">
        <v>0</v>
      </c>
      <c r="AC462" s="42">
        <v>0</v>
      </c>
      <c r="AE462" s="42">
        <v>0</v>
      </c>
      <c r="AG462" s="42">
        <v>0</v>
      </c>
      <c r="AI462" s="10">
        <f t="shared" si="69"/>
        <v>0</v>
      </c>
      <c r="AK462" s="42">
        <f t="shared" si="68"/>
        <v>0</v>
      </c>
    </row>
    <row r="463" spans="1:37">
      <c r="A463" s="9" t="s">
        <v>481</v>
      </c>
      <c r="B463" s="9"/>
      <c r="C463" s="9" t="s">
        <v>59</v>
      </c>
      <c r="D463" s="9"/>
      <c r="E463" s="23">
        <v>44669</v>
      </c>
      <c r="G463" s="42">
        <v>5307922</v>
      </c>
      <c r="I463" s="42">
        <v>30622</v>
      </c>
      <c r="K463" s="2">
        <f t="shared" si="73"/>
        <v>7622485</v>
      </c>
      <c r="M463" s="42">
        <v>12961029</v>
      </c>
      <c r="O463" s="42">
        <v>0</v>
      </c>
      <c r="Q463" s="2">
        <f t="shared" si="74"/>
        <v>2782860</v>
      </c>
      <c r="S463" s="42">
        <v>0</v>
      </c>
      <c r="U463" s="42">
        <v>2782860</v>
      </c>
      <c r="W463" s="42">
        <v>6704629</v>
      </c>
      <c r="Y463" s="42">
        <v>47209</v>
      </c>
      <c r="AA463" s="42">
        <v>3776837</v>
      </c>
      <c r="AC463" s="42">
        <v>777767</v>
      </c>
      <c r="AE463" s="42">
        <v>635458</v>
      </c>
      <c r="AG463" s="42">
        <v>-1763731</v>
      </c>
      <c r="AI463" s="10">
        <f t="shared" si="69"/>
        <v>3473540</v>
      </c>
      <c r="AK463" s="42">
        <f t="shared" ref="AK463:AK526" si="75">+G463+I463+K463+O463-U463-W463-AC463-AA463-Y463-AE463-AG463</f>
        <v>0</v>
      </c>
    </row>
    <row r="464" spans="1:37" hidden="1">
      <c r="A464" s="9" t="s">
        <v>684</v>
      </c>
      <c r="B464" s="9"/>
      <c r="C464" s="9" t="s">
        <v>57</v>
      </c>
      <c r="D464" s="9"/>
      <c r="E464" s="23">
        <v>49288</v>
      </c>
      <c r="G464" s="42">
        <v>0</v>
      </c>
      <c r="I464" s="42">
        <v>0</v>
      </c>
      <c r="K464" s="2">
        <f t="shared" si="73"/>
        <v>0</v>
      </c>
      <c r="M464" s="42">
        <v>0</v>
      </c>
      <c r="O464" s="42">
        <v>0</v>
      </c>
      <c r="Q464" s="2">
        <f t="shared" si="74"/>
        <v>0</v>
      </c>
      <c r="S464" s="42">
        <v>0</v>
      </c>
      <c r="U464" s="42">
        <v>0</v>
      </c>
      <c r="W464" s="42">
        <v>0</v>
      </c>
      <c r="Y464" s="42">
        <v>0</v>
      </c>
      <c r="AA464" s="42">
        <v>0</v>
      </c>
      <c r="AC464" s="42">
        <v>0</v>
      </c>
      <c r="AE464" s="42">
        <v>0</v>
      </c>
      <c r="AG464" s="42">
        <v>0</v>
      </c>
      <c r="AI464" s="10">
        <f t="shared" si="69"/>
        <v>0</v>
      </c>
      <c r="AK464" s="42">
        <f t="shared" si="75"/>
        <v>0</v>
      </c>
    </row>
    <row r="465" spans="1:37">
      <c r="A465" s="9" t="s">
        <v>327</v>
      </c>
      <c r="B465" s="9"/>
      <c r="C465" s="9" t="s">
        <v>32</v>
      </c>
      <c r="D465" s="9"/>
      <c r="E465" s="23">
        <v>44677</v>
      </c>
      <c r="G465" s="42">
        <v>77702210</v>
      </c>
      <c r="I465" s="42">
        <v>2090646</v>
      </c>
      <c r="K465" s="2">
        <f t="shared" si="73"/>
        <v>63660894</v>
      </c>
      <c r="M465" s="42">
        <v>143453750</v>
      </c>
      <c r="O465" s="42">
        <v>0</v>
      </c>
      <c r="Q465" s="2">
        <f t="shared" si="74"/>
        <v>63086237</v>
      </c>
      <c r="S465" s="42">
        <v>0</v>
      </c>
      <c r="U465" s="42">
        <v>63086237</v>
      </c>
      <c r="W465" s="42">
        <v>0</v>
      </c>
      <c r="Y465" s="42">
        <v>18830</v>
      </c>
      <c r="AA465" s="42">
        <v>63561588</v>
      </c>
      <c r="AC465" s="42">
        <v>11000</v>
      </c>
      <c r="AE465" s="42">
        <v>2502626</v>
      </c>
      <c r="AG465" s="42">
        <v>14273469</v>
      </c>
      <c r="AI465" s="10">
        <f t="shared" si="69"/>
        <v>80367513</v>
      </c>
      <c r="AK465" s="42">
        <f t="shared" si="75"/>
        <v>0</v>
      </c>
    </row>
    <row r="466" spans="1:37" hidden="1">
      <c r="A466" s="9" t="s">
        <v>817</v>
      </c>
      <c r="B466" s="9"/>
      <c r="C466" s="9" t="s">
        <v>53</v>
      </c>
      <c r="D466" s="9"/>
      <c r="E466" s="23">
        <v>48975</v>
      </c>
      <c r="G466" s="42">
        <v>0</v>
      </c>
      <c r="I466" s="42">
        <v>0</v>
      </c>
      <c r="K466" s="2">
        <f t="shared" ref="K466" si="76">M466-G466-I466</f>
        <v>0</v>
      </c>
      <c r="M466" s="42">
        <v>0</v>
      </c>
      <c r="O466" s="42">
        <v>0</v>
      </c>
      <c r="Q466" s="2">
        <f t="shared" ref="Q466" si="77">U466-S466</f>
        <v>0</v>
      </c>
      <c r="S466" s="42">
        <v>0</v>
      </c>
      <c r="U466" s="42">
        <v>0</v>
      </c>
      <c r="W466" s="42">
        <v>0</v>
      </c>
      <c r="Y466" s="42">
        <v>0</v>
      </c>
      <c r="AA466" s="42">
        <v>0</v>
      </c>
      <c r="AC466" s="42">
        <v>0</v>
      </c>
      <c r="AE466" s="42">
        <v>0</v>
      </c>
      <c r="AG466" s="42">
        <v>0</v>
      </c>
      <c r="AI466" s="10">
        <f t="shared" ref="AI466" si="78">Y466+AA466+AC466+AE466+AG466</f>
        <v>0</v>
      </c>
      <c r="AK466" s="42">
        <f t="shared" si="75"/>
        <v>0</v>
      </c>
    </row>
    <row r="467" spans="1:37" hidden="1">
      <c r="A467" s="9" t="s">
        <v>818</v>
      </c>
      <c r="B467" s="9"/>
      <c r="C467" s="9" t="s">
        <v>12</v>
      </c>
      <c r="D467" s="9"/>
      <c r="E467" s="23">
        <v>45880</v>
      </c>
      <c r="G467" s="42">
        <v>0</v>
      </c>
      <c r="I467" s="42">
        <v>0</v>
      </c>
      <c r="K467" s="2">
        <f t="shared" si="73"/>
        <v>0</v>
      </c>
      <c r="M467" s="42">
        <v>0</v>
      </c>
      <c r="O467" s="42">
        <v>0</v>
      </c>
      <c r="Q467" s="2">
        <f t="shared" si="74"/>
        <v>0</v>
      </c>
      <c r="S467" s="42">
        <v>0</v>
      </c>
      <c r="U467" s="42">
        <v>0</v>
      </c>
      <c r="W467" s="42">
        <v>0</v>
      </c>
      <c r="Y467" s="42">
        <v>0</v>
      </c>
      <c r="AA467" s="42">
        <v>0</v>
      </c>
      <c r="AC467" s="42">
        <v>0</v>
      </c>
      <c r="AE467" s="42">
        <v>0</v>
      </c>
      <c r="AG467" s="42">
        <v>0</v>
      </c>
      <c r="AI467" s="10">
        <f t="shared" si="69"/>
        <v>0</v>
      </c>
      <c r="AK467" s="42">
        <f t="shared" si="75"/>
        <v>0</v>
      </c>
    </row>
    <row r="468" spans="1:37" s="24" customFormat="1">
      <c r="A468" s="51" t="s">
        <v>627</v>
      </c>
      <c r="B468" s="51"/>
      <c r="C468" s="51" t="s">
        <v>56</v>
      </c>
      <c r="D468" s="51"/>
      <c r="E468" s="23">
        <v>44685</v>
      </c>
      <c r="G468" s="42">
        <f>2798458+4743</f>
        <v>2803201</v>
      </c>
      <c r="H468" s="42"/>
      <c r="I468" s="42">
        <v>0</v>
      </c>
      <c r="J468" s="42"/>
      <c r="K468" s="2">
        <f t="shared" si="73"/>
        <v>12322855</v>
      </c>
      <c r="L468" s="42"/>
      <c r="M468" s="42">
        <v>15126056</v>
      </c>
      <c r="N468" s="42"/>
      <c r="O468" s="42">
        <v>0</v>
      </c>
      <c r="P468" s="42"/>
      <c r="Q468" s="2">
        <f t="shared" si="74"/>
        <v>3914481</v>
      </c>
      <c r="R468" s="42"/>
      <c r="S468" s="42">
        <v>0</v>
      </c>
      <c r="T468" s="42"/>
      <c r="U468" s="42">
        <v>3914481</v>
      </c>
      <c r="V468" s="42"/>
      <c r="W468" s="42">
        <v>11195688</v>
      </c>
      <c r="X468" s="42"/>
      <c r="Y468" s="42">
        <v>38740</v>
      </c>
      <c r="Z468" s="42"/>
      <c r="AA468" s="42">
        <f>374485+224620+734899+31281+32988+2501+40589</f>
        <v>1441363</v>
      </c>
      <c r="AB468" s="42"/>
      <c r="AC468" s="42">
        <v>77032</v>
      </c>
      <c r="AD468" s="42"/>
      <c r="AE468" s="42">
        <v>0</v>
      </c>
      <c r="AF468" s="42"/>
      <c r="AG468" s="42">
        <v>-1541248</v>
      </c>
      <c r="AH468" s="42"/>
      <c r="AI468" s="10">
        <f t="shared" si="69"/>
        <v>15887</v>
      </c>
      <c r="AJ468" s="42"/>
      <c r="AK468" s="42">
        <f t="shared" si="75"/>
        <v>0</v>
      </c>
    </row>
    <row r="469" spans="1:37">
      <c r="A469" s="9" t="s">
        <v>328</v>
      </c>
      <c r="B469" s="9"/>
      <c r="C469" s="9" t="s">
        <v>32</v>
      </c>
      <c r="D469" s="9"/>
      <c r="E469" s="23">
        <v>44693</v>
      </c>
      <c r="G469" s="42">
        <v>4955943</v>
      </c>
      <c r="I469" s="42">
        <v>0</v>
      </c>
      <c r="K469" s="2">
        <f t="shared" si="73"/>
        <v>8531049</v>
      </c>
      <c r="M469" s="42">
        <v>13486992</v>
      </c>
      <c r="O469" s="42">
        <v>0</v>
      </c>
      <c r="Q469" s="2">
        <f t="shared" si="74"/>
        <v>2013607</v>
      </c>
      <c r="S469" s="42">
        <v>0</v>
      </c>
      <c r="U469" s="42">
        <v>2013607</v>
      </c>
      <c r="W469" s="42">
        <v>5436971</v>
      </c>
      <c r="Y469" s="42">
        <v>118515</v>
      </c>
      <c r="AA469" s="42">
        <f>1719935+230264+14006+100769+52708</f>
        <v>2117682</v>
      </c>
      <c r="AC469" s="42">
        <v>202183</v>
      </c>
      <c r="AE469" s="42">
        <f>43914+174885</f>
        <v>218799</v>
      </c>
      <c r="AG469" s="42">
        <v>3379235</v>
      </c>
      <c r="AI469" s="10">
        <f t="shared" si="69"/>
        <v>6036414</v>
      </c>
      <c r="AK469" s="42">
        <f t="shared" si="75"/>
        <v>0</v>
      </c>
    </row>
    <row r="470" spans="1:37">
      <c r="A470" s="9" t="s">
        <v>509</v>
      </c>
      <c r="B470" s="9"/>
      <c r="C470" s="9" t="s">
        <v>63</v>
      </c>
      <c r="D470" s="9"/>
      <c r="E470" s="23">
        <v>50054</v>
      </c>
      <c r="G470" s="42">
        <f>21229121+11761+215051</f>
        <v>21455933</v>
      </c>
      <c r="I470" s="42">
        <v>0</v>
      </c>
      <c r="K470" s="2">
        <f t="shared" si="73"/>
        <v>31056883</v>
      </c>
      <c r="M470" s="42">
        <v>52512816</v>
      </c>
      <c r="O470" s="42">
        <v>0</v>
      </c>
      <c r="Q470" s="2">
        <f t="shared" si="74"/>
        <v>33620363</v>
      </c>
      <c r="S470" s="42">
        <v>0</v>
      </c>
      <c r="U470" s="42">
        <v>33620363</v>
      </c>
      <c r="W470" s="42">
        <v>0</v>
      </c>
      <c r="Y470" s="42">
        <v>0</v>
      </c>
      <c r="AA470" s="42">
        <v>4712355</v>
      </c>
      <c r="AC470" s="42">
        <v>61141</v>
      </c>
      <c r="AE470" s="42">
        <v>1079796</v>
      </c>
      <c r="AG470" s="42">
        <v>13039161</v>
      </c>
      <c r="AI470" s="10">
        <f t="shared" si="69"/>
        <v>18892453</v>
      </c>
      <c r="AK470" s="42">
        <f t="shared" si="75"/>
        <v>0</v>
      </c>
    </row>
    <row r="471" spans="1:37" hidden="1">
      <c r="A471" s="9" t="s">
        <v>819</v>
      </c>
      <c r="B471" s="9"/>
      <c r="C471" s="9" t="s">
        <v>27</v>
      </c>
      <c r="D471" s="9"/>
      <c r="E471" s="23">
        <v>47001</v>
      </c>
      <c r="G471" s="42">
        <v>0</v>
      </c>
      <c r="I471" s="42">
        <v>0</v>
      </c>
      <c r="K471" s="2">
        <f t="shared" si="73"/>
        <v>0</v>
      </c>
      <c r="M471" s="42">
        <v>0</v>
      </c>
      <c r="O471" s="42">
        <v>0</v>
      </c>
      <c r="Q471" s="2">
        <f t="shared" si="74"/>
        <v>0</v>
      </c>
      <c r="S471" s="42">
        <v>0</v>
      </c>
      <c r="U471" s="42">
        <v>0</v>
      </c>
      <c r="W471" s="42">
        <v>0</v>
      </c>
      <c r="Y471" s="42">
        <v>0</v>
      </c>
      <c r="AA471" s="42">
        <v>0</v>
      </c>
      <c r="AC471" s="42">
        <v>0</v>
      </c>
      <c r="AE471" s="42">
        <v>0</v>
      </c>
      <c r="AG471" s="42">
        <v>0</v>
      </c>
      <c r="AI471" s="10">
        <f t="shared" si="69"/>
        <v>0</v>
      </c>
      <c r="AK471" s="42">
        <f t="shared" si="75"/>
        <v>0</v>
      </c>
    </row>
    <row r="472" spans="1:37">
      <c r="A472" s="9" t="s">
        <v>274</v>
      </c>
      <c r="B472" s="9"/>
      <c r="C472" s="9" t="s">
        <v>20</v>
      </c>
      <c r="D472" s="9"/>
      <c r="E472" s="23">
        <v>46599</v>
      </c>
      <c r="G472" s="42">
        <v>256934</v>
      </c>
      <c r="I472" s="42">
        <v>0</v>
      </c>
      <c r="K472" s="2">
        <f t="shared" si="73"/>
        <v>11065216</v>
      </c>
      <c r="M472" s="42">
        <v>11322150</v>
      </c>
      <c r="O472" s="42">
        <v>0</v>
      </c>
      <c r="Q472" s="2">
        <f t="shared" si="74"/>
        <v>2546834</v>
      </c>
      <c r="S472" s="42">
        <v>0</v>
      </c>
      <c r="U472" s="42">
        <v>2546834</v>
      </c>
      <c r="W472" s="42">
        <v>8636615</v>
      </c>
      <c r="Y472" s="42">
        <v>0</v>
      </c>
      <c r="AA472" s="42">
        <v>68059</v>
      </c>
      <c r="AC472" s="42">
        <v>0</v>
      </c>
      <c r="AE472" s="42">
        <v>13610</v>
      </c>
      <c r="AG472" s="42">
        <v>57032</v>
      </c>
      <c r="AI472" s="10">
        <f t="shared" si="69"/>
        <v>138701</v>
      </c>
      <c r="AK472" s="42">
        <f t="shared" si="75"/>
        <v>0</v>
      </c>
    </row>
    <row r="473" spans="1:37" s="24" customFormat="1" ht="12" customHeight="1">
      <c r="A473" s="51" t="s">
        <v>409</v>
      </c>
      <c r="B473" s="51"/>
      <c r="C473" s="51" t="s">
        <v>46</v>
      </c>
      <c r="D473" s="51"/>
      <c r="E473" s="51">
        <v>48439</v>
      </c>
      <c r="G473" s="24">
        <v>3053011</v>
      </c>
      <c r="I473" s="24">
        <v>0</v>
      </c>
      <c r="K473" s="60">
        <f t="shared" si="73"/>
        <v>3346857</v>
      </c>
      <c r="M473" s="24">
        <v>6399868</v>
      </c>
      <c r="O473" s="24">
        <v>0</v>
      </c>
      <c r="Q473" s="60">
        <f t="shared" si="74"/>
        <v>3086992</v>
      </c>
      <c r="S473" s="24">
        <v>0</v>
      </c>
      <c r="U473" s="24">
        <v>3086992</v>
      </c>
      <c r="W473" s="24">
        <v>0</v>
      </c>
      <c r="Y473" s="24">
        <v>0</v>
      </c>
      <c r="AA473" s="24">
        <v>172505</v>
      </c>
      <c r="AC473" s="24">
        <v>0</v>
      </c>
      <c r="AE473" s="24">
        <v>705410</v>
      </c>
      <c r="AG473" s="24">
        <v>2434961</v>
      </c>
      <c r="AI473" s="61">
        <f t="shared" si="69"/>
        <v>3312876</v>
      </c>
      <c r="AK473" s="24">
        <f t="shared" si="75"/>
        <v>0</v>
      </c>
    </row>
    <row r="474" spans="1:37" hidden="1">
      <c r="A474" s="9" t="s">
        <v>885</v>
      </c>
      <c r="B474" s="9"/>
      <c r="C474" s="9" t="s">
        <v>337</v>
      </c>
      <c r="D474" s="9"/>
      <c r="E474" s="23">
        <v>47506</v>
      </c>
      <c r="G474" s="42">
        <v>0</v>
      </c>
      <c r="I474" s="42">
        <v>0</v>
      </c>
      <c r="K474" s="2">
        <f t="shared" si="73"/>
        <v>0</v>
      </c>
      <c r="M474" s="42">
        <v>0</v>
      </c>
      <c r="O474" s="42">
        <v>0</v>
      </c>
      <c r="Q474" s="2">
        <f t="shared" si="74"/>
        <v>0</v>
      </c>
      <c r="S474" s="42">
        <v>0</v>
      </c>
      <c r="U474" s="42">
        <v>0</v>
      </c>
      <c r="W474" s="42">
        <v>0</v>
      </c>
      <c r="Y474" s="42">
        <v>0</v>
      </c>
      <c r="AA474" s="42">
        <v>0</v>
      </c>
      <c r="AC474" s="42">
        <v>0</v>
      </c>
      <c r="AE474" s="42">
        <v>0</v>
      </c>
      <c r="AG474" s="42">
        <v>0</v>
      </c>
      <c r="AI474" s="10">
        <f t="shared" si="69"/>
        <v>0</v>
      </c>
      <c r="AK474" s="42">
        <f t="shared" si="75"/>
        <v>0</v>
      </c>
    </row>
    <row r="475" spans="1:37">
      <c r="A475" s="9" t="s">
        <v>252</v>
      </c>
      <c r="B475" s="9"/>
      <c r="C475" s="9" t="s">
        <v>19</v>
      </c>
      <c r="D475" s="9"/>
      <c r="E475" s="23">
        <v>46474</v>
      </c>
      <c r="G475" s="42">
        <v>5390013</v>
      </c>
      <c r="I475" s="42">
        <v>0</v>
      </c>
      <c r="K475" s="2">
        <f t="shared" si="73"/>
        <v>2892871</v>
      </c>
      <c r="M475" s="42">
        <v>8282884</v>
      </c>
      <c r="O475" s="42">
        <v>0</v>
      </c>
      <c r="Q475" s="2">
        <f t="shared" si="74"/>
        <v>1272228</v>
      </c>
      <c r="S475" s="42">
        <v>0</v>
      </c>
      <c r="U475" s="42">
        <v>1272228</v>
      </c>
      <c r="W475" s="42">
        <v>2565945</v>
      </c>
      <c r="Y475" s="42">
        <v>14742</v>
      </c>
      <c r="AA475" s="42">
        <f>524217+5599+184463+480922+47599+83159</f>
        <v>1325959</v>
      </c>
      <c r="AC475" s="42">
        <f>35+3600</f>
        <v>3635</v>
      </c>
      <c r="AE475" s="42">
        <f>83+34794+1863+888392</f>
        <v>925132</v>
      </c>
      <c r="AG475" s="42">
        <v>2175243</v>
      </c>
      <c r="AI475" s="10">
        <f t="shared" si="69"/>
        <v>4444711</v>
      </c>
      <c r="AK475" s="42">
        <f t="shared" si="75"/>
        <v>0</v>
      </c>
    </row>
    <row r="476" spans="1:37" hidden="1">
      <c r="A476" s="9" t="s">
        <v>820</v>
      </c>
      <c r="B476" s="9"/>
      <c r="C476" s="9" t="s">
        <v>77</v>
      </c>
      <c r="D476" s="9"/>
      <c r="E476" s="23">
        <v>46078</v>
      </c>
      <c r="G476" s="42">
        <v>0</v>
      </c>
      <c r="I476" s="42">
        <v>0</v>
      </c>
      <c r="K476" s="2">
        <f t="shared" si="73"/>
        <v>0</v>
      </c>
      <c r="M476" s="42">
        <v>0</v>
      </c>
      <c r="O476" s="42">
        <v>0</v>
      </c>
      <c r="Q476" s="2">
        <f t="shared" si="74"/>
        <v>0</v>
      </c>
      <c r="S476" s="42">
        <v>0</v>
      </c>
      <c r="U476" s="42">
        <v>0</v>
      </c>
      <c r="W476" s="42">
        <v>0</v>
      </c>
      <c r="Y476" s="42">
        <v>0</v>
      </c>
      <c r="AA476" s="42">
        <v>0</v>
      </c>
      <c r="AC476" s="42">
        <v>0</v>
      </c>
      <c r="AE476" s="42">
        <v>0</v>
      </c>
      <c r="AG476" s="42">
        <v>0</v>
      </c>
      <c r="AI476" s="10">
        <f t="shared" si="69"/>
        <v>0</v>
      </c>
      <c r="AK476" s="42">
        <f t="shared" si="75"/>
        <v>0</v>
      </c>
    </row>
    <row r="477" spans="1:37" hidden="1">
      <c r="A477" s="9" t="s">
        <v>821</v>
      </c>
      <c r="B477" s="9"/>
      <c r="C477" s="9" t="s">
        <v>71</v>
      </c>
      <c r="D477" s="9"/>
      <c r="E477" s="23">
        <v>45591</v>
      </c>
      <c r="G477" s="42">
        <v>0</v>
      </c>
      <c r="I477" s="42">
        <v>0</v>
      </c>
      <c r="K477" s="2">
        <f t="shared" si="73"/>
        <v>0</v>
      </c>
      <c r="M477" s="42">
        <v>0</v>
      </c>
      <c r="O477" s="42">
        <v>0</v>
      </c>
      <c r="Q477" s="2">
        <f t="shared" si="74"/>
        <v>0</v>
      </c>
      <c r="S477" s="42">
        <v>0</v>
      </c>
      <c r="U477" s="42">
        <v>0</v>
      </c>
      <c r="W477" s="42">
        <v>0</v>
      </c>
      <c r="Y477" s="42">
        <v>0</v>
      </c>
      <c r="AA477" s="42">
        <v>0</v>
      </c>
      <c r="AC477" s="42">
        <v>0</v>
      </c>
      <c r="AE477" s="42">
        <v>0</v>
      </c>
      <c r="AG477" s="42">
        <v>0</v>
      </c>
      <c r="AI477" s="10">
        <f t="shared" si="69"/>
        <v>0</v>
      </c>
      <c r="AK477" s="42">
        <f t="shared" si="75"/>
        <v>0</v>
      </c>
    </row>
    <row r="478" spans="1:37">
      <c r="A478" s="9" t="s">
        <v>410</v>
      </c>
      <c r="B478" s="9"/>
      <c r="C478" s="9" t="s">
        <v>46</v>
      </c>
      <c r="D478" s="9"/>
      <c r="E478" s="23">
        <v>48447</v>
      </c>
      <c r="G478" s="42">
        <f>3661122+892</f>
        <v>3662014</v>
      </c>
      <c r="I478" s="42">
        <v>0</v>
      </c>
      <c r="K478" s="2">
        <f t="shared" si="73"/>
        <v>7618674</v>
      </c>
      <c r="M478" s="42">
        <v>11280688</v>
      </c>
      <c r="O478" s="42">
        <v>0</v>
      </c>
      <c r="Q478" s="2">
        <f t="shared" si="74"/>
        <v>2114756</v>
      </c>
      <c r="S478" s="42">
        <v>0</v>
      </c>
      <c r="U478" s="42">
        <v>2114756</v>
      </c>
      <c r="W478" s="42">
        <v>4689042</v>
      </c>
      <c r="Y478" s="42">
        <v>307310</v>
      </c>
      <c r="AA478" s="42">
        <v>1609954</v>
      </c>
      <c r="AC478" s="42">
        <v>0</v>
      </c>
      <c r="AE478" s="42">
        <v>208164</v>
      </c>
      <c r="AG478" s="42">
        <v>2351462</v>
      </c>
      <c r="AI478" s="10">
        <f t="shared" si="69"/>
        <v>4476890</v>
      </c>
      <c r="AK478" s="42">
        <f t="shared" si="75"/>
        <v>0</v>
      </c>
    </row>
    <row r="479" spans="1:37">
      <c r="A479" s="9" t="s">
        <v>253</v>
      </c>
      <c r="B479" s="9"/>
      <c r="C479" s="9" t="s">
        <v>19</v>
      </c>
      <c r="D479" s="9"/>
      <c r="E479" s="23">
        <v>46482</v>
      </c>
      <c r="G479" s="42">
        <v>7548082</v>
      </c>
      <c r="I479" s="42">
        <v>0</v>
      </c>
      <c r="K479" s="2">
        <f t="shared" si="73"/>
        <v>10878847</v>
      </c>
      <c r="M479" s="42">
        <v>18426929</v>
      </c>
      <c r="O479" s="42">
        <v>0</v>
      </c>
      <c r="Q479" s="2">
        <f t="shared" si="74"/>
        <v>11938884</v>
      </c>
      <c r="S479" s="42">
        <v>0</v>
      </c>
      <c r="U479" s="42">
        <v>11938884</v>
      </c>
      <c r="W479" s="42">
        <v>0</v>
      </c>
      <c r="Y479" s="42">
        <v>211524</v>
      </c>
      <c r="AA479" s="42">
        <v>1745886</v>
      </c>
      <c r="AC479" s="42">
        <v>39169</v>
      </c>
      <c r="AE479" s="42">
        <v>1938329</v>
      </c>
      <c r="AG479" s="42">
        <v>2553137</v>
      </c>
      <c r="AI479" s="10">
        <f t="shared" ref="AI479:AI541" si="79">Y479+AA479+AC479+AE479+AG479</f>
        <v>6488045</v>
      </c>
      <c r="AK479" s="42">
        <f t="shared" si="75"/>
        <v>0</v>
      </c>
    </row>
    <row r="480" spans="1:37" hidden="1">
      <c r="A480" s="9" t="s">
        <v>822</v>
      </c>
      <c r="B480" s="9"/>
      <c r="C480" s="9" t="s">
        <v>337</v>
      </c>
      <c r="D480" s="9"/>
      <c r="E480" s="23">
        <v>47514</v>
      </c>
      <c r="G480" s="42">
        <v>0</v>
      </c>
      <c r="I480" s="42">
        <v>0</v>
      </c>
      <c r="K480" s="2">
        <f t="shared" si="73"/>
        <v>0</v>
      </c>
      <c r="M480" s="42">
        <v>0</v>
      </c>
      <c r="O480" s="42">
        <v>0</v>
      </c>
      <c r="Q480" s="2">
        <f t="shared" si="74"/>
        <v>0</v>
      </c>
      <c r="S480" s="42">
        <v>0</v>
      </c>
      <c r="U480" s="42">
        <v>0</v>
      </c>
      <c r="W480" s="42">
        <v>0</v>
      </c>
      <c r="Y480" s="42">
        <v>0</v>
      </c>
      <c r="AA480" s="42">
        <v>0</v>
      </c>
      <c r="AC480" s="42">
        <v>0</v>
      </c>
      <c r="AE480" s="42">
        <v>0</v>
      </c>
      <c r="AG480" s="42">
        <v>0</v>
      </c>
      <c r="AI480" s="10">
        <f t="shared" si="79"/>
        <v>0</v>
      </c>
      <c r="AK480" s="42">
        <f t="shared" si="75"/>
        <v>0</v>
      </c>
    </row>
    <row r="481" spans="1:37">
      <c r="A481" s="9" t="s">
        <v>377</v>
      </c>
      <c r="B481" s="9"/>
      <c r="C481" s="9" t="s">
        <v>41</v>
      </c>
      <c r="D481" s="9"/>
      <c r="E481" s="23">
        <v>47894</v>
      </c>
      <c r="G481" s="42">
        <f>4558712+112628</f>
        <v>4671340</v>
      </c>
      <c r="I481" s="42">
        <v>0</v>
      </c>
      <c r="K481" s="2">
        <f t="shared" si="73"/>
        <v>31296986</v>
      </c>
      <c r="M481" s="42">
        <v>35968326</v>
      </c>
      <c r="O481" s="42">
        <v>0</v>
      </c>
      <c r="Q481" s="2">
        <f t="shared" si="74"/>
        <v>5070446</v>
      </c>
      <c r="S481" s="42">
        <v>0</v>
      </c>
      <c r="U481" s="42">
        <v>5070446</v>
      </c>
      <c r="W481" s="42">
        <v>29209555</v>
      </c>
      <c r="Y481" s="42">
        <v>3142</v>
      </c>
      <c r="AA481" s="42">
        <v>1448661</v>
      </c>
      <c r="AC481" s="42">
        <v>0</v>
      </c>
      <c r="AE481" s="42">
        <v>354220</v>
      </c>
      <c r="AG481" s="42">
        <v>-117698</v>
      </c>
      <c r="AI481" s="10">
        <f t="shared" si="79"/>
        <v>1688325</v>
      </c>
      <c r="AK481" s="42">
        <f t="shared" si="75"/>
        <v>0</v>
      </c>
    </row>
    <row r="482" spans="1:37">
      <c r="A482" s="9" t="s">
        <v>377</v>
      </c>
      <c r="B482" s="9"/>
      <c r="C482" s="9" t="s">
        <v>43</v>
      </c>
      <c r="D482" s="9"/>
      <c r="E482" s="23">
        <v>48090</v>
      </c>
      <c r="G482" s="42">
        <v>1579540</v>
      </c>
      <c r="I482" s="42">
        <v>17111</v>
      </c>
      <c r="K482" s="2">
        <f t="shared" si="73"/>
        <v>2356833</v>
      </c>
      <c r="M482" s="42">
        <v>3953484</v>
      </c>
      <c r="O482" s="42">
        <v>0</v>
      </c>
      <c r="Q482" s="2">
        <f t="shared" si="74"/>
        <v>601667</v>
      </c>
      <c r="S482" s="42">
        <v>0</v>
      </c>
      <c r="U482" s="42">
        <v>601667</v>
      </c>
      <c r="W482" s="42">
        <v>1480240</v>
      </c>
      <c r="Y482" s="42">
        <v>7570</v>
      </c>
      <c r="AA482" s="42">
        <f>318885+204071+66826+81850+1+1716+23650+17111</f>
        <v>714110</v>
      </c>
      <c r="AC482" s="42">
        <v>0</v>
      </c>
      <c r="AE482" s="42">
        <f>4088+32755+759+4926</f>
        <v>42528</v>
      </c>
      <c r="AG482" s="42">
        <v>1107369</v>
      </c>
      <c r="AI482" s="10">
        <f t="shared" si="79"/>
        <v>1871577</v>
      </c>
      <c r="AK482" s="42">
        <f t="shared" si="75"/>
        <v>0</v>
      </c>
    </row>
    <row r="483" spans="1:37">
      <c r="A483" s="9" t="s">
        <v>368</v>
      </c>
      <c r="B483" s="9"/>
      <c r="C483" s="9" t="s">
        <v>364</v>
      </c>
      <c r="D483" s="9"/>
      <c r="E483" s="23">
        <v>47944</v>
      </c>
      <c r="G483" s="42">
        <v>8028952</v>
      </c>
      <c r="I483" s="42">
        <v>287721</v>
      </c>
      <c r="K483" s="2">
        <f t="shared" si="73"/>
        <v>3737989</v>
      </c>
      <c r="M483" s="42">
        <v>12054662</v>
      </c>
      <c r="O483" s="42">
        <v>0</v>
      </c>
      <c r="Q483" s="2">
        <f t="shared" si="74"/>
        <v>2610786</v>
      </c>
      <c r="S483" s="42">
        <v>0</v>
      </c>
      <c r="U483" s="42">
        <v>2610786</v>
      </c>
      <c r="W483" s="42">
        <v>3242196</v>
      </c>
      <c r="Y483" s="42">
        <v>0</v>
      </c>
      <c r="AA483" s="42">
        <v>4537351</v>
      </c>
      <c r="AC483" s="42">
        <v>0</v>
      </c>
      <c r="AE483" s="42">
        <v>411671</v>
      </c>
      <c r="AG483" s="42">
        <v>1252658</v>
      </c>
      <c r="AI483" s="10">
        <f t="shared" si="79"/>
        <v>6201680</v>
      </c>
      <c r="AK483" s="42">
        <f t="shared" si="75"/>
        <v>0</v>
      </c>
    </row>
    <row r="484" spans="1:37">
      <c r="A484" s="9" t="s">
        <v>707</v>
      </c>
      <c r="B484" s="9"/>
      <c r="C484" s="9" t="s">
        <v>20</v>
      </c>
      <c r="D484" s="9"/>
      <c r="E484" s="23">
        <v>44701</v>
      </c>
      <c r="G484" s="42">
        <v>14130815</v>
      </c>
      <c r="I484" s="42">
        <v>0</v>
      </c>
      <c r="K484" s="2">
        <f t="shared" si="73"/>
        <v>33225763</v>
      </c>
      <c r="M484" s="42">
        <v>47356578</v>
      </c>
      <c r="O484" s="42">
        <v>0</v>
      </c>
      <c r="Q484" s="2">
        <f t="shared" si="74"/>
        <v>6657503</v>
      </c>
      <c r="S484" s="42">
        <v>0</v>
      </c>
      <c r="U484" s="42">
        <v>6657503</v>
      </c>
      <c r="W484" s="42">
        <v>28651552</v>
      </c>
      <c r="Y484" s="42">
        <f>32657+12327</f>
        <v>44984</v>
      </c>
      <c r="AA484" s="42">
        <f>2587712+5620901+37066+828+5947+20420+44377</f>
        <v>8317251</v>
      </c>
      <c r="AC484" s="42">
        <f>602030+215</f>
        <v>602245</v>
      </c>
      <c r="AE484" s="42">
        <f>61946+447790+2059+2034+27928</f>
        <v>541757</v>
      </c>
      <c r="AG484" s="42">
        <v>2541286</v>
      </c>
      <c r="AI484" s="10">
        <f t="shared" si="79"/>
        <v>12047523</v>
      </c>
      <c r="AK484" s="42">
        <f t="shared" si="75"/>
        <v>0</v>
      </c>
    </row>
    <row r="485" spans="1:37">
      <c r="A485" s="9" t="s">
        <v>319</v>
      </c>
      <c r="B485" s="9"/>
      <c r="C485" s="9" t="s">
        <v>31</v>
      </c>
      <c r="D485" s="9"/>
      <c r="E485" s="23">
        <v>47308</v>
      </c>
      <c r="G485" s="42">
        <v>4305086</v>
      </c>
      <c r="I485" s="42">
        <v>7903</v>
      </c>
      <c r="K485" s="2">
        <f t="shared" si="73"/>
        <v>7551705</v>
      </c>
      <c r="M485" s="42">
        <v>11864694</v>
      </c>
      <c r="O485" s="42">
        <v>0</v>
      </c>
      <c r="Q485" s="2">
        <f t="shared" si="74"/>
        <v>2385536</v>
      </c>
      <c r="S485" s="42">
        <v>0</v>
      </c>
      <c r="U485" s="42">
        <v>2385536</v>
      </c>
      <c r="W485" s="42">
        <v>5155846</v>
      </c>
      <c r="Y485" s="42">
        <f>108102+37206+7903</f>
        <v>153211</v>
      </c>
      <c r="AA485" s="42">
        <f>21949+93326+23996+19577+223998</f>
        <v>382846</v>
      </c>
      <c r="AC485" s="42">
        <v>7730</v>
      </c>
      <c r="AE485" s="42">
        <f>411561+93793</f>
        <v>505354</v>
      </c>
      <c r="AG485" s="42">
        <v>3274171</v>
      </c>
      <c r="AI485" s="10">
        <f t="shared" si="79"/>
        <v>4323312</v>
      </c>
      <c r="AK485" s="42">
        <f t="shared" si="75"/>
        <v>0</v>
      </c>
    </row>
    <row r="486" spans="1:37">
      <c r="A486" s="9" t="s">
        <v>459</v>
      </c>
      <c r="B486" s="9"/>
      <c r="C486" s="9" t="s">
        <v>56</v>
      </c>
      <c r="D486" s="9"/>
      <c r="E486" s="23">
        <v>49213</v>
      </c>
      <c r="G486" s="42">
        <v>2669716</v>
      </c>
      <c r="I486" s="42">
        <v>6698</v>
      </c>
      <c r="K486" s="2">
        <f t="shared" si="73"/>
        <v>6260075</v>
      </c>
      <c r="M486" s="42">
        <v>8936489</v>
      </c>
      <c r="O486" s="42">
        <v>0</v>
      </c>
      <c r="Q486" s="2">
        <f t="shared" si="74"/>
        <v>7059147</v>
      </c>
      <c r="S486" s="42">
        <v>0</v>
      </c>
      <c r="U486" s="42">
        <v>7059147</v>
      </c>
      <c r="W486" s="42">
        <v>0</v>
      </c>
      <c r="Y486" s="42">
        <v>0</v>
      </c>
      <c r="AA486" s="42">
        <v>1123683</v>
      </c>
      <c r="AC486" s="42">
        <v>0</v>
      </c>
      <c r="AE486" s="42">
        <v>116954</v>
      </c>
      <c r="AG486" s="42">
        <v>636705</v>
      </c>
      <c r="AI486" s="10">
        <f t="shared" si="79"/>
        <v>1877342</v>
      </c>
      <c r="AK486" s="42">
        <f t="shared" si="75"/>
        <v>0</v>
      </c>
    </row>
    <row r="487" spans="1:37">
      <c r="A487" s="9" t="s">
        <v>708</v>
      </c>
      <c r="B487" s="9"/>
      <c r="C487" s="9" t="s">
        <v>220</v>
      </c>
      <c r="D487" s="9"/>
      <c r="E487" s="23">
        <v>46144</v>
      </c>
      <c r="G487" s="42">
        <f>15816424+126972</f>
        <v>15943396</v>
      </c>
      <c r="I487" s="42">
        <v>324996</v>
      </c>
      <c r="K487" s="2">
        <f t="shared" si="73"/>
        <v>11887177</v>
      </c>
      <c r="M487" s="42">
        <v>28155569</v>
      </c>
      <c r="O487" s="42">
        <v>0</v>
      </c>
      <c r="Q487" s="2">
        <f t="shared" si="74"/>
        <v>12891834</v>
      </c>
      <c r="S487" s="42">
        <v>0</v>
      </c>
      <c r="U487" s="42">
        <v>12891834</v>
      </c>
      <c r="W487" s="42">
        <v>0</v>
      </c>
      <c r="Y487" s="42">
        <v>11448</v>
      </c>
      <c r="AA487" s="42">
        <v>9136665</v>
      </c>
      <c r="AC487" s="42">
        <v>0</v>
      </c>
      <c r="AE487" s="42">
        <v>935115</v>
      </c>
      <c r="AG487" s="42">
        <v>5180507</v>
      </c>
      <c r="AI487" s="10">
        <f t="shared" si="79"/>
        <v>15263735</v>
      </c>
      <c r="AK487" s="42">
        <f t="shared" si="75"/>
        <v>0</v>
      </c>
    </row>
    <row r="488" spans="1:37">
      <c r="A488" s="9" t="s">
        <v>771</v>
      </c>
      <c r="B488" s="9"/>
      <c r="C488" s="9" t="s">
        <v>72</v>
      </c>
      <c r="D488" s="9"/>
      <c r="E488" s="23">
        <v>45609</v>
      </c>
      <c r="G488" s="42">
        <v>6686777</v>
      </c>
      <c r="I488" s="42">
        <v>1939922</v>
      </c>
      <c r="K488" s="2">
        <f t="shared" si="73"/>
        <v>13372206</v>
      </c>
      <c r="M488" s="42">
        <v>21998905</v>
      </c>
      <c r="O488" s="42">
        <v>0</v>
      </c>
      <c r="Q488" s="2">
        <f t="shared" si="74"/>
        <v>3310090</v>
      </c>
      <c r="S488" s="42">
        <v>0</v>
      </c>
      <c r="U488" s="42">
        <v>3310090</v>
      </c>
      <c r="W488" s="42">
        <v>10090626</v>
      </c>
      <c r="Y488" s="42">
        <v>61375</v>
      </c>
      <c r="AA488" s="42">
        <v>2137542</v>
      </c>
      <c r="AC488" s="42">
        <v>0</v>
      </c>
      <c r="AE488" s="42">
        <v>303346</v>
      </c>
      <c r="AG488" s="42">
        <v>6095926</v>
      </c>
      <c r="AI488" s="10">
        <f t="shared" si="79"/>
        <v>8598189</v>
      </c>
      <c r="AK488" s="42">
        <f t="shared" si="75"/>
        <v>0</v>
      </c>
    </row>
    <row r="489" spans="1:37">
      <c r="A489" s="9" t="s">
        <v>488</v>
      </c>
      <c r="B489" s="9"/>
      <c r="C489" s="9" t="s">
        <v>61</v>
      </c>
      <c r="D489" s="9"/>
      <c r="E489" s="23">
        <v>49817</v>
      </c>
      <c r="G489" s="42">
        <f>2881729+1500</f>
        <v>2883229</v>
      </c>
      <c r="I489" s="42">
        <v>3342</v>
      </c>
      <c r="K489" s="2">
        <f t="shared" si="73"/>
        <v>1635179</v>
      </c>
      <c r="M489" s="42">
        <v>4521750</v>
      </c>
      <c r="O489" s="42">
        <v>0</v>
      </c>
      <c r="Q489" s="2">
        <f t="shared" si="74"/>
        <v>419776</v>
      </c>
      <c r="S489" s="42">
        <v>0</v>
      </c>
      <c r="U489" s="42">
        <v>419776</v>
      </c>
      <c r="W489" s="42">
        <v>1304061</v>
      </c>
      <c r="Y489" s="42">
        <v>10902</v>
      </c>
      <c r="AA489" s="42">
        <v>1281337</v>
      </c>
      <c r="AC489" s="42">
        <v>0</v>
      </c>
      <c r="AE489" s="42">
        <v>1331813</v>
      </c>
      <c r="AG489" s="42">
        <v>173861</v>
      </c>
      <c r="AI489" s="10">
        <f t="shared" si="79"/>
        <v>2797913</v>
      </c>
      <c r="AK489" s="42">
        <f t="shared" si="75"/>
        <v>0</v>
      </c>
    </row>
    <row r="490" spans="1:37">
      <c r="A490" s="9" t="s">
        <v>602</v>
      </c>
      <c r="B490" s="9"/>
      <c r="C490" s="9" t="s">
        <v>111</v>
      </c>
      <c r="D490" s="9"/>
      <c r="E490" s="23">
        <v>44735</v>
      </c>
      <c r="G490" s="42">
        <v>3852878</v>
      </c>
      <c r="I490" s="42">
        <v>0</v>
      </c>
      <c r="K490" s="2">
        <f t="shared" ref="K490:K539" si="80">M490-G490-I490</f>
        <v>9765896</v>
      </c>
      <c r="M490" s="42">
        <v>13618774</v>
      </c>
      <c r="O490" s="42">
        <v>0</v>
      </c>
      <c r="Q490" s="2">
        <f t="shared" ref="Q490:Q539" si="81">U490-S490</f>
        <v>2136815</v>
      </c>
      <c r="S490" s="42">
        <v>0</v>
      </c>
      <c r="U490" s="42">
        <v>2136815</v>
      </c>
      <c r="W490" s="42">
        <v>9346658</v>
      </c>
      <c r="Y490" s="42">
        <f>15293+11244</f>
        <v>26537</v>
      </c>
      <c r="AA490" s="42">
        <f>722999+76384+15380+1983+75190+1378+147204</f>
        <v>1040518</v>
      </c>
      <c r="AC490" s="42">
        <f>513488+11000</f>
        <v>524488</v>
      </c>
      <c r="AE490" s="42">
        <f>202217+341562</f>
        <v>543779</v>
      </c>
      <c r="AG490" s="42">
        <v>-21</v>
      </c>
      <c r="AI490" s="10">
        <f t="shared" si="79"/>
        <v>2135301</v>
      </c>
      <c r="AK490" s="42">
        <f t="shared" si="75"/>
        <v>0</v>
      </c>
    </row>
    <row r="491" spans="1:37">
      <c r="A491" s="9" t="s">
        <v>288</v>
      </c>
      <c r="B491" s="9"/>
      <c r="C491" s="9" t="s">
        <v>24</v>
      </c>
      <c r="D491" s="9"/>
      <c r="E491" s="23">
        <v>44743</v>
      </c>
      <c r="G491" s="42">
        <v>2986492</v>
      </c>
      <c r="I491" s="42">
        <v>0</v>
      </c>
      <c r="K491" s="2">
        <f t="shared" si="80"/>
        <v>22208237</v>
      </c>
      <c r="M491" s="42">
        <v>25194729</v>
      </c>
      <c r="O491" s="42">
        <v>0</v>
      </c>
      <c r="Q491" s="2">
        <f t="shared" si="81"/>
        <v>24823884</v>
      </c>
      <c r="S491" s="42">
        <v>0</v>
      </c>
      <c r="U491" s="42">
        <v>24823884</v>
      </c>
      <c r="W491" s="42">
        <v>0</v>
      </c>
      <c r="Y491" s="42">
        <v>86670</v>
      </c>
      <c r="AA491" s="42">
        <v>1203970</v>
      </c>
      <c r="AC491" s="42">
        <v>0</v>
      </c>
      <c r="AE491" s="42">
        <v>1842892</v>
      </c>
      <c r="AG491" s="42">
        <v>-2762687</v>
      </c>
      <c r="AI491" s="10">
        <f t="shared" si="79"/>
        <v>370845</v>
      </c>
      <c r="AK491" s="42">
        <f t="shared" si="75"/>
        <v>0</v>
      </c>
    </row>
    <row r="492" spans="1:37">
      <c r="A492" s="9" t="s">
        <v>500</v>
      </c>
      <c r="B492" s="9"/>
      <c r="C492" s="9" t="s">
        <v>62</v>
      </c>
      <c r="D492" s="9"/>
      <c r="E492" s="23">
        <v>49940</v>
      </c>
      <c r="G492" s="42">
        <f>4519776+32641</f>
        <v>4552417</v>
      </c>
      <c r="I492" s="42">
        <v>0</v>
      </c>
      <c r="K492" s="2">
        <f t="shared" si="80"/>
        <v>4704159</v>
      </c>
      <c r="M492" s="42">
        <v>9256576</v>
      </c>
      <c r="O492" s="42">
        <v>0</v>
      </c>
      <c r="Q492" s="2">
        <f t="shared" si="81"/>
        <v>1917249</v>
      </c>
      <c r="S492" s="42">
        <v>0</v>
      </c>
      <c r="U492" s="42">
        <v>1917249</v>
      </c>
      <c r="W492" s="42">
        <v>4053768</v>
      </c>
      <c r="Y492" s="42">
        <f>13067+9781</f>
        <v>22848</v>
      </c>
      <c r="AA492" s="42">
        <f>686932+247391+183307+84872+235+103503+1177</f>
        <v>1307417</v>
      </c>
      <c r="AC492" s="42">
        <v>0</v>
      </c>
      <c r="AE492" s="42">
        <f>250997+233862+475577</f>
        <v>960436</v>
      </c>
      <c r="AG492" s="42">
        <v>994858</v>
      </c>
      <c r="AI492" s="10">
        <f t="shared" si="79"/>
        <v>3285559</v>
      </c>
      <c r="AK492" s="42">
        <f t="shared" si="75"/>
        <v>0</v>
      </c>
    </row>
    <row r="493" spans="1:37">
      <c r="A493" s="9" t="s">
        <v>453</v>
      </c>
      <c r="B493" s="9"/>
      <c r="C493" s="9" t="s">
        <v>55</v>
      </c>
      <c r="D493" s="9"/>
      <c r="E493" s="23">
        <v>49130</v>
      </c>
      <c r="G493" s="42">
        <f>7998949+20000</f>
        <v>8018949</v>
      </c>
      <c r="I493" s="42">
        <v>217205</v>
      </c>
      <c r="K493" s="2">
        <f t="shared" si="80"/>
        <v>3369229</v>
      </c>
      <c r="M493" s="42">
        <v>11605383</v>
      </c>
      <c r="O493" s="42">
        <v>0</v>
      </c>
      <c r="Q493" s="2">
        <f t="shared" si="81"/>
        <v>1533434</v>
      </c>
      <c r="S493" s="42">
        <v>0</v>
      </c>
      <c r="U493" s="42">
        <v>1533434</v>
      </c>
      <c r="W493" s="42">
        <v>2764262</v>
      </c>
      <c r="Y493" s="42">
        <v>0</v>
      </c>
      <c r="AA493" s="42">
        <v>1812634</v>
      </c>
      <c r="AC493" s="42">
        <v>0</v>
      </c>
      <c r="AE493" s="42">
        <v>291855</v>
      </c>
      <c r="AG493" s="42">
        <v>5203198</v>
      </c>
      <c r="AI493" s="10">
        <f t="shared" si="79"/>
        <v>7307687</v>
      </c>
      <c r="AK493" s="42">
        <f t="shared" si="75"/>
        <v>0</v>
      </c>
    </row>
    <row r="494" spans="1:37">
      <c r="A494" s="9" t="s">
        <v>402</v>
      </c>
      <c r="B494" s="9"/>
      <c r="C494" s="9" t="s">
        <v>45</v>
      </c>
      <c r="D494" s="9"/>
      <c r="E494" s="23">
        <v>48355</v>
      </c>
      <c r="G494" s="42">
        <v>1188429</v>
      </c>
      <c r="I494" s="42">
        <v>0</v>
      </c>
      <c r="K494" s="2">
        <f t="shared" si="80"/>
        <v>1867150</v>
      </c>
      <c r="M494" s="42">
        <v>3055579</v>
      </c>
      <c r="O494" s="42">
        <v>0</v>
      </c>
      <c r="Q494" s="2">
        <f t="shared" si="81"/>
        <v>815738</v>
      </c>
      <c r="S494" s="42">
        <v>0</v>
      </c>
      <c r="U494" s="42">
        <v>815738</v>
      </c>
      <c r="W494" s="42">
        <v>1609491</v>
      </c>
      <c r="Y494" s="42">
        <v>792</v>
      </c>
      <c r="AA494" s="42">
        <v>678856</v>
      </c>
      <c r="AC494" s="42">
        <v>42104</v>
      </c>
      <c r="AE494" s="42">
        <v>201059</v>
      </c>
      <c r="AG494" s="42">
        <v>-292461</v>
      </c>
      <c r="AI494" s="10">
        <f t="shared" si="79"/>
        <v>630350</v>
      </c>
      <c r="AK494" s="42">
        <f t="shared" si="75"/>
        <v>0</v>
      </c>
    </row>
    <row r="495" spans="1:37">
      <c r="A495" s="9" t="s">
        <v>484</v>
      </c>
      <c r="B495" s="9"/>
      <c r="C495" s="9" t="s">
        <v>60</v>
      </c>
      <c r="D495" s="9"/>
      <c r="E495" s="23">
        <v>49684</v>
      </c>
      <c r="G495" s="42">
        <f>1892920+427</f>
        <v>1893347</v>
      </c>
      <c r="I495" s="42">
        <v>0</v>
      </c>
      <c r="K495" s="2">
        <f t="shared" si="80"/>
        <v>4488717</v>
      </c>
      <c r="M495" s="42">
        <v>6382064</v>
      </c>
      <c r="O495" s="42">
        <v>0</v>
      </c>
      <c r="Q495" s="2">
        <f t="shared" si="81"/>
        <v>1149210</v>
      </c>
      <c r="S495" s="42">
        <v>0</v>
      </c>
      <c r="U495" s="42">
        <v>1149210</v>
      </c>
      <c r="W495" s="42">
        <v>3311488</v>
      </c>
      <c r="Y495" s="42">
        <f>22524+39905</f>
        <v>62429</v>
      </c>
      <c r="AA495" s="42">
        <f>616373+318119+7347+427</f>
        <v>942266</v>
      </c>
      <c r="AC495" s="42">
        <f>308970+140343</f>
        <v>449313</v>
      </c>
      <c r="AE495" s="42">
        <f>8541+16480+9658+251885+47388</f>
        <v>333952</v>
      </c>
      <c r="AG495" s="42">
        <v>133406</v>
      </c>
      <c r="AI495" s="10">
        <f t="shared" si="79"/>
        <v>1921366</v>
      </c>
      <c r="AK495" s="42">
        <f t="shared" si="75"/>
        <v>0</v>
      </c>
    </row>
    <row r="496" spans="1:37">
      <c r="A496" s="9" t="s">
        <v>216</v>
      </c>
      <c r="B496" s="9"/>
      <c r="C496" s="9" t="s">
        <v>15</v>
      </c>
      <c r="D496" s="9"/>
      <c r="E496" s="23">
        <v>46003</v>
      </c>
      <c r="G496" s="42">
        <f>2899770+2126</f>
        <v>2901896</v>
      </c>
      <c r="I496" s="42">
        <v>0</v>
      </c>
      <c r="K496" s="2">
        <f t="shared" si="80"/>
        <v>3071739</v>
      </c>
      <c r="M496" s="42">
        <v>5973635</v>
      </c>
      <c r="O496" s="42">
        <v>0</v>
      </c>
      <c r="Q496" s="2">
        <f t="shared" si="81"/>
        <v>667799</v>
      </c>
      <c r="S496" s="42">
        <v>0</v>
      </c>
      <c r="U496" s="42">
        <v>667799</v>
      </c>
      <c r="W496" s="42">
        <v>2914454</v>
      </c>
      <c r="Y496" s="42">
        <f>2678+30858</f>
        <v>33536</v>
      </c>
      <c r="AA496" s="42">
        <f>1381249+1500+7495+2126+42622</f>
        <v>1434992</v>
      </c>
      <c r="AC496" s="42">
        <v>0</v>
      </c>
      <c r="AE496" s="42">
        <v>505042</v>
      </c>
      <c r="AG496" s="42">
        <v>417812</v>
      </c>
      <c r="AI496" s="10">
        <f t="shared" si="79"/>
        <v>2391382</v>
      </c>
      <c r="AK496" s="42">
        <f t="shared" si="75"/>
        <v>0</v>
      </c>
    </row>
    <row r="497" spans="1:37">
      <c r="A497" s="9" t="s">
        <v>709</v>
      </c>
      <c r="B497" s="9"/>
      <c r="C497" s="9" t="s">
        <v>20</v>
      </c>
      <c r="D497" s="9"/>
      <c r="E497" s="23">
        <v>44750</v>
      </c>
      <c r="G497" s="42">
        <f>29971906+353070</f>
        <v>30324976</v>
      </c>
      <c r="I497" s="42">
        <v>0</v>
      </c>
      <c r="K497" s="2">
        <f t="shared" si="80"/>
        <v>75030175</v>
      </c>
      <c r="M497" s="42">
        <v>105355151</v>
      </c>
      <c r="O497" s="42">
        <v>0</v>
      </c>
      <c r="Q497" s="2">
        <f t="shared" si="81"/>
        <v>77408062</v>
      </c>
      <c r="S497" s="42">
        <v>0</v>
      </c>
      <c r="U497" s="42">
        <v>77408062</v>
      </c>
      <c r="W497" s="42">
        <v>0</v>
      </c>
      <c r="Y497" s="42">
        <v>31267</v>
      </c>
      <c r="AA497" s="42">
        <v>5609650</v>
      </c>
      <c r="AC497" s="42">
        <v>0</v>
      </c>
      <c r="AE497" s="42">
        <v>7186555</v>
      </c>
      <c r="AG497" s="42">
        <v>15119617</v>
      </c>
      <c r="AI497" s="10">
        <f t="shared" si="79"/>
        <v>27947089</v>
      </c>
      <c r="AK497" s="42">
        <f t="shared" si="75"/>
        <v>0</v>
      </c>
    </row>
    <row r="498" spans="1:37" hidden="1">
      <c r="A498" s="9" t="s">
        <v>694</v>
      </c>
      <c r="B498" s="9"/>
      <c r="C498" s="9" t="s">
        <v>10</v>
      </c>
      <c r="D498" s="9"/>
      <c r="E498" s="23">
        <v>45779</v>
      </c>
      <c r="G498" s="42">
        <v>0</v>
      </c>
      <c r="I498" s="42">
        <v>0</v>
      </c>
      <c r="K498" s="2">
        <f t="shared" si="80"/>
        <v>0</v>
      </c>
      <c r="M498" s="42">
        <v>0</v>
      </c>
      <c r="O498" s="42">
        <v>0</v>
      </c>
      <c r="Q498" s="2">
        <f t="shared" si="81"/>
        <v>0</v>
      </c>
      <c r="S498" s="42">
        <v>0</v>
      </c>
      <c r="U498" s="42">
        <v>0</v>
      </c>
      <c r="W498" s="42">
        <v>0</v>
      </c>
      <c r="Y498" s="42">
        <v>0</v>
      </c>
      <c r="AA498" s="42">
        <v>0</v>
      </c>
      <c r="AC498" s="42">
        <v>0</v>
      </c>
      <c r="AE498" s="42">
        <v>0</v>
      </c>
      <c r="AG498" s="42">
        <v>0</v>
      </c>
      <c r="AI498" s="10">
        <f t="shared" si="79"/>
        <v>0</v>
      </c>
      <c r="AK498" s="42">
        <f t="shared" si="75"/>
        <v>0</v>
      </c>
    </row>
    <row r="499" spans="1:37">
      <c r="A499" s="9" t="s">
        <v>783</v>
      </c>
      <c r="B499" s="9"/>
      <c r="C499" s="9" t="s">
        <v>44</v>
      </c>
      <c r="D499" s="9"/>
      <c r="E499" s="23">
        <v>44768</v>
      </c>
      <c r="G499" s="42">
        <v>37959007</v>
      </c>
      <c r="I499" s="42">
        <v>0</v>
      </c>
      <c r="K499" s="2">
        <f t="shared" si="80"/>
        <v>13556793</v>
      </c>
      <c r="M499" s="42">
        <v>51515800</v>
      </c>
      <c r="O499" s="42">
        <v>0</v>
      </c>
      <c r="Q499" s="2">
        <f t="shared" si="81"/>
        <v>2941893</v>
      </c>
      <c r="S499" s="42">
        <v>0</v>
      </c>
      <c r="U499" s="42">
        <v>2941893</v>
      </c>
      <c r="W499" s="42">
        <v>11841181</v>
      </c>
      <c r="Y499" s="42">
        <v>55383</v>
      </c>
      <c r="AA499" s="42">
        <v>28710409</v>
      </c>
      <c r="AC499" s="42">
        <v>1037506</v>
      </c>
      <c r="AE499" s="42">
        <v>2375129</v>
      </c>
      <c r="AG499" s="42">
        <v>4554299</v>
      </c>
      <c r="AI499" s="10">
        <f t="shared" si="79"/>
        <v>36732726</v>
      </c>
      <c r="AK499" s="42">
        <f t="shared" si="75"/>
        <v>0</v>
      </c>
    </row>
    <row r="500" spans="1:37">
      <c r="A500" s="9" t="s">
        <v>469</v>
      </c>
      <c r="B500" s="9"/>
      <c r="C500" s="9" t="s">
        <v>109</v>
      </c>
      <c r="D500" s="9"/>
      <c r="E500" s="23">
        <v>44776</v>
      </c>
      <c r="G500" s="42">
        <f>12609405+370736</f>
        <v>12980141</v>
      </c>
      <c r="I500" s="42">
        <v>12351</v>
      </c>
      <c r="K500" s="2">
        <f t="shared" si="80"/>
        <v>8978185</v>
      </c>
      <c r="M500" s="42">
        <v>21970677</v>
      </c>
      <c r="O500" s="42">
        <v>0</v>
      </c>
      <c r="Q500" s="2">
        <f t="shared" si="81"/>
        <v>3933275</v>
      </c>
      <c r="S500" s="42">
        <v>0</v>
      </c>
      <c r="U500" s="42">
        <v>3933275</v>
      </c>
      <c r="W500" s="42">
        <v>6379027</v>
      </c>
      <c r="Y500" s="42">
        <f>116723+104128</f>
        <v>220851</v>
      </c>
      <c r="AA500" s="42">
        <f>669484+5887890+390844+1700+14412+56641+54296+12351</f>
        <v>7087618</v>
      </c>
      <c r="AC500" s="42">
        <f>6160+243+4793</f>
        <v>11196</v>
      </c>
      <c r="AE500" s="42">
        <f>13262+208962+709864+73332+511</f>
        <v>1005931</v>
      </c>
      <c r="AG500" s="42">
        <v>3332779</v>
      </c>
      <c r="AI500" s="10">
        <f t="shared" si="79"/>
        <v>11658375</v>
      </c>
      <c r="AK500" s="42">
        <f t="shared" si="75"/>
        <v>0</v>
      </c>
    </row>
    <row r="501" spans="1:37" hidden="1">
      <c r="A501" s="9" t="s">
        <v>827</v>
      </c>
      <c r="B501" s="9"/>
      <c r="C501" s="9" t="s">
        <v>61</v>
      </c>
      <c r="D501" s="9"/>
      <c r="E501" s="23">
        <v>44784</v>
      </c>
      <c r="G501" s="42">
        <v>0</v>
      </c>
      <c r="I501" s="42">
        <v>0</v>
      </c>
      <c r="K501" s="2">
        <f t="shared" si="80"/>
        <v>0</v>
      </c>
      <c r="M501" s="42">
        <v>0</v>
      </c>
      <c r="O501" s="42">
        <v>0</v>
      </c>
      <c r="Q501" s="2">
        <f t="shared" si="81"/>
        <v>0</v>
      </c>
      <c r="S501" s="42">
        <v>0</v>
      </c>
      <c r="U501" s="42">
        <v>0</v>
      </c>
      <c r="W501" s="42">
        <v>0</v>
      </c>
      <c r="Y501" s="42">
        <v>0</v>
      </c>
      <c r="AA501" s="42">
        <v>0</v>
      </c>
      <c r="AC501" s="42">
        <v>0</v>
      </c>
      <c r="AE501" s="42">
        <v>0</v>
      </c>
      <c r="AG501" s="42">
        <v>0</v>
      </c>
      <c r="AI501" s="10">
        <f t="shared" si="79"/>
        <v>0</v>
      </c>
      <c r="AK501" s="42">
        <f t="shared" si="75"/>
        <v>0</v>
      </c>
    </row>
    <row r="502" spans="1:37">
      <c r="A502" s="9" t="s">
        <v>275</v>
      </c>
      <c r="B502" s="9"/>
      <c r="C502" s="9" t="s">
        <v>20</v>
      </c>
      <c r="D502" s="9"/>
      <c r="E502" s="23">
        <v>46607</v>
      </c>
      <c r="G502" s="42">
        <v>37241696</v>
      </c>
      <c r="I502" s="42">
        <v>0</v>
      </c>
      <c r="K502" s="2">
        <f t="shared" si="80"/>
        <v>55959772</v>
      </c>
      <c r="M502" s="42">
        <v>93201468</v>
      </c>
      <c r="O502" s="42">
        <v>0</v>
      </c>
      <c r="Q502" s="2">
        <f t="shared" si="81"/>
        <v>9671277</v>
      </c>
      <c r="S502" s="42">
        <v>0</v>
      </c>
      <c r="U502" s="42">
        <v>9671277</v>
      </c>
      <c r="W502" s="42">
        <v>48285514</v>
      </c>
      <c r="Y502" s="42">
        <v>45520</v>
      </c>
      <c r="AA502" s="42">
        <f>2580045+7938982+23689+1437+165139+53376</f>
        <v>10762668</v>
      </c>
      <c r="AC502" s="42">
        <v>0</v>
      </c>
      <c r="AE502" s="42">
        <f>781017+1314820+50677+3400+56375+666106</f>
        <v>2872395</v>
      </c>
      <c r="AG502" s="42">
        <v>21564094</v>
      </c>
      <c r="AI502" s="10">
        <f t="shared" si="79"/>
        <v>35244677</v>
      </c>
      <c r="AK502" s="42">
        <f t="shared" si="75"/>
        <v>0</v>
      </c>
    </row>
    <row r="503" spans="1:37">
      <c r="A503" s="9" t="s">
        <v>628</v>
      </c>
      <c r="B503" s="9"/>
      <c r="C503" s="9" t="s">
        <v>37</v>
      </c>
      <c r="D503" s="9"/>
      <c r="E503" s="23">
        <v>47738</v>
      </c>
      <c r="G503" s="42">
        <v>2595578</v>
      </c>
      <c r="I503" s="42">
        <v>5001</v>
      </c>
      <c r="K503" s="2">
        <f t="shared" si="80"/>
        <v>2211226</v>
      </c>
      <c r="M503" s="42">
        <v>4811805</v>
      </c>
      <c r="O503" s="42">
        <v>0</v>
      </c>
      <c r="Q503" s="2">
        <f t="shared" si="81"/>
        <v>1001963</v>
      </c>
      <c r="S503" s="42">
        <v>0</v>
      </c>
      <c r="U503" s="42">
        <v>1001963</v>
      </c>
      <c r="W503" s="42">
        <v>1605922</v>
      </c>
      <c r="Y503" s="42">
        <v>14560</v>
      </c>
      <c r="AA503" s="42">
        <f>344969+3025+57163+288+2044+23129+5001</f>
        <v>435619</v>
      </c>
      <c r="AC503" s="42">
        <v>0</v>
      </c>
      <c r="AE503" s="42">
        <f>11271+63357+412048+41303</f>
        <v>527979</v>
      </c>
      <c r="AG503" s="42">
        <v>1225762</v>
      </c>
      <c r="AI503" s="10">
        <f t="shared" si="79"/>
        <v>2203920</v>
      </c>
      <c r="AK503" s="42">
        <f t="shared" si="75"/>
        <v>0</v>
      </c>
    </row>
    <row r="504" spans="1:37">
      <c r="A504" s="9" t="s">
        <v>276</v>
      </c>
      <c r="B504" s="9"/>
      <c r="C504" s="9" t="s">
        <v>20</v>
      </c>
      <c r="D504" s="9"/>
      <c r="E504" s="23">
        <v>44792</v>
      </c>
      <c r="G504" s="42">
        <v>17146090</v>
      </c>
      <c r="I504" s="42">
        <v>35750</v>
      </c>
      <c r="K504" s="2">
        <f t="shared" si="80"/>
        <v>61179954</v>
      </c>
      <c r="M504" s="42">
        <v>78361794</v>
      </c>
      <c r="O504" s="42">
        <v>0</v>
      </c>
      <c r="Q504" s="2">
        <f t="shared" si="81"/>
        <v>12147870</v>
      </c>
      <c r="S504" s="42">
        <v>0</v>
      </c>
      <c r="U504" s="42">
        <v>12147870</v>
      </c>
      <c r="W504" s="42">
        <v>54480996</v>
      </c>
      <c r="Y504" s="42">
        <v>60539</v>
      </c>
      <c r="AA504" s="42">
        <v>1781358</v>
      </c>
      <c r="AC504" s="42">
        <v>0</v>
      </c>
      <c r="AE504" s="42">
        <v>685362</v>
      </c>
      <c r="AG504" s="42">
        <v>9205669</v>
      </c>
      <c r="AI504" s="10">
        <f t="shared" si="79"/>
        <v>11732928</v>
      </c>
      <c r="AK504" s="42">
        <f t="shared" si="75"/>
        <v>0</v>
      </c>
    </row>
    <row r="505" spans="1:37">
      <c r="A505" s="9" t="s">
        <v>369</v>
      </c>
      <c r="B505" s="9"/>
      <c r="C505" s="9" t="s">
        <v>364</v>
      </c>
      <c r="D505" s="9"/>
      <c r="E505" s="23">
        <v>47951</v>
      </c>
      <c r="G505" s="42">
        <f>10972963+10431</f>
        <v>10983394</v>
      </c>
      <c r="I505" s="42">
        <v>240786</v>
      </c>
      <c r="K505" s="2">
        <f t="shared" si="80"/>
        <v>4511213</v>
      </c>
      <c r="M505" s="42">
        <v>15735393</v>
      </c>
      <c r="O505" s="42">
        <v>0</v>
      </c>
      <c r="Q505" s="2">
        <f t="shared" si="81"/>
        <v>2081243</v>
      </c>
      <c r="S505" s="42">
        <v>0</v>
      </c>
      <c r="U505" s="42">
        <v>2081243</v>
      </c>
      <c r="W505" s="42">
        <v>4018246</v>
      </c>
      <c r="Y505" s="42">
        <v>41556</v>
      </c>
      <c r="AA505" s="42">
        <v>3132979</v>
      </c>
      <c r="AC505" s="42">
        <v>658839</v>
      </c>
      <c r="AE505" s="42">
        <v>51468</v>
      </c>
      <c r="AG505" s="42">
        <v>5751062</v>
      </c>
      <c r="AI505" s="10">
        <f t="shared" si="79"/>
        <v>9635904</v>
      </c>
      <c r="AK505" s="42">
        <f t="shared" si="75"/>
        <v>0</v>
      </c>
    </row>
    <row r="506" spans="1:37">
      <c r="A506" s="9" t="s">
        <v>403</v>
      </c>
      <c r="B506" s="9"/>
      <c r="C506" s="9" t="s">
        <v>45</v>
      </c>
      <c r="D506" s="9"/>
      <c r="E506" s="23">
        <v>48363</v>
      </c>
      <c r="G506" s="42">
        <v>1856381</v>
      </c>
      <c r="I506" s="42">
        <v>0</v>
      </c>
      <c r="K506" s="2">
        <f t="shared" si="80"/>
        <v>7116478</v>
      </c>
      <c r="M506" s="42">
        <v>8972859</v>
      </c>
      <c r="O506" s="42">
        <v>0</v>
      </c>
      <c r="Q506" s="2">
        <f t="shared" si="81"/>
        <v>1297930</v>
      </c>
      <c r="S506" s="42">
        <v>0</v>
      </c>
      <c r="U506" s="42">
        <v>1297930</v>
      </c>
      <c r="W506" s="42">
        <v>7056633</v>
      </c>
      <c r="Y506" s="42">
        <v>15513</v>
      </c>
      <c r="AA506" s="42">
        <f>570060+119367+182454+9359+1128+416+30918+2488</f>
        <v>916190</v>
      </c>
      <c r="AC506" s="42">
        <v>0</v>
      </c>
      <c r="AE506" s="42">
        <v>0</v>
      </c>
      <c r="AG506" s="42">
        <v>-313407</v>
      </c>
      <c r="AI506" s="10">
        <f t="shared" si="79"/>
        <v>618296</v>
      </c>
      <c r="AK506" s="42">
        <f t="shared" si="75"/>
        <v>0</v>
      </c>
    </row>
    <row r="507" spans="1:37">
      <c r="A507" s="9" t="s">
        <v>460</v>
      </c>
      <c r="B507" s="9"/>
      <c r="C507" s="9" t="s">
        <v>56</v>
      </c>
      <c r="D507" s="9"/>
      <c r="E507" s="23">
        <v>49221</v>
      </c>
      <c r="G507" s="42">
        <v>13790315</v>
      </c>
      <c r="I507" s="42">
        <v>296500</v>
      </c>
      <c r="K507" s="2">
        <f t="shared" si="80"/>
        <v>7059890</v>
      </c>
      <c r="M507" s="42">
        <v>21146705</v>
      </c>
      <c r="O507" s="42">
        <v>0</v>
      </c>
      <c r="Q507" s="2">
        <f t="shared" si="81"/>
        <v>8329977</v>
      </c>
      <c r="S507" s="42">
        <v>0</v>
      </c>
      <c r="U507" s="42">
        <v>8329977</v>
      </c>
      <c r="W507" s="42">
        <v>0</v>
      </c>
      <c r="Y507" s="42">
        <v>0</v>
      </c>
      <c r="AA507" s="42">
        <v>2198116</v>
      </c>
      <c r="AC507" s="42">
        <v>0</v>
      </c>
      <c r="AE507" s="42">
        <v>1373442</v>
      </c>
      <c r="AG507" s="42">
        <v>9245170</v>
      </c>
      <c r="AI507" s="10">
        <f t="shared" si="79"/>
        <v>12816728</v>
      </c>
      <c r="AK507" s="42">
        <f t="shared" si="75"/>
        <v>0</v>
      </c>
    </row>
    <row r="508" spans="1:37">
      <c r="A508" s="9" t="s">
        <v>460</v>
      </c>
      <c r="B508" s="9"/>
      <c r="C508" s="9" t="s">
        <v>71</v>
      </c>
      <c r="D508" s="9"/>
      <c r="E508" s="23">
        <v>50583</v>
      </c>
      <c r="G508" s="42">
        <v>2867781</v>
      </c>
      <c r="I508" s="42">
        <v>0</v>
      </c>
      <c r="K508" s="2">
        <f t="shared" si="80"/>
        <v>8286093</v>
      </c>
      <c r="M508" s="42">
        <v>11153874</v>
      </c>
      <c r="O508" s="42">
        <v>0</v>
      </c>
      <c r="Q508" s="2">
        <f t="shared" si="81"/>
        <v>1716197</v>
      </c>
      <c r="S508" s="42">
        <v>0</v>
      </c>
      <c r="U508" s="42">
        <v>1716197</v>
      </c>
      <c r="W508" s="42">
        <v>7314392</v>
      </c>
      <c r="Y508" s="42">
        <v>0</v>
      </c>
      <c r="AA508" s="42">
        <v>781585</v>
      </c>
      <c r="AC508" s="42">
        <v>0</v>
      </c>
      <c r="AE508" s="42">
        <v>1240565</v>
      </c>
      <c r="AG508" s="42">
        <v>101135</v>
      </c>
      <c r="AI508" s="10">
        <f t="shared" si="79"/>
        <v>2123285</v>
      </c>
      <c r="AK508" s="42">
        <f t="shared" si="75"/>
        <v>0</v>
      </c>
    </row>
    <row r="509" spans="1:37">
      <c r="A509" s="9" t="s">
        <v>233</v>
      </c>
      <c r="B509" s="9"/>
      <c r="C509" s="9" t="s">
        <v>17</v>
      </c>
      <c r="D509" s="9"/>
      <c r="E509" s="23">
        <v>46276</v>
      </c>
      <c r="G509" s="42">
        <f>6642678+1225</f>
        <v>6643903</v>
      </c>
      <c r="I509" s="42">
        <v>0</v>
      </c>
      <c r="K509" s="2">
        <f t="shared" si="80"/>
        <v>3173182</v>
      </c>
      <c r="M509" s="42">
        <v>9817085</v>
      </c>
      <c r="O509" s="42">
        <v>0</v>
      </c>
      <c r="Q509" s="2">
        <f t="shared" si="81"/>
        <v>3569854</v>
      </c>
      <c r="S509" s="42">
        <v>0</v>
      </c>
      <c r="U509" s="42">
        <v>3569854</v>
      </c>
      <c r="W509" s="42">
        <v>0</v>
      </c>
      <c r="Y509" s="42">
        <v>16078</v>
      </c>
      <c r="AA509" s="42">
        <v>1014351</v>
      </c>
      <c r="AC509" s="42">
        <v>0</v>
      </c>
      <c r="AE509" s="42">
        <v>720122</v>
      </c>
      <c r="AG509" s="42">
        <v>4496680</v>
      </c>
      <c r="AI509" s="10">
        <f t="shared" si="79"/>
        <v>6247231</v>
      </c>
      <c r="AK509" s="42">
        <f t="shared" si="75"/>
        <v>0</v>
      </c>
    </row>
    <row r="510" spans="1:37">
      <c r="A510" s="9" t="s">
        <v>233</v>
      </c>
      <c r="B510" s="9"/>
      <c r="C510" s="9" t="s">
        <v>58</v>
      </c>
      <c r="D510" s="9"/>
      <c r="E510" s="23">
        <v>49528</v>
      </c>
      <c r="G510" s="42">
        <v>9194993</v>
      </c>
      <c r="I510" s="42">
        <v>0</v>
      </c>
      <c r="K510" s="2">
        <f t="shared" si="80"/>
        <v>2248401</v>
      </c>
      <c r="M510" s="42">
        <v>11443394</v>
      </c>
      <c r="O510" s="42">
        <v>0</v>
      </c>
      <c r="Q510" s="2">
        <f t="shared" si="81"/>
        <v>1506982</v>
      </c>
      <c r="S510" s="42">
        <v>0</v>
      </c>
      <c r="U510" s="42">
        <v>1506982</v>
      </c>
      <c r="W510" s="42">
        <v>1871904</v>
      </c>
      <c r="Y510" s="42">
        <v>3366</v>
      </c>
      <c r="AA510" s="42">
        <v>1238674</v>
      </c>
      <c r="AC510" s="42">
        <v>0</v>
      </c>
      <c r="AE510" s="42">
        <v>171093</v>
      </c>
      <c r="AG510" s="42">
        <v>6651375</v>
      </c>
      <c r="AI510" s="10">
        <f t="shared" si="79"/>
        <v>8064508</v>
      </c>
      <c r="AK510" s="42">
        <f t="shared" si="75"/>
        <v>0</v>
      </c>
    </row>
    <row r="511" spans="1:37">
      <c r="A511" s="9" t="s">
        <v>640</v>
      </c>
      <c r="B511" s="9"/>
      <c r="C511" s="9" t="s">
        <v>111</v>
      </c>
      <c r="D511" s="9"/>
      <c r="E511" s="23">
        <v>46441</v>
      </c>
      <c r="G511" s="42">
        <v>1945727</v>
      </c>
      <c r="I511" s="42">
        <v>0</v>
      </c>
      <c r="K511" s="2">
        <f>M511-G511-I511</f>
        <v>2527991</v>
      </c>
      <c r="M511" s="42">
        <v>4473718</v>
      </c>
      <c r="O511" s="42">
        <v>0</v>
      </c>
      <c r="Q511" s="2">
        <f>U511-S511</f>
        <v>1076780</v>
      </c>
      <c r="S511" s="42">
        <v>0</v>
      </c>
      <c r="U511" s="42">
        <v>1076780</v>
      </c>
      <c r="W511" s="42">
        <v>2288882</v>
      </c>
      <c r="Y511" s="42">
        <f>6277+186</f>
        <v>6463</v>
      </c>
      <c r="AA511" s="42">
        <f>485660+1123522+90226+12392+77002+7309+6339</f>
        <v>1802450</v>
      </c>
      <c r="AC511" s="42">
        <v>0</v>
      </c>
      <c r="AE511" s="42">
        <v>0</v>
      </c>
      <c r="AG511" s="42">
        <v>-700857</v>
      </c>
      <c r="AI511" s="10">
        <f t="shared" si="79"/>
        <v>1108056</v>
      </c>
      <c r="AK511" s="42">
        <f t="shared" si="75"/>
        <v>0</v>
      </c>
    </row>
    <row r="512" spans="1:37">
      <c r="A512" s="9" t="s">
        <v>248</v>
      </c>
      <c r="B512" s="9"/>
      <c r="C512" s="9" t="s">
        <v>417</v>
      </c>
      <c r="D512" s="9"/>
      <c r="E512" s="23">
        <v>48538</v>
      </c>
      <c r="G512" s="42">
        <f>8125630+237296</f>
        <v>8362926</v>
      </c>
      <c r="I512" s="42">
        <v>441</v>
      </c>
      <c r="K512" s="2">
        <f t="shared" si="80"/>
        <v>3992078</v>
      </c>
      <c r="M512" s="42">
        <v>12355445</v>
      </c>
      <c r="O512" s="42">
        <v>0</v>
      </c>
      <c r="Q512" s="2">
        <f t="shared" si="81"/>
        <v>3130741</v>
      </c>
      <c r="S512" s="42">
        <v>0</v>
      </c>
      <c r="U512" s="42">
        <v>3130741</v>
      </c>
      <c r="W512" s="42">
        <v>2666261</v>
      </c>
      <c r="Y512" s="42">
        <v>10819</v>
      </c>
      <c r="AA512" s="42">
        <v>4846686</v>
      </c>
      <c r="AC512" s="42">
        <v>0</v>
      </c>
      <c r="AE512" s="42">
        <v>237769</v>
      </c>
      <c r="AG512" s="42">
        <v>1463169</v>
      </c>
      <c r="AI512" s="10">
        <f t="shared" si="79"/>
        <v>6558443</v>
      </c>
      <c r="AK512" s="42">
        <f t="shared" si="75"/>
        <v>0</v>
      </c>
    </row>
    <row r="513" spans="1:37" hidden="1">
      <c r="A513" s="9" t="s">
        <v>695</v>
      </c>
      <c r="B513" s="9"/>
      <c r="C513" s="9" t="s">
        <v>448</v>
      </c>
      <c r="D513" s="9"/>
      <c r="E513" s="23">
        <v>49064</v>
      </c>
      <c r="G513" s="42">
        <v>0</v>
      </c>
      <c r="I513" s="42">
        <v>0</v>
      </c>
      <c r="K513" s="2">
        <f t="shared" si="80"/>
        <v>0</v>
      </c>
      <c r="M513" s="42">
        <v>0</v>
      </c>
      <c r="O513" s="42">
        <v>0</v>
      </c>
      <c r="Q513" s="2">
        <f t="shared" si="81"/>
        <v>0</v>
      </c>
      <c r="S513" s="42">
        <v>0</v>
      </c>
      <c r="U513" s="42">
        <v>0</v>
      </c>
      <c r="W513" s="42">
        <v>0</v>
      </c>
      <c r="Y513" s="42">
        <v>0</v>
      </c>
      <c r="AA513" s="42">
        <v>0</v>
      </c>
      <c r="AC513" s="42">
        <v>0</v>
      </c>
      <c r="AE513" s="42">
        <v>0</v>
      </c>
      <c r="AG513" s="42">
        <v>0</v>
      </c>
      <c r="AI513" s="10">
        <f t="shared" si="79"/>
        <v>0</v>
      </c>
      <c r="AK513" s="42">
        <f t="shared" si="75"/>
        <v>0</v>
      </c>
    </row>
    <row r="514" spans="1:37">
      <c r="A514" s="9" t="s">
        <v>526</v>
      </c>
      <c r="B514" s="9"/>
      <c r="C514" s="9" t="s">
        <v>64</v>
      </c>
      <c r="D514" s="9"/>
      <c r="E514" s="23">
        <v>50237</v>
      </c>
      <c r="G514" s="42">
        <v>4123224</v>
      </c>
      <c r="I514" s="42">
        <v>286</v>
      </c>
      <c r="K514" s="2">
        <f t="shared" si="80"/>
        <v>2211830</v>
      </c>
      <c r="M514" s="42">
        <v>6335340</v>
      </c>
      <c r="O514" s="42">
        <v>0</v>
      </c>
      <c r="Q514" s="2">
        <f t="shared" si="81"/>
        <v>610876</v>
      </c>
      <c r="S514" s="42">
        <v>0</v>
      </c>
      <c r="U514" s="42">
        <v>610876</v>
      </c>
      <c r="W514" s="42">
        <v>2152720</v>
      </c>
      <c r="Y514" s="42">
        <v>286</v>
      </c>
      <c r="AA514" s="42">
        <v>2406807</v>
      </c>
      <c r="AC514" s="42">
        <v>35300</v>
      </c>
      <c r="AE514" s="42">
        <v>684462</v>
      </c>
      <c r="AG514" s="42">
        <v>444889</v>
      </c>
      <c r="AI514" s="10">
        <f t="shared" si="79"/>
        <v>3571744</v>
      </c>
      <c r="AK514" s="42">
        <f t="shared" si="75"/>
        <v>0</v>
      </c>
    </row>
    <row r="515" spans="1:37" hidden="1">
      <c r="A515" s="9" t="s">
        <v>823</v>
      </c>
      <c r="B515" s="9"/>
      <c r="C515" s="9" t="s">
        <v>42</v>
      </c>
      <c r="D515" s="9"/>
      <c r="E515" s="23">
        <v>48041</v>
      </c>
      <c r="G515" s="42">
        <v>0</v>
      </c>
      <c r="I515" s="42">
        <v>0</v>
      </c>
      <c r="K515" s="2">
        <f t="shared" si="80"/>
        <v>0</v>
      </c>
      <c r="M515" s="42">
        <v>0</v>
      </c>
      <c r="O515" s="42">
        <v>0</v>
      </c>
      <c r="Q515" s="2">
        <f t="shared" si="81"/>
        <v>0</v>
      </c>
      <c r="S515" s="42">
        <v>0</v>
      </c>
      <c r="U515" s="42">
        <v>0</v>
      </c>
      <c r="W515" s="42">
        <v>0</v>
      </c>
      <c r="Y515" s="42">
        <v>0</v>
      </c>
      <c r="AA515" s="42">
        <v>0</v>
      </c>
      <c r="AC515" s="42">
        <v>0</v>
      </c>
      <c r="AE515" s="42">
        <v>0</v>
      </c>
      <c r="AG515" s="42">
        <v>0</v>
      </c>
      <c r="AI515" s="10">
        <f t="shared" si="79"/>
        <v>0</v>
      </c>
      <c r="AK515" s="42">
        <f t="shared" si="75"/>
        <v>0</v>
      </c>
    </row>
    <row r="516" spans="1:37">
      <c r="A516" s="9" t="s">
        <v>329</v>
      </c>
      <c r="B516" s="9"/>
      <c r="C516" s="9" t="s">
        <v>32</v>
      </c>
      <c r="D516" s="9"/>
      <c r="E516" s="23">
        <v>47381</v>
      </c>
      <c r="G516" s="42">
        <f>6956747+360000</f>
        <v>7316747</v>
      </c>
      <c r="I516" s="42">
        <v>0</v>
      </c>
      <c r="K516" s="2">
        <f t="shared" si="80"/>
        <v>13891693</v>
      </c>
      <c r="M516" s="42">
        <v>21208440</v>
      </c>
      <c r="O516" s="42">
        <v>0</v>
      </c>
      <c r="Q516" s="2">
        <f t="shared" si="81"/>
        <v>11971171</v>
      </c>
      <c r="S516" s="42">
        <v>0</v>
      </c>
      <c r="U516" s="42">
        <v>11971171</v>
      </c>
      <c r="W516" s="42">
        <v>0</v>
      </c>
      <c r="Y516" s="42">
        <v>0</v>
      </c>
      <c r="AA516" s="42">
        <v>3726472</v>
      </c>
      <c r="AC516" s="42">
        <v>0</v>
      </c>
      <c r="AE516" s="42">
        <v>726856</v>
      </c>
      <c r="AG516" s="42">
        <v>4783941</v>
      </c>
      <c r="AI516" s="10">
        <f t="shared" si="79"/>
        <v>9237269</v>
      </c>
      <c r="AK516" s="42">
        <f t="shared" si="75"/>
        <v>0</v>
      </c>
    </row>
    <row r="517" spans="1:37">
      <c r="A517" s="9" t="s">
        <v>305</v>
      </c>
      <c r="B517" s="9"/>
      <c r="C517" s="9" t="s">
        <v>27</v>
      </c>
      <c r="D517" s="9"/>
      <c r="E517" s="23">
        <v>44800</v>
      </c>
      <c r="G517" s="42">
        <f>175435059+80002959</f>
        <v>255438018</v>
      </c>
      <c r="I517" s="42">
        <v>0</v>
      </c>
      <c r="K517" s="2">
        <f t="shared" si="80"/>
        <v>247972781</v>
      </c>
      <c r="M517" s="42">
        <v>503410799</v>
      </c>
      <c r="O517" s="42">
        <v>0</v>
      </c>
      <c r="Q517" s="2">
        <f t="shared" si="81"/>
        <v>32405639</v>
      </c>
      <c r="S517" s="42">
        <v>0</v>
      </c>
      <c r="U517" s="42">
        <v>32405639</v>
      </c>
      <c r="W517" s="42">
        <v>195476467</v>
      </c>
      <c r="Y517" s="42">
        <v>441223</v>
      </c>
      <c r="AA517" s="42">
        <v>174866472</v>
      </c>
      <c r="AC517" s="42">
        <v>1121869</v>
      </c>
      <c r="AE517" s="42">
        <v>1045417</v>
      </c>
      <c r="AG517" s="42">
        <v>98053712</v>
      </c>
      <c r="AI517" s="10">
        <f t="shared" si="79"/>
        <v>275528693</v>
      </c>
      <c r="AK517" s="42">
        <f t="shared" si="75"/>
        <v>0</v>
      </c>
    </row>
    <row r="518" spans="1:37" hidden="1">
      <c r="A518" s="9" t="s">
        <v>696</v>
      </c>
      <c r="B518" s="9"/>
      <c r="C518" s="9" t="s">
        <v>10</v>
      </c>
      <c r="D518" s="9"/>
      <c r="E518" s="23">
        <v>45807</v>
      </c>
      <c r="G518" s="42">
        <v>0</v>
      </c>
      <c r="I518" s="42">
        <v>0</v>
      </c>
      <c r="K518" s="2">
        <f t="shared" si="80"/>
        <v>0</v>
      </c>
      <c r="M518" s="42">
        <v>0</v>
      </c>
      <c r="O518" s="42">
        <v>0</v>
      </c>
      <c r="Q518" s="2">
        <f t="shared" si="81"/>
        <v>0</v>
      </c>
      <c r="S518" s="42">
        <v>0</v>
      </c>
      <c r="U518" s="42">
        <v>0</v>
      </c>
      <c r="W518" s="42">
        <v>0</v>
      </c>
      <c r="Y518" s="42">
        <v>0</v>
      </c>
      <c r="AA518" s="42">
        <v>0</v>
      </c>
      <c r="AC518" s="42">
        <v>0</v>
      </c>
      <c r="AE518" s="42">
        <v>0</v>
      </c>
      <c r="AG518" s="42">
        <v>0</v>
      </c>
      <c r="AI518" s="10">
        <f t="shared" si="79"/>
        <v>0</v>
      </c>
      <c r="AK518" s="42">
        <f t="shared" si="75"/>
        <v>0</v>
      </c>
    </row>
    <row r="519" spans="1:37">
      <c r="A519" s="8" t="s">
        <v>838</v>
      </c>
      <c r="B519" s="9"/>
      <c r="C519" s="9" t="s">
        <v>69</v>
      </c>
      <c r="D519" s="9"/>
      <c r="E519" s="23">
        <v>50427</v>
      </c>
      <c r="G519" s="42">
        <v>15530629</v>
      </c>
      <c r="I519" s="42">
        <f>96355+327596</f>
        <v>423951</v>
      </c>
      <c r="K519" s="2">
        <f t="shared" si="80"/>
        <v>33870105</v>
      </c>
      <c r="M519" s="42">
        <v>49824685</v>
      </c>
      <c r="O519" s="42">
        <v>0</v>
      </c>
      <c r="Q519" s="2">
        <f t="shared" si="81"/>
        <v>5632657</v>
      </c>
      <c r="S519" s="42">
        <v>0</v>
      </c>
      <c r="U519" s="42">
        <v>5632657</v>
      </c>
      <c r="W519" s="42">
        <v>30154795</v>
      </c>
      <c r="Y519" s="42">
        <v>0</v>
      </c>
      <c r="AA519" s="42">
        <v>5154601</v>
      </c>
      <c r="AC519" s="42">
        <v>0</v>
      </c>
      <c r="AE519" s="42">
        <v>1233237</v>
      </c>
      <c r="AG519" s="42">
        <v>7649395</v>
      </c>
      <c r="AI519" s="10">
        <f t="shared" si="79"/>
        <v>14037233</v>
      </c>
      <c r="AK519" s="42">
        <f t="shared" si="75"/>
        <v>0</v>
      </c>
    </row>
    <row r="520" spans="1:37">
      <c r="A520" s="9" t="s">
        <v>624</v>
      </c>
      <c r="B520" s="9"/>
      <c r="C520" s="9" t="s">
        <v>17</v>
      </c>
      <c r="D520" s="9"/>
      <c r="E520" s="23">
        <v>44818</v>
      </c>
      <c r="G520" s="42">
        <v>39330923</v>
      </c>
      <c r="I520" s="42">
        <v>1027198</v>
      </c>
      <c r="K520" s="2">
        <f t="shared" si="80"/>
        <v>38295680</v>
      </c>
      <c r="M520" s="42">
        <v>78653801</v>
      </c>
      <c r="O520" s="42">
        <v>0</v>
      </c>
      <c r="Q520" s="2">
        <f t="shared" si="81"/>
        <v>17294648</v>
      </c>
      <c r="S520" s="42">
        <v>0</v>
      </c>
      <c r="U520" s="42">
        <v>17294648</v>
      </c>
      <c r="W520" s="42">
        <v>25908361</v>
      </c>
      <c r="Y520" s="42">
        <v>0</v>
      </c>
      <c r="AA520" s="42">
        <v>12571081</v>
      </c>
      <c r="AC520" s="42">
        <v>79473</v>
      </c>
      <c r="AE520" s="42">
        <v>2044205</v>
      </c>
      <c r="AG520" s="42">
        <v>20756033</v>
      </c>
      <c r="AI520" s="10">
        <f t="shared" si="79"/>
        <v>35450792</v>
      </c>
      <c r="AK520" s="42">
        <f t="shared" si="75"/>
        <v>0</v>
      </c>
    </row>
    <row r="521" spans="1:37">
      <c r="A521" s="9" t="s">
        <v>710</v>
      </c>
      <c r="B521" s="9"/>
      <c r="C521" s="9" t="s">
        <v>114</v>
      </c>
      <c r="D521" s="9"/>
      <c r="E521" s="23">
        <v>48223</v>
      </c>
      <c r="G521" s="42">
        <v>7047538</v>
      </c>
      <c r="I521" s="42">
        <v>0</v>
      </c>
      <c r="K521" s="2">
        <f t="shared" si="80"/>
        <v>28337408</v>
      </c>
      <c r="M521" s="42">
        <v>35384946</v>
      </c>
      <c r="O521" s="42">
        <v>0</v>
      </c>
      <c r="Q521" s="2">
        <f t="shared" si="81"/>
        <v>6627448</v>
      </c>
      <c r="S521" s="42">
        <v>0</v>
      </c>
      <c r="U521" s="42">
        <v>6627448</v>
      </c>
      <c r="W521" s="42">
        <v>24920225</v>
      </c>
      <c r="Y521" s="42">
        <f>22945+297</f>
        <v>23242</v>
      </c>
      <c r="AA521" s="42">
        <f>1738980+942341+144501+72055+74171</f>
        <v>2972048</v>
      </c>
      <c r="AC521" s="42">
        <f>5468+500</f>
        <v>5968</v>
      </c>
      <c r="AE521" s="42">
        <f>41480+200897+450+840357</f>
        <v>1083184</v>
      </c>
      <c r="AG521" s="42">
        <v>-247169</v>
      </c>
      <c r="AI521" s="10">
        <f t="shared" si="79"/>
        <v>3837273</v>
      </c>
      <c r="AK521" s="42">
        <f t="shared" si="75"/>
        <v>0</v>
      </c>
    </row>
    <row r="522" spans="1:37">
      <c r="A522" s="9" t="s">
        <v>390</v>
      </c>
      <c r="B522" s="9"/>
      <c r="C522" s="9" t="s">
        <v>45</v>
      </c>
      <c r="D522" s="9"/>
      <c r="E522" s="23">
        <v>48371</v>
      </c>
      <c r="G522" s="42">
        <v>2320916</v>
      </c>
      <c r="I522" s="42">
        <v>0</v>
      </c>
      <c r="K522" s="2">
        <f t="shared" si="80"/>
        <v>4708047</v>
      </c>
      <c r="M522" s="42">
        <v>7028963</v>
      </c>
      <c r="O522" s="42">
        <v>0</v>
      </c>
      <c r="Q522" s="2">
        <f t="shared" si="81"/>
        <v>1380139</v>
      </c>
      <c r="S522" s="42">
        <v>0</v>
      </c>
      <c r="U522" s="42">
        <v>1380139</v>
      </c>
      <c r="W522" s="42">
        <v>3752017</v>
      </c>
      <c r="Y522" s="42">
        <f>41980+9047</f>
        <v>51027</v>
      </c>
      <c r="AA522" s="42">
        <f>22384+32381</f>
        <v>54765</v>
      </c>
      <c r="AC522" s="42">
        <f>409749+11000</f>
        <v>420749</v>
      </c>
      <c r="AE522" s="42">
        <f>22803+5156+1408658+2388</f>
        <v>1439005</v>
      </c>
      <c r="AG522" s="42">
        <v>-68739</v>
      </c>
      <c r="AI522" s="10">
        <f t="shared" si="79"/>
        <v>1896807</v>
      </c>
      <c r="AK522" s="42">
        <f t="shared" si="75"/>
        <v>0</v>
      </c>
    </row>
    <row r="523" spans="1:37">
      <c r="A523" s="9" t="s">
        <v>390</v>
      </c>
      <c r="B523" s="9"/>
      <c r="C523" s="9" t="s">
        <v>63</v>
      </c>
      <c r="D523" s="9"/>
      <c r="E523" s="23">
        <v>50062</v>
      </c>
      <c r="G523" s="42">
        <f>19615215+492318</f>
        <v>20107533</v>
      </c>
      <c r="I523" s="42">
        <v>0</v>
      </c>
      <c r="K523" s="2">
        <f t="shared" si="80"/>
        <v>15466856</v>
      </c>
      <c r="M523" s="42">
        <v>35574389</v>
      </c>
      <c r="O523" s="42">
        <v>0</v>
      </c>
      <c r="Q523" s="2">
        <f t="shared" si="81"/>
        <v>4831063</v>
      </c>
      <c r="S523" s="42">
        <v>0</v>
      </c>
      <c r="U523" s="42">
        <f>19013919-14182856</f>
        <v>4831063</v>
      </c>
      <c r="W523" s="42">
        <v>14182856</v>
      </c>
      <c r="Y523" s="42">
        <v>0</v>
      </c>
      <c r="AA523" s="42">
        <v>11567332</v>
      </c>
      <c r="AC523" s="42">
        <v>0</v>
      </c>
      <c r="AE523" s="42">
        <v>4659005</v>
      </c>
      <c r="AG523" s="42">
        <v>334133</v>
      </c>
      <c r="AI523" s="10">
        <f t="shared" si="79"/>
        <v>16560470</v>
      </c>
      <c r="AK523" s="42">
        <f t="shared" si="75"/>
        <v>0</v>
      </c>
    </row>
    <row r="524" spans="1:37">
      <c r="A524" s="9" t="s">
        <v>780</v>
      </c>
      <c r="B524" s="9"/>
      <c r="C524" s="9" t="s">
        <v>32</v>
      </c>
      <c r="D524" s="9"/>
      <c r="E524" s="23">
        <v>44719</v>
      </c>
      <c r="G524" s="42">
        <v>7595685</v>
      </c>
      <c r="I524" s="42">
        <v>0</v>
      </c>
      <c r="K524" s="2">
        <f t="shared" si="80"/>
        <v>5273744</v>
      </c>
      <c r="M524" s="42">
        <v>12869429</v>
      </c>
      <c r="O524" s="42">
        <v>0</v>
      </c>
      <c r="Q524" s="2">
        <f t="shared" si="81"/>
        <v>1382827</v>
      </c>
      <c r="S524" s="42">
        <v>0</v>
      </c>
      <c r="U524" s="42">
        <f>4706868-3324041</f>
        <v>1382827</v>
      </c>
      <c r="W524" s="42">
        <v>3324041</v>
      </c>
      <c r="Y524" s="42">
        <v>15811</v>
      </c>
      <c r="AA524" s="42">
        <v>580174</v>
      </c>
      <c r="AC524" s="42">
        <v>0</v>
      </c>
      <c r="AE524" s="42">
        <v>2472010</v>
      </c>
      <c r="AG524" s="42">
        <v>5094566</v>
      </c>
      <c r="AI524" s="10">
        <f t="shared" si="79"/>
        <v>8162561</v>
      </c>
      <c r="AK524" s="42">
        <f t="shared" si="75"/>
        <v>0</v>
      </c>
    </row>
    <row r="525" spans="1:37">
      <c r="A525" s="9" t="s">
        <v>781</v>
      </c>
      <c r="B525" s="9"/>
      <c r="C525" s="9" t="s">
        <v>15</v>
      </c>
      <c r="D525" s="9"/>
      <c r="E525" s="23">
        <v>45997</v>
      </c>
      <c r="G525" s="42">
        <f>1510088+157571</f>
        <v>1667659</v>
      </c>
      <c r="I525" s="42">
        <v>11000</v>
      </c>
      <c r="K525" s="2">
        <f t="shared" si="80"/>
        <v>9802591</v>
      </c>
      <c r="M525" s="42">
        <v>11481250</v>
      </c>
      <c r="O525" s="42">
        <v>0</v>
      </c>
      <c r="Q525" s="2">
        <f t="shared" si="81"/>
        <v>2731372</v>
      </c>
      <c r="S525" s="42">
        <v>0</v>
      </c>
      <c r="U525" s="42">
        <v>2731372</v>
      </c>
      <c r="W525" s="42">
        <v>8383015</v>
      </c>
      <c r="Y525" s="42">
        <f>18463+3360</f>
        <v>21823</v>
      </c>
      <c r="AA525" s="42">
        <f>25164+716397+17370+11000+146637</f>
        <v>916568</v>
      </c>
      <c r="AC525" s="42">
        <v>0</v>
      </c>
      <c r="AE525" s="42">
        <v>0</v>
      </c>
      <c r="AG525" s="42">
        <v>-571528</v>
      </c>
      <c r="AI525" s="10">
        <f t="shared" si="79"/>
        <v>366863</v>
      </c>
      <c r="AK525" s="42">
        <f t="shared" si="75"/>
        <v>0</v>
      </c>
    </row>
    <row r="526" spans="1:37" hidden="1">
      <c r="A526" s="9" t="s">
        <v>697</v>
      </c>
      <c r="B526" s="9"/>
      <c r="C526" s="9" t="s">
        <v>419</v>
      </c>
      <c r="D526" s="9"/>
      <c r="E526" s="23">
        <v>48587</v>
      </c>
      <c r="G526" s="42">
        <v>0</v>
      </c>
      <c r="I526" s="42">
        <v>0</v>
      </c>
      <c r="K526" s="2">
        <f t="shared" si="80"/>
        <v>0</v>
      </c>
      <c r="M526" s="42">
        <v>0</v>
      </c>
      <c r="O526" s="42">
        <v>0</v>
      </c>
      <c r="Q526" s="2">
        <f t="shared" si="81"/>
        <v>0</v>
      </c>
      <c r="S526" s="42">
        <v>0</v>
      </c>
      <c r="U526" s="42">
        <v>0</v>
      </c>
      <c r="W526" s="42">
        <v>0</v>
      </c>
      <c r="Y526" s="42">
        <v>0</v>
      </c>
      <c r="AA526" s="42">
        <v>0</v>
      </c>
      <c r="AC526" s="42">
        <v>0</v>
      </c>
      <c r="AE526" s="42">
        <v>0</v>
      </c>
      <c r="AG526" s="42">
        <v>0</v>
      </c>
      <c r="AI526" s="10">
        <f t="shared" si="79"/>
        <v>0</v>
      </c>
      <c r="AK526" s="42">
        <f t="shared" si="75"/>
        <v>0</v>
      </c>
    </row>
    <row r="527" spans="1:37" hidden="1">
      <c r="A527" s="9" t="s">
        <v>698</v>
      </c>
      <c r="B527" s="9"/>
      <c r="C527" s="9" t="s">
        <v>14</v>
      </c>
      <c r="D527" s="9"/>
      <c r="E527" s="23">
        <v>44727</v>
      </c>
      <c r="G527" s="42">
        <v>0</v>
      </c>
      <c r="I527" s="42">
        <v>0</v>
      </c>
      <c r="K527" s="2">
        <f t="shared" si="80"/>
        <v>0</v>
      </c>
      <c r="M527" s="42">
        <v>0</v>
      </c>
      <c r="O527" s="42">
        <v>0</v>
      </c>
      <c r="Q527" s="2">
        <f t="shared" si="81"/>
        <v>0</v>
      </c>
      <c r="S527" s="42">
        <v>0</v>
      </c>
      <c r="U527" s="42">
        <v>0</v>
      </c>
      <c r="W527" s="42">
        <v>0</v>
      </c>
      <c r="Y527" s="42">
        <v>0</v>
      </c>
      <c r="AA527" s="42">
        <v>0</v>
      </c>
      <c r="AC527" s="42">
        <v>0</v>
      </c>
      <c r="AE527" s="42">
        <v>0</v>
      </c>
      <c r="AG527" s="42">
        <v>0</v>
      </c>
      <c r="AI527" s="10">
        <f t="shared" si="79"/>
        <v>0</v>
      </c>
      <c r="AK527" s="42">
        <f t="shared" ref="AK527:AK590" si="82">+G527+I527+K527+O527-U527-W527-AC527-AA527-Y527-AE527-AG527</f>
        <v>0</v>
      </c>
    </row>
    <row r="528" spans="1:37">
      <c r="A528" s="9" t="s">
        <v>362</v>
      </c>
      <c r="B528" s="9"/>
      <c r="C528" s="9" t="s">
        <v>39</v>
      </c>
      <c r="D528" s="9"/>
      <c r="E528" s="23">
        <v>44826</v>
      </c>
      <c r="G528" s="42">
        <v>10057129</v>
      </c>
      <c r="I528" s="42">
        <f>136871+2541261</f>
        <v>2678132</v>
      </c>
      <c r="K528" s="2">
        <f t="shared" si="80"/>
        <v>6813552</v>
      </c>
      <c r="M528" s="42">
        <v>19548813</v>
      </c>
      <c r="O528" s="42">
        <v>0</v>
      </c>
      <c r="Q528" s="2">
        <f t="shared" si="81"/>
        <v>2714477</v>
      </c>
      <c r="S528" s="42">
        <v>0</v>
      </c>
      <c r="U528" s="42">
        <v>2714477</v>
      </c>
      <c r="W528" s="42">
        <v>5833904</v>
      </c>
      <c r="Y528" s="42">
        <f>13364+5908</f>
        <v>19272</v>
      </c>
      <c r="AA528" s="42">
        <f>4123275+2762808+85496+14090+575089+429535+1307105+362856</f>
        <v>9660254</v>
      </c>
      <c r="AC528" s="42">
        <v>0</v>
      </c>
      <c r="AE528" s="42">
        <v>932025</v>
      </c>
      <c r="AG528" s="42">
        <v>388881</v>
      </c>
      <c r="AI528" s="10">
        <f t="shared" si="79"/>
        <v>11000432</v>
      </c>
      <c r="AK528" s="42">
        <f t="shared" si="82"/>
        <v>0</v>
      </c>
    </row>
    <row r="529" spans="1:37">
      <c r="A529" s="9" t="s">
        <v>510</v>
      </c>
      <c r="B529" s="9"/>
      <c r="C529" s="9" t="s">
        <v>63</v>
      </c>
      <c r="D529" s="9"/>
      <c r="E529" s="23">
        <v>44834</v>
      </c>
      <c r="G529" s="42">
        <v>22672748</v>
      </c>
      <c r="I529" s="42">
        <v>0</v>
      </c>
      <c r="K529" s="2">
        <f t="shared" si="80"/>
        <v>36364458</v>
      </c>
      <c r="M529" s="42">
        <v>59037206</v>
      </c>
      <c r="O529" s="42">
        <v>0</v>
      </c>
      <c r="Q529" s="2">
        <f t="shared" si="81"/>
        <v>7370385</v>
      </c>
      <c r="S529" s="42">
        <v>0</v>
      </c>
      <c r="U529" s="42">
        <v>7370385</v>
      </c>
      <c r="W529" s="42">
        <v>33832168</v>
      </c>
      <c r="Y529" s="42">
        <f>88480+26152</f>
        <v>114632</v>
      </c>
      <c r="AA529" s="42">
        <f>878+90551+26385</f>
        <v>117814</v>
      </c>
      <c r="AC529" s="42">
        <f>145535+79325+349948</f>
        <v>574808</v>
      </c>
      <c r="AE529" s="42">
        <f>24335+487848+10680+122126+16692825+106470</f>
        <v>17444284</v>
      </c>
      <c r="AG529" s="42">
        <v>-416885</v>
      </c>
      <c r="AI529" s="10">
        <f t="shared" si="79"/>
        <v>17834653</v>
      </c>
      <c r="AK529" s="42">
        <f t="shared" si="82"/>
        <v>0</v>
      </c>
    </row>
    <row r="530" spans="1:37" hidden="1">
      <c r="A530" s="9" t="s">
        <v>699</v>
      </c>
      <c r="B530" s="9"/>
      <c r="C530" s="9" t="s">
        <v>65</v>
      </c>
      <c r="D530" s="9"/>
      <c r="E530" s="23">
        <v>50294</v>
      </c>
      <c r="G530" s="42">
        <v>0</v>
      </c>
      <c r="I530" s="42">
        <v>0</v>
      </c>
      <c r="K530" s="2">
        <f t="shared" si="80"/>
        <v>0</v>
      </c>
      <c r="M530" s="42">
        <v>0</v>
      </c>
      <c r="O530" s="42">
        <v>0</v>
      </c>
      <c r="Q530" s="2">
        <f t="shared" si="81"/>
        <v>0</v>
      </c>
      <c r="S530" s="42">
        <v>0</v>
      </c>
      <c r="U530" s="42">
        <v>0</v>
      </c>
      <c r="W530" s="42">
        <v>0</v>
      </c>
      <c r="Y530" s="42">
        <v>0</v>
      </c>
      <c r="AA530" s="42">
        <v>0</v>
      </c>
      <c r="AC530" s="42">
        <v>0</v>
      </c>
      <c r="AE530" s="42">
        <v>0</v>
      </c>
      <c r="AG530" s="42">
        <v>0</v>
      </c>
      <c r="AI530" s="10">
        <f t="shared" si="79"/>
        <v>0</v>
      </c>
      <c r="AK530" s="42">
        <f t="shared" si="82"/>
        <v>0</v>
      </c>
    </row>
    <row r="531" spans="1:37">
      <c r="A531" s="9" t="s">
        <v>461</v>
      </c>
      <c r="B531" s="9"/>
      <c r="C531" s="9" t="s">
        <v>56</v>
      </c>
      <c r="D531" s="9"/>
      <c r="E531" s="23">
        <v>49239</v>
      </c>
      <c r="G531" s="42">
        <v>5469959</v>
      </c>
      <c r="I531" s="42">
        <v>0</v>
      </c>
      <c r="K531" s="2">
        <f t="shared" si="80"/>
        <v>15584786</v>
      </c>
      <c r="M531" s="42">
        <v>21054745</v>
      </c>
      <c r="O531" s="42">
        <v>0</v>
      </c>
      <c r="Q531" s="2">
        <f t="shared" si="81"/>
        <v>2399565</v>
      </c>
      <c r="S531" s="42">
        <v>0</v>
      </c>
      <c r="U531" s="42">
        <f>16565476-14165911</f>
        <v>2399565</v>
      </c>
      <c r="W531" s="42">
        <v>14165911</v>
      </c>
      <c r="Y531" s="42">
        <v>1316</v>
      </c>
      <c r="AA531" s="42">
        <v>1549082</v>
      </c>
      <c r="AC531" s="42">
        <v>22673</v>
      </c>
      <c r="AE531" s="42">
        <v>142935</v>
      </c>
      <c r="AG531" s="42">
        <v>2773263</v>
      </c>
      <c r="AI531" s="10">
        <f t="shared" si="79"/>
        <v>4489269</v>
      </c>
      <c r="AK531" s="42">
        <f t="shared" si="82"/>
        <v>0</v>
      </c>
    </row>
    <row r="532" spans="1:37">
      <c r="A532" s="9" t="s">
        <v>277</v>
      </c>
      <c r="B532" s="9"/>
      <c r="C532" s="9" t="s">
        <v>20</v>
      </c>
      <c r="D532" s="9"/>
      <c r="E532" s="23">
        <v>44842</v>
      </c>
      <c r="G532" s="42">
        <v>95424083</v>
      </c>
      <c r="I532" s="42">
        <v>0</v>
      </c>
      <c r="K532" s="2">
        <f t="shared" si="80"/>
        <v>54588477</v>
      </c>
      <c r="M532" s="42">
        <v>150012560</v>
      </c>
      <c r="O532" s="42">
        <v>0</v>
      </c>
      <c r="Q532" s="2">
        <f t="shared" si="81"/>
        <v>8083390</v>
      </c>
      <c r="S532" s="42">
        <v>0</v>
      </c>
      <c r="U532" s="42">
        <v>8083390</v>
      </c>
      <c r="W532" s="42">
        <v>47114184</v>
      </c>
      <c r="Y532" s="42">
        <v>0</v>
      </c>
      <c r="AA532" s="42">
        <v>89858366</v>
      </c>
      <c r="AC532" s="42">
        <v>1517000</v>
      </c>
      <c r="AE532" s="42">
        <v>636432</v>
      </c>
      <c r="AG532" s="42">
        <v>2803188</v>
      </c>
      <c r="AI532" s="10">
        <f t="shared" si="79"/>
        <v>94814986</v>
      </c>
      <c r="AK532" s="42">
        <f t="shared" si="82"/>
        <v>0</v>
      </c>
    </row>
    <row r="533" spans="1:37">
      <c r="A533" s="9" t="s">
        <v>404</v>
      </c>
      <c r="B533" s="9"/>
      <c r="C533" s="9" t="s">
        <v>45</v>
      </c>
      <c r="D533" s="9"/>
      <c r="E533" s="23">
        <v>44859</v>
      </c>
      <c r="G533" s="42">
        <v>9632644</v>
      </c>
      <c r="I533" s="42">
        <v>22629</v>
      </c>
      <c r="K533" s="2">
        <f t="shared" si="80"/>
        <v>5569410</v>
      </c>
      <c r="M533" s="42">
        <v>15224683</v>
      </c>
      <c r="O533" s="42">
        <v>0</v>
      </c>
      <c r="Q533" s="2">
        <f t="shared" si="81"/>
        <v>2438426</v>
      </c>
      <c r="S533" s="42">
        <v>0</v>
      </c>
      <c r="U533" s="42">
        <v>2438426</v>
      </c>
      <c r="W533" s="42">
        <v>5344505</v>
      </c>
      <c r="Y533" s="42">
        <v>3311</v>
      </c>
      <c r="AA533" s="42">
        <v>2875636</v>
      </c>
      <c r="AC533" s="42">
        <v>14664</v>
      </c>
      <c r="AE533" s="42">
        <v>625010</v>
      </c>
      <c r="AG533" s="42">
        <v>3923131</v>
      </c>
      <c r="AI533" s="10">
        <f t="shared" si="79"/>
        <v>7441752</v>
      </c>
      <c r="AK533" s="42">
        <f t="shared" si="82"/>
        <v>0</v>
      </c>
    </row>
    <row r="534" spans="1:37" hidden="1">
      <c r="A534" s="9" t="s">
        <v>906</v>
      </c>
      <c r="B534" s="9"/>
      <c r="C534" s="9" t="s">
        <v>548</v>
      </c>
      <c r="D534" s="9"/>
      <c r="E534" s="23">
        <v>50658</v>
      </c>
      <c r="G534" s="42">
        <v>0</v>
      </c>
      <c r="I534" s="42">
        <v>0</v>
      </c>
      <c r="K534" s="2">
        <f t="shared" si="80"/>
        <v>0</v>
      </c>
      <c r="M534" s="42">
        <v>0</v>
      </c>
      <c r="O534" s="42">
        <v>0</v>
      </c>
      <c r="Q534" s="2">
        <f t="shared" si="81"/>
        <v>0</v>
      </c>
      <c r="S534" s="42">
        <v>0</v>
      </c>
      <c r="U534" s="42">
        <v>0</v>
      </c>
      <c r="W534" s="42">
        <v>0</v>
      </c>
      <c r="Y534" s="42">
        <v>0</v>
      </c>
      <c r="AA534" s="42">
        <v>0</v>
      </c>
      <c r="AC534" s="42">
        <v>0</v>
      </c>
      <c r="AE534" s="42">
        <v>0</v>
      </c>
      <c r="AG534" s="42">
        <v>0</v>
      </c>
      <c r="AI534" s="10">
        <f t="shared" si="79"/>
        <v>0</v>
      </c>
      <c r="AK534" s="42">
        <f t="shared" si="82"/>
        <v>0</v>
      </c>
    </row>
    <row r="535" spans="1:37">
      <c r="A535" s="9" t="s">
        <v>310</v>
      </c>
      <c r="B535" s="9"/>
      <c r="C535" s="9" t="s">
        <v>28</v>
      </c>
      <c r="D535" s="9"/>
      <c r="E535" s="23">
        <v>47092</v>
      </c>
      <c r="G535" s="42">
        <f>7440794+2309588</f>
        <v>9750382</v>
      </c>
      <c r="I535" s="42">
        <v>8520</v>
      </c>
      <c r="K535" s="2">
        <f t="shared" si="80"/>
        <v>7192955</v>
      </c>
      <c r="M535" s="42">
        <v>16951857</v>
      </c>
      <c r="O535" s="42">
        <v>0</v>
      </c>
      <c r="Q535" s="2">
        <f t="shared" si="81"/>
        <v>1512036</v>
      </c>
      <c r="S535" s="42">
        <v>0</v>
      </c>
      <c r="U535" s="42">
        <v>1512036</v>
      </c>
      <c r="W535" s="42">
        <v>6053535</v>
      </c>
      <c r="Y535" s="42">
        <v>63825</v>
      </c>
      <c r="AA535" s="42">
        <v>2255951</v>
      </c>
      <c r="AC535" s="42">
        <v>0</v>
      </c>
      <c r="AE535" s="42">
        <v>2108419</v>
      </c>
      <c r="AG535" s="42">
        <v>4958091</v>
      </c>
      <c r="AI535" s="10">
        <f t="shared" si="79"/>
        <v>9386286</v>
      </c>
      <c r="AK535" s="42">
        <f t="shared" si="82"/>
        <v>0</v>
      </c>
    </row>
    <row r="536" spans="1:37">
      <c r="A536" s="9" t="s">
        <v>623</v>
      </c>
      <c r="B536" s="9"/>
      <c r="C536" s="9" t="s">
        <v>49</v>
      </c>
      <c r="D536" s="9"/>
      <c r="E536" s="23">
        <v>48652</v>
      </c>
      <c r="G536" s="42">
        <f>7546789+8932726+579418</f>
        <v>17058933</v>
      </c>
      <c r="I536" s="42">
        <v>491</v>
      </c>
      <c r="K536" s="2">
        <f t="shared" si="80"/>
        <v>16370288</v>
      </c>
      <c r="M536" s="42">
        <v>33429712</v>
      </c>
      <c r="O536" s="42">
        <v>0</v>
      </c>
      <c r="Q536" s="2">
        <f t="shared" si="81"/>
        <v>6356225</v>
      </c>
      <c r="S536" s="42">
        <v>0</v>
      </c>
      <c r="U536" s="42">
        <v>6356225</v>
      </c>
      <c r="W536" s="42">
        <v>14950379</v>
      </c>
      <c r="Y536" s="42">
        <f>14844+52155+491</f>
        <v>67490</v>
      </c>
      <c r="AA536" s="42">
        <f>43010+7856776+4591969+650339+21074+88028+14316</f>
        <v>13265512</v>
      </c>
      <c r="AC536" s="42">
        <v>42182</v>
      </c>
      <c r="AE536" s="42">
        <v>45027</v>
      </c>
      <c r="AG536" s="42">
        <v>-1297103</v>
      </c>
      <c r="AI536" s="10">
        <f t="shared" si="79"/>
        <v>12123108</v>
      </c>
      <c r="AK536" s="42">
        <f t="shared" si="82"/>
        <v>0</v>
      </c>
    </row>
    <row r="537" spans="1:37">
      <c r="A537" s="8" t="s">
        <v>828</v>
      </c>
      <c r="B537" s="9"/>
      <c r="C537" s="9" t="s">
        <v>32</v>
      </c>
      <c r="D537" s="9"/>
      <c r="E537" s="23">
        <v>44867</v>
      </c>
      <c r="G537" s="42">
        <f>51361185+2752655</f>
        <v>54113840</v>
      </c>
      <c r="I537" s="42">
        <v>747871</v>
      </c>
      <c r="K537" s="2">
        <f t="shared" si="80"/>
        <v>59334728</v>
      </c>
      <c r="M537" s="42">
        <v>114196439</v>
      </c>
      <c r="O537" s="42">
        <v>0</v>
      </c>
      <c r="Q537" s="2">
        <f t="shared" si="81"/>
        <v>10606094</v>
      </c>
      <c r="S537" s="42">
        <v>0</v>
      </c>
      <c r="U537" s="42">
        <f>47638062-37031968</f>
        <v>10606094</v>
      </c>
      <c r="W537" s="42">
        <v>37031968</v>
      </c>
      <c r="Y537" s="42">
        <v>26334</v>
      </c>
      <c r="AA537" s="42">
        <v>15752345</v>
      </c>
      <c r="AC537" s="42">
        <v>0</v>
      </c>
      <c r="AE537" s="42">
        <v>5750606</v>
      </c>
      <c r="AG537" s="42">
        <v>45029092</v>
      </c>
      <c r="AI537" s="10">
        <f t="shared" si="79"/>
        <v>66558377</v>
      </c>
      <c r="AK537" s="42">
        <f t="shared" si="82"/>
        <v>0</v>
      </c>
    </row>
    <row r="538" spans="1:37">
      <c r="A538" s="9" t="s">
        <v>391</v>
      </c>
      <c r="B538" s="9"/>
      <c r="C538" s="9" t="s">
        <v>114</v>
      </c>
      <c r="D538" s="9"/>
      <c r="E538" s="23">
        <v>44875</v>
      </c>
      <c r="G538" s="42">
        <v>10577850</v>
      </c>
      <c r="I538" s="42">
        <v>0</v>
      </c>
      <c r="K538" s="2">
        <f t="shared" si="80"/>
        <v>62662815</v>
      </c>
      <c r="M538" s="42">
        <v>73240665</v>
      </c>
      <c r="O538" s="42">
        <v>0</v>
      </c>
      <c r="Q538" s="2">
        <f t="shared" si="81"/>
        <v>11943994</v>
      </c>
      <c r="S538" s="42">
        <v>0</v>
      </c>
      <c r="U538" s="42">
        <v>11943994</v>
      </c>
      <c r="W538" s="42">
        <v>59304453</v>
      </c>
      <c r="Y538" s="42">
        <v>73012</v>
      </c>
      <c r="AA538" s="42">
        <f>2729486+523706+169+6923+196927</f>
        <v>3457211</v>
      </c>
      <c r="AC538" s="42">
        <v>0</v>
      </c>
      <c r="AE538" s="42">
        <v>0</v>
      </c>
      <c r="AG538" s="42">
        <v>-1538005</v>
      </c>
      <c r="AI538" s="10">
        <f t="shared" si="79"/>
        <v>1992218</v>
      </c>
      <c r="AK538" s="42">
        <f t="shared" si="82"/>
        <v>0</v>
      </c>
    </row>
    <row r="539" spans="1:37">
      <c r="A539" s="9" t="s">
        <v>370</v>
      </c>
      <c r="B539" s="9"/>
      <c r="C539" s="9" t="s">
        <v>364</v>
      </c>
      <c r="D539" s="9"/>
      <c r="E539" s="23">
        <v>47969</v>
      </c>
      <c r="G539" s="42">
        <v>4235230</v>
      </c>
      <c r="I539" s="42">
        <v>43697</v>
      </c>
      <c r="K539" s="2">
        <f t="shared" si="80"/>
        <v>1314468</v>
      </c>
      <c r="M539" s="42">
        <v>5593395</v>
      </c>
      <c r="O539" s="42">
        <v>0</v>
      </c>
      <c r="Q539" s="2">
        <f t="shared" si="81"/>
        <v>997665</v>
      </c>
      <c r="S539" s="42">
        <v>0</v>
      </c>
      <c r="U539" s="42">
        <v>997665</v>
      </c>
      <c r="W539" s="42">
        <v>1084487</v>
      </c>
      <c r="Y539" s="42">
        <v>2669</v>
      </c>
      <c r="AA539" s="42">
        <v>750588</v>
      </c>
      <c r="AC539" s="42">
        <v>40994</v>
      </c>
      <c r="AE539" s="42">
        <v>388280</v>
      </c>
      <c r="AG539" s="42">
        <v>2328712</v>
      </c>
      <c r="AI539" s="10">
        <f t="shared" si="79"/>
        <v>3511243</v>
      </c>
      <c r="AK539" s="42">
        <f t="shared" si="82"/>
        <v>0</v>
      </c>
    </row>
    <row r="540" spans="1:37">
      <c r="A540" s="9" t="s">
        <v>711</v>
      </c>
      <c r="B540" s="9"/>
      <c r="C540" s="9" t="s">
        <v>220</v>
      </c>
      <c r="D540" s="9"/>
      <c r="E540" s="23">
        <v>46151</v>
      </c>
      <c r="G540" s="42">
        <f>29826604+31339</f>
        <v>29857943</v>
      </c>
      <c r="I540" s="42">
        <v>275990</v>
      </c>
      <c r="K540" s="2">
        <f t="shared" ref="K540:K567" si="83">M540-G540-I540</f>
        <v>22833919</v>
      </c>
      <c r="M540" s="42">
        <v>52967852</v>
      </c>
      <c r="O540" s="42">
        <v>0</v>
      </c>
      <c r="Q540" s="2">
        <f t="shared" ref="Q540:Q567" si="84">U540-S540</f>
        <v>3982370</v>
      </c>
      <c r="S540" s="42">
        <v>0</v>
      </c>
      <c r="U540" s="42">
        <f>23822071-19839701</f>
        <v>3982370</v>
      </c>
      <c r="W540" s="42">
        <v>19839701</v>
      </c>
      <c r="Y540" s="42">
        <v>121684</v>
      </c>
      <c r="AA540" s="42">
        <v>8321793</v>
      </c>
      <c r="AC540" s="42">
        <v>0</v>
      </c>
      <c r="AE540" s="42">
        <v>769117</v>
      </c>
      <c r="AG540" s="42">
        <v>19933187</v>
      </c>
      <c r="AI540" s="10">
        <f t="shared" si="79"/>
        <v>29145781</v>
      </c>
      <c r="AK540" s="42">
        <f t="shared" si="82"/>
        <v>0</v>
      </c>
    </row>
    <row r="541" spans="1:37">
      <c r="A541" s="9" t="s">
        <v>511</v>
      </c>
      <c r="B541" s="9"/>
      <c r="C541" s="9" t="s">
        <v>63</v>
      </c>
      <c r="D541" s="9"/>
      <c r="E541" s="23">
        <v>44883</v>
      </c>
      <c r="G541" s="42">
        <f>6543602+12681</f>
        <v>6556283</v>
      </c>
      <c r="I541" s="42">
        <v>72479</v>
      </c>
      <c r="K541" s="2">
        <f t="shared" si="83"/>
        <v>18272356</v>
      </c>
      <c r="M541" s="42">
        <v>24901118</v>
      </c>
      <c r="O541" s="42">
        <v>0</v>
      </c>
      <c r="Q541" s="2">
        <f t="shared" si="84"/>
        <v>3093740</v>
      </c>
      <c r="S541" s="42">
        <v>0</v>
      </c>
      <c r="U541" s="42">
        <v>3093740</v>
      </c>
      <c r="W541" s="42">
        <v>16574832</v>
      </c>
      <c r="Y541" s="42">
        <v>14524</v>
      </c>
      <c r="AA541" s="42">
        <f>1886299+947924+76444+33376+127181+191598+8262</f>
        <v>3271084</v>
      </c>
      <c r="AC541" s="42">
        <v>17579</v>
      </c>
      <c r="AE541" s="42">
        <f>115776+179669</f>
        <v>295445</v>
      </c>
      <c r="AG541" s="42">
        <v>1633914</v>
      </c>
      <c r="AI541" s="10">
        <f t="shared" si="79"/>
        <v>5232546</v>
      </c>
      <c r="AK541" s="42">
        <f t="shared" si="82"/>
        <v>0</v>
      </c>
    </row>
    <row r="542" spans="1:37">
      <c r="A542" s="9" t="s">
        <v>451</v>
      </c>
      <c r="B542" s="9"/>
      <c r="C542" s="9" t="s">
        <v>54</v>
      </c>
      <c r="D542" s="9"/>
      <c r="E542" s="23">
        <v>49098</v>
      </c>
      <c r="G542" s="42">
        <v>9936880</v>
      </c>
      <c r="I542" s="42">
        <v>0</v>
      </c>
      <c r="K542" s="2">
        <f t="shared" si="83"/>
        <v>15232655</v>
      </c>
      <c r="M542" s="42">
        <v>25169535</v>
      </c>
      <c r="O542" s="42">
        <v>0</v>
      </c>
      <c r="Q542" s="2">
        <f t="shared" si="84"/>
        <v>3959549</v>
      </c>
      <c r="S542" s="42">
        <v>0</v>
      </c>
      <c r="U542" s="42">
        <v>3959549</v>
      </c>
      <c r="W542" s="42">
        <v>12291924</v>
      </c>
      <c r="Y542" s="42">
        <f>103737+9479+5471</f>
        <v>118687</v>
      </c>
      <c r="AA542" s="42">
        <f>2418122+368243+423301+265288+2132+120920</f>
        <v>3598006</v>
      </c>
      <c r="AC542" s="42">
        <f>810166+11000</f>
        <v>821166</v>
      </c>
      <c r="AE542" s="42">
        <f>34608+245039+761+2186720+45788</f>
        <v>2512916</v>
      </c>
      <c r="AG542" s="42">
        <v>1867287</v>
      </c>
      <c r="AI542" s="10">
        <f t="shared" ref="AI542:AI608" si="85">Y542+AA542+AC542+AE542+AG542</f>
        <v>8918062</v>
      </c>
      <c r="AK542" s="42">
        <f t="shared" si="82"/>
        <v>0</v>
      </c>
    </row>
    <row r="543" spans="1:37">
      <c r="A543" s="9" t="s">
        <v>234</v>
      </c>
      <c r="B543" s="9"/>
      <c r="C543" s="9" t="s">
        <v>17</v>
      </c>
      <c r="D543" s="9"/>
      <c r="E543" s="23">
        <v>46243</v>
      </c>
      <c r="G543" s="42">
        <f>5883989+4500</f>
        <v>5888489</v>
      </c>
      <c r="I543" s="42">
        <v>0</v>
      </c>
      <c r="K543" s="2">
        <f t="shared" si="83"/>
        <v>11130361</v>
      </c>
      <c r="M543" s="42">
        <v>17018850</v>
      </c>
      <c r="O543" s="42">
        <v>0</v>
      </c>
      <c r="Q543" s="2">
        <f t="shared" si="84"/>
        <v>3422538</v>
      </c>
      <c r="S543" s="42">
        <v>0</v>
      </c>
      <c r="U543" s="42">
        <v>3422538</v>
      </c>
      <c r="W543" s="42">
        <v>8264406</v>
      </c>
      <c r="Y543" s="42">
        <v>177592</v>
      </c>
      <c r="AA543" s="42">
        <v>4564584</v>
      </c>
      <c r="AC543" s="42">
        <v>0</v>
      </c>
      <c r="AE543" s="42">
        <v>1359436</v>
      </c>
      <c r="AG543" s="42">
        <v>-769706</v>
      </c>
      <c r="AI543" s="10">
        <f t="shared" si="85"/>
        <v>5331906</v>
      </c>
      <c r="AK543" s="42">
        <f t="shared" si="82"/>
        <v>0</v>
      </c>
    </row>
    <row r="544" spans="1:37">
      <c r="A544" s="9" t="s">
        <v>719</v>
      </c>
      <c r="B544" s="9"/>
      <c r="C544" s="9" t="s">
        <v>32</v>
      </c>
      <c r="D544" s="9"/>
      <c r="E544" s="23">
        <v>47399</v>
      </c>
      <c r="G544" s="42">
        <v>23144092</v>
      </c>
      <c r="I544" s="42">
        <v>866206</v>
      </c>
      <c r="K544" s="2">
        <f t="shared" si="83"/>
        <v>19007199</v>
      </c>
      <c r="M544" s="42">
        <v>43017497</v>
      </c>
      <c r="O544" s="42">
        <v>0</v>
      </c>
      <c r="Q544" s="2">
        <f t="shared" si="84"/>
        <v>5052310</v>
      </c>
      <c r="S544" s="42">
        <v>0</v>
      </c>
      <c r="U544" s="42">
        <f>17130783-12078473</f>
        <v>5052310</v>
      </c>
      <c r="W544" s="42">
        <v>12078473</v>
      </c>
      <c r="Y544" s="42">
        <v>1745000</v>
      </c>
      <c r="AA544" s="42">
        <v>10776268</v>
      </c>
      <c r="AC544" s="42">
        <v>987904</v>
      </c>
      <c r="AE544" s="42">
        <v>2226875</v>
      </c>
      <c r="AG544" s="42">
        <v>10150667</v>
      </c>
      <c r="AI544" s="10">
        <f t="shared" si="85"/>
        <v>25886714</v>
      </c>
      <c r="AK544" s="42">
        <f t="shared" si="82"/>
        <v>0</v>
      </c>
    </row>
    <row r="545" spans="1:37">
      <c r="A545" s="9" t="s">
        <v>485</v>
      </c>
      <c r="B545" s="9"/>
      <c r="C545" s="9" t="s">
        <v>60</v>
      </c>
      <c r="D545" s="9"/>
      <c r="E545" s="23">
        <v>44891</v>
      </c>
      <c r="G545" s="42">
        <f>5683000+2001</f>
        <v>5685001</v>
      </c>
      <c r="I545" s="42">
        <v>0</v>
      </c>
      <c r="K545" s="2">
        <f t="shared" si="83"/>
        <v>16069970</v>
      </c>
      <c r="M545" s="42">
        <v>21754971</v>
      </c>
      <c r="O545" s="42">
        <v>0</v>
      </c>
      <c r="Q545" s="2">
        <f t="shared" si="84"/>
        <v>2464649</v>
      </c>
      <c r="S545" s="42">
        <v>0</v>
      </c>
      <c r="U545" s="42">
        <v>2464649</v>
      </c>
      <c r="W545" s="42">
        <v>14091228</v>
      </c>
      <c r="Y545" s="42">
        <f>58198+96244</f>
        <v>154442</v>
      </c>
      <c r="AA545" s="42">
        <f>726068+628850+522880+370643+27660+2001+48962+115756</f>
        <v>2442820</v>
      </c>
      <c r="AC545" s="42">
        <v>0</v>
      </c>
      <c r="AE545" s="42">
        <f>63241+137577+1607</f>
        <v>202425</v>
      </c>
      <c r="AG545" s="42">
        <v>2399407</v>
      </c>
      <c r="AI545" s="10">
        <f t="shared" si="85"/>
        <v>5199094</v>
      </c>
      <c r="AK545" s="42">
        <f t="shared" si="82"/>
        <v>0</v>
      </c>
    </row>
    <row r="546" spans="1:37">
      <c r="A546" s="9" t="s">
        <v>772</v>
      </c>
      <c r="B546" s="9"/>
      <c r="C546" s="9" t="s">
        <v>48</v>
      </c>
      <c r="D546" s="9"/>
      <c r="E546" s="23">
        <v>45617</v>
      </c>
      <c r="G546" s="42">
        <v>3212904</v>
      </c>
      <c r="I546" s="42">
        <v>7422</v>
      </c>
      <c r="K546" s="2">
        <f t="shared" si="83"/>
        <v>13735551</v>
      </c>
      <c r="M546" s="42">
        <v>16955877</v>
      </c>
      <c r="O546" s="42">
        <v>0</v>
      </c>
      <c r="Q546" s="2">
        <f t="shared" si="84"/>
        <v>2379042</v>
      </c>
      <c r="S546" s="42">
        <v>0</v>
      </c>
      <c r="U546" s="42">
        <v>2379042</v>
      </c>
      <c r="W546" s="42">
        <v>11429792</v>
      </c>
      <c r="Y546" s="42">
        <v>91155</v>
      </c>
      <c r="AA546" s="42">
        <v>2077896</v>
      </c>
      <c r="AC546" s="42">
        <v>11000</v>
      </c>
      <c r="AE546" s="42">
        <v>224484</v>
      </c>
      <c r="AG546" s="42">
        <v>742508</v>
      </c>
      <c r="AI546" s="10">
        <f t="shared" si="85"/>
        <v>3147043</v>
      </c>
      <c r="AK546" s="42">
        <f t="shared" si="82"/>
        <v>0</v>
      </c>
    </row>
    <row r="547" spans="1:37">
      <c r="A547" s="9" t="s">
        <v>392</v>
      </c>
      <c r="B547" s="9"/>
      <c r="C547" s="9" t="s">
        <v>114</v>
      </c>
      <c r="D547" s="9"/>
      <c r="E547" s="23">
        <v>44909</v>
      </c>
      <c r="G547" s="42">
        <f>92760562+252624</f>
        <v>93013186</v>
      </c>
      <c r="I547" s="42">
        <v>0</v>
      </c>
      <c r="K547" s="2">
        <f t="shared" si="83"/>
        <v>120794846</v>
      </c>
      <c r="M547" s="42">
        <v>213808032</v>
      </c>
      <c r="O547" s="42">
        <v>0</v>
      </c>
      <c r="Q547" s="2">
        <f t="shared" si="84"/>
        <v>56940959</v>
      </c>
      <c r="S547" s="42">
        <v>0</v>
      </c>
      <c r="U547" s="42">
        <v>56940959</v>
      </c>
      <c r="W547" s="42">
        <v>107383072</v>
      </c>
      <c r="Y547" s="42">
        <v>567700</v>
      </c>
      <c r="AA547" s="42">
        <v>48949228</v>
      </c>
      <c r="AC547" s="42">
        <v>0</v>
      </c>
      <c r="AE547" s="42">
        <v>60048</v>
      </c>
      <c r="AG547" s="42">
        <v>-92975</v>
      </c>
      <c r="AI547" s="10">
        <f t="shared" si="85"/>
        <v>49484001</v>
      </c>
      <c r="AK547" s="42">
        <f t="shared" si="82"/>
        <v>0</v>
      </c>
    </row>
    <row r="548" spans="1:37" hidden="1">
      <c r="A548" s="9" t="s">
        <v>882</v>
      </c>
      <c r="B548" s="9"/>
      <c r="C548" s="9" t="s">
        <v>114</v>
      </c>
      <c r="D548" s="9"/>
      <c r="E548" s="23"/>
      <c r="G548" s="42">
        <v>0</v>
      </c>
      <c r="I548" s="42">
        <v>0</v>
      </c>
      <c r="K548" s="2">
        <f t="shared" si="83"/>
        <v>0</v>
      </c>
      <c r="M548" s="42">
        <v>0</v>
      </c>
      <c r="O548" s="42">
        <v>0</v>
      </c>
      <c r="Q548" s="2">
        <f t="shared" si="84"/>
        <v>0</v>
      </c>
      <c r="S548" s="42">
        <v>0</v>
      </c>
      <c r="U548" s="42">
        <v>0</v>
      </c>
      <c r="W548" s="42">
        <v>0</v>
      </c>
      <c r="Y548" s="42">
        <v>0</v>
      </c>
      <c r="AA548" s="42">
        <v>0</v>
      </c>
      <c r="AC548" s="42">
        <v>0</v>
      </c>
      <c r="AE548" s="42">
        <v>0</v>
      </c>
      <c r="AG548" s="42">
        <v>0</v>
      </c>
      <c r="AI548" s="10">
        <f t="shared" si="85"/>
        <v>0</v>
      </c>
      <c r="AK548" s="42">
        <f t="shared" si="82"/>
        <v>0</v>
      </c>
    </row>
    <row r="549" spans="1:37">
      <c r="A549" s="9" t="s">
        <v>720</v>
      </c>
      <c r="B549" s="9"/>
      <c r="C549" s="9" t="s">
        <v>39</v>
      </c>
      <c r="D549" s="9"/>
      <c r="E549" s="23">
        <v>44917</v>
      </c>
      <c r="G549" s="42">
        <v>3896351</v>
      </c>
      <c r="I549" s="42">
        <v>0</v>
      </c>
      <c r="K549" s="2">
        <f t="shared" si="83"/>
        <v>5970243</v>
      </c>
      <c r="M549" s="42">
        <v>9866594</v>
      </c>
      <c r="O549" s="42">
        <v>0</v>
      </c>
      <c r="Q549" s="2">
        <f t="shared" si="84"/>
        <v>2210752</v>
      </c>
      <c r="S549" s="42">
        <v>0</v>
      </c>
      <c r="U549" s="42">
        <v>2210752</v>
      </c>
      <c r="W549" s="42">
        <v>2282938</v>
      </c>
      <c r="Y549" s="42">
        <v>32407</v>
      </c>
      <c r="AA549" s="42">
        <v>4992195</v>
      </c>
      <c r="AC549" s="42">
        <v>0</v>
      </c>
      <c r="AE549" s="42">
        <v>124754</v>
      </c>
      <c r="AG549" s="42">
        <v>223548</v>
      </c>
      <c r="AI549" s="10">
        <f t="shared" si="85"/>
        <v>5372904</v>
      </c>
      <c r="AK549" s="42">
        <f t="shared" si="82"/>
        <v>0</v>
      </c>
    </row>
    <row r="550" spans="1:37">
      <c r="A550" s="9" t="s">
        <v>228</v>
      </c>
      <c r="B550" s="9"/>
      <c r="C550" s="9" t="s">
        <v>227</v>
      </c>
      <c r="D550" s="9"/>
      <c r="E550" s="23">
        <v>46201</v>
      </c>
      <c r="G550" s="42">
        <v>901064</v>
      </c>
      <c r="I550" s="42">
        <v>2500</v>
      </c>
      <c r="K550" s="2">
        <f t="shared" si="83"/>
        <v>3543357</v>
      </c>
      <c r="M550" s="42">
        <v>4446921</v>
      </c>
      <c r="O550" s="42">
        <v>0</v>
      </c>
      <c r="Q550" s="2">
        <f t="shared" si="84"/>
        <v>1225017</v>
      </c>
      <c r="S550" s="42">
        <v>0</v>
      </c>
      <c r="U550" s="42">
        <v>1225017</v>
      </c>
      <c r="W550" s="42">
        <v>2295925</v>
      </c>
      <c r="Y550" s="42">
        <f>7328+57422</f>
        <v>64750</v>
      </c>
      <c r="AA550" s="42">
        <f>188384+46237+101500+7063+1659+97827+2500</f>
        <v>445170</v>
      </c>
      <c r="AC550" s="42">
        <v>11000</v>
      </c>
      <c r="AE550" s="42">
        <f>1811+36838+236873+1591+877</f>
        <v>277990</v>
      </c>
      <c r="AG550" s="42">
        <v>127069</v>
      </c>
      <c r="AI550" s="10">
        <f t="shared" si="85"/>
        <v>925979</v>
      </c>
      <c r="AK550" s="42">
        <f t="shared" si="82"/>
        <v>0</v>
      </c>
    </row>
    <row r="551" spans="1:37" s="24" customFormat="1">
      <c r="A551" s="51" t="s">
        <v>463</v>
      </c>
      <c r="B551" s="51"/>
      <c r="C551" s="51" t="s">
        <v>57</v>
      </c>
      <c r="D551" s="51"/>
      <c r="E551" s="23">
        <v>91397</v>
      </c>
      <c r="G551" s="42">
        <v>1726077</v>
      </c>
      <c r="H551" s="42"/>
      <c r="I551" s="42">
        <v>79364</v>
      </c>
      <c r="J551" s="42"/>
      <c r="K551" s="2">
        <f t="shared" si="83"/>
        <v>4262465</v>
      </c>
      <c r="L551" s="42"/>
      <c r="M551" s="42">
        <v>6067906</v>
      </c>
      <c r="N551" s="42"/>
      <c r="O551" s="42">
        <v>0</v>
      </c>
      <c r="P551" s="42"/>
      <c r="Q551" s="2">
        <f t="shared" si="84"/>
        <v>1204121</v>
      </c>
      <c r="R551" s="42"/>
      <c r="S551" s="42">
        <v>0</v>
      </c>
      <c r="T551" s="42"/>
      <c r="U551" s="42">
        <v>1204121</v>
      </c>
      <c r="V551" s="42"/>
      <c r="W551" s="42">
        <v>3959162</v>
      </c>
      <c r="X551" s="42"/>
      <c r="Y551" s="42">
        <v>39383</v>
      </c>
      <c r="Z551" s="42"/>
      <c r="AA551" s="42">
        <v>559229</v>
      </c>
      <c r="AB551" s="42"/>
      <c r="AC551" s="42">
        <v>0</v>
      </c>
      <c r="AD551" s="42"/>
      <c r="AE551" s="42">
        <v>186355</v>
      </c>
      <c r="AF551" s="42"/>
      <c r="AG551" s="42">
        <v>119656</v>
      </c>
      <c r="AH551" s="42"/>
      <c r="AI551" s="10">
        <f t="shared" si="85"/>
        <v>904623</v>
      </c>
      <c r="AJ551" s="42"/>
      <c r="AK551" s="42">
        <f t="shared" si="82"/>
        <v>0</v>
      </c>
    </row>
    <row r="552" spans="1:37">
      <c r="A552" s="9" t="s">
        <v>211</v>
      </c>
      <c r="B552" s="9"/>
      <c r="C552" s="9" t="s">
        <v>13</v>
      </c>
      <c r="D552" s="9"/>
      <c r="E552" s="23">
        <v>45922</v>
      </c>
      <c r="G552" s="42">
        <f>3107902+250</f>
        <v>3108152</v>
      </c>
      <c r="I552" s="42">
        <v>0</v>
      </c>
      <c r="K552" s="2">
        <f t="shared" si="83"/>
        <v>1309522</v>
      </c>
      <c r="M552" s="42">
        <v>4417674</v>
      </c>
      <c r="O552" s="42">
        <v>0</v>
      </c>
      <c r="Q552" s="2">
        <f t="shared" si="84"/>
        <v>1085902</v>
      </c>
      <c r="S552" s="42">
        <v>0</v>
      </c>
      <c r="U552" s="42">
        <f>2052986-967084</f>
        <v>1085902</v>
      </c>
      <c r="W552" s="42">
        <v>967084</v>
      </c>
      <c r="Y552" s="42">
        <v>34443</v>
      </c>
      <c r="AA552" s="42">
        <v>411003</v>
      </c>
      <c r="AC552" s="42">
        <v>0</v>
      </c>
      <c r="AE552" s="42">
        <v>232156</v>
      </c>
      <c r="AG552" s="42">
        <v>1687086</v>
      </c>
      <c r="AI552" s="10">
        <f t="shared" si="85"/>
        <v>2364688</v>
      </c>
      <c r="AK552" s="42">
        <f t="shared" si="82"/>
        <v>0</v>
      </c>
    </row>
    <row r="553" spans="1:37">
      <c r="A553" s="9" t="s">
        <v>443</v>
      </c>
      <c r="B553" s="9"/>
      <c r="C553" s="9" t="s">
        <v>51</v>
      </c>
      <c r="D553" s="9"/>
      <c r="E553" s="23">
        <v>48876</v>
      </c>
      <c r="G553" s="42">
        <v>8541362</v>
      </c>
      <c r="I553" s="42">
        <v>0</v>
      </c>
      <c r="K553" s="2">
        <f t="shared" si="83"/>
        <v>9980796</v>
      </c>
      <c r="M553" s="42">
        <v>18522158</v>
      </c>
      <c r="O553" s="42">
        <v>0</v>
      </c>
      <c r="Q553" s="2">
        <f t="shared" si="84"/>
        <v>3675559</v>
      </c>
      <c r="S553" s="42">
        <v>0</v>
      </c>
      <c r="U553" s="42">
        <f>10887345-7211786</f>
        <v>3675559</v>
      </c>
      <c r="W553" s="42">
        <v>7211786</v>
      </c>
      <c r="Y553" s="42">
        <v>674799</v>
      </c>
      <c r="AA553" s="42">
        <v>5151321</v>
      </c>
      <c r="AC553" s="42">
        <v>19470</v>
      </c>
      <c r="AE553" s="42">
        <v>1104877</v>
      </c>
      <c r="AG553" s="42">
        <v>684346</v>
      </c>
      <c r="AI553" s="10">
        <f t="shared" si="85"/>
        <v>7634813</v>
      </c>
      <c r="AK553" s="42">
        <f t="shared" si="82"/>
        <v>0</v>
      </c>
    </row>
    <row r="554" spans="1:37" hidden="1">
      <c r="A554" s="9" t="s">
        <v>685</v>
      </c>
      <c r="B554" s="9"/>
      <c r="C554" s="9" t="s">
        <v>21</v>
      </c>
      <c r="D554" s="9"/>
      <c r="E554" s="23">
        <v>46680</v>
      </c>
      <c r="G554" s="42">
        <v>0</v>
      </c>
      <c r="I554" s="42">
        <v>0</v>
      </c>
      <c r="K554" s="2">
        <f t="shared" si="83"/>
        <v>0</v>
      </c>
      <c r="M554" s="42">
        <v>0</v>
      </c>
      <c r="O554" s="42">
        <v>0</v>
      </c>
      <c r="Q554" s="2">
        <f t="shared" si="84"/>
        <v>0</v>
      </c>
      <c r="S554" s="42">
        <v>0</v>
      </c>
      <c r="U554" s="42">
        <v>0</v>
      </c>
      <c r="W554" s="42">
        <v>0</v>
      </c>
      <c r="Y554" s="42">
        <v>0</v>
      </c>
      <c r="AA554" s="42">
        <v>0</v>
      </c>
      <c r="AC554" s="42">
        <v>0</v>
      </c>
      <c r="AE554" s="42">
        <v>0</v>
      </c>
      <c r="AG554" s="42">
        <v>0</v>
      </c>
      <c r="AI554" s="10">
        <f t="shared" si="85"/>
        <v>0</v>
      </c>
      <c r="AK554" s="42">
        <f t="shared" si="82"/>
        <v>0</v>
      </c>
    </row>
    <row r="555" spans="1:37" hidden="1">
      <c r="A555" s="8" t="s">
        <v>829</v>
      </c>
      <c r="B555" s="9"/>
      <c r="C555" s="9" t="s">
        <v>71</v>
      </c>
      <c r="D555" s="9"/>
      <c r="E555" s="23">
        <v>50591</v>
      </c>
      <c r="G555" s="42">
        <v>0</v>
      </c>
      <c r="I555" s="42">
        <v>0</v>
      </c>
      <c r="K555" s="2">
        <f t="shared" si="83"/>
        <v>0</v>
      </c>
      <c r="M555" s="42">
        <v>0</v>
      </c>
      <c r="O555" s="42">
        <v>0</v>
      </c>
      <c r="Q555" s="2">
        <f t="shared" si="84"/>
        <v>0</v>
      </c>
      <c r="S555" s="42">
        <v>0</v>
      </c>
      <c r="U555" s="42">
        <v>0</v>
      </c>
      <c r="W555" s="42">
        <v>0</v>
      </c>
      <c r="Y555" s="42">
        <v>0</v>
      </c>
      <c r="AA555" s="42">
        <v>0</v>
      </c>
      <c r="AC555" s="42">
        <v>0</v>
      </c>
      <c r="AE555" s="42">
        <v>0</v>
      </c>
      <c r="AG555" s="42">
        <v>0</v>
      </c>
      <c r="AI555" s="10">
        <f t="shared" si="85"/>
        <v>0</v>
      </c>
      <c r="AK555" s="42">
        <f t="shared" si="82"/>
        <v>0</v>
      </c>
    </row>
    <row r="556" spans="1:37">
      <c r="A556" s="9" t="s">
        <v>433</v>
      </c>
      <c r="B556" s="9"/>
      <c r="C556" s="9" t="s">
        <v>50</v>
      </c>
      <c r="D556" s="9"/>
      <c r="E556" s="23">
        <v>48694</v>
      </c>
      <c r="G556" s="42">
        <f>23339409+191761</f>
        <v>23531170</v>
      </c>
      <c r="I556" s="42">
        <v>81076</v>
      </c>
      <c r="K556" s="2">
        <f t="shared" si="83"/>
        <v>13577079</v>
      </c>
      <c r="M556" s="42">
        <v>37189325</v>
      </c>
      <c r="O556" s="42">
        <v>0</v>
      </c>
      <c r="Q556" s="2">
        <f t="shared" si="84"/>
        <v>2295909</v>
      </c>
      <c r="S556" s="42">
        <v>0</v>
      </c>
      <c r="U556" s="42">
        <f>14624796-12328887</f>
        <v>2295909</v>
      </c>
      <c r="W556" s="42">
        <v>12328887</v>
      </c>
      <c r="Y556" s="42">
        <v>4900</v>
      </c>
      <c r="AA556" s="42">
        <v>3984487</v>
      </c>
      <c r="AC556" s="42">
        <v>0</v>
      </c>
      <c r="AE556" s="42">
        <v>33845</v>
      </c>
      <c r="AG556" s="42">
        <v>18541297</v>
      </c>
      <c r="AI556" s="10">
        <f t="shared" si="85"/>
        <v>22564529</v>
      </c>
      <c r="AK556" s="42">
        <f t="shared" si="82"/>
        <v>0</v>
      </c>
    </row>
    <row r="557" spans="1:37" s="24" customFormat="1">
      <c r="A557" s="51" t="s">
        <v>423</v>
      </c>
      <c r="B557" s="51"/>
      <c r="C557" s="51" t="s">
        <v>48</v>
      </c>
      <c r="D557" s="51"/>
      <c r="E557" s="51">
        <v>44925</v>
      </c>
      <c r="G557" s="24">
        <v>11077100</v>
      </c>
      <c r="I557" s="24">
        <v>0</v>
      </c>
      <c r="K557" s="60">
        <f t="shared" si="83"/>
        <v>22596281</v>
      </c>
      <c r="M557" s="24">
        <v>33673381</v>
      </c>
      <c r="O557" s="24">
        <v>0</v>
      </c>
      <c r="Q557" s="60">
        <f t="shared" si="84"/>
        <v>4359460</v>
      </c>
      <c r="S557" s="24">
        <v>0</v>
      </c>
      <c r="U557" s="24">
        <v>4359460</v>
      </c>
      <c r="W557" s="24">
        <v>16617223</v>
      </c>
      <c r="Y557" s="24">
        <v>188575</v>
      </c>
      <c r="AA557" s="24">
        <v>2466077</v>
      </c>
      <c r="AC557" s="24">
        <v>0</v>
      </c>
      <c r="AE557" s="24">
        <v>2950571</v>
      </c>
      <c r="AG557" s="24">
        <v>7091475</v>
      </c>
      <c r="AI557" s="61">
        <f t="shared" si="85"/>
        <v>12696698</v>
      </c>
      <c r="AK557" s="24">
        <f t="shared" si="82"/>
        <v>0</v>
      </c>
    </row>
    <row r="558" spans="1:37">
      <c r="A558" s="9" t="s">
        <v>534</v>
      </c>
      <c r="B558" s="9"/>
      <c r="C558" s="9" t="s">
        <v>65</v>
      </c>
      <c r="D558" s="9"/>
      <c r="E558" s="23">
        <v>50302</v>
      </c>
      <c r="G558" s="42">
        <v>2540416</v>
      </c>
      <c r="I558" s="42">
        <v>0</v>
      </c>
      <c r="K558" s="2">
        <f t="shared" si="83"/>
        <v>6361440</v>
      </c>
      <c r="M558" s="42">
        <v>8901856</v>
      </c>
      <c r="O558" s="42">
        <v>0</v>
      </c>
      <c r="Q558" s="2">
        <f t="shared" si="84"/>
        <v>1527467</v>
      </c>
      <c r="S558" s="42">
        <v>0</v>
      </c>
      <c r="U558" s="42">
        <v>1527467</v>
      </c>
      <c r="W558" s="42">
        <v>5268969</v>
      </c>
      <c r="Y558" s="42">
        <f>65534+19106</f>
        <v>84640</v>
      </c>
      <c r="AA558" s="42">
        <f>624210+15+53275+6758+15185+72172+99353</f>
        <v>870968</v>
      </c>
      <c r="AC558" s="42">
        <v>0</v>
      </c>
      <c r="AE558" s="42">
        <f>300+6528+693040+18377+56</f>
        <v>718301</v>
      </c>
      <c r="AG558" s="42">
        <v>431511</v>
      </c>
      <c r="AI558" s="10">
        <f t="shared" si="85"/>
        <v>2105420</v>
      </c>
      <c r="AK558" s="42">
        <f t="shared" si="82"/>
        <v>0</v>
      </c>
    </row>
    <row r="559" spans="1:37">
      <c r="A559" s="9" t="s">
        <v>501</v>
      </c>
      <c r="B559" s="9"/>
      <c r="C559" s="9" t="s">
        <v>62</v>
      </c>
      <c r="D559" s="9"/>
      <c r="E559" s="23">
        <v>49957</v>
      </c>
      <c r="G559" s="42">
        <v>5065807</v>
      </c>
      <c r="I559" s="42">
        <v>0</v>
      </c>
      <c r="K559" s="2">
        <f t="shared" si="83"/>
        <v>6043333</v>
      </c>
      <c r="M559" s="42">
        <v>11109140</v>
      </c>
      <c r="O559" s="42">
        <v>0</v>
      </c>
      <c r="Q559" s="2">
        <f t="shared" si="84"/>
        <v>1549847</v>
      </c>
      <c r="S559" s="42">
        <v>0</v>
      </c>
      <c r="U559" s="42">
        <v>1549847</v>
      </c>
      <c r="W559" s="42">
        <v>5718772</v>
      </c>
      <c r="Y559" s="42">
        <v>0</v>
      </c>
      <c r="AA559" s="42">
        <v>1881500</v>
      </c>
      <c r="AC559" s="42">
        <v>0</v>
      </c>
      <c r="AE559" s="42">
        <v>288655</v>
      </c>
      <c r="AG559" s="42">
        <v>1670366</v>
      </c>
      <c r="AI559" s="10">
        <f t="shared" si="85"/>
        <v>3840521</v>
      </c>
      <c r="AK559" s="42">
        <f t="shared" si="82"/>
        <v>0</v>
      </c>
    </row>
    <row r="560" spans="1:37" hidden="1">
      <c r="A560" s="9" t="s">
        <v>689</v>
      </c>
      <c r="B560" s="9"/>
      <c r="C560" s="9" t="s">
        <v>57</v>
      </c>
      <c r="D560" s="9"/>
      <c r="E560" s="23">
        <v>49296</v>
      </c>
      <c r="G560" s="42">
        <v>0</v>
      </c>
      <c r="I560" s="42">
        <v>0</v>
      </c>
      <c r="K560" s="2">
        <f t="shared" si="83"/>
        <v>0</v>
      </c>
      <c r="M560" s="42">
        <v>0</v>
      </c>
      <c r="O560" s="42">
        <v>0</v>
      </c>
      <c r="Q560" s="2">
        <f t="shared" si="84"/>
        <v>0</v>
      </c>
      <c r="S560" s="42">
        <v>0</v>
      </c>
      <c r="U560" s="42">
        <v>0</v>
      </c>
      <c r="W560" s="42">
        <v>0</v>
      </c>
      <c r="Y560" s="42">
        <v>0</v>
      </c>
      <c r="AA560" s="42">
        <v>0</v>
      </c>
      <c r="AC560" s="42">
        <v>0</v>
      </c>
      <c r="AE560" s="42">
        <v>0</v>
      </c>
      <c r="AG560" s="42">
        <v>0</v>
      </c>
      <c r="AI560" s="10">
        <f t="shared" si="85"/>
        <v>0</v>
      </c>
      <c r="AK560" s="42">
        <f t="shared" si="82"/>
        <v>0</v>
      </c>
    </row>
    <row r="561" spans="1:37">
      <c r="A561" s="9" t="s">
        <v>512</v>
      </c>
      <c r="B561" s="9"/>
      <c r="C561" s="9" t="s">
        <v>63</v>
      </c>
      <c r="D561" s="9"/>
      <c r="E561" s="23">
        <v>50070</v>
      </c>
      <c r="G561" s="42">
        <f>34923833+81892</f>
        <v>35005725</v>
      </c>
      <c r="I561" s="42">
        <v>0</v>
      </c>
      <c r="K561" s="2">
        <f t="shared" si="83"/>
        <v>29865182</v>
      </c>
      <c r="M561" s="42">
        <v>64870907</v>
      </c>
      <c r="O561" s="42">
        <v>0</v>
      </c>
      <c r="Q561" s="2">
        <f t="shared" si="84"/>
        <v>5150729</v>
      </c>
      <c r="S561" s="42">
        <v>0</v>
      </c>
      <c r="U561" s="42">
        <v>5150729</v>
      </c>
      <c r="W561" s="42">
        <v>28156249</v>
      </c>
      <c r="Y561" s="42">
        <v>0</v>
      </c>
      <c r="AA561" s="42">
        <v>7588629</v>
      </c>
      <c r="AC561" s="42">
        <v>0</v>
      </c>
      <c r="AE561" s="42">
        <v>7625557</v>
      </c>
      <c r="AG561" s="42">
        <v>16349743</v>
      </c>
      <c r="AI561" s="10">
        <f t="shared" si="85"/>
        <v>31563929</v>
      </c>
      <c r="AK561" s="42">
        <f t="shared" si="82"/>
        <v>0</v>
      </c>
    </row>
    <row r="562" spans="1:37">
      <c r="A562" s="8" t="s">
        <v>907</v>
      </c>
      <c r="B562" s="9"/>
      <c r="C562" s="9" t="s">
        <v>15</v>
      </c>
      <c r="D562" s="9"/>
      <c r="E562" s="23">
        <v>46011</v>
      </c>
      <c r="G562" s="42">
        <v>1862272</v>
      </c>
      <c r="I562" s="42">
        <v>51398</v>
      </c>
      <c r="K562" s="2">
        <f t="shared" si="83"/>
        <v>4252751</v>
      </c>
      <c r="M562" s="42">
        <v>6166421</v>
      </c>
      <c r="O562" s="42">
        <v>0</v>
      </c>
      <c r="Q562" s="2">
        <f t="shared" si="84"/>
        <v>1811403</v>
      </c>
      <c r="S562" s="42">
        <v>0</v>
      </c>
      <c r="U562" s="42">
        <v>1811403</v>
      </c>
      <c r="W562" s="42">
        <v>3748248</v>
      </c>
      <c r="Y562" s="42">
        <v>19227</v>
      </c>
      <c r="AA562" s="42">
        <f>48113+855890+152483+45513+43092+10157+11000</f>
        <v>1166248</v>
      </c>
      <c r="AC562" s="42">
        <v>118793</v>
      </c>
      <c r="AE562" s="42">
        <v>0</v>
      </c>
      <c r="AG562" s="42">
        <v>-697498</v>
      </c>
      <c r="AI562" s="10">
        <f t="shared" si="85"/>
        <v>606770</v>
      </c>
      <c r="AK562" s="42">
        <f t="shared" si="82"/>
        <v>0</v>
      </c>
    </row>
    <row r="563" spans="1:37">
      <c r="A563" s="9" t="s">
        <v>473</v>
      </c>
      <c r="B563" s="9"/>
      <c r="C563" s="9" t="s">
        <v>58</v>
      </c>
      <c r="D563" s="9"/>
      <c r="E563" s="23">
        <v>49536</v>
      </c>
      <c r="G563" s="42">
        <v>17030364</v>
      </c>
      <c r="I563" s="42">
        <v>4006</v>
      </c>
      <c r="K563" s="2">
        <f t="shared" si="83"/>
        <v>4386435</v>
      </c>
      <c r="M563" s="42">
        <v>21420805</v>
      </c>
      <c r="O563" s="42">
        <v>0</v>
      </c>
      <c r="Q563" s="2">
        <f t="shared" si="84"/>
        <v>2945095</v>
      </c>
      <c r="S563" s="42">
        <v>0</v>
      </c>
      <c r="U563" s="42">
        <v>2945095</v>
      </c>
      <c r="W563" s="42">
        <v>3346295</v>
      </c>
      <c r="Y563" s="42">
        <v>19994</v>
      </c>
      <c r="AA563" s="42">
        <v>1217651</v>
      </c>
      <c r="AC563" s="42">
        <v>0</v>
      </c>
      <c r="AE563" s="42">
        <v>3423184</v>
      </c>
      <c r="AG563" s="42">
        <v>10468586</v>
      </c>
      <c r="AI563" s="10">
        <f t="shared" si="85"/>
        <v>15129415</v>
      </c>
      <c r="AK563" s="42">
        <f t="shared" si="82"/>
        <v>0</v>
      </c>
    </row>
    <row r="564" spans="1:37">
      <c r="A564" s="9" t="s">
        <v>249</v>
      </c>
      <c r="B564" s="9"/>
      <c r="C564" s="9" t="s">
        <v>111</v>
      </c>
      <c r="D564" s="9"/>
      <c r="E564" s="23">
        <v>46458</v>
      </c>
      <c r="G564" s="42">
        <v>6134650</v>
      </c>
      <c r="I564" s="42">
        <v>0</v>
      </c>
      <c r="K564" s="2">
        <f t="shared" si="83"/>
        <v>3551781</v>
      </c>
      <c r="M564" s="42">
        <v>9686431</v>
      </c>
      <c r="O564" s="42">
        <v>0</v>
      </c>
      <c r="Q564" s="2">
        <f t="shared" si="84"/>
        <v>1670909</v>
      </c>
      <c r="S564" s="42">
        <v>0</v>
      </c>
      <c r="U564" s="42">
        <v>1670909</v>
      </c>
      <c r="W564" s="42">
        <v>2909055</v>
      </c>
      <c r="Y564" s="42">
        <f>7969+13293</f>
        <v>21262</v>
      </c>
      <c r="AA564" s="42">
        <f>85831+870660+112209+54028+1101</f>
        <v>1123829</v>
      </c>
      <c r="AC564" s="42">
        <f>390862+11000</f>
        <v>401862</v>
      </c>
      <c r="AE564" s="42">
        <f>756+19423+247803+320+2296+29867+7243</f>
        <v>307708</v>
      </c>
      <c r="AG564" s="42">
        <v>3251806</v>
      </c>
      <c r="AI564" s="10">
        <f t="shared" si="85"/>
        <v>5106467</v>
      </c>
      <c r="AK564" s="42">
        <f t="shared" si="82"/>
        <v>0</v>
      </c>
    </row>
    <row r="565" spans="1:37">
      <c r="A565" s="9" t="s">
        <v>306</v>
      </c>
      <c r="B565" s="9"/>
      <c r="C565" s="9" t="s">
        <v>27</v>
      </c>
      <c r="D565" s="9"/>
      <c r="E565" s="23">
        <v>44933</v>
      </c>
      <c r="G565" s="42">
        <v>40939642</v>
      </c>
      <c r="I565" s="42">
        <v>0</v>
      </c>
      <c r="K565" s="2">
        <f t="shared" si="83"/>
        <v>68510372</v>
      </c>
      <c r="M565" s="42">
        <v>109450014</v>
      </c>
      <c r="O565" s="42">
        <v>0</v>
      </c>
      <c r="Q565" s="2">
        <f t="shared" si="84"/>
        <v>10942841</v>
      </c>
      <c r="S565" s="42">
        <v>0</v>
      </c>
      <c r="U565" s="42">
        <v>10942841</v>
      </c>
      <c r="W565" s="42">
        <v>39736996</v>
      </c>
      <c r="Y565" s="42">
        <v>109226</v>
      </c>
      <c r="AA565" s="42">
        <f>3819306+4314291+55952+44078+1518296+574782+367187</f>
        <v>10693892</v>
      </c>
      <c r="AC565" s="42">
        <v>344555</v>
      </c>
      <c r="AE565" s="42">
        <v>742771</v>
      </c>
      <c r="AG565" s="42">
        <v>46879733</v>
      </c>
      <c r="AI565" s="10">
        <f t="shared" si="85"/>
        <v>58770177</v>
      </c>
      <c r="AK565" s="42">
        <f t="shared" si="82"/>
        <v>0</v>
      </c>
    </row>
    <row r="566" spans="1:37" hidden="1">
      <c r="A566" s="9" t="s">
        <v>773</v>
      </c>
      <c r="B566" s="9"/>
      <c r="C566" s="9" t="s">
        <v>553</v>
      </c>
      <c r="D566" s="9"/>
      <c r="E566" s="23">
        <v>45625</v>
      </c>
      <c r="G566" s="42">
        <v>0</v>
      </c>
      <c r="I566" s="42">
        <v>0</v>
      </c>
      <c r="K566" s="2">
        <f t="shared" si="83"/>
        <v>0</v>
      </c>
      <c r="M566" s="42">
        <v>0</v>
      </c>
      <c r="O566" s="42">
        <v>0</v>
      </c>
      <c r="Q566" s="2">
        <f t="shared" si="84"/>
        <v>0</v>
      </c>
      <c r="S566" s="42">
        <v>0</v>
      </c>
      <c r="U566" s="42">
        <v>0</v>
      </c>
      <c r="W566" s="42">
        <v>0</v>
      </c>
      <c r="Y566" s="42">
        <v>0</v>
      </c>
      <c r="AA566" s="42">
        <v>0</v>
      </c>
      <c r="AC566" s="42">
        <v>0</v>
      </c>
      <c r="AE566" s="42">
        <v>0</v>
      </c>
      <c r="AG566" s="42">
        <v>0</v>
      </c>
      <c r="AI566" s="10">
        <f t="shared" si="85"/>
        <v>0</v>
      </c>
      <c r="AK566" s="42">
        <f t="shared" si="82"/>
        <v>0</v>
      </c>
    </row>
    <row r="567" spans="1:37" hidden="1">
      <c r="A567" s="9" t="s">
        <v>690</v>
      </c>
      <c r="B567" s="9"/>
      <c r="C567" s="9" t="s">
        <v>337</v>
      </c>
      <c r="D567" s="9"/>
      <c r="E567" s="23">
        <v>47522</v>
      </c>
      <c r="G567" s="42">
        <v>0</v>
      </c>
      <c r="I567" s="42">
        <v>0</v>
      </c>
      <c r="K567" s="2">
        <f t="shared" si="83"/>
        <v>0</v>
      </c>
      <c r="M567" s="42">
        <v>0</v>
      </c>
      <c r="O567" s="42">
        <v>0</v>
      </c>
      <c r="Q567" s="2">
        <f t="shared" si="84"/>
        <v>0</v>
      </c>
      <c r="S567" s="42">
        <v>0</v>
      </c>
      <c r="U567" s="42">
        <v>0</v>
      </c>
      <c r="W567" s="42">
        <v>0</v>
      </c>
      <c r="Y567" s="42">
        <v>0</v>
      </c>
      <c r="AA567" s="42">
        <v>0</v>
      </c>
      <c r="AC567" s="42">
        <v>0</v>
      </c>
      <c r="AE567" s="42">
        <v>0</v>
      </c>
      <c r="AG567" s="42">
        <v>0</v>
      </c>
      <c r="AI567" s="10">
        <f t="shared" si="85"/>
        <v>0</v>
      </c>
      <c r="AK567" s="42">
        <f t="shared" si="82"/>
        <v>0</v>
      </c>
    </row>
    <row r="568" spans="1:37" hidden="1">
      <c r="A568" s="9" t="s">
        <v>883</v>
      </c>
      <c r="B568" s="9"/>
      <c r="C568" s="9" t="s">
        <v>227</v>
      </c>
      <c r="D568" s="9"/>
      <c r="E568" s="23">
        <v>44941</v>
      </c>
      <c r="G568" s="42">
        <v>0</v>
      </c>
      <c r="I568" s="42">
        <v>0</v>
      </c>
      <c r="K568" s="2">
        <f t="shared" ref="K568:K632" si="86">M568-G568-I568</f>
        <v>0</v>
      </c>
      <c r="M568" s="42">
        <v>0</v>
      </c>
      <c r="O568" s="42">
        <v>0</v>
      </c>
      <c r="Q568" s="2">
        <f t="shared" ref="Q568:Q632" si="87">U568-S568</f>
        <v>0</v>
      </c>
      <c r="S568" s="42">
        <v>0</v>
      </c>
      <c r="U568" s="42">
        <v>0</v>
      </c>
      <c r="W568" s="42">
        <v>0</v>
      </c>
      <c r="Y568" s="42">
        <v>0</v>
      </c>
      <c r="AA568" s="42">
        <v>0</v>
      </c>
      <c r="AC568" s="42">
        <v>0</v>
      </c>
      <c r="AE568" s="42">
        <v>0</v>
      </c>
      <c r="AG568" s="42">
        <v>0</v>
      </c>
      <c r="AI568" s="10">
        <f t="shared" si="85"/>
        <v>0</v>
      </c>
      <c r="AK568" s="42">
        <f t="shared" si="82"/>
        <v>0</v>
      </c>
    </row>
    <row r="569" spans="1:37" hidden="1">
      <c r="A569" s="9" t="s">
        <v>691</v>
      </c>
      <c r="B569" s="9"/>
      <c r="C569" s="9" t="s">
        <v>59</v>
      </c>
      <c r="D569" s="9"/>
      <c r="E569" s="23">
        <v>49643</v>
      </c>
      <c r="G569" s="42">
        <v>0</v>
      </c>
      <c r="I569" s="42">
        <v>0</v>
      </c>
      <c r="K569" s="2">
        <f t="shared" si="86"/>
        <v>0</v>
      </c>
      <c r="M569" s="42">
        <v>0</v>
      </c>
      <c r="O569" s="42">
        <v>0</v>
      </c>
      <c r="Q569" s="2">
        <f t="shared" si="87"/>
        <v>0</v>
      </c>
      <c r="S569" s="42">
        <v>0</v>
      </c>
      <c r="U569" s="42">
        <v>0</v>
      </c>
      <c r="W569" s="42">
        <v>0</v>
      </c>
      <c r="Y569" s="42">
        <v>0</v>
      </c>
      <c r="AA569" s="42">
        <v>0</v>
      </c>
      <c r="AC569" s="42">
        <v>0</v>
      </c>
      <c r="AE569" s="42">
        <v>0</v>
      </c>
      <c r="AG569" s="42">
        <v>0</v>
      </c>
      <c r="AI569" s="10">
        <f t="shared" si="85"/>
        <v>0</v>
      </c>
      <c r="AK569" s="42">
        <f t="shared" si="82"/>
        <v>0</v>
      </c>
    </row>
    <row r="570" spans="1:37">
      <c r="A570" s="9" t="s">
        <v>434</v>
      </c>
      <c r="B570" s="9"/>
      <c r="C570" s="9" t="s">
        <v>50</v>
      </c>
      <c r="D570" s="9"/>
      <c r="E570" s="23">
        <v>48744</v>
      </c>
      <c r="G570" s="42">
        <f>1213023+848</f>
        <v>1213871</v>
      </c>
      <c r="I570" s="42">
        <v>0</v>
      </c>
      <c r="K570" s="2">
        <f t="shared" si="86"/>
        <v>7086814</v>
      </c>
      <c r="M570" s="42">
        <v>8300685</v>
      </c>
      <c r="O570" s="42">
        <v>0</v>
      </c>
      <c r="Q570" s="2">
        <f t="shared" si="87"/>
        <v>2741388</v>
      </c>
      <c r="S570" s="42">
        <v>0</v>
      </c>
      <c r="U570" s="42">
        <v>2741388</v>
      </c>
      <c r="W570" s="42">
        <v>5663561</v>
      </c>
      <c r="Y570" s="42">
        <f>5693+17306+5940</f>
        <v>28939</v>
      </c>
      <c r="AA570" s="42">
        <f>535+20893+13926</f>
        <v>35354</v>
      </c>
      <c r="AC570" s="42">
        <f>573337+48375</f>
        <v>621712</v>
      </c>
      <c r="AE570" s="42">
        <f>2372+42081+219</f>
        <v>44672</v>
      </c>
      <c r="AG570" s="42">
        <v>-834941</v>
      </c>
      <c r="AI570" s="10">
        <f t="shared" si="85"/>
        <v>-104264</v>
      </c>
      <c r="AK570" s="42">
        <f t="shared" si="82"/>
        <v>0</v>
      </c>
    </row>
    <row r="571" spans="1:37">
      <c r="A571" s="9" t="s">
        <v>336</v>
      </c>
      <c r="B571" s="9"/>
      <c r="C571" s="9" t="s">
        <v>33</v>
      </c>
      <c r="D571" s="9"/>
      <c r="E571" s="23">
        <v>47464</v>
      </c>
      <c r="G571" s="42">
        <v>8974120</v>
      </c>
      <c r="I571" s="42">
        <v>0</v>
      </c>
      <c r="K571" s="2">
        <f t="shared" si="86"/>
        <v>8176702</v>
      </c>
      <c r="M571" s="42">
        <v>17150822</v>
      </c>
      <c r="O571" s="42">
        <v>0</v>
      </c>
      <c r="Q571" s="2">
        <f>U571-S571</f>
        <v>1087690</v>
      </c>
      <c r="S571" s="42">
        <v>0</v>
      </c>
      <c r="U571" s="42">
        <v>1087690</v>
      </c>
      <c r="W571" s="42">
        <v>7086371</v>
      </c>
      <c r="Y571" s="42">
        <v>4191</v>
      </c>
      <c r="AA571" s="42">
        <v>1700489</v>
      </c>
      <c r="AC571" s="42">
        <v>147146</v>
      </c>
      <c r="AE571" s="42">
        <v>489830</v>
      </c>
      <c r="AG571" s="42">
        <v>6635105</v>
      </c>
      <c r="AI571" s="10">
        <f t="shared" si="85"/>
        <v>8976761</v>
      </c>
      <c r="AK571" s="42">
        <f t="shared" si="82"/>
        <v>0</v>
      </c>
    </row>
    <row r="572" spans="1:37" hidden="1">
      <c r="A572" s="9" t="s">
        <v>824</v>
      </c>
      <c r="B572" s="9"/>
      <c r="C572" s="9" t="s">
        <v>67</v>
      </c>
      <c r="D572" s="9"/>
      <c r="E572" s="23">
        <v>44966</v>
      </c>
      <c r="G572" s="42">
        <v>0</v>
      </c>
      <c r="I572" s="42">
        <v>0</v>
      </c>
      <c r="K572" s="2">
        <f t="shared" si="86"/>
        <v>0</v>
      </c>
      <c r="M572" s="42">
        <v>0</v>
      </c>
      <c r="O572" s="42">
        <v>0</v>
      </c>
      <c r="Q572" s="2">
        <f t="shared" si="87"/>
        <v>0</v>
      </c>
      <c r="S572" s="42">
        <v>0</v>
      </c>
      <c r="U572" s="42">
        <v>0</v>
      </c>
      <c r="W572" s="42">
        <v>0</v>
      </c>
      <c r="Y572" s="42">
        <v>0</v>
      </c>
      <c r="AA572" s="42">
        <v>0</v>
      </c>
      <c r="AC572" s="42">
        <v>0</v>
      </c>
      <c r="AE572" s="42">
        <v>0</v>
      </c>
      <c r="AG572" s="42">
        <v>0</v>
      </c>
      <c r="AI572" s="10">
        <f t="shared" si="85"/>
        <v>0</v>
      </c>
      <c r="AK572" s="42">
        <f t="shared" si="82"/>
        <v>0</v>
      </c>
    </row>
    <row r="573" spans="1:37">
      <c r="A573" s="9" t="s">
        <v>435</v>
      </c>
      <c r="B573" s="9"/>
      <c r="C573" s="9" t="s">
        <v>50</v>
      </c>
      <c r="D573" s="9"/>
      <c r="E573" s="23">
        <v>44958</v>
      </c>
      <c r="G573" s="42">
        <v>10404517</v>
      </c>
      <c r="I573" s="42">
        <v>0</v>
      </c>
      <c r="K573" s="2">
        <f t="shared" si="86"/>
        <v>23549248</v>
      </c>
      <c r="M573" s="42">
        <v>33953765</v>
      </c>
      <c r="O573" s="42">
        <v>0</v>
      </c>
      <c r="Q573" s="2">
        <f t="shared" si="87"/>
        <v>10484831</v>
      </c>
      <c r="S573" s="42">
        <v>0</v>
      </c>
      <c r="U573" s="42">
        <v>10484831</v>
      </c>
      <c r="W573" s="42">
        <v>20216764</v>
      </c>
      <c r="Y573" s="42">
        <f>5636+11743</f>
        <v>17379</v>
      </c>
      <c r="AA573" s="42">
        <f>4148923+278099+14003+5644+55904</f>
        <v>4502573</v>
      </c>
      <c r="AC573" s="42">
        <v>6009</v>
      </c>
      <c r="AE573" s="42">
        <f>524302+320082+175253</f>
        <v>1019637</v>
      </c>
      <c r="AG573" s="42">
        <v>-2293428</v>
      </c>
      <c r="AI573" s="10">
        <f t="shared" si="85"/>
        <v>3252170</v>
      </c>
      <c r="AK573" s="42">
        <f t="shared" si="82"/>
        <v>0</v>
      </c>
    </row>
    <row r="574" spans="1:37" hidden="1">
      <c r="A574" s="9" t="s">
        <v>692</v>
      </c>
      <c r="B574" s="9"/>
      <c r="C574" s="9" t="s">
        <v>33</v>
      </c>
      <c r="D574" s="9"/>
      <c r="E574" s="23">
        <v>47472</v>
      </c>
      <c r="G574" s="42">
        <v>0</v>
      </c>
      <c r="I574" s="42">
        <v>0</v>
      </c>
      <c r="K574" s="2">
        <f t="shared" si="86"/>
        <v>0</v>
      </c>
      <c r="M574" s="42">
        <v>0</v>
      </c>
      <c r="O574" s="42">
        <v>0</v>
      </c>
      <c r="Q574" s="2">
        <f t="shared" si="87"/>
        <v>0</v>
      </c>
      <c r="S574" s="42">
        <v>0</v>
      </c>
      <c r="U574" s="42">
        <v>0</v>
      </c>
      <c r="W574" s="42">
        <v>0</v>
      </c>
      <c r="Y574" s="42">
        <v>0</v>
      </c>
      <c r="AA574" s="42">
        <v>0</v>
      </c>
      <c r="AC574" s="42">
        <v>0</v>
      </c>
      <c r="AE574" s="42">
        <v>0</v>
      </c>
      <c r="AG574" s="42">
        <v>0</v>
      </c>
      <c r="AI574" s="10">
        <f t="shared" si="85"/>
        <v>0</v>
      </c>
      <c r="AK574" s="42">
        <f t="shared" si="82"/>
        <v>0</v>
      </c>
    </row>
    <row r="575" spans="1:37">
      <c r="A575" s="9" t="s">
        <v>289</v>
      </c>
      <c r="B575" s="9"/>
      <c r="C575" s="9" t="s">
        <v>24</v>
      </c>
      <c r="D575" s="9"/>
      <c r="E575" s="23">
        <v>46821</v>
      </c>
      <c r="G575" s="42">
        <f>16373206+20425020</f>
        <v>36798226</v>
      </c>
      <c r="I575" s="42">
        <v>0</v>
      </c>
      <c r="K575" s="2">
        <f t="shared" si="86"/>
        <v>17097760</v>
      </c>
      <c r="M575" s="42">
        <v>53895986</v>
      </c>
      <c r="O575" s="42">
        <v>0</v>
      </c>
      <c r="Q575" s="2">
        <f t="shared" si="87"/>
        <v>3456465</v>
      </c>
      <c r="S575" s="42">
        <v>0</v>
      </c>
      <c r="U575" s="42">
        <v>3456465</v>
      </c>
      <c r="W575" s="42">
        <v>13715152</v>
      </c>
      <c r="Y575" s="42">
        <v>65450</v>
      </c>
      <c r="AA575" s="42">
        <v>20886333</v>
      </c>
      <c r="AC575" s="42">
        <v>517050</v>
      </c>
      <c r="AE575" s="42">
        <v>178774</v>
      </c>
      <c r="AG575" s="42">
        <v>15076762</v>
      </c>
      <c r="AI575" s="10">
        <f t="shared" si="85"/>
        <v>36724369</v>
      </c>
      <c r="AK575" s="42">
        <f t="shared" si="82"/>
        <v>0</v>
      </c>
    </row>
    <row r="576" spans="1:37" hidden="1">
      <c r="A576" s="9" t="s">
        <v>693</v>
      </c>
      <c r="B576" s="9"/>
      <c r="C576" s="9" t="s">
        <v>21</v>
      </c>
      <c r="D576" s="9"/>
      <c r="E576" s="23">
        <v>45633</v>
      </c>
      <c r="G576" s="42">
        <v>0</v>
      </c>
      <c r="I576" s="42">
        <v>0</v>
      </c>
      <c r="K576" s="2">
        <f t="shared" ref="K576" si="88">M576-G576-I576</f>
        <v>0</v>
      </c>
      <c r="M576" s="42">
        <v>0</v>
      </c>
      <c r="O576" s="42">
        <v>0</v>
      </c>
      <c r="Q576" s="2">
        <f t="shared" ref="Q576" si="89">U576-S576</f>
        <v>0</v>
      </c>
      <c r="S576" s="42">
        <v>0</v>
      </c>
      <c r="U576" s="42">
        <v>0</v>
      </c>
      <c r="W576" s="42">
        <v>0</v>
      </c>
      <c r="Y576" s="42">
        <v>0</v>
      </c>
      <c r="AA576" s="42">
        <v>0</v>
      </c>
      <c r="AC576" s="42">
        <v>0</v>
      </c>
      <c r="AE576" s="42">
        <v>0</v>
      </c>
      <c r="AG576" s="42">
        <v>0</v>
      </c>
      <c r="AI576" s="10">
        <f t="shared" si="85"/>
        <v>0</v>
      </c>
      <c r="AK576" s="42">
        <f t="shared" si="82"/>
        <v>0</v>
      </c>
    </row>
    <row r="577" spans="1:37">
      <c r="A577" s="9" t="s">
        <v>538</v>
      </c>
      <c r="B577" s="9"/>
      <c r="C577" s="9" t="s">
        <v>68</v>
      </c>
      <c r="D577" s="9"/>
      <c r="E577" s="23">
        <v>50393</v>
      </c>
      <c r="G577" s="42">
        <f>18268069+1597</f>
        <v>18269666</v>
      </c>
      <c r="I577" s="42">
        <v>409936</v>
      </c>
      <c r="K577" s="2">
        <f t="shared" si="86"/>
        <v>7600913</v>
      </c>
      <c r="M577" s="42">
        <v>26280515</v>
      </c>
      <c r="O577" s="42">
        <v>0</v>
      </c>
      <c r="Q577" s="2">
        <f t="shared" si="87"/>
        <v>3893640</v>
      </c>
      <c r="S577" s="42">
        <v>0</v>
      </c>
      <c r="U577" s="42">
        <v>3893640</v>
      </c>
      <c r="W577" s="42">
        <v>6319445</v>
      </c>
      <c r="Y577" s="42">
        <v>52263</v>
      </c>
      <c r="AA577" s="42">
        <v>3642686</v>
      </c>
      <c r="AC577" s="42">
        <v>109499</v>
      </c>
      <c r="AE577" s="42">
        <v>231280</v>
      </c>
      <c r="AG577" s="42">
        <v>12031702</v>
      </c>
      <c r="AI577" s="10">
        <f t="shared" si="85"/>
        <v>16067430</v>
      </c>
      <c r="AK577" s="42">
        <f t="shared" si="82"/>
        <v>0</v>
      </c>
    </row>
    <row r="578" spans="1:37">
      <c r="A578" s="9" t="s">
        <v>416</v>
      </c>
      <c r="B578" s="9"/>
      <c r="C578" s="9" t="s">
        <v>47</v>
      </c>
      <c r="D578" s="9"/>
      <c r="E578" s="23">
        <v>44974</v>
      </c>
      <c r="G578" s="42">
        <f>24238218+224132</f>
        <v>24462350</v>
      </c>
      <c r="I578" s="42">
        <v>0</v>
      </c>
      <c r="K578" s="2">
        <f t="shared" si="86"/>
        <v>24995185</v>
      </c>
      <c r="M578" s="42">
        <v>49457535</v>
      </c>
      <c r="O578" s="42">
        <v>0</v>
      </c>
      <c r="Q578" s="2">
        <f t="shared" si="87"/>
        <v>8745901</v>
      </c>
      <c r="S578" s="42">
        <v>0</v>
      </c>
      <c r="U578" s="42">
        <v>8745901</v>
      </c>
      <c r="W578" s="42">
        <v>20334300</v>
      </c>
      <c r="Y578" s="42">
        <v>142979</v>
      </c>
      <c r="AA578" s="42">
        <f>4715274+6813692+1373358+538588+14058+104009+156360+147867</f>
        <v>13863206</v>
      </c>
      <c r="AC578" s="42">
        <f>23519+7389</f>
        <v>30908</v>
      </c>
      <c r="AE578" s="42">
        <f>35647+826327+1981+93535+13730+933016+3302+40896+156724</f>
        <v>2105158</v>
      </c>
      <c r="AG578" s="42">
        <v>4235083</v>
      </c>
      <c r="AI578" s="10">
        <f t="shared" si="85"/>
        <v>20377334</v>
      </c>
      <c r="AK578" s="42">
        <f t="shared" si="82"/>
        <v>0</v>
      </c>
    </row>
    <row r="579" spans="1:37" hidden="1">
      <c r="A579" s="9" t="s">
        <v>862</v>
      </c>
      <c r="B579" s="9"/>
      <c r="C579" s="9" t="s">
        <v>25</v>
      </c>
      <c r="D579" s="9"/>
      <c r="E579" s="23">
        <v>46904</v>
      </c>
      <c r="G579" s="42">
        <v>0</v>
      </c>
      <c r="I579" s="42">
        <v>0</v>
      </c>
      <c r="K579" s="2">
        <f t="shared" ref="K579:K581" si="90">M579-G579-I579</f>
        <v>0</v>
      </c>
      <c r="M579" s="42">
        <v>0</v>
      </c>
      <c r="O579" s="42">
        <v>0</v>
      </c>
      <c r="Q579" s="2">
        <f t="shared" ref="Q579:Q581" si="91">U579-S579</f>
        <v>0</v>
      </c>
      <c r="S579" s="42">
        <v>0</v>
      </c>
      <c r="U579" s="42">
        <v>0</v>
      </c>
      <c r="W579" s="42">
        <v>0</v>
      </c>
      <c r="Y579" s="42">
        <v>0</v>
      </c>
      <c r="AA579" s="42">
        <v>0</v>
      </c>
      <c r="AC579" s="42">
        <v>0</v>
      </c>
      <c r="AE579" s="42">
        <v>0</v>
      </c>
      <c r="AG579" s="42">
        <v>0</v>
      </c>
      <c r="AI579" s="10">
        <f t="shared" ref="AI579:AI581" si="92">Y579+AA579+AC579+AE579+AG579</f>
        <v>0</v>
      </c>
      <c r="AK579" s="42">
        <f t="shared" si="82"/>
        <v>0</v>
      </c>
    </row>
    <row r="580" spans="1:37" hidden="1">
      <c r="A580" s="9" t="s">
        <v>863</v>
      </c>
      <c r="B580" s="9"/>
      <c r="C580" s="9" t="s">
        <v>14</v>
      </c>
      <c r="D580" s="9"/>
      <c r="E580" s="23">
        <v>44982</v>
      </c>
      <c r="G580" s="42">
        <v>0</v>
      </c>
      <c r="I580" s="42">
        <v>0</v>
      </c>
      <c r="K580" s="2">
        <f t="shared" si="90"/>
        <v>0</v>
      </c>
      <c r="M580" s="42">
        <v>0</v>
      </c>
      <c r="O580" s="42">
        <v>0</v>
      </c>
      <c r="Q580" s="2">
        <f t="shared" si="91"/>
        <v>0</v>
      </c>
      <c r="S580" s="42">
        <v>0</v>
      </c>
      <c r="U580" s="42">
        <v>0</v>
      </c>
      <c r="W580" s="42">
        <v>0</v>
      </c>
      <c r="Y580" s="42">
        <v>0</v>
      </c>
      <c r="AA580" s="42">
        <v>0</v>
      </c>
      <c r="AC580" s="42">
        <v>0</v>
      </c>
      <c r="AE580" s="42">
        <v>0</v>
      </c>
      <c r="AG580" s="42">
        <v>0</v>
      </c>
      <c r="AI580" s="10">
        <f t="shared" si="92"/>
        <v>0</v>
      </c>
      <c r="AK580" s="42">
        <f t="shared" si="82"/>
        <v>0</v>
      </c>
    </row>
    <row r="581" spans="1:37" hidden="1">
      <c r="A581" s="8" t="s">
        <v>864</v>
      </c>
      <c r="B581" s="8"/>
      <c r="C581" s="8" t="s">
        <v>63</v>
      </c>
      <c r="D581" s="9"/>
      <c r="E581" s="23"/>
      <c r="G581" s="42">
        <v>0</v>
      </c>
      <c r="I581" s="42">
        <v>0</v>
      </c>
      <c r="K581" s="2">
        <f t="shared" si="90"/>
        <v>0</v>
      </c>
      <c r="M581" s="42">
        <v>0</v>
      </c>
      <c r="O581" s="42">
        <v>0</v>
      </c>
      <c r="Q581" s="2">
        <f t="shared" si="91"/>
        <v>0</v>
      </c>
      <c r="S581" s="42">
        <v>0</v>
      </c>
      <c r="U581" s="42">
        <v>0</v>
      </c>
      <c r="W581" s="42">
        <v>0</v>
      </c>
      <c r="Y581" s="42">
        <v>0</v>
      </c>
      <c r="AA581" s="42">
        <v>0</v>
      </c>
      <c r="AC581" s="42">
        <v>0</v>
      </c>
      <c r="AE581" s="42">
        <v>0</v>
      </c>
      <c r="AG581" s="42">
        <v>0</v>
      </c>
      <c r="AI581" s="10">
        <f t="shared" si="92"/>
        <v>0</v>
      </c>
      <c r="AK581" s="42">
        <f t="shared" si="82"/>
        <v>0</v>
      </c>
    </row>
    <row r="582" spans="1:37">
      <c r="A582" s="9" t="s">
        <v>527</v>
      </c>
      <c r="B582" s="9"/>
      <c r="C582" s="9" t="s">
        <v>64</v>
      </c>
      <c r="D582" s="9"/>
      <c r="E582" s="23">
        <v>44990</v>
      </c>
      <c r="G582" s="42">
        <v>27516858</v>
      </c>
      <c r="I582" s="42">
        <v>0</v>
      </c>
      <c r="K582" s="2">
        <f t="shared" si="86"/>
        <v>20152443</v>
      </c>
      <c r="M582" s="42">
        <v>47669301</v>
      </c>
      <c r="O582" s="42">
        <v>0</v>
      </c>
      <c r="Q582" s="2">
        <f t="shared" si="87"/>
        <v>8517495</v>
      </c>
      <c r="S582" s="42">
        <v>0</v>
      </c>
      <c r="U582" s="42">
        <v>8517495</v>
      </c>
      <c r="W582" s="42">
        <v>18709919</v>
      </c>
      <c r="Y582" s="42">
        <v>145104</v>
      </c>
      <c r="AA582" s="42">
        <v>12681506</v>
      </c>
      <c r="AC582" s="42">
        <v>149870</v>
      </c>
      <c r="AE582" s="42">
        <v>4832693</v>
      </c>
      <c r="AG582" s="42">
        <v>2632714</v>
      </c>
      <c r="AI582" s="10">
        <f t="shared" si="85"/>
        <v>20441887</v>
      </c>
      <c r="AK582" s="42">
        <f t="shared" si="82"/>
        <v>0</v>
      </c>
    </row>
    <row r="583" spans="1:37">
      <c r="A583" s="9" t="s">
        <v>545</v>
      </c>
      <c r="B583" s="9"/>
      <c r="C583" s="9" t="s">
        <v>70</v>
      </c>
      <c r="D583" s="9"/>
      <c r="E583" s="23">
        <v>50500</v>
      </c>
      <c r="G583" s="42">
        <f>6332626+2424</f>
        <v>6335050</v>
      </c>
      <c r="I583" s="42">
        <v>7752</v>
      </c>
      <c r="K583" s="2">
        <f t="shared" si="86"/>
        <v>6994599</v>
      </c>
      <c r="M583" s="42">
        <v>13337401</v>
      </c>
      <c r="O583" s="42">
        <v>0</v>
      </c>
      <c r="Q583" s="2">
        <f t="shared" si="87"/>
        <v>2271835</v>
      </c>
      <c r="S583" s="42">
        <v>0</v>
      </c>
      <c r="U583" s="42">
        <v>2271835</v>
      </c>
      <c r="W583" s="42">
        <v>6171705</v>
      </c>
      <c r="Y583" s="42">
        <v>127671</v>
      </c>
      <c r="AA583" s="42">
        <v>80006</v>
      </c>
      <c r="AC583" s="42">
        <v>410370</v>
      </c>
      <c r="AE583" s="42">
        <v>1016760</v>
      </c>
      <c r="AG583" s="42">
        <v>3259054</v>
      </c>
      <c r="AI583" s="10">
        <f t="shared" si="85"/>
        <v>4893861</v>
      </c>
      <c r="AK583" s="42">
        <f>+G583+I583+K583+O583-U583-W583-AC583-AA583-Y583-AE583-AG583</f>
        <v>0</v>
      </c>
    </row>
    <row r="584" spans="1:37">
      <c r="A584" s="9" t="s">
        <v>278</v>
      </c>
      <c r="B584" s="9"/>
      <c r="C584" s="9" t="s">
        <v>20</v>
      </c>
      <c r="D584" s="9"/>
      <c r="E584" s="23">
        <v>45005</v>
      </c>
      <c r="G584" s="42">
        <v>20305042</v>
      </c>
      <c r="I584" s="42">
        <v>0</v>
      </c>
      <c r="K584" s="2">
        <f t="shared" si="86"/>
        <v>20749891</v>
      </c>
      <c r="M584" s="42">
        <v>41054933</v>
      </c>
      <c r="O584" s="42">
        <v>0</v>
      </c>
      <c r="Q584" s="2">
        <f t="shared" si="87"/>
        <v>4111054</v>
      </c>
      <c r="S584" s="42">
        <v>0</v>
      </c>
      <c r="U584" s="42">
        <v>4111054</v>
      </c>
      <c r="W584" s="42">
        <v>16602439</v>
      </c>
      <c r="Y584" s="42">
        <v>0</v>
      </c>
      <c r="AA584" s="42">
        <v>5286739</v>
      </c>
      <c r="AC584" s="42">
        <v>0</v>
      </c>
      <c r="AE584" s="42">
        <v>14428875</v>
      </c>
      <c r="AG584" s="42">
        <v>625826</v>
      </c>
      <c r="AI584" s="10">
        <f t="shared" si="85"/>
        <v>20341440</v>
      </c>
      <c r="AK584" s="42">
        <f t="shared" si="82"/>
        <v>0</v>
      </c>
    </row>
    <row r="585" spans="1:37">
      <c r="A585" s="9" t="s">
        <v>296</v>
      </c>
      <c r="B585" s="9"/>
      <c r="C585" s="9" t="s">
        <v>26</v>
      </c>
      <c r="D585" s="9"/>
      <c r="E585" s="23">
        <v>45013</v>
      </c>
      <c r="G585" s="42">
        <f>4145482+1905985</f>
        <v>6051467</v>
      </c>
      <c r="I585" s="42">
        <v>3336</v>
      </c>
      <c r="K585" s="2">
        <f t="shared" si="86"/>
        <v>6722990</v>
      </c>
      <c r="M585" s="42">
        <v>12777793</v>
      </c>
      <c r="O585" s="42">
        <v>0</v>
      </c>
      <c r="Q585" s="2">
        <f t="shared" si="87"/>
        <v>2527228</v>
      </c>
      <c r="S585" s="42">
        <v>0</v>
      </c>
      <c r="U585" s="42">
        <v>2527228</v>
      </c>
      <c r="W585" s="42">
        <v>3791511</v>
      </c>
      <c r="Y585" s="42">
        <v>12204</v>
      </c>
      <c r="AA585" s="42">
        <v>4216732</v>
      </c>
      <c r="AC585" s="42">
        <v>39159</v>
      </c>
      <c r="AE585" s="42">
        <v>147531</v>
      </c>
      <c r="AG585" s="42">
        <v>2043428</v>
      </c>
      <c r="AI585" s="10">
        <f t="shared" si="85"/>
        <v>6459054</v>
      </c>
      <c r="AK585" s="42">
        <f t="shared" si="82"/>
        <v>0</v>
      </c>
    </row>
    <row r="586" spans="1:37">
      <c r="A586" s="9" t="s">
        <v>393</v>
      </c>
      <c r="B586" s="9"/>
      <c r="C586" s="9" t="s">
        <v>114</v>
      </c>
      <c r="D586" s="9"/>
      <c r="E586" s="23">
        <v>48231</v>
      </c>
      <c r="G586" s="42">
        <f>47426201+5528</f>
        <v>47431729</v>
      </c>
      <c r="I586" s="42">
        <v>0</v>
      </c>
      <c r="K586" s="2">
        <f t="shared" si="86"/>
        <v>45088182</v>
      </c>
      <c r="M586" s="42">
        <v>92519911</v>
      </c>
      <c r="O586" s="42">
        <v>0</v>
      </c>
      <c r="Q586" s="2">
        <f t="shared" si="87"/>
        <v>14715731</v>
      </c>
      <c r="S586" s="42">
        <v>0</v>
      </c>
      <c r="U586" s="42">
        <v>14715731</v>
      </c>
      <c r="W586" s="42">
        <v>40974495</v>
      </c>
      <c r="Y586" s="42">
        <f>166839+190049</f>
        <v>356888</v>
      </c>
      <c r="AA586" s="42">
        <f>11872537+84548+126473+1150+2048+303174</f>
        <v>12389930</v>
      </c>
      <c r="AC586" s="42">
        <v>55000</v>
      </c>
      <c r="AE586" s="42">
        <f>245740+438966+31655+16830+3974379+169332</f>
        <v>4876902</v>
      </c>
      <c r="AG586" s="42">
        <v>19150965</v>
      </c>
      <c r="AI586" s="10">
        <f t="shared" si="85"/>
        <v>36829685</v>
      </c>
      <c r="AK586" s="42">
        <f t="shared" si="82"/>
        <v>0</v>
      </c>
    </row>
    <row r="587" spans="1:37">
      <c r="A587" s="9" t="s">
        <v>482</v>
      </c>
      <c r="B587" s="9"/>
      <c r="C587" s="9" t="s">
        <v>59</v>
      </c>
      <c r="D587" s="9"/>
      <c r="E587" s="23">
        <v>49650</v>
      </c>
      <c r="G587" s="42">
        <v>4984405</v>
      </c>
      <c r="I587" s="42">
        <v>38905</v>
      </c>
      <c r="K587" s="2">
        <f t="shared" si="86"/>
        <v>2655185</v>
      </c>
      <c r="M587" s="42">
        <v>7678495</v>
      </c>
      <c r="O587" s="42">
        <v>0</v>
      </c>
      <c r="Q587" s="2">
        <f t="shared" si="87"/>
        <v>1754763</v>
      </c>
      <c r="S587" s="42">
        <v>0</v>
      </c>
      <c r="U587" s="42">
        <v>1754763</v>
      </c>
      <c r="W587" s="42">
        <v>2318648</v>
      </c>
      <c r="Y587" s="42">
        <v>46367</v>
      </c>
      <c r="AA587" s="42">
        <v>1385879</v>
      </c>
      <c r="AC587" s="42">
        <v>39498</v>
      </c>
      <c r="AE587" s="42">
        <v>2010110</v>
      </c>
      <c r="AG587" s="42">
        <v>123230</v>
      </c>
      <c r="AI587" s="10">
        <f t="shared" si="85"/>
        <v>3605084</v>
      </c>
      <c r="AK587" s="42">
        <f t="shared" si="82"/>
        <v>0</v>
      </c>
    </row>
    <row r="588" spans="1:37">
      <c r="A588" s="9" t="s">
        <v>462</v>
      </c>
      <c r="B588" s="9"/>
      <c r="C588" s="9" t="s">
        <v>56</v>
      </c>
      <c r="D588" s="9"/>
      <c r="E588" s="23">
        <v>49247</v>
      </c>
      <c r="G588" s="42">
        <f>3600578+5925</f>
        <v>3606503</v>
      </c>
      <c r="I588" s="42">
        <v>0</v>
      </c>
      <c r="K588" s="2">
        <f t="shared" si="86"/>
        <v>4605888</v>
      </c>
      <c r="M588" s="42">
        <v>8212391</v>
      </c>
      <c r="O588" s="42">
        <v>0</v>
      </c>
      <c r="Q588" s="2">
        <f t="shared" si="87"/>
        <v>1087875</v>
      </c>
      <c r="S588" s="42">
        <v>0</v>
      </c>
      <c r="U588" s="42">
        <v>1087875</v>
      </c>
      <c r="W588" s="42">
        <v>4178852</v>
      </c>
      <c r="Y588" s="42">
        <v>43895</v>
      </c>
      <c r="AA588" s="42">
        <f>642858+470535+336249+16552+849+5669+18276</f>
        <v>1490988</v>
      </c>
      <c r="AC588" s="42">
        <f>578780+11000</f>
        <v>589780</v>
      </c>
      <c r="AE588" s="42">
        <f>175765+190899+642+21003</f>
        <v>388309</v>
      </c>
      <c r="AG588" s="42">
        <v>432692</v>
      </c>
      <c r="AI588" s="10">
        <f t="shared" si="85"/>
        <v>2945664</v>
      </c>
      <c r="AK588" s="42">
        <f t="shared" si="82"/>
        <v>0</v>
      </c>
    </row>
    <row r="589" spans="1:37" ht="12" customHeight="1">
      <c r="A589" s="9" t="s">
        <v>774</v>
      </c>
      <c r="B589" s="9"/>
      <c r="C589" s="9" t="s">
        <v>28</v>
      </c>
      <c r="D589" s="9"/>
      <c r="E589" s="23">
        <v>45641</v>
      </c>
      <c r="G589" s="42">
        <v>7664385</v>
      </c>
      <c r="I589" s="42">
        <v>0</v>
      </c>
      <c r="K589" s="2">
        <f t="shared" si="86"/>
        <v>7256291</v>
      </c>
      <c r="M589" s="42">
        <v>14920676</v>
      </c>
      <c r="O589" s="42">
        <v>0</v>
      </c>
      <c r="Q589" s="2">
        <f t="shared" si="87"/>
        <v>1741042</v>
      </c>
      <c r="S589" s="42">
        <v>0</v>
      </c>
      <c r="U589" s="42">
        <v>1741042</v>
      </c>
      <c r="W589" s="42">
        <v>6649330</v>
      </c>
      <c r="Y589" s="42">
        <v>102537</v>
      </c>
      <c r="AA589" s="42">
        <v>5712498</v>
      </c>
      <c r="AC589" s="42">
        <v>11000</v>
      </c>
      <c r="AE589" s="42">
        <v>708401</v>
      </c>
      <c r="AG589" s="42">
        <v>-4132</v>
      </c>
      <c r="AI589" s="10">
        <f t="shared" si="85"/>
        <v>6530304</v>
      </c>
      <c r="AK589" s="42">
        <f t="shared" si="82"/>
        <v>0</v>
      </c>
    </row>
    <row r="590" spans="1:37" ht="12" customHeight="1">
      <c r="A590" s="9" t="s">
        <v>454</v>
      </c>
      <c r="B590" s="9"/>
      <c r="C590" s="9" t="s">
        <v>55</v>
      </c>
      <c r="D590" s="9"/>
      <c r="E590" s="23">
        <v>49148</v>
      </c>
      <c r="G590" s="42">
        <v>10199473</v>
      </c>
      <c r="I590" s="42">
        <v>57076</v>
      </c>
      <c r="K590" s="2">
        <f t="shared" si="86"/>
        <v>6160444</v>
      </c>
      <c r="M590" s="42">
        <v>16416993</v>
      </c>
      <c r="O590" s="42">
        <v>0</v>
      </c>
      <c r="Q590" s="2">
        <f t="shared" si="87"/>
        <v>1624663</v>
      </c>
      <c r="S590" s="42">
        <v>0</v>
      </c>
      <c r="U590" s="42">
        <v>1624663</v>
      </c>
      <c r="W590" s="42">
        <v>5585106</v>
      </c>
      <c r="Y590" s="42">
        <v>64939</v>
      </c>
      <c r="AA590" s="42">
        <v>7189225</v>
      </c>
      <c r="AC590" s="42">
        <v>11000</v>
      </c>
      <c r="AE590" s="42">
        <v>682172</v>
      </c>
      <c r="AG590" s="42">
        <v>1259888</v>
      </c>
      <c r="AI590" s="10">
        <f t="shared" si="85"/>
        <v>9207224</v>
      </c>
      <c r="AK590" s="42">
        <f t="shared" si="82"/>
        <v>0</v>
      </c>
    </row>
    <row r="591" spans="1:37" hidden="1">
      <c r="A591" s="9" t="s">
        <v>702</v>
      </c>
      <c r="B591" s="9"/>
      <c r="C591" s="9" t="s">
        <v>69</v>
      </c>
      <c r="D591" s="9"/>
      <c r="E591" s="23">
        <v>50468</v>
      </c>
      <c r="G591" s="42">
        <v>0</v>
      </c>
      <c r="I591" s="42">
        <v>0</v>
      </c>
      <c r="K591" s="2">
        <f t="shared" si="86"/>
        <v>0</v>
      </c>
      <c r="M591" s="42">
        <v>0</v>
      </c>
      <c r="O591" s="42">
        <v>0</v>
      </c>
      <c r="Q591" s="2">
        <f t="shared" si="87"/>
        <v>0</v>
      </c>
      <c r="S591" s="42">
        <v>0</v>
      </c>
      <c r="U591" s="42">
        <v>0</v>
      </c>
      <c r="W591" s="42">
        <v>0</v>
      </c>
      <c r="Y591" s="42">
        <v>0</v>
      </c>
      <c r="AA591" s="42">
        <v>0</v>
      </c>
      <c r="AC591" s="42">
        <v>0</v>
      </c>
      <c r="AE591" s="42">
        <v>0</v>
      </c>
      <c r="AG591" s="42">
        <v>0</v>
      </c>
      <c r="AI591" s="10">
        <f t="shared" si="85"/>
        <v>0</v>
      </c>
      <c r="AK591" s="42">
        <f t="shared" ref="AK591:AK632" si="93">+G591+I591+K591+O591-U591-W591-AC591-AA591-Y591-AE591-AG591</f>
        <v>0</v>
      </c>
    </row>
    <row r="592" spans="1:37" hidden="1">
      <c r="A592" s="9" t="s">
        <v>797</v>
      </c>
      <c r="B592" s="9"/>
      <c r="C592" s="9" t="s">
        <v>447</v>
      </c>
      <c r="D592" s="9"/>
      <c r="E592" s="23">
        <v>49031</v>
      </c>
      <c r="G592" s="42">
        <v>0</v>
      </c>
      <c r="I592" s="42">
        <v>0</v>
      </c>
      <c r="K592" s="2">
        <f t="shared" si="86"/>
        <v>0</v>
      </c>
      <c r="M592" s="42">
        <v>0</v>
      </c>
      <c r="O592" s="42">
        <v>0</v>
      </c>
      <c r="Q592" s="2">
        <f t="shared" si="87"/>
        <v>0</v>
      </c>
      <c r="S592" s="42">
        <v>0</v>
      </c>
      <c r="U592" s="42">
        <v>0</v>
      </c>
      <c r="W592" s="42">
        <v>0</v>
      </c>
      <c r="Y592" s="42">
        <v>0</v>
      </c>
      <c r="AA592" s="42">
        <v>0</v>
      </c>
      <c r="AC592" s="42">
        <v>0</v>
      </c>
      <c r="AE592" s="42">
        <v>0</v>
      </c>
      <c r="AG592" s="42">
        <v>0</v>
      </c>
      <c r="AI592" s="10">
        <f t="shared" si="85"/>
        <v>0</v>
      </c>
      <c r="AK592" s="42">
        <f t="shared" si="93"/>
        <v>0</v>
      </c>
    </row>
    <row r="593" spans="1:37" hidden="1">
      <c r="A593" s="9" t="s">
        <v>641</v>
      </c>
      <c r="B593" s="9"/>
      <c r="C593" s="9" t="s">
        <v>14</v>
      </c>
      <c r="D593" s="9"/>
      <c r="E593" s="23">
        <v>45971</v>
      </c>
      <c r="G593" s="42">
        <v>0</v>
      </c>
      <c r="I593" s="42">
        <v>0</v>
      </c>
      <c r="K593" s="2">
        <f t="shared" si="86"/>
        <v>0</v>
      </c>
      <c r="M593" s="42">
        <v>0</v>
      </c>
      <c r="O593" s="42">
        <v>0</v>
      </c>
      <c r="Q593" s="2">
        <f t="shared" si="87"/>
        <v>0</v>
      </c>
      <c r="S593" s="42">
        <v>0</v>
      </c>
      <c r="U593" s="42">
        <v>0</v>
      </c>
      <c r="W593" s="42">
        <v>0</v>
      </c>
      <c r="Y593" s="42">
        <v>0</v>
      </c>
      <c r="AA593" s="42">
        <v>0</v>
      </c>
      <c r="AC593" s="42">
        <v>0</v>
      </c>
      <c r="AE593" s="42">
        <v>0</v>
      </c>
      <c r="AG593" s="42">
        <v>0</v>
      </c>
      <c r="AI593" s="10">
        <f t="shared" si="85"/>
        <v>0</v>
      </c>
      <c r="AK593" s="42">
        <f t="shared" si="93"/>
        <v>0</v>
      </c>
    </row>
    <row r="594" spans="1:37">
      <c r="A594" s="9" t="s">
        <v>528</v>
      </c>
      <c r="B594" s="9"/>
      <c r="C594" s="9" t="s">
        <v>64</v>
      </c>
      <c r="D594" s="9"/>
      <c r="E594" s="23">
        <v>50252</v>
      </c>
      <c r="G594" s="42">
        <f>18507374+5140</f>
        <v>18512514</v>
      </c>
      <c r="I594" s="42">
        <v>0</v>
      </c>
      <c r="K594" s="2">
        <f t="shared" si="86"/>
        <v>13055136</v>
      </c>
      <c r="M594" s="42">
        <v>31567650</v>
      </c>
      <c r="O594" s="42">
        <v>0</v>
      </c>
      <c r="Q594" s="2">
        <f t="shared" si="87"/>
        <v>942970</v>
      </c>
      <c r="S594" s="42">
        <v>0</v>
      </c>
      <c r="U594" s="42">
        <v>942970</v>
      </c>
      <c r="W594" s="42">
        <v>12966611</v>
      </c>
      <c r="Y594" s="42">
        <f>9022+35427</f>
        <v>44449</v>
      </c>
      <c r="AA594" s="42">
        <f>461478+14447965+21680+176287+78+67252</f>
        <v>15174740</v>
      </c>
      <c r="AC594" s="42">
        <v>2054433</v>
      </c>
      <c r="AE594" s="42">
        <f>783+60101+323+26076</f>
        <v>87283</v>
      </c>
      <c r="AG594" s="42">
        <v>297164</v>
      </c>
      <c r="AI594" s="10">
        <f t="shared" si="85"/>
        <v>17658069</v>
      </c>
      <c r="AK594" s="42">
        <f t="shared" si="93"/>
        <v>0</v>
      </c>
    </row>
    <row r="595" spans="1:37">
      <c r="A595" s="9" t="s">
        <v>775</v>
      </c>
      <c r="B595" s="9"/>
      <c r="C595" s="9" t="s">
        <v>44</v>
      </c>
      <c r="D595" s="9"/>
      <c r="E595" s="23">
        <v>45658</v>
      </c>
      <c r="G595" s="42">
        <v>16749059</v>
      </c>
      <c r="I595" s="42">
        <v>0</v>
      </c>
      <c r="K595" s="2">
        <f t="shared" si="86"/>
        <v>6131691</v>
      </c>
      <c r="M595" s="42">
        <v>22880750</v>
      </c>
      <c r="O595" s="42">
        <v>0</v>
      </c>
      <c r="Q595" s="2">
        <f t="shared" si="87"/>
        <v>1551335</v>
      </c>
      <c r="S595" s="42">
        <v>0</v>
      </c>
      <c r="U595" s="42">
        <v>1551335</v>
      </c>
      <c r="W595" s="42">
        <v>4748640</v>
      </c>
      <c r="Y595" s="42">
        <v>42351</v>
      </c>
      <c r="AA595" s="42">
        <v>13235662</v>
      </c>
      <c r="AC595" s="42">
        <v>0</v>
      </c>
      <c r="AE595" s="42">
        <v>1077720</v>
      </c>
      <c r="AG595" s="42">
        <v>2225042</v>
      </c>
      <c r="AI595" s="10">
        <f t="shared" si="85"/>
        <v>16580775</v>
      </c>
      <c r="AK595" s="42">
        <f t="shared" si="93"/>
        <v>0</v>
      </c>
    </row>
    <row r="596" spans="1:37">
      <c r="A596" s="9" t="s">
        <v>359</v>
      </c>
      <c r="B596" s="9"/>
      <c r="C596" s="9" t="s">
        <v>38</v>
      </c>
      <c r="D596" s="9"/>
      <c r="E596" s="23">
        <v>45021</v>
      </c>
      <c r="G596" s="42">
        <v>11302752</v>
      </c>
      <c r="I596" s="42">
        <f>56688+31216</f>
        <v>87904</v>
      </c>
      <c r="K596" s="2">
        <f t="shared" si="86"/>
        <v>3972306</v>
      </c>
      <c r="M596" s="42">
        <v>15362962</v>
      </c>
      <c r="O596" s="42">
        <v>0</v>
      </c>
      <c r="Q596" s="2">
        <f t="shared" si="87"/>
        <v>2332471</v>
      </c>
      <c r="S596" s="42">
        <v>0</v>
      </c>
      <c r="U596" s="42">
        <v>2332471</v>
      </c>
      <c r="W596" s="42">
        <v>2766832</v>
      </c>
      <c r="Y596" s="42">
        <v>13153</v>
      </c>
      <c r="AA596" s="42">
        <v>4662998</v>
      </c>
      <c r="AC596" s="42">
        <v>182200</v>
      </c>
      <c r="AE596" s="42">
        <v>1898546</v>
      </c>
      <c r="AG596" s="42">
        <v>3506762</v>
      </c>
      <c r="AI596" s="10">
        <f t="shared" si="85"/>
        <v>10263659</v>
      </c>
      <c r="AK596" s="42">
        <f t="shared" si="93"/>
        <v>0</v>
      </c>
    </row>
    <row r="597" spans="1:37">
      <c r="A597" s="9" t="s">
        <v>250</v>
      </c>
      <c r="B597" s="9"/>
      <c r="C597" s="9" t="s">
        <v>111</v>
      </c>
      <c r="D597" s="9"/>
      <c r="E597" s="23">
        <v>45039</v>
      </c>
      <c r="G597" s="42">
        <v>2671932</v>
      </c>
      <c r="I597" s="42">
        <v>0</v>
      </c>
      <c r="K597" s="2">
        <f t="shared" si="86"/>
        <v>1661763</v>
      </c>
      <c r="M597" s="42">
        <v>4333695</v>
      </c>
      <c r="O597" s="42">
        <v>0</v>
      </c>
      <c r="Q597" s="2">
        <f t="shared" si="87"/>
        <v>961453</v>
      </c>
      <c r="S597" s="42">
        <v>0</v>
      </c>
      <c r="U597" s="42">
        <v>961453</v>
      </c>
      <c r="W597" s="42">
        <v>1442227</v>
      </c>
      <c r="Y597" s="42">
        <f>3935+18322</f>
        <v>22257</v>
      </c>
      <c r="AA597" s="42">
        <f>199188+197612+285656+283+8430+17883+46962+38788</f>
        <v>794802</v>
      </c>
      <c r="AC597" s="42">
        <f>568176+11000</f>
        <v>579176</v>
      </c>
      <c r="AE597" s="42">
        <f>27016+67859+2741+50+457376</f>
        <v>555042</v>
      </c>
      <c r="AG597" s="42">
        <v>-21262</v>
      </c>
      <c r="AI597" s="10">
        <f t="shared" si="85"/>
        <v>1930015</v>
      </c>
      <c r="AK597" s="42">
        <f t="shared" si="93"/>
        <v>0</v>
      </c>
    </row>
    <row r="598" spans="1:37">
      <c r="A598" s="9" t="s">
        <v>405</v>
      </c>
      <c r="B598" s="9"/>
      <c r="C598" s="9" t="s">
        <v>45</v>
      </c>
      <c r="D598" s="9"/>
      <c r="E598" s="23">
        <v>48389</v>
      </c>
      <c r="G598" s="42">
        <v>5319504</v>
      </c>
      <c r="I598" s="42">
        <v>0</v>
      </c>
      <c r="K598" s="2">
        <f t="shared" si="86"/>
        <v>6309867</v>
      </c>
      <c r="M598" s="42">
        <v>11629371</v>
      </c>
      <c r="O598" s="42">
        <v>0</v>
      </c>
      <c r="Q598" s="2">
        <f t="shared" si="87"/>
        <v>3083496</v>
      </c>
      <c r="S598" s="42">
        <v>0</v>
      </c>
      <c r="U598" s="42">
        <v>3083496</v>
      </c>
      <c r="W598" s="42">
        <v>5781661</v>
      </c>
      <c r="Y598" s="42">
        <f>27913+44422</f>
        <v>72335</v>
      </c>
      <c r="AA598" s="42">
        <f>472017+495830+369729+425036+5856+31008+88724</f>
        <v>1888200</v>
      </c>
      <c r="AC598" s="42">
        <f>24393+161762</f>
        <v>186155</v>
      </c>
      <c r="AE598" s="42">
        <f>81376+82773+2423+108354+21088</f>
        <v>296014</v>
      </c>
      <c r="AG598" s="42">
        <v>321510</v>
      </c>
      <c r="AI598" s="10">
        <f t="shared" si="85"/>
        <v>2764214</v>
      </c>
      <c r="AK598" s="42">
        <f t="shared" si="93"/>
        <v>0</v>
      </c>
    </row>
    <row r="599" spans="1:37">
      <c r="A599" s="9" t="s">
        <v>701</v>
      </c>
      <c r="B599" s="9"/>
      <c r="C599" s="9" t="s">
        <v>50</v>
      </c>
      <c r="D599" s="9"/>
      <c r="E599" s="23">
        <v>45054</v>
      </c>
      <c r="G599" s="42">
        <v>12993349</v>
      </c>
      <c r="I599" s="42">
        <v>0</v>
      </c>
      <c r="K599" s="2">
        <f t="shared" si="86"/>
        <v>19004780</v>
      </c>
      <c r="M599" s="42">
        <v>31998129</v>
      </c>
      <c r="O599" s="42">
        <v>0</v>
      </c>
      <c r="Q599" s="2">
        <f t="shared" si="87"/>
        <v>5473540</v>
      </c>
      <c r="S599" s="42">
        <v>0</v>
      </c>
      <c r="U599" s="42">
        <v>5473540</v>
      </c>
      <c r="W599" s="42">
        <v>17426274</v>
      </c>
      <c r="Y599" s="42">
        <f>15814+277785</f>
        <v>293599</v>
      </c>
      <c r="AA599" s="42">
        <f>95869+696563+132+28990+17222+12954</f>
        <v>851730</v>
      </c>
      <c r="AC599" s="42">
        <v>12479</v>
      </c>
      <c r="AE599" s="42">
        <f>185114+502218+1250872+21552</f>
        <v>1959756</v>
      </c>
      <c r="AG599" s="42">
        <v>5980751</v>
      </c>
      <c r="AI599" s="10">
        <f t="shared" si="85"/>
        <v>9098315</v>
      </c>
      <c r="AK599" s="42">
        <f t="shared" si="93"/>
        <v>0</v>
      </c>
    </row>
    <row r="600" spans="1:37">
      <c r="A600" s="9" t="s">
        <v>239</v>
      </c>
      <c r="B600" s="9"/>
      <c r="C600" s="9" t="s">
        <v>112</v>
      </c>
      <c r="D600" s="9"/>
      <c r="E600" s="23">
        <v>46359</v>
      </c>
      <c r="G600" s="42">
        <v>16640575</v>
      </c>
      <c r="I600" s="42">
        <v>0</v>
      </c>
      <c r="K600" s="2">
        <f t="shared" si="86"/>
        <v>45615051</v>
      </c>
      <c r="M600" s="42">
        <v>62255626</v>
      </c>
      <c r="O600" s="42">
        <v>0</v>
      </c>
      <c r="Q600" s="2">
        <f t="shared" si="87"/>
        <v>9098859</v>
      </c>
      <c r="S600" s="42">
        <v>0</v>
      </c>
      <c r="U600" s="42">
        <v>9098859</v>
      </c>
      <c r="W600" s="42">
        <v>40502689</v>
      </c>
      <c r="Y600" s="42">
        <v>97761</v>
      </c>
      <c r="AA600" s="42">
        <v>11202013</v>
      </c>
      <c r="AC600" s="42">
        <v>775186</v>
      </c>
      <c r="AE600" s="42">
        <v>755316</v>
      </c>
      <c r="AG600" s="42">
        <v>-176198</v>
      </c>
      <c r="AI600" s="10">
        <f t="shared" si="85"/>
        <v>12654078</v>
      </c>
      <c r="AK600" s="42">
        <f t="shared" si="93"/>
        <v>0</v>
      </c>
    </row>
    <row r="601" spans="1:37">
      <c r="A601" s="9" t="s">
        <v>314</v>
      </c>
      <c r="B601" s="9"/>
      <c r="C601" s="9" t="s">
        <v>30</v>
      </c>
      <c r="D601" s="9"/>
      <c r="E601" s="23">
        <v>47225</v>
      </c>
      <c r="G601" s="42">
        <v>9952681</v>
      </c>
      <c r="I601" s="42">
        <v>0</v>
      </c>
      <c r="K601" s="2">
        <f t="shared" si="86"/>
        <v>20071643</v>
      </c>
      <c r="M601" s="42">
        <v>30024324</v>
      </c>
      <c r="O601" s="42">
        <v>0</v>
      </c>
      <c r="Q601" s="2">
        <f t="shared" si="87"/>
        <v>2986046</v>
      </c>
      <c r="S601" s="42">
        <v>0</v>
      </c>
      <c r="U601" s="42">
        <f>20329589-17343543</f>
        <v>2986046</v>
      </c>
      <c r="W601" s="42">
        <v>17343543</v>
      </c>
      <c r="Y601" s="42">
        <v>0</v>
      </c>
      <c r="AA601" s="42">
        <v>1126941</v>
      </c>
      <c r="AC601" s="42">
        <v>235643</v>
      </c>
      <c r="AE601" s="42">
        <v>789734</v>
      </c>
      <c r="AG601" s="42">
        <v>7542417</v>
      </c>
      <c r="AI601" s="10">
        <f t="shared" si="85"/>
        <v>9694735</v>
      </c>
      <c r="AK601" s="42">
        <f t="shared" si="93"/>
        <v>0</v>
      </c>
    </row>
    <row r="602" spans="1:37">
      <c r="A602" s="9" t="s">
        <v>352</v>
      </c>
      <c r="B602" s="9"/>
      <c r="C602" s="9" t="s">
        <v>36</v>
      </c>
      <c r="D602" s="9"/>
      <c r="E602" s="23">
        <v>47696</v>
      </c>
      <c r="G602" s="42">
        <v>10844239</v>
      </c>
      <c r="I602" s="42">
        <v>0</v>
      </c>
      <c r="K602" s="2">
        <f t="shared" si="86"/>
        <v>10402588</v>
      </c>
      <c r="M602" s="42">
        <v>21246827</v>
      </c>
      <c r="O602" s="42">
        <v>0</v>
      </c>
      <c r="Q602" s="2">
        <f t="shared" si="87"/>
        <v>2904161</v>
      </c>
      <c r="S602" s="42">
        <v>0</v>
      </c>
      <c r="U602" s="42">
        <f>12300006-9395845</f>
        <v>2904161</v>
      </c>
      <c r="W602" s="42">
        <v>9395845</v>
      </c>
      <c r="Y602" s="42">
        <v>56414</v>
      </c>
      <c r="AA602" s="42">
        <v>1710277</v>
      </c>
      <c r="AC602" s="42">
        <v>0</v>
      </c>
      <c r="AE602" s="42">
        <v>329904</v>
      </c>
      <c r="AG602" s="42">
        <v>6850226</v>
      </c>
      <c r="AI602" s="10">
        <f t="shared" si="85"/>
        <v>8946821</v>
      </c>
      <c r="AK602" s="42">
        <f t="shared" si="93"/>
        <v>0</v>
      </c>
    </row>
    <row r="603" spans="1:37" hidden="1">
      <c r="A603" s="8" t="s">
        <v>908</v>
      </c>
      <c r="B603" s="9"/>
      <c r="C603" s="9" t="s">
        <v>227</v>
      </c>
      <c r="D603" s="9"/>
      <c r="E603" s="23">
        <v>46219</v>
      </c>
      <c r="G603" s="42">
        <v>0</v>
      </c>
      <c r="I603" s="42">
        <v>0</v>
      </c>
      <c r="K603" s="2">
        <f t="shared" si="86"/>
        <v>0</v>
      </c>
      <c r="M603" s="42">
        <v>0</v>
      </c>
      <c r="O603" s="42">
        <v>0</v>
      </c>
      <c r="Q603" s="2">
        <f t="shared" si="87"/>
        <v>0</v>
      </c>
      <c r="S603" s="42">
        <v>0</v>
      </c>
      <c r="U603" s="42">
        <v>0</v>
      </c>
      <c r="W603" s="42">
        <v>0</v>
      </c>
      <c r="Y603" s="42">
        <v>0</v>
      </c>
      <c r="AA603" s="42">
        <v>0</v>
      </c>
      <c r="AC603" s="42">
        <v>0</v>
      </c>
      <c r="AE603" s="42">
        <v>0</v>
      </c>
      <c r="AG603" s="42">
        <v>0</v>
      </c>
      <c r="AI603" s="10">
        <f t="shared" si="85"/>
        <v>0</v>
      </c>
      <c r="AK603" s="42">
        <f t="shared" si="93"/>
        <v>0</v>
      </c>
    </row>
    <row r="604" spans="1:37">
      <c r="A604" s="9" t="s">
        <v>444</v>
      </c>
      <c r="B604" s="9"/>
      <c r="C604" s="9" t="s">
        <v>51</v>
      </c>
      <c r="D604" s="9"/>
      <c r="E604" s="23">
        <v>48884</v>
      </c>
      <c r="G604" s="42">
        <f>7371037+477</f>
        <v>7371514</v>
      </c>
      <c r="I604" s="42">
        <v>0</v>
      </c>
      <c r="K604" s="2">
        <f t="shared" si="86"/>
        <v>8809173</v>
      </c>
      <c r="M604" s="42">
        <v>16180687</v>
      </c>
      <c r="O604" s="42">
        <v>0</v>
      </c>
      <c r="Q604" s="2">
        <f t="shared" si="87"/>
        <v>1457576</v>
      </c>
      <c r="S604" s="42">
        <v>0</v>
      </c>
      <c r="U604" s="42">
        <v>1457576</v>
      </c>
      <c r="W604" s="42">
        <v>6215629</v>
      </c>
      <c r="Y604" s="42">
        <v>94490</v>
      </c>
      <c r="AA604" s="42">
        <v>3461170</v>
      </c>
      <c r="AC604" s="42">
        <v>300475</v>
      </c>
      <c r="AE604" s="42">
        <v>4448754</v>
      </c>
      <c r="AG604" s="42">
        <v>202593</v>
      </c>
      <c r="AI604" s="10">
        <f t="shared" si="85"/>
        <v>8507482</v>
      </c>
      <c r="AK604" s="42">
        <f t="shared" si="93"/>
        <v>0</v>
      </c>
    </row>
    <row r="605" spans="1:37">
      <c r="A605" s="9" t="s">
        <v>219</v>
      </c>
      <c r="B605" s="9"/>
      <c r="C605" s="9" t="s">
        <v>77</v>
      </c>
      <c r="D605" s="9"/>
      <c r="E605" s="23">
        <v>46060</v>
      </c>
      <c r="G605" s="42">
        <f>6160005+5000</f>
        <v>6165005</v>
      </c>
      <c r="I605" s="42">
        <v>0</v>
      </c>
      <c r="K605" s="2">
        <f t="shared" si="86"/>
        <v>5552036</v>
      </c>
      <c r="M605" s="42">
        <v>11717041</v>
      </c>
      <c r="O605" s="42">
        <v>0</v>
      </c>
      <c r="Q605" s="2">
        <f t="shared" si="87"/>
        <v>2639262</v>
      </c>
      <c r="S605" s="42">
        <v>0</v>
      </c>
      <c r="U605" s="42">
        <v>2639262</v>
      </c>
      <c r="W605" s="42">
        <v>3982885</v>
      </c>
      <c r="Y605" s="42">
        <v>11812</v>
      </c>
      <c r="AA605" s="42">
        <v>3802516</v>
      </c>
      <c r="AC605" s="42">
        <v>0</v>
      </c>
      <c r="AE605" s="42">
        <v>603017</v>
      </c>
      <c r="AG605" s="42">
        <v>677549</v>
      </c>
      <c r="AI605" s="10">
        <f t="shared" si="85"/>
        <v>5094894</v>
      </c>
      <c r="AK605" s="42">
        <f t="shared" si="93"/>
        <v>0</v>
      </c>
    </row>
    <row r="606" spans="1:37">
      <c r="A606" s="9" t="s">
        <v>455</v>
      </c>
      <c r="B606" s="9"/>
      <c r="C606" s="9" t="s">
        <v>55</v>
      </c>
      <c r="D606" s="9"/>
      <c r="E606" s="23">
        <v>49155</v>
      </c>
      <c r="G606" s="42">
        <f>3365454+88485</f>
        <v>3453939</v>
      </c>
      <c r="I606" s="42">
        <v>0</v>
      </c>
      <c r="K606" s="2">
        <f t="shared" si="86"/>
        <v>1816318</v>
      </c>
      <c r="M606" s="42">
        <v>5270257</v>
      </c>
      <c r="O606" s="42">
        <v>0</v>
      </c>
      <c r="Q606" s="2">
        <f t="shared" si="87"/>
        <v>844446</v>
      </c>
      <c r="S606" s="42">
        <v>0</v>
      </c>
      <c r="U606" s="42">
        <v>844446</v>
      </c>
      <c r="W606" s="42">
        <v>1442616</v>
      </c>
      <c r="Y606" s="42">
        <v>0</v>
      </c>
      <c r="AA606" s="42">
        <v>1184744</v>
      </c>
      <c r="AC606" s="42">
        <v>0</v>
      </c>
      <c r="AE606" s="42">
        <v>182834</v>
      </c>
      <c r="AG606" s="42">
        <v>1615617</v>
      </c>
      <c r="AI606" s="10">
        <f t="shared" si="85"/>
        <v>2983195</v>
      </c>
      <c r="AK606" s="42">
        <f t="shared" si="93"/>
        <v>0</v>
      </c>
    </row>
    <row r="607" spans="1:37">
      <c r="A607" s="9" t="s">
        <v>357</v>
      </c>
      <c r="B607" s="9"/>
      <c r="C607" s="9" t="s">
        <v>37</v>
      </c>
      <c r="D607" s="9"/>
      <c r="E607" s="23">
        <v>47746</v>
      </c>
      <c r="G607" s="42">
        <v>1925795</v>
      </c>
      <c r="I607" s="42">
        <v>0</v>
      </c>
      <c r="K607" s="2">
        <f t="shared" si="86"/>
        <v>3725754</v>
      </c>
      <c r="M607" s="42">
        <v>5651549</v>
      </c>
      <c r="O607" s="42">
        <v>0</v>
      </c>
      <c r="Q607" s="2">
        <f t="shared" si="87"/>
        <v>1516712</v>
      </c>
      <c r="S607" s="42">
        <v>0</v>
      </c>
      <c r="U607" s="42">
        <v>1516712</v>
      </c>
      <c r="W607" s="42">
        <v>2716854</v>
      </c>
      <c r="Y607" s="42">
        <f>5296+31744</f>
        <v>37040</v>
      </c>
      <c r="AA607" s="42">
        <f>481722+182598+50944+9430+2986+84572</f>
        <v>812252</v>
      </c>
      <c r="AC607" s="42">
        <v>0</v>
      </c>
      <c r="AE607" s="42">
        <f>46520+113618+1364+2745</f>
        <v>164247</v>
      </c>
      <c r="AG607" s="42">
        <v>404444</v>
      </c>
      <c r="AI607" s="10">
        <f t="shared" si="85"/>
        <v>1417983</v>
      </c>
      <c r="AK607" s="42">
        <f t="shared" si="93"/>
        <v>0</v>
      </c>
    </row>
    <row r="608" spans="1:37">
      <c r="A608" s="9" t="s">
        <v>357</v>
      </c>
      <c r="B608" s="9"/>
      <c r="C608" s="9" t="s">
        <v>45</v>
      </c>
      <c r="D608" s="9"/>
      <c r="E608" s="23">
        <v>48397</v>
      </c>
      <c r="G608" s="42">
        <v>3009553</v>
      </c>
      <c r="I608" s="42">
        <v>67313</v>
      </c>
      <c r="K608" s="2">
        <f t="shared" si="86"/>
        <v>4258084</v>
      </c>
      <c r="M608" s="42">
        <v>7334950</v>
      </c>
      <c r="O608" s="42">
        <v>0</v>
      </c>
      <c r="Q608" s="2">
        <f t="shared" si="87"/>
        <v>988334</v>
      </c>
      <c r="S608" s="42">
        <v>0</v>
      </c>
      <c r="U608" s="42">
        <v>988334</v>
      </c>
      <c r="W608" s="42">
        <v>3974242</v>
      </c>
      <c r="Y608" s="42">
        <v>85457</v>
      </c>
      <c r="AA608" s="42">
        <v>1523130</v>
      </c>
      <c r="AC608" s="42">
        <v>156164</v>
      </c>
      <c r="AE608" s="42">
        <v>34198</v>
      </c>
      <c r="AG608" s="42">
        <v>573425</v>
      </c>
      <c r="AI608" s="10">
        <f t="shared" si="85"/>
        <v>2372374</v>
      </c>
      <c r="AK608" s="42">
        <f t="shared" si="93"/>
        <v>0</v>
      </c>
    </row>
    <row r="609" spans="1:37">
      <c r="A609" s="9" t="s">
        <v>307</v>
      </c>
      <c r="B609" s="9"/>
      <c r="C609" s="9" t="s">
        <v>27</v>
      </c>
      <c r="D609" s="9"/>
      <c r="E609" s="23">
        <v>45047</v>
      </c>
      <c r="G609" s="42">
        <v>31615183</v>
      </c>
      <c r="I609" s="42">
        <v>32724</v>
      </c>
      <c r="K609" s="2">
        <f t="shared" si="86"/>
        <v>141129619</v>
      </c>
      <c r="M609" s="42">
        <v>172777526</v>
      </c>
      <c r="O609" s="42">
        <v>0</v>
      </c>
      <c r="Q609" s="2">
        <f t="shared" si="87"/>
        <v>15233015</v>
      </c>
      <c r="S609" s="42">
        <v>0</v>
      </c>
      <c r="U609" s="42">
        <v>15233015</v>
      </c>
      <c r="W609" s="42">
        <v>100159072</v>
      </c>
      <c r="Y609" s="42">
        <f>90680+495202</f>
        <v>585882</v>
      </c>
      <c r="AA609" s="42">
        <f>8094220+7544471+1500535+46923+17440+247+2619+726499+15262</f>
        <v>17948216</v>
      </c>
      <c r="AC609" s="42">
        <v>0</v>
      </c>
      <c r="AE609" s="42">
        <f>154707+1392411</f>
        <v>1547118</v>
      </c>
      <c r="AG609" s="42">
        <v>37304223</v>
      </c>
      <c r="AI609" s="10">
        <f t="shared" ref="AI609:AI632" si="94">Y609+AA609+AC609+AE609+AG609</f>
        <v>57385439</v>
      </c>
      <c r="AK609" s="42">
        <f t="shared" si="93"/>
        <v>0</v>
      </c>
    </row>
    <row r="610" spans="1:37">
      <c r="A610" s="9" t="s">
        <v>452</v>
      </c>
      <c r="B610" s="9"/>
      <c r="C610" s="9" t="s">
        <v>54</v>
      </c>
      <c r="D610" s="9"/>
      <c r="E610" s="23">
        <v>49106</v>
      </c>
      <c r="G610" s="42">
        <v>10392917</v>
      </c>
      <c r="I610" s="42">
        <v>908</v>
      </c>
      <c r="K610" s="2">
        <f t="shared" si="86"/>
        <v>7436724</v>
      </c>
      <c r="M610" s="42">
        <v>17830549</v>
      </c>
      <c r="O610" s="42">
        <v>0</v>
      </c>
      <c r="Q610" s="2">
        <f t="shared" si="87"/>
        <v>1651908</v>
      </c>
      <c r="S610" s="42">
        <v>0</v>
      </c>
      <c r="U610" s="42">
        <v>1651908</v>
      </c>
      <c r="W610" s="42">
        <v>6713028</v>
      </c>
      <c r="Y610" s="42">
        <v>0</v>
      </c>
      <c r="AA610" s="42">
        <f>1153931+934295+129920+68+398+1633+249+518529+75069+3700</f>
        <v>2817792</v>
      </c>
      <c r="AC610" s="42">
        <v>0</v>
      </c>
      <c r="AE610" s="42">
        <f>23168+27613+34514</f>
        <v>85295</v>
      </c>
      <c r="AG610" s="42">
        <v>6562526</v>
      </c>
      <c r="AI610" s="10">
        <f t="shared" si="94"/>
        <v>9465613</v>
      </c>
      <c r="AK610" s="42">
        <f t="shared" si="93"/>
        <v>0</v>
      </c>
    </row>
    <row r="611" spans="1:37">
      <c r="A611" s="9" t="s">
        <v>279</v>
      </c>
      <c r="B611" s="9"/>
      <c r="C611" s="9" t="s">
        <v>20</v>
      </c>
      <c r="D611" s="9"/>
      <c r="E611" s="23">
        <v>45062</v>
      </c>
      <c r="G611" s="42">
        <v>53465172</v>
      </c>
      <c r="I611" s="42">
        <v>0</v>
      </c>
      <c r="K611" s="2">
        <f t="shared" si="86"/>
        <v>47759806</v>
      </c>
      <c r="M611" s="42">
        <v>101224978</v>
      </c>
      <c r="O611" s="42">
        <v>0</v>
      </c>
      <c r="Q611" s="2">
        <f t="shared" si="87"/>
        <v>16894700</v>
      </c>
      <c r="S611" s="42">
        <v>0</v>
      </c>
      <c r="U611" s="42">
        <v>16894700</v>
      </c>
      <c r="W611" s="42">
        <v>41390956</v>
      </c>
      <c r="Y611" s="42">
        <v>7199</v>
      </c>
      <c r="AA611" s="42">
        <f>6450170+18637570+2022+156251+79059+1065+48763+205499+121791</f>
        <v>25702190</v>
      </c>
      <c r="AC611" s="42">
        <v>686</v>
      </c>
      <c r="AE611" s="42">
        <f>1777484+1376687+272962+26129+6945611+44279</f>
        <v>10443152</v>
      </c>
      <c r="AG611" s="42">
        <v>6786095</v>
      </c>
      <c r="AI611" s="10">
        <f t="shared" si="94"/>
        <v>42939322</v>
      </c>
      <c r="AK611" s="42">
        <f t="shared" si="93"/>
        <v>0</v>
      </c>
    </row>
    <row r="612" spans="1:37">
      <c r="A612" s="9" t="s">
        <v>483</v>
      </c>
      <c r="B612" s="9"/>
      <c r="C612" s="9" t="s">
        <v>59</v>
      </c>
      <c r="D612" s="9"/>
      <c r="E612" s="23">
        <v>49668</v>
      </c>
      <c r="G612" s="42">
        <v>4126735</v>
      </c>
      <c r="I612" s="42">
        <v>48234</v>
      </c>
      <c r="K612" s="2">
        <f t="shared" si="86"/>
        <v>3982188</v>
      </c>
      <c r="M612" s="42">
        <v>8157157</v>
      </c>
      <c r="O612" s="42">
        <v>0</v>
      </c>
      <c r="Q612" s="2">
        <f t="shared" si="87"/>
        <v>1556629</v>
      </c>
      <c r="S612" s="42">
        <v>0</v>
      </c>
      <c r="U612" s="42">
        <v>1556629</v>
      </c>
      <c r="W612" s="42">
        <v>3680268</v>
      </c>
      <c r="Y612" s="42">
        <v>35127</v>
      </c>
      <c r="AA612" s="42">
        <v>2254954</v>
      </c>
      <c r="AC612" s="42">
        <v>0</v>
      </c>
      <c r="AE612" s="42">
        <v>372566</v>
      </c>
      <c r="AG612" s="42">
        <v>257613</v>
      </c>
      <c r="AI612" s="10">
        <f t="shared" si="94"/>
        <v>2920260</v>
      </c>
      <c r="AK612" s="42">
        <f t="shared" si="93"/>
        <v>0</v>
      </c>
    </row>
    <row r="613" spans="1:37">
      <c r="A613" s="9" t="s">
        <v>308</v>
      </c>
      <c r="B613" s="9"/>
      <c r="C613" s="9" t="s">
        <v>27</v>
      </c>
      <c r="D613" s="9"/>
      <c r="E613" s="23">
        <v>45070</v>
      </c>
      <c r="G613" s="42">
        <f>30308595+638911</f>
        <v>30947506</v>
      </c>
      <c r="I613" s="42">
        <v>0</v>
      </c>
      <c r="K613" s="2">
        <f t="shared" si="86"/>
        <v>15505592</v>
      </c>
      <c r="M613" s="42">
        <v>46453098</v>
      </c>
      <c r="O613" s="42">
        <v>0</v>
      </c>
      <c r="Q613" s="2">
        <f t="shared" si="87"/>
        <v>5336850</v>
      </c>
      <c r="S613" s="42">
        <v>0</v>
      </c>
      <c r="U613" s="42">
        <v>5336850</v>
      </c>
      <c r="W613" s="42">
        <v>11513791</v>
      </c>
      <c r="Y613" s="42">
        <v>80961</v>
      </c>
      <c r="AA613" s="42">
        <f>1611454+13137619+29286+11293+61605+687040+83539+1079778+22506</f>
        <v>16724120</v>
      </c>
      <c r="AC613" s="42">
        <v>0</v>
      </c>
      <c r="AE613" s="42">
        <f>1965445+93274</f>
        <v>2058719</v>
      </c>
      <c r="AG613" s="42">
        <v>10738657</v>
      </c>
      <c r="AI613" s="10">
        <f t="shared" si="94"/>
        <v>29602457</v>
      </c>
      <c r="AK613" s="42">
        <f t="shared" si="93"/>
        <v>0</v>
      </c>
    </row>
    <row r="614" spans="1:37" hidden="1">
      <c r="A614" s="9" t="s">
        <v>617</v>
      </c>
      <c r="B614" s="9"/>
      <c r="C614" s="9" t="s">
        <v>41</v>
      </c>
      <c r="D614" s="9"/>
      <c r="E614" s="23">
        <v>45088</v>
      </c>
      <c r="G614" s="42">
        <v>0</v>
      </c>
      <c r="I614" s="42">
        <v>0</v>
      </c>
      <c r="K614" s="2">
        <f t="shared" si="86"/>
        <v>0</v>
      </c>
      <c r="M614" s="42">
        <v>0</v>
      </c>
      <c r="O614" s="42">
        <v>0</v>
      </c>
      <c r="Q614" s="2">
        <f t="shared" si="87"/>
        <v>0</v>
      </c>
      <c r="S614" s="42">
        <v>0</v>
      </c>
      <c r="U614" s="42">
        <v>0</v>
      </c>
      <c r="W614" s="42">
        <v>0</v>
      </c>
      <c r="Y614" s="42">
        <v>0</v>
      </c>
      <c r="AA614" s="42">
        <v>0</v>
      </c>
      <c r="AC614" s="42">
        <v>0</v>
      </c>
      <c r="AE614" s="42">
        <v>0</v>
      </c>
      <c r="AG614" s="42">
        <v>0</v>
      </c>
      <c r="AI614" s="10">
        <f t="shared" si="94"/>
        <v>0</v>
      </c>
      <c r="AK614" s="42">
        <f t="shared" si="93"/>
        <v>0</v>
      </c>
    </row>
    <row r="615" spans="1:37">
      <c r="A615" s="9" t="s">
        <v>358</v>
      </c>
      <c r="B615" s="9"/>
      <c r="C615" s="9" t="s">
        <v>37</v>
      </c>
      <c r="D615" s="9"/>
      <c r="E615" s="23">
        <v>45096</v>
      </c>
      <c r="G615" s="42">
        <v>32522075</v>
      </c>
      <c r="I615" s="42">
        <v>0</v>
      </c>
      <c r="K615" s="2">
        <f t="shared" si="86"/>
        <v>26334537</v>
      </c>
      <c r="M615" s="42">
        <v>58856612</v>
      </c>
      <c r="O615" s="42">
        <v>0</v>
      </c>
      <c r="Q615" s="2">
        <f t="shared" si="87"/>
        <v>2877162</v>
      </c>
      <c r="S615" s="42">
        <v>0</v>
      </c>
      <c r="U615" s="42">
        <v>2877162</v>
      </c>
      <c r="W615" s="42">
        <v>24587665</v>
      </c>
      <c r="Y615" s="42">
        <f>38565+113770+779</f>
        <v>153114</v>
      </c>
      <c r="AA615" s="42">
        <f>2281063+29246206+230371+15135+43616+7673+152490+21238</f>
        <v>31997792</v>
      </c>
      <c r="AC615" s="42">
        <v>4854</v>
      </c>
      <c r="AE615" s="42">
        <f>15434+400763+17279+1718</f>
        <v>435194</v>
      </c>
      <c r="AG615" s="42">
        <v>-1199169</v>
      </c>
      <c r="AI615" s="10">
        <f t="shared" si="94"/>
        <v>31391785</v>
      </c>
      <c r="AK615" s="42">
        <f t="shared" si="93"/>
        <v>0</v>
      </c>
    </row>
    <row r="616" spans="1:37" hidden="1">
      <c r="A616" s="9" t="s">
        <v>881</v>
      </c>
      <c r="B616" s="9"/>
      <c r="C616" s="9" t="s">
        <v>112</v>
      </c>
      <c r="D616" s="9"/>
      <c r="E616" s="23">
        <v>46367</v>
      </c>
      <c r="G616" s="42">
        <v>0</v>
      </c>
      <c r="I616" s="42">
        <v>0</v>
      </c>
      <c r="K616" s="2">
        <f t="shared" si="86"/>
        <v>0</v>
      </c>
      <c r="M616" s="42">
        <v>0</v>
      </c>
      <c r="O616" s="42">
        <v>0</v>
      </c>
      <c r="Q616" s="2">
        <f t="shared" si="87"/>
        <v>0</v>
      </c>
      <c r="S616" s="42">
        <v>0</v>
      </c>
      <c r="U616" s="42">
        <v>0</v>
      </c>
      <c r="W616" s="42">
        <v>0</v>
      </c>
      <c r="Y616" s="42">
        <v>0</v>
      </c>
      <c r="AA616" s="42">
        <v>0</v>
      </c>
      <c r="AC616" s="42">
        <v>0</v>
      </c>
      <c r="AE616" s="42">
        <v>0</v>
      </c>
      <c r="AG616" s="42">
        <v>0</v>
      </c>
      <c r="AI616" s="10">
        <f t="shared" si="94"/>
        <v>0</v>
      </c>
      <c r="AK616" s="42">
        <f t="shared" si="93"/>
        <v>0</v>
      </c>
    </row>
    <row r="617" spans="1:37">
      <c r="A617" s="9" t="s">
        <v>363</v>
      </c>
      <c r="B617" s="9"/>
      <c r="C617" s="9" t="s">
        <v>41</v>
      </c>
      <c r="D617" s="9"/>
      <c r="E617" s="23">
        <v>45104</v>
      </c>
      <c r="G617" s="42">
        <f>19830356+1725217</f>
        <v>21555573</v>
      </c>
      <c r="I617" s="42">
        <v>0</v>
      </c>
      <c r="K617" s="2">
        <f t="shared" si="86"/>
        <v>64021217</v>
      </c>
      <c r="M617" s="42">
        <v>85576790</v>
      </c>
      <c r="O617" s="42">
        <v>0</v>
      </c>
      <c r="Q617" s="2">
        <f t="shared" si="87"/>
        <v>13174100</v>
      </c>
      <c r="S617" s="42">
        <v>0</v>
      </c>
      <c r="U617" s="42">
        <f>71543300-58369200</f>
        <v>13174100</v>
      </c>
      <c r="W617" s="42">
        <v>58369200</v>
      </c>
      <c r="Y617" s="42">
        <v>477</v>
      </c>
      <c r="AA617" s="42">
        <v>8497339</v>
      </c>
      <c r="AC617" s="42">
        <v>1698610</v>
      </c>
      <c r="AE617" s="42">
        <v>3724176</v>
      </c>
      <c r="AG617" s="42">
        <v>112888</v>
      </c>
      <c r="AI617" s="10">
        <f t="shared" si="94"/>
        <v>14033490</v>
      </c>
      <c r="AK617" s="42">
        <f t="shared" si="93"/>
        <v>0</v>
      </c>
    </row>
    <row r="618" spans="1:37">
      <c r="A618" s="9" t="s">
        <v>243</v>
      </c>
      <c r="B618" s="9"/>
      <c r="C618" s="9" t="s">
        <v>18</v>
      </c>
      <c r="D618" s="9"/>
      <c r="E618" s="23">
        <v>45112</v>
      </c>
      <c r="G618" s="42">
        <v>5824078</v>
      </c>
      <c r="I618" s="42">
        <v>5782</v>
      </c>
      <c r="K618" s="2">
        <f t="shared" si="86"/>
        <v>16906056</v>
      </c>
      <c r="M618" s="42">
        <v>22735916</v>
      </c>
      <c r="O618" s="42">
        <v>0</v>
      </c>
      <c r="Q618" s="2">
        <f t="shared" si="87"/>
        <v>3125917</v>
      </c>
      <c r="S618" s="42">
        <v>0</v>
      </c>
      <c r="U618" s="42">
        <f>17247102-14121185</f>
        <v>3125917</v>
      </c>
      <c r="W618" s="42">
        <v>14121185</v>
      </c>
      <c r="Y618" s="42">
        <v>11432</v>
      </c>
      <c r="AA618" s="42">
        <v>2544976</v>
      </c>
      <c r="AC618" s="42">
        <v>0</v>
      </c>
      <c r="AE618" s="42">
        <v>1717821</v>
      </c>
      <c r="AG618" s="42">
        <v>1214585</v>
      </c>
      <c r="AI618" s="10">
        <f t="shared" si="94"/>
        <v>5488814</v>
      </c>
      <c r="AK618" s="42">
        <f t="shared" si="93"/>
        <v>0</v>
      </c>
    </row>
    <row r="619" spans="1:37">
      <c r="A619" s="9" t="s">
        <v>776</v>
      </c>
      <c r="B619" s="9"/>
      <c r="C619" s="9" t="s">
        <v>56</v>
      </c>
      <c r="D619" s="9"/>
      <c r="E619" s="23">
        <v>45666</v>
      </c>
      <c r="G619" s="42">
        <f>3355939+198921</f>
        <v>3554860</v>
      </c>
      <c r="I619" s="42">
        <v>0</v>
      </c>
      <c r="K619" s="2">
        <f t="shared" si="86"/>
        <v>1979288</v>
      </c>
      <c r="M619" s="42">
        <v>5534148</v>
      </c>
      <c r="O619" s="42">
        <v>0</v>
      </c>
      <c r="Q619" s="2">
        <f t="shared" si="87"/>
        <v>1117173</v>
      </c>
      <c r="S619" s="42">
        <v>0</v>
      </c>
      <c r="U619" s="42">
        <v>1117173</v>
      </c>
      <c r="W619" s="42">
        <v>1531956</v>
      </c>
      <c r="Y619" s="42">
        <v>22598</v>
      </c>
      <c r="AA619" s="42">
        <f>61654+174789+181246+34023+7065</f>
        <v>458777</v>
      </c>
      <c r="AC619" s="42">
        <v>0</v>
      </c>
      <c r="AE619" s="42">
        <f>6809+5661+217619</f>
        <v>230089</v>
      </c>
      <c r="AG619" s="42">
        <v>2173555</v>
      </c>
      <c r="AI619" s="10">
        <f t="shared" si="94"/>
        <v>2885019</v>
      </c>
      <c r="AK619" s="42">
        <f t="shared" si="93"/>
        <v>0</v>
      </c>
    </row>
    <row r="620" spans="1:37">
      <c r="A620" s="9" t="s">
        <v>330</v>
      </c>
      <c r="B620" s="9"/>
      <c r="C620" s="9" t="s">
        <v>32</v>
      </c>
      <c r="D620" s="9"/>
      <c r="E620" s="23">
        <v>44081</v>
      </c>
      <c r="G620" s="42">
        <v>11796958</v>
      </c>
      <c r="I620" s="42">
        <v>0</v>
      </c>
      <c r="K620" s="2">
        <f t="shared" si="86"/>
        <v>26450895</v>
      </c>
      <c r="M620" s="42">
        <v>38247853</v>
      </c>
      <c r="O620" s="42">
        <v>0</v>
      </c>
      <c r="Q620" s="2">
        <f t="shared" si="87"/>
        <v>4062788</v>
      </c>
      <c r="S620" s="42">
        <v>0</v>
      </c>
      <c r="U620" s="42">
        <f>21440002-17377214</f>
        <v>4062788</v>
      </c>
      <c r="W620" s="42">
        <v>17377214</v>
      </c>
      <c r="Y620" s="42">
        <v>0</v>
      </c>
      <c r="AA620" s="42">
        <v>1607376</v>
      </c>
      <c r="AC620" s="42">
        <v>0</v>
      </c>
      <c r="AE620" s="42">
        <v>121974</v>
      </c>
      <c r="AG620" s="42">
        <v>15078501</v>
      </c>
      <c r="AI620" s="10">
        <f t="shared" si="94"/>
        <v>16807851</v>
      </c>
      <c r="AK620" s="42">
        <f t="shared" si="93"/>
        <v>0</v>
      </c>
    </row>
    <row r="621" spans="1:37">
      <c r="A621" s="9" t="s">
        <v>546</v>
      </c>
      <c r="B621" s="9"/>
      <c r="C621" s="9" t="s">
        <v>70</v>
      </c>
      <c r="D621" s="9"/>
      <c r="E621" s="23">
        <v>50518</v>
      </c>
      <c r="G621" s="42">
        <f>10033762+947</f>
        <v>10034709</v>
      </c>
      <c r="I621" s="42">
        <v>0</v>
      </c>
      <c r="K621" s="2">
        <f t="shared" si="86"/>
        <v>5481419</v>
      </c>
      <c r="M621" s="42">
        <v>15516128</v>
      </c>
      <c r="O621" s="42">
        <v>0</v>
      </c>
      <c r="Q621" s="2">
        <f t="shared" si="87"/>
        <v>792659</v>
      </c>
      <c r="S621" s="42">
        <v>0</v>
      </c>
      <c r="U621" s="42">
        <v>792659</v>
      </c>
      <c r="W621" s="42">
        <v>5283725</v>
      </c>
      <c r="Y621" s="42">
        <v>96115</v>
      </c>
      <c r="AA621" s="42">
        <v>608925</v>
      </c>
      <c r="AC621" s="42">
        <v>34108</v>
      </c>
      <c r="AE621" s="42">
        <v>2078391</v>
      </c>
      <c r="AG621" s="42">
        <v>6622205</v>
      </c>
      <c r="AI621" s="10">
        <f t="shared" si="94"/>
        <v>9439744</v>
      </c>
      <c r="AK621" s="42">
        <f t="shared" si="93"/>
        <v>0</v>
      </c>
    </row>
    <row r="622" spans="1:37">
      <c r="A622" s="9" t="s">
        <v>475</v>
      </c>
      <c r="B622" s="9"/>
      <c r="C622" s="9" t="s">
        <v>79</v>
      </c>
      <c r="D622" s="9"/>
      <c r="E622" s="23">
        <v>49577</v>
      </c>
      <c r="G622" s="42">
        <v>16954209</v>
      </c>
      <c r="I622" s="42">
        <v>430</v>
      </c>
      <c r="K622" s="2">
        <f t="shared" si="86"/>
        <v>11746706</v>
      </c>
      <c r="M622" s="42">
        <v>28701345</v>
      </c>
      <c r="O622" s="42">
        <v>0</v>
      </c>
      <c r="Q622" s="2">
        <f t="shared" si="87"/>
        <v>1169171</v>
      </c>
      <c r="S622" s="42">
        <v>0</v>
      </c>
      <c r="U622" s="42">
        <v>1169171</v>
      </c>
      <c r="W622" s="42">
        <v>10643921</v>
      </c>
      <c r="Y622" s="42">
        <f>24081+11688+36735</f>
        <v>72504</v>
      </c>
      <c r="AA622" s="42">
        <f>686245+15781309+68221+42135+5365+32911+430+105568</f>
        <v>16722184</v>
      </c>
      <c r="AC622" s="42">
        <v>0</v>
      </c>
      <c r="AE622" s="42">
        <f>2192+18618+21178+43284</f>
        <v>85272</v>
      </c>
      <c r="AG622" s="42">
        <v>8293</v>
      </c>
      <c r="AI622" s="10">
        <f t="shared" si="94"/>
        <v>16888253</v>
      </c>
      <c r="AK622" s="42">
        <f t="shared" si="93"/>
        <v>0</v>
      </c>
    </row>
    <row r="623" spans="1:37">
      <c r="A623" s="9" t="s">
        <v>513</v>
      </c>
      <c r="B623" s="9"/>
      <c r="C623" s="9" t="s">
        <v>63</v>
      </c>
      <c r="D623" s="9"/>
      <c r="E623" s="23">
        <v>49973</v>
      </c>
      <c r="G623" s="42">
        <f>6399000+1094101</f>
        <v>7493101</v>
      </c>
      <c r="I623" s="42">
        <v>0</v>
      </c>
      <c r="K623" s="2">
        <f t="shared" si="86"/>
        <v>19154079</v>
      </c>
      <c r="M623" s="42">
        <v>26647180</v>
      </c>
      <c r="O623" s="42">
        <v>0</v>
      </c>
      <c r="Q623" s="2">
        <f t="shared" si="87"/>
        <v>3216491</v>
      </c>
      <c r="S623" s="42">
        <v>0</v>
      </c>
      <c r="U623" s="42">
        <v>3216491</v>
      </c>
      <c r="W623" s="42">
        <v>18288682</v>
      </c>
      <c r="Y623" s="42">
        <v>11195</v>
      </c>
      <c r="AA623" s="42">
        <v>655196</v>
      </c>
      <c r="AC623" s="42">
        <v>73635</v>
      </c>
      <c r="AE623" s="42">
        <v>641928</v>
      </c>
      <c r="AG623" s="42">
        <v>3760053</v>
      </c>
      <c r="AI623" s="10">
        <f t="shared" si="94"/>
        <v>5142007</v>
      </c>
      <c r="AK623" s="42">
        <f t="shared" si="93"/>
        <v>0</v>
      </c>
    </row>
    <row r="624" spans="1:37">
      <c r="A624" s="9" t="s">
        <v>618</v>
      </c>
      <c r="B624" s="9"/>
      <c r="C624" s="9" t="s">
        <v>71</v>
      </c>
      <c r="D624" s="9"/>
      <c r="E624" s="23">
        <v>45120</v>
      </c>
      <c r="G624" s="42">
        <v>28785152</v>
      </c>
      <c r="I624" s="42">
        <v>0</v>
      </c>
      <c r="K624" s="2">
        <f t="shared" si="86"/>
        <v>29743978</v>
      </c>
      <c r="M624" s="42">
        <v>58529130</v>
      </c>
      <c r="O624" s="42">
        <v>0</v>
      </c>
      <c r="Q624" s="2">
        <f t="shared" si="87"/>
        <v>5072056</v>
      </c>
      <c r="S624" s="42">
        <v>0</v>
      </c>
      <c r="U624" s="42">
        <f>32068939-26996883</f>
        <v>5072056</v>
      </c>
      <c r="W624" s="42">
        <v>26996883</v>
      </c>
      <c r="Y624" s="42">
        <v>0</v>
      </c>
      <c r="AA624" s="42">
        <v>3266551</v>
      </c>
      <c r="AC624" s="42">
        <v>303240</v>
      </c>
      <c r="AE624" s="42">
        <v>948066</v>
      </c>
      <c r="AG624" s="42">
        <v>21942334</v>
      </c>
      <c r="AI624" s="10">
        <f t="shared" si="94"/>
        <v>26460191</v>
      </c>
      <c r="AK624" s="42">
        <f t="shared" si="93"/>
        <v>0</v>
      </c>
    </row>
    <row r="625" spans="1:37">
      <c r="A625" s="9" t="s">
        <v>309</v>
      </c>
      <c r="B625" s="9"/>
      <c r="C625" s="9" t="s">
        <v>27</v>
      </c>
      <c r="D625" s="9"/>
      <c r="E625" s="23">
        <v>45138</v>
      </c>
      <c r="G625" s="42">
        <v>106138923</v>
      </c>
      <c r="I625" s="42">
        <v>0</v>
      </c>
      <c r="K625" s="2">
        <f t="shared" si="86"/>
        <v>94159294</v>
      </c>
      <c r="M625" s="42">
        <v>200298217</v>
      </c>
      <c r="O625" s="42">
        <v>0</v>
      </c>
      <c r="Q625" s="2">
        <f t="shared" si="87"/>
        <v>19699621</v>
      </c>
      <c r="S625" s="42">
        <v>0</v>
      </c>
      <c r="U625" s="42">
        <v>19699621</v>
      </c>
      <c r="W625" s="42">
        <v>63326026</v>
      </c>
      <c r="Y625" s="42">
        <v>224540</v>
      </c>
      <c r="AA625" s="42">
        <f>5699723+38334956+146936+93797+68896</f>
        <v>44344308</v>
      </c>
      <c r="AC625" s="42">
        <f>2334169+345324+3118000</f>
        <v>5797493</v>
      </c>
      <c r="AE625" s="42">
        <v>2350474</v>
      </c>
      <c r="AG625" s="42">
        <v>64555755</v>
      </c>
      <c r="AI625" s="10">
        <f t="shared" si="94"/>
        <v>117272570</v>
      </c>
      <c r="AK625" s="42">
        <f t="shared" si="93"/>
        <v>0</v>
      </c>
    </row>
    <row r="626" spans="1:37">
      <c r="A626" s="9" t="s">
        <v>258</v>
      </c>
      <c r="B626" s="9"/>
      <c r="C626" s="9" t="s">
        <v>110</v>
      </c>
      <c r="D626" s="9"/>
      <c r="E626" s="23">
        <v>46524</v>
      </c>
      <c r="G626" s="42">
        <f>1215097+27816</f>
        <v>1242913</v>
      </c>
      <c r="I626" s="42">
        <v>0</v>
      </c>
      <c r="K626" s="2">
        <f t="shared" si="86"/>
        <v>4155187</v>
      </c>
      <c r="M626" s="42">
        <v>5398100</v>
      </c>
      <c r="O626" s="42">
        <v>0</v>
      </c>
      <c r="Q626" s="2">
        <f t="shared" si="87"/>
        <v>1169138</v>
      </c>
      <c r="S626" s="42">
        <v>0</v>
      </c>
      <c r="U626" s="42">
        <v>1169138</v>
      </c>
      <c r="W626" s="42">
        <v>2815628</v>
      </c>
      <c r="Y626" s="42">
        <f>5109+8235</f>
        <v>13344</v>
      </c>
      <c r="AA626" s="42">
        <f>914152+93272+2025</f>
        <v>1009449</v>
      </c>
      <c r="AC626" s="42">
        <f>135201+5619+5842</f>
        <v>146662</v>
      </c>
      <c r="AE626" s="42">
        <f>58615+2820+147616</f>
        <v>209051</v>
      </c>
      <c r="AG626" s="42">
        <v>34828</v>
      </c>
      <c r="AI626" s="10">
        <f t="shared" si="94"/>
        <v>1413334</v>
      </c>
      <c r="AK626" s="42">
        <f t="shared" si="93"/>
        <v>0</v>
      </c>
    </row>
    <row r="627" spans="1:37">
      <c r="A627" s="9" t="s">
        <v>331</v>
      </c>
      <c r="B627" s="9"/>
      <c r="C627" s="9" t="s">
        <v>32</v>
      </c>
      <c r="D627" s="9"/>
      <c r="E627" s="23">
        <v>45146</v>
      </c>
      <c r="G627" s="42">
        <v>37198154</v>
      </c>
      <c r="I627" s="42">
        <v>0</v>
      </c>
      <c r="K627" s="2">
        <f t="shared" si="86"/>
        <v>15118556</v>
      </c>
      <c r="M627" s="42">
        <v>52316710</v>
      </c>
      <c r="O627" s="42">
        <v>0</v>
      </c>
      <c r="Q627" s="2">
        <f t="shared" si="87"/>
        <v>3373787</v>
      </c>
      <c r="S627" s="42">
        <v>0</v>
      </c>
      <c r="U627" s="42">
        <f>10593076-7219289</f>
        <v>3373787</v>
      </c>
      <c r="W627" s="42">
        <v>7219289</v>
      </c>
      <c r="Y627" s="42">
        <v>0</v>
      </c>
      <c r="AA627" s="42">
        <v>27450787</v>
      </c>
      <c r="AC627" s="42">
        <v>0</v>
      </c>
      <c r="AE627" s="42">
        <v>631605</v>
      </c>
      <c r="AG627" s="42">
        <v>13641242</v>
      </c>
      <c r="AI627" s="10">
        <f t="shared" si="94"/>
        <v>41723634</v>
      </c>
      <c r="AK627" s="42">
        <f t="shared" si="93"/>
        <v>0</v>
      </c>
    </row>
    <row r="628" spans="1:37">
      <c r="A628" s="8" t="s">
        <v>872</v>
      </c>
      <c r="B628" s="8"/>
      <c r="C628" s="8" t="s">
        <v>113</v>
      </c>
      <c r="D628" s="8"/>
      <c r="E628" s="23">
        <v>45153</v>
      </c>
      <c r="G628" s="42">
        <f>14538438+931762</f>
        <v>15470200</v>
      </c>
      <c r="I628" s="42">
        <v>0</v>
      </c>
      <c r="K628" s="2">
        <f t="shared" ref="K628" si="95">M628-G628-I628</f>
        <v>24861131</v>
      </c>
      <c r="M628" s="42">
        <v>40331331</v>
      </c>
      <c r="O628" s="42">
        <v>0</v>
      </c>
      <c r="Q628" s="2">
        <f t="shared" ref="Q628" si="96">U628-S628</f>
        <v>8547326</v>
      </c>
      <c r="S628" s="42">
        <v>0</v>
      </c>
      <c r="U628" s="42">
        <v>8547326</v>
      </c>
      <c r="W628" s="42">
        <v>21250074</v>
      </c>
      <c r="Y628" s="42">
        <v>23414</v>
      </c>
      <c r="AA628" s="42">
        <f>1052369+1812038+1228938+275593+50654+18789+76509+153850+141721+85241</f>
        <v>4895702</v>
      </c>
      <c r="AC628" s="42">
        <v>0</v>
      </c>
      <c r="AE628" s="42">
        <f>42583+629561+60+350+1524808+69515</f>
        <v>2266877</v>
      </c>
      <c r="AG628" s="42">
        <v>3347938</v>
      </c>
      <c r="AI628" s="10">
        <f t="shared" ref="AI628" si="97">Y628+AA628+AC628+AE628+AG628</f>
        <v>10533931</v>
      </c>
      <c r="AK628" s="42">
        <f t="shared" si="93"/>
        <v>0</v>
      </c>
    </row>
    <row r="629" spans="1:37">
      <c r="A629" s="9" t="s">
        <v>777</v>
      </c>
      <c r="B629" s="9"/>
      <c r="C629" s="9" t="s">
        <v>113</v>
      </c>
      <c r="D629" s="9"/>
      <c r="E629" s="23">
        <v>45674</v>
      </c>
      <c r="G629" s="42">
        <v>2602350</v>
      </c>
      <c r="I629" s="42">
        <v>0</v>
      </c>
      <c r="K629" s="2">
        <f t="shared" si="86"/>
        <v>5000610</v>
      </c>
      <c r="M629" s="42">
        <v>7602960</v>
      </c>
      <c r="O629" s="42">
        <v>0</v>
      </c>
      <c r="Q629" s="2">
        <f t="shared" si="87"/>
        <v>959417</v>
      </c>
      <c r="S629" s="42">
        <v>0</v>
      </c>
      <c r="U629" s="42">
        <v>959417</v>
      </c>
      <c r="W629" s="42">
        <v>3848394</v>
      </c>
      <c r="Y629" s="42">
        <v>2978</v>
      </c>
      <c r="AA629" s="42">
        <v>587292</v>
      </c>
      <c r="AC629" s="42">
        <v>0</v>
      </c>
      <c r="AE629" s="42">
        <v>1589056</v>
      </c>
      <c r="AG629" s="42">
        <v>615823</v>
      </c>
      <c r="AI629" s="10">
        <f t="shared" si="94"/>
        <v>2795149</v>
      </c>
      <c r="AK629" s="42">
        <f t="shared" si="93"/>
        <v>0</v>
      </c>
    </row>
    <row r="630" spans="1:37">
      <c r="A630" s="9" t="s">
        <v>406</v>
      </c>
      <c r="B630" s="9"/>
      <c r="C630" s="9" t="s">
        <v>45</v>
      </c>
      <c r="D630" s="9"/>
      <c r="E630" s="23">
        <v>45161</v>
      </c>
      <c r="G630" s="42">
        <f>20312248+3000475</f>
        <v>23312723</v>
      </c>
      <c r="I630" s="42">
        <v>139539</v>
      </c>
      <c r="K630" s="2">
        <f t="shared" si="86"/>
        <v>34853496</v>
      </c>
      <c r="M630" s="42">
        <v>58305758</v>
      </c>
      <c r="O630" s="42">
        <v>0</v>
      </c>
      <c r="Q630" s="2">
        <f t="shared" si="87"/>
        <v>14419613</v>
      </c>
      <c r="S630" s="42">
        <v>0</v>
      </c>
      <c r="U630" s="42">
        <v>14419613</v>
      </c>
      <c r="W630" s="42">
        <v>29032939</v>
      </c>
      <c r="Y630" s="42">
        <v>623060</v>
      </c>
      <c r="AA630" s="42">
        <v>17064261</v>
      </c>
      <c r="AC630" s="42">
        <v>25519</v>
      </c>
      <c r="AE630" s="42">
        <v>1583368</v>
      </c>
      <c r="AG630" s="42">
        <v>-4443002</v>
      </c>
      <c r="AI630" s="10">
        <f t="shared" si="94"/>
        <v>14853206</v>
      </c>
      <c r="AK630" s="42">
        <f t="shared" si="93"/>
        <v>0</v>
      </c>
    </row>
    <row r="631" spans="1:37">
      <c r="A631" s="9" t="s">
        <v>474</v>
      </c>
      <c r="B631" s="9"/>
      <c r="C631" s="9" t="s">
        <v>58</v>
      </c>
      <c r="D631" s="9"/>
      <c r="E631" s="23">
        <v>49544</v>
      </c>
      <c r="G631" s="42">
        <v>3203660</v>
      </c>
      <c r="I631" s="42">
        <v>744260</v>
      </c>
      <c r="K631" s="2">
        <f t="shared" si="86"/>
        <v>4754516</v>
      </c>
      <c r="M631" s="42">
        <v>8702436</v>
      </c>
      <c r="O631" s="42">
        <v>0</v>
      </c>
      <c r="Q631" s="2">
        <f t="shared" si="87"/>
        <v>1479725</v>
      </c>
      <c r="S631" s="42">
        <v>0</v>
      </c>
      <c r="U631" s="42">
        <v>1479725</v>
      </c>
      <c r="W631" s="42">
        <v>4261464</v>
      </c>
      <c r="Y631" s="42">
        <v>79726</v>
      </c>
      <c r="AA631" s="42">
        <v>1921477</v>
      </c>
      <c r="AC631" s="42">
        <v>0</v>
      </c>
      <c r="AE631" s="42">
        <v>428344</v>
      </c>
      <c r="AG631" s="42">
        <v>531700</v>
      </c>
      <c r="AI631" s="10">
        <f t="shared" si="94"/>
        <v>2961247</v>
      </c>
      <c r="AK631" s="42">
        <f t="shared" si="93"/>
        <v>0</v>
      </c>
    </row>
    <row r="632" spans="1:37">
      <c r="A632" s="9" t="s">
        <v>445</v>
      </c>
      <c r="B632" s="9"/>
      <c r="C632" s="9" t="s">
        <v>51</v>
      </c>
      <c r="D632" s="9"/>
      <c r="E632" s="23">
        <v>45179</v>
      </c>
      <c r="G632" s="42">
        <f>10602816+7590</f>
        <v>10610406</v>
      </c>
      <c r="I632" s="42">
        <v>1492</v>
      </c>
      <c r="K632" s="2">
        <f t="shared" si="86"/>
        <v>16719238</v>
      </c>
      <c r="M632" s="42">
        <v>27331136</v>
      </c>
      <c r="O632" s="42">
        <v>0</v>
      </c>
      <c r="Q632" s="2">
        <f t="shared" si="87"/>
        <v>5204977</v>
      </c>
      <c r="S632" s="42">
        <v>0</v>
      </c>
      <c r="U632" s="42">
        <v>5204977</v>
      </c>
      <c r="W632" s="42">
        <v>11620199</v>
      </c>
      <c r="Y632" s="42">
        <f>4985+61244+1492</f>
        <v>67721</v>
      </c>
      <c r="AA632" s="42">
        <f>621771+126729+255923+74223+93027+18094+2914878+1083312+853454</f>
        <v>6041411</v>
      </c>
      <c r="AC632" s="42">
        <v>108164</v>
      </c>
      <c r="AE632" s="42">
        <f>1210352+135627+524408+28584</f>
        <v>1898971</v>
      </c>
      <c r="AG632" s="42">
        <v>2389693</v>
      </c>
      <c r="AI632" s="10">
        <f t="shared" si="94"/>
        <v>10505960</v>
      </c>
      <c r="AK632" s="42">
        <f t="shared" si="93"/>
        <v>0</v>
      </c>
    </row>
    <row r="633" spans="1:37">
      <c r="A633" s="9"/>
      <c r="B633" s="9"/>
      <c r="C633" s="9"/>
      <c r="D633" s="9"/>
    </row>
  </sheetData>
  <mergeCells count="2">
    <mergeCell ref="G8:K8"/>
    <mergeCell ref="Y8:AG8"/>
  </mergeCells>
  <pageMargins left="0.75" right="0.5" top="0.5" bottom="0.5" header="0.25" footer="0.25"/>
  <pageSetup scale="76" firstPageNumber="144" pageOrder="overThenDown" orientation="portrait" useFirstPageNumber="1" r:id="rId1"/>
  <headerFooter scaleWithDoc="0" alignWithMargins="0"/>
  <rowBreaks count="6" manualBreakCount="6">
    <brk id="100" max="35" man="1"/>
    <brk id="192" max="35" man="1"/>
    <brk id="282" max="35" man="1"/>
    <brk id="370" max="35" man="1"/>
    <brk id="472" max="35" man="1"/>
    <brk id="556" max="3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36"/>
  <sheetViews>
    <sheetView zoomScaleNormal="100" zoomScaleSheetLayoutView="100" workbookViewId="0">
      <pane xSplit="6" ySplit="11" topLeftCell="G12" activePane="bottomRight" state="frozen"/>
      <selection activeCell="K503" sqref="K503"/>
      <selection pane="topRight" activeCell="K503" sqref="K503"/>
      <selection pane="bottomLeft" activeCell="K503" sqref="K503"/>
      <selection pane="bottomRight" activeCell="G12" sqref="G12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1.7109375" style="5" customWidth="1"/>
    <col min="8" max="8" width="1.7109375" style="5" customWidth="1"/>
    <col min="9" max="9" width="11.7109375" style="5" customWidth="1"/>
    <col min="10" max="10" width="1.7109375" style="5" customWidth="1"/>
    <col min="11" max="11" width="10.28515625" style="5" bestFit="1" customWidth="1"/>
    <col min="12" max="12" width="1.7109375" style="5" customWidth="1"/>
    <col min="13" max="13" width="9.7109375" style="5" bestFit="1" customWidth="1"/>
    <col min="14" max="14" width="1.7109375" style="5" customWidth="1"/>
    <col min="15" max="15" width="9.42578125" style="5" bestFit="1" customWidth="1"/>
    <col min="16" max="16" width="1.7109375" style="5" customWidth="1"/>
    <col min="17" max="17" width="9.140625" style="5" bestFit="1" customWidth="1"/>
    <col min="18" max="18" width="1.5703125" style="5" customWidth="1"/>
    <col min="19" max="19" width="9.28515625" style="5" bestFit="1" customWidth="1"/>
    <col min="20" max="20" width="1.42578125" style="5" customWidth="1"/>
    <col min="21" max="21" width="10.7109375" style="5" bestFit="1" customWidth="1"/>
    <col min="22" max="22" width="1.5703125" style="5" customWidth="1"/>
    <col min="23" max="23" width="9.28515625" style="5" bestFit="1" customWidth="1"/>
    <col min="24" max="24" width="1.42578125" style="5" customWidth="1"/>
    <col min="25" max="25" width="11" style="5" bestFit="1" customWidth="1"/>
    <col min="26" max="26" width="1.42578125" style="5" customWidth="1"/>
    <col min="27" max="27" width="10.140625" style="5" bestFit="1" customWidth="1"/>
    <col min="28" max="28" width="1.42578125" style="5" hidden="1" customWidth="1"/>
    <col min="29" max="29" width="9.42578125" style="5" hidden="1" customWidth="1"/>
    <col min="30" max="30" width="1.42578125" style="5" customWidth="1"/>
    <col min="31" max="31" width="10.140625" style="5" bestFit="1" customWidth="1"/>
    <col min="32" max="32" width="1.42578125" style="5" customWidth="1"/>
    <col min="33" max="33" width="11.7109375" style="5" hidden="1" customWidth="1"/>
    <col min="34" max="34" width="1.7109375" style="5" hidden="1" customWidth="1"/>
    <col min="35" max="35" width="11.7109375" style="5" hidden="1" customWidth="1"/>
    <col min="36" max="36" width="1.7109375" style="5" hidden="1" customWidth="1"/>
    <col min="37" max="37" width="9.28515625" style="5" bestFit="1" customWidth="1"/>
    <col min="38" max="38" width="1.42578125" style="5" customWidth="1"/>
    <col min="39" max="39" width="11.42578125" style="5" bestFit="1" customWidth="1"/>
    <col min="40" max="40" width="1.42578125" style="5" customWidth="1"/>
    <col min="41" max="41" width="10" style="5" customWidth="1"/>
    <col min="42" max="42" width="1.7109375" style="5" customWidth="1"/>
    <col min="43" max="43" width="12.140625" style="5" bestFit="1" customWidth="1"/>
    <col min="44" max="44" width="5.140625" style="5" customWidth="1"/>
    <col min="45" max="163" width="9.140625" style="42"/>
    <col min="164" max="164" width="1" style="42" customWidth="1"/>
    <col min="165" max="174" width="9.140625" style="42"/>
    <col min="175" max="175" width="5.85546875" style="42" customWidth="1"/>
    <col min="176" max="184" width="9.140625" style="42"/>
    <col min="185" max="185" width="5.85546875" style="42" customWidth="1"/>
    <col min="186" max="195" width="9.140625" style="42"/>
    <col min="196" max="196" width="0.42578125" style="42" customWidth="1"/>
    <col min="197" max="205" width="9.140625" style="42"/>
    <col min="206" max="206" width="3.28515625" style="42" customWidth="1"/>
    <col min="207" max="215" width="9.140625" style="42"/>
    <col min="216" max="216" width="8" style="42" customWidth="1"/>
    <col min="217" max="221" width="9.140625" style="42"/>
    <col min="222" max="225" width="6.42578125" style="42" customWidth="1"/>
    <col min="226" max="16384" width="9.140625" style="42"/>
  </cols>
  <sheetData>
    <row r="1" spans="1:44" s="11" customFormat="1">
      <c r="A1" s="20" t="s">
        <v>195</v>
      </c>
      <c r="B1" s="20"/>
      <c r="C1" s="20"/>
      <c r="D1" s="20"/>
      <c r="E1" s="20"/>
      <c r="F1" s="16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</row>
    <row r="2" spans="1:44" s="11" customFormat="1">
      <c r="A2" s="25" t="s">
        <v>899</v>
      </c>
      <c r="B2" s="20"/>
      <c r="C2" s="20"/>
      <c r="D2" s="20"/>
      <c r="E2" s="20"/>
      <c r="F2" s="16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</row>
    <row r="3" spans="1:44" s="11" customFormat="1">
      <c r="B3" s="20"/>
      <c r="C3" s="20"/>
      <c r="D3" s="20"/>
      <c r="E3" s="20"/>
      <c r="F3" s="16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</row>
    <row r="4" spans="1:44">
      <c r="A4" s="20" t="s">
        <v>167</v>
      </c>
      <c r="B4" s="20"/>
      <c r="C4" s="20"/>
      <c r="D4" s="20"/>
      <c r="E4" s="20"/>
      <c r="F4" s="17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Q4" s="47"/>
      <c r="AR4" s="47"/>
    </row>
    <row r="5" spans="1:44">
      <c r="A5" s="20"/>
      <c r="B5" s="20"/>
      <c r="C5" s="20"/>
      <c r="D5" s="20"/>
      <c r="E5" s="20"/>
      <c r="F5" s="17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Q5" s="47"/>
      <c r="AR5" s="47"/>
    </row>
    <row r="6" spans="1:44">
      <c r="A6" s="38" t="s">
        <v>721</v>
      </c>
      <c r="B6" s="20"/>
      <c r="C6" s="20"/>
      <c r="D6" s="20"/>
      <c r="E6" s="20"/>
      <c r="F6" s="1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Q6" s="47" t="s">
        <v>3</v>
      </c>
      <c r="AR6" s="47"/>
    </row>
    <row r="7" spans="1:44">
      <c r="A7" s="11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39" t="s">
        <v>740</v>
      </c>
      <c r="AH7" s="39"/>
      <c r="AI7" s="39" t="s">
        <v>740</v>
      </c>
      <c r="AJ7" s="42"/>
      <c r="AK7" s="42"/>
      <c r="AL7" s="42"/>
      <c r="AM7" s="42"/>
      <c r="AN7" s="42"/>
      <c r="AO7" s="42"/>
      <c r="AP7" s="42"/>
      <c r="AQ7" s="47" t="s">
        <v>595</v>
      </c>
      <c r="AR7" s="47"/>
    </row>
    <row r="8" spans="1:44" s="47" customFormat="1">
      <c r="A8" s="38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74" t="s">
        <v>186</v>
      </c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48"/>
      <c r="AM8" s="50"/>
      <c r="AO8" s="47" t="s">
        <v>3</v>
      </c>
      <c r="AQ8" s="47" t="s">
        <v>620</v>
      </c>
    </row>
    <row r="9" spans="1:44" s="47" customFormat="1">
      <c r="A9" s="38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 t="s">
        <v>170</v>
      </c>
      <c r="R9" s="50"/>
      <c r="S9" s="50" t="s">
        <v>172</v>
      </c>
      <c r="T9" s="50"/>
      <c r="U9" s="50" t="s">
        <v>108</v>
      </c>
      <c r="V9" s="50"/>
      <c r="W9" s="50"/>
      <c r="X9" s="50"/>
      <c r="Y9" s="50"/>
      <c r="Z9" s="50"/>
      <c r="AI9" s="47" t="s">
        <v>586</v>
      </c>
      <c r="AK9" s="47" t="s">
        <v>125</v>
      </c>
      <c r="AO9" s="47" t="s">
        <v>82</v>
      </c>
      <c r="AQ9" s="47" t="s">
        <v>597</v>
      </c>
    </row>
    <row r="10" spans="1:44" s="47" customFormat="1">
      <c r="B10" s="50"/>
      <c r="C10" s="50"/>
      <c r="D10" s="50"/>
      <c r="E10" s="50"/>
      <c r="F10" s="50"/>
      <c r="G10" s="50" t="s">
        <v>104</v>
      </c>
      <c r="H10" s="50"/>
      <c r="I10" s="50" t="s">
        <v>569</v>
      </c>
      <c r="J10" s="50"/>
      <c r="K10" s="50" t="s">
        <v>1</v>
      </c>
      <c r="L10" s="50"/>
      <c r="M10" s="50" t="s">
        <v>591</v>
      </c>
      <c r="N10" s="50"/>
      <c r="O10" s="50" t="s">
        <v>168</v>
      </c>
      <c r="P10" s="50"/>
      <c r="Q10" s="50" t="s">
        <v>171</v>
      </c>
      <c r="R10" s="50"/>
      <c r="S10" s="50" t="s">
        <v>173</v>
      </c>
      <c r="T10" s="50"/>
      <c r="U10" s="50" t="s">
        <v>175</v>
      </c>
      <c r="V10" s="50"/>
      <c r="W10" s="50" t="s">
        <v>125</v>
      </c>
      <c r="X10" s="50"/>
      <c r="Y10" s="50" t="s">
        <v>3</v>
      </c>
      <c r="Z10" s="50"/>
      <c r="AA10" s="50"/>
      <c r="AE10" s="47" t="s">
        <v>596</v>
      </c>
      <c r="AG10" s="47" t="s">
        <v>190</v>
      </c>
      <c r="AI10" s="47" t="s">
        <v>577</v>
      </c>
      <c r="AK10" s="47" t="s">
        <v>191</v>
      </c>
      <c r="AM10" s="47" t="s">
        <v>849</v>
      </c>
      <c r="AO10" s="47" t="s">
        <v>191</v>
      </c>
      <c r="AQ10" s="47" t="s">
        <v>849</v>
      </c>
    </row>
    <row r="11" spans="1:44" s="47" customFormat="1">
      <c r="A11" s="48" t="s">
        <v>198</v>
      </c>
      <c r="C11" s="48" t="s">
        <v>4</v>
      </c>
      <c r="E11" s="48" t="s">
        <v>197</v>
      </c>
      <c r="F11" s="50"/>
      <c r="G11" s="48" t="s">
        <v>840</v>
      </c>
      <c r="H11" s="50"/>
      <c r="I11" s="48" t="s">
        <v>5</v>
      </c>
      <c r="J11" s="48"/>
      <c r="K11" s="48" t="s">
        <v>7</v>
      </c>
      <c r="L11" s="50"/>
      <c r="M11" s="48" t="s">
        <v>91</v>
      </c>
      <c r="N11" s="50"/>
      <c r="O11" s="48" t="s">
        <v>169</v>
      </c>
      <c r="P11" s="50"/>
      <c r="Q11" s="48" t="s">
        <v>158</v>
      </c>
      <c r="R11" s="50"/>
      <c r="S11" s="48" t="s">
        <v>174</v>
      </c>
      <c r="T11" s="50"/>
      <c r="U11" s="48" t="s">
        <v>176</v>
      </c>
      <c r="V11" s="50"/>
      <c r="W11" s="48" t="s">
        <v>8</v>
      </c>
      <c r="X11" s="50"/>
      <c r="Y11" s="48" t="s">
        <v>9</v>
      </c>
      <c r="Z11" s="50"/>
      <c r="AA11" s="48" t="s">
        <v>187</v>
      </c>
      <c r="AC11" s="48" t="s">
        <v>188</v>
      </c>
      <c r="AE11" s="48" t="s">
        <v>841</v>
      </c>
      <c r="AG11" s="48" t="s">
        <v>189</v>
      </c>
      <c r="AH11" s="50"/>
      <c r="AI11" s="47" t="s">
        <v>96</v>
      </c>
      <c r="AK11" s="48" t="s">
        <v>192</v>
      </c>
      <c r="AM11" s="48" t="s">
        <v>585</v>
      </c>
      <c r="AO11" s="48" t="s">
        <v>192</v>
      </c>
      <c r="AQ11" s="48" t="s">
        <v>585</v>
      </c>
      <c r="AR11" s="50"/>
    </row>
    <row r="12" spans="1:44">
      <c r="A12" s="9"/>
      <c r="B12" s="9"/>
      <c r="C12" s="9"/>
      <c r="D12" s="9"/>
      <c r="E12" s="9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32"/>
      <c r="X12" s="32"/>
      <c r="Y12" s="21"/>
      <c r="Z12" s="21"/>
      <c r="AA12" s="21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</row>
    <row r="13" spans="1:44" hidden="1">
      <c r="A13" s="9" t="s">
        <v>851</v>
      </c>
      <c r="B13" s="9"/>
      <c r="C13" s="9" t="s">
        <v>337</v>
      </c>
      <c r="D13" s="9"/>
      <c r="E13" s="23">
        <v>45187</v>
      </c>
      <c r="F13" s="19"/>
      <c r="G13" s="19">
        <v>0</v>
      </c>
      <c r="H13" s="19"/>
      <c r="I13" s="19">
        <v>0</v>
      </c>
      <c r="J13" s="19"/>
      <c r="K13" s="19">
        <v>0</v>
      </c>
      <c r="L13" s="19"/>
      <c r="M13" s="19">
        <v>0</v>
      </c>
      <c r="N13" s="19"/>
      <c r="O13" s="19">
        <v>0</v>
      </c>
      <c r="P13" s="19"/>
      <c r="Q13" s="19">
        <v>0</v>
      </c>
      <c r="R13" s="19"/>
      <c r="S13" s="19">
        <v>0</v>
      </c>
      <c r="T13" s="19"/>
      <c r="U13" s="19">
        <v>0</v>
      </c>
      <c r="V13" s="19"/>
      <c r="W13" s="19">
        <v>0</v>
      </c>
      <c r="X13" s="19"/>
      <c r="Y13" s="26">
        <f t="shared" ref="Y13" si="0">SUM(G13:W13)</f>
        <v>0</v>
      </c>
      <c r="Z13" s="19"/>
      <c r="AA13" s="19">
        <v>0</v>
      </c>
      <c r="AB13" s="19"/>
      <c r="AC13" s="19">
        <v>0</v>
      </c>
      <c r="AD13" s="19"/>
      <c r="AE13" s="19">
        <v>0</v>
      </c>
      <c r="AF13" s="19"/>
      <c r="AG13" s="19"/>
      <c r="AH13" s="19"/>
      <c r="AI13" s="19"/>
      <c r="AJ13" s="19"/>
      <c r="AK13" s="19">
        <v>0</v>
      </c>
      <c r="AL13" s="19"/>
      <c r="AM13" s="19">
        <v>0</v>
      </c>
      <c r="AN13" s="19"/>
      <c r="AO13" s="26">
        <f t="shared" ref="AO13" si="1">SUM(AA13:AM13)</f>
        <v>0</v>
      </c>
      <c r="AP13" s="19"/>
      <c r="AQ13" s="26">
        <f t="shared" ref="AQ13" si="2">Y13+AO13</f>
        <v>0</v>
      </c>
      <c r="AR13" s="26"/>
    </row>
    <row r="14" spans="1:44" s="24" customFormat="1">
      <c r="A14" s="51" t="s">
        <v>782</v>
      </c>
      <c r="B14" s="51"/>
      <c r="C14" s="51" t="s">
        <v>199</v>
      </c>
      <c r="D14" s="51"/>
      <c r="E14" s="51">
        <v>61903</v>
      </c>
      <c r="F14" s="65"/>
      <c r="G14" s="66">
        <v>8379844</v>
      </c>
      <c r="H14" s="66"/>
      <c r="I14" s="66">
        <v>0</v>
      </c>
      <c r="J14" s="66"/>
      <c r="K14" s="66">
        <v>33494752</v>
      </c>
      <c r="L14" s="66"/>
      <c r="M14" s="66">
        <v>12895</v>
      </c>
      <c r="N14" s="66"/>
      <c r="O14" s="66">
        <f>1286367+580223</f>
        <v>1866590</v>
      </c>
      <c r="P14" s="66"/>
      <c r="Q14" s="66">
        <v>345606</v>
      </c>
      <c r="R14" s="66"/>
      <c r="S14" s="66">
        <v>0</v>
      </c>
      <c r="T14" s="66"/>
      <c r="U14" s="66">
        <v>0</v>
      </c>
      <c r="V14" s="66"/>
      <c r="W14" s="66">
        <v>540360</v>
      </c>
      <c r="X14" s="66"/>
      <c r="Y14" s="66">
        <f>SUM(G14:W14)</f>
        <v>44640047</v>
      </c>
      <c r="Z14" s="66"/>
      <c r="AA14" s="66">
        <v>1104771</v>
      </c>
      <c r="AB14" s="66"/>
      <c r="AC14" s="66">
        <v>0</v>
      </c>
      <c r="AD14" s="66"/>
      <c r="AE14" s="66">
        <f>8244983+1754707</f>
        <v>9999690</v>
      </c>
      <c r="AF14" s="66"/>
      <c r="AG14" s="66"/>
      <c r="AH14" s="66"/>
      <c r="AI14" s="66"/>
      <c r="AJ14" s="66"/>
      <c r="AK14" s="66">
        <v>42128</v>
      </c>
      <c r="AL14" s="66"/>
      <c r="AM14" s="66">
        <v>0</v>
      </c>
      <c r="AN14" s="66"/>
      <c r="AO14" s="67">
        <f>SUM(AA14:AM14)</f>
        <v>11146589</v>
      </c>
      <c r="AP14" s="66"/>
      <c r="AQ14" s="67">
        <f>Y14+AO14</f>
        <v>55786636</v>
      </c>
      <c r="AR14" s="67"/>
    </row>
    <row r="15" spans="1:44">
      <c r="A15" s="9" t="s">
        <v>582</v>
      </c>
      <c r="B15" s="9"/>
      <c r="C15" s="9" t="s">
        <v>58</v>
      </c>
      <c r="D15" s="9"/>
      <c r="E15" s="23">
        <v>49494</v>
      </c>
      <c r="F15" s="19"/>
      <c r="G15" s="19">
        <v>2460160</v>
      </c>
      <c r="H15" s="19"/>
      <c r="I15" s="19">
        <v>0</v>
      </c>
      <c r="J15" s="19"/>
      <c r="K15" s="19">
        <v>8349221</v>
      </c>
      <c r="L15" s="19"/>
      <c r="M15" s="19">
        <v>9166</v>
      </c>
      <c r="N15" s="19"/>
      <c r="O15" s="19">
        <f>731082+208342</f>
        <v>939424</v>
      </c>
      <c r="P15" s="19"/>
      <c r="Q15" s="19">
        <v>187517</v>
      </c>
      <c r="R15" s="19"/>
      <c r="S15" s="19">
        <v>0</v>
      </c>
      <c r="T15" s="19"/>
      <c r="U15" s="19">
        <v>6313</v>
      </c>
      <c r="V15" s="19"/>
      <c r="W15" s="19">
        <v>72682</v>
      </c>
      <c r="X15" s="19"/>
      <c r="Y15" s="26">
        <f>SUM(G15:W15)</f>
        <v>12024483</v>
      </c>
      <c r="Z15" s="19"/>
      <c r="AA15" s="19">
        <v>116178</v>
      </c>
      <c r="AB15" s="19"/>
      <c r="AC15" s="19">
        <v>0</v>
      </c>
      <c r="AD15" s="19"/>
      <c r="AE15" s="19">
        <v>0</v>
      </c>
      <c r="AF15" s="19"/>
      <c r="AG15" s="19"/>
      <c r="AH15" s="19"/>
      <c r="AI15" s="19"/>
      <c r="AJ15" s="19"/>
      <c r="AK15" s="19">
        <v>0</v>
      </c>
      <c r="AL15" s="19"/>
      <c r="AM15" s="19">
        <v>2000000</v>
      </c>
      <c r="AN15" s="19"/>
      <c r="AO15" s="26">
        <f t="shared" ref="AO15:AO81" si="3">SUM(AA15:AM15)</f>
        <v>2116178</v>
      </c>
      <c r="AP15" s="19"/>
      <c r="AQ15" s="26">
        <f>Y15+AO15</f>
        <v>14140661</v>
      </c>
      <c r="AR15" s="26"/>
    </row>
    <row r="16" spans="1:44">
      <c r="A16" s="9" t="s">
        <v>502</v>
      </c>
      <c r="B16" s="9"/>
      <c r="C16" s="9" t="s">
        <v>63</v>
      </c>
      <c r="D16" s="9"/>
      <c r="E16" s="23">
        <v>43489</v>
      </c>
      <c r="F16" s="19"/>
      <c r="G16" s="19">
        <v>96656798</v>
      </c>
      <c r="H16" s="19"/>
      <c r="I16" s="19">
        <v>0</v>
      </c>
      <c r="J16" s="19"/>
      <c r="K16" s="19">
        <v>240297258</v>
      </c>
      <c r="L16" s="19"/>
      <c r="M16" s="19">
        <v>143505</v>
      </c>
      <c r="N16" s="19"/>
      <c r="O16" s="19">
        <f>5302228+330378+4197188+382118</f>
        <v>10211912</v>
      </c>
      <c r="P16" s="19"/>
      <c r="Q16" s="19">
        <v>999039</v>
      </c>
      <c r="R16" s="19"/>
      <c r="S16" s="19">
        <v>0</v>
      </c>
      <c r="T16" s="19"/>
      <c r="U16" s="19">
        <v>986276</v>
      </c>
      <c r="V16" s="19"/>
      <c r="W16" s="19">
        <f>1197386+445231+2572191</f>
        <v>4214808</v>
      </c>
      <c r="X16" s="19"/>
      <c r="Y16" s="26">
        <f t="shared" ref="Y16:Y36" si="4">SUM(G16:W16)</f>
        <v>353509596</v>
      </c>
      <c r="Z16" s="19"/>
      <c r="AA16" s="19">
        <v>45551</v>
      </c>
      <c r="AB16" s="19"/>
      <c r="AC16" s="19">
        <v>0</v>
      </c>
      <c r="AD16" s="19"/>
      <c r="AE16" s="19">
        <v>0</v>
      </c>
      <c r="AF16" s="19"/>
      <c r="AG16" s="19"/>
      <c r="AH16" s="19"/>
      <c r="AI16" s="19"/>
      <c r="AJ16" s="19"/>
      <c r="AK16" s="19">
        <v>0</v>
      </c>
      <c r="AL16" s="19"/>
      <c r="AM16" s="19">
        <v>0</v>
      </c>
      <c r="AN16" s="19"/>
      <c r="AO16" s="26">
        <f t="shared" si="3"/>
        <v>45551</v>
      </c>
      <c r="AP16" s="19"/>
      <c r="AQ16" s="26">
        <f t="shared" ref="AQ16:AQ83" si="5">Y16+AO16</f>
        <v>353555147</v>
      </c>
      <c r="AR16" s="26"/>
    </row>
    <row r="17" spans="1:44" hidden="1">
      <c r="A17" s="9" t="s">
        <v>612</v>
      </c>
      <c r="B17" s="9"/>
      <c r="C17" s="9" t="s">
        <v>13</v>
      </c>
      <c r="D17" s="9"/>
      <c r="E17" s="23">
        <v>45906</v>
      </c>
      <c r="F17" s="19"/>
      <c r="G17" s="19">
        <v>0</v>
      </c>
      <c r="H17" s="19"/>
      <c r="I17" s="19">
        <v>0</v>
      </c>
      <c r="J17" s="19"/>
      <c r="K17" s="19">
        <v>0</v>
      </c>
      <c r="L17" s="19"/>
      <c r="M17" s="19">
        <v>0</v>
      </c>
      <c r="N17" s="19"/>
      <c r="O17" s="19">
        <v>0</v>
      </c>
      <c r="P17" s="19"/>
      <c r="Q17" s="19">
        <v>0</v>
      </c>
      <c r="R17" s="19"/>
      <c r="S17" s="19">
        <v>0</v>
      </c>
      <c r="T17" s="19"/>
      <c r="U17" s="19">
        <v>0</v>
      </c>
      <c r="V17" s="19"/>
      <c r="W17" s="19">
        <v>0</v>
      </c>
      <c r="X17" s="19"/>
      <c r="Y17" s="26">
        <f t="shared" si="4"/>
        <v>0</v>
      </c>
      <c r="Z17" s="19"/>
      <c r="AA17" s="19">
        <v>0</v>
      </c>
      <c r="AB17" s="19"/>
      <c r="AC17" s="19">
        <v>0</v>
      </c>
      <c r="AD17" s="19"/>
      <c r="AE17" s="19">
        <v>0</v>
      </c>
      <c r="AF17" s="19"/>
      <c r="AG17" s="19"/>
      <c r="AH17" s="19"/>
      <c r="AI17" s="19"/>
      <c r="AJ17" s="19"/>
      <c r="AK17" s="19">
        <v>0</v>
      </c>
      <c r="AL17" s="19"/>
      <c r="AM17" s="19">
        <v>0</v>
      </c>
      <c r="AN17" s="19"/>
      <c r="AO17" s="26">
        <f t="shared" si="3"/>
        <v>0</v>
      </c>
      <c r="AP17" s="19"/>
      <c r="AQ17" s="26">
        <f t="shared" si="5"/>
        <v>0</v>
      </c>
      <c r="AR17" s="26"/>
    </row>
    <row r="18" spans="1:44" hidden="1">
      <c r="A18" s="9" t="s">
        <v>852</v>
      </c>
      <c r="B18" s="9"/>
      <c r="C18" s="9" t="s">
        <v>10</v>
      </c>
      <c r="D18" s="9"/>
      <c r="E18" s="23">
        <v>45757</v>
      </c>
      <c r="F18" s="21"/>
      <c r="G18" s="19">
        <v>0</v>
      </c>
      <c r="H18" s="19"/>
      <c r="I18" s="19">
        <v>0</v>
      </c>
      <c r="J18" s="19"/>
      <c r="K18" s="19">
        <v>0</v>
      </c>
      <c r="L18" s="19"/>
      <c r="M18" s="19">
        <v>0</v>
      </c>
      <c r="N18" s="19"/>
      <c r="O18" s="19">
        <v>0</v>
      </c>
      <c r="P18" s="19"/>
      <c r="Q18" s="19">
        <v>0</v>
      </c>
      <c r="R18" s="19"/>
      <c r="S18" s="19">
        <v>0</v>
      </c>
      <c r="T18" s="19"/>
      <c r="U18" s="19">
        <v>0</v>
      </c>
      <c r="V18" s="19"/>
      <c r="W18" s="19">
        <v>0</v>
      </c>
      <c r="X18" s="19"/>
      <c r="Y18" s="26">
        <f t="shared" ref="Y18" si="6">SUM(G18:W18)</f>
        <v>0</v>
      </c>
      <c r="Z18" s="19"/>
      <c r="AA18" s="19">
        <v>0</v>
      </c>
      <c r="AB18" s="19"/>
      <c r="AC18" s="19">
        <v>0</v>
      </c>
      <c r="AD18" s="19"/>
      <c r="AE18" s="19">
        <v>0</v>
      </c>
      <c r="AF18" s="19"/>
      <c r="AG18" s="19"/>
      <c r="AH18" s="19"/>
      <c r="AI18" s="19"/>
      <c r="AJ18" s="19"/>
      <c r="AK18" s="19">
        <v>0</v>
      </c>
      <c r="AL18" s="19"/>
      <c r="AM18" s="19">
        <v>0</v>
      </c>
      <c r="AN18" s="19"/>
      <c r="AO18" s="26">
        <f t="shared" ref="AO18" si="7">SUM(AA18:AM18)</f>
        <v>0</v>
      </c>
      <c r="AP18" s="19"/>
      <c r="AQ18" s="26">
        <f t="shared" ref="AQ18" si="8">Y18+AO18</f>
        <v>0</v>
      </c>
      <c r="AR18" s="26"/>
    </row>
    <row r="19" spans="1:44">
      <c r="A19" s="9" t="s">
        <v>489</v>
      </c>
      <c r="B19" s="9"/>
      <c r="C19" s="9" t="s">
        <v>62</v>
      </c>
      <c r="D19" s="9"/>
      <c r="E19" s="23">
        <v>43497</v>
      </c>
      <c r="F19" s="19"/>
      <c r="G19" s="19">
        <v>7174859</v>
      </c>
      <c r="H19" s="19"/>
      <c r="I19" s="19">
        <v>0</v>
      </c>
      <c r="J19" s="19"/>
      <c r="K19" s="19">
        <v>25239462</v>
      </c>
      <c r="L19" s="19"/>
      <c r="M19" s="19">
        <v>48354</v>
      </c>
      <c r="N19" s="19"/>
      <c r="O19" s="19">
        <f>1373692+70478+253937</f>
        <v>1698107</v>
      </c>
      <c r="P19" s="19"/>
      <c r="Q19" s="19">
        <v>307671</v>
      </c>
      <c r="R19" s="19"/>
      <c r="S19" s="19">
        <v>0</v>
      </c>
      <c r="T19" s="19"/>
      <c r="U19" s="19">
        <v>236615</v>
      </c>
      <c r="V19" s="19"/>
      <c r="W19" s="19">
        <v>178329</v>
      </c>
      <c r="X19" s="19"/>
      <c r="Y19" s="26">
        <f t="shared" si="4"/>
        <v>34883397</v>
      </c>
      <c r="Z19" s="19"/>
      <c r="AA19" s="19">
        <v>0</v>
      </c>
      <c r="AB19" s="19"/>
      <c r="AC19" s="19">
        <v>0</v>
      </c>
      <c r="AD19" s="19"/>
      <c r="AE19" s="19">
        <v>0</v>
      </c>
      <c r="AF19" s="19"/>
      <c r="AG19" s="19"/>
      <c r="AH19" s="19"/>
      <c r="AI19" s="19"/>
      <c r="AJ19" s="19"/>
      <c r="AK19" s="19">
        <v>0</v>
      </c>
      <c r="AL19" s="19"/>
      <c r="AM19" s="19">
        <v>0</v>
      </c>
      <c r="AN19" s="19"/>
      <c r="AO19" s="26">
        <f t="shared" si="3"/>
        <v>0</v>
      </c>
      <c r="AP19" s="19"/>
      <c r="AQ19" s="26">
        <f t="shared" si="5"/>
        <v>34883397</v>
      </c>
      <c r="AR19" s="26"/>
    </row>
    <row r="20" spans="1:44">
      <c r="A20" s="9" t="s">
        <v>290</v>
      </c>
      <c r="B20" s="9"/>
      <c r="C20" s="9" t="s">
        <v>25</v>
      </c>
      <c r="D20" s="9"/>
      <c r="E20" s="23">
        <v>46847</v>
      </c>
      <c r="F20" s="19"/>
      <c r="G20" s="19">
        <v>3128340</v>
      </c>
      <c r="H20" s="19"/>
      <c r="I20" s="19">
        <v>1967350</v>
      </c>
      <c r="J20" s="19"/>
      <c r="K20" s="19">
        <v>10870011</v>
      </c>
      <c r="L20" s="19"/>
      <c r="M20" s="19">
        <v>22277</v>
      </c>
      <c r="N20" s="19"/>
      <c r="O20" s="19">
        <f>986935+376265</f>
        <v>1363200</v>
      </c>
      <c r="P20" s="19"/>
      <c r="Q20" s="19">
        <v>202571</v>
      </c>
      <c r="R20" s="19"/>
      <c r="S20" s="19">
        <v>0</v>
      </c>
      <c r="T20" s="19"/>
      <c r="U20" s="19">
        <v>2352</v>
      </c>
      <c r="V20" s="19"/>
      <c r="W20" s="19">
        <v>152652</v>
      </c>
      <c r="X20" s="19"/>
      <c r="Y20" s="26">
        <f t="shared" si="4"/>
        <v>17708753</v>
      </c>
      <c r="Z20" s="19"/>
      <c r="AA20" s="19">
        <v>0</v>
      </c>
      <c r="AB20" s="19"/>
      <c r="AC20" s="19">
        <v>0</v>
      </c>
      <c r="AD20" s="19"/>
      <c r="AE20" s="19">
        <v>0</v>
      </c>
      <c r="AF20" s="19"/>
      <c r="AG20" s="19"/>
      <c r="AH20" s="19"/>
      <c r="AI20" s="19"/>
      <c r="AJ20" s="19"/>
      <c r="AK20" s="19">
        <v>0</v>
      </c>
      <c r="AL20" s="19"/>
      <c r="AM20" s="19">
        <v>0</v>
      </c>
      <c r="AN20" s="19"/>
      <c r="AO20" s="26">
        <f t="shared" si="3"/>
        <v>0</v>
      </c>
      <c r="AP20" s="19"/>
      <c r="AQ20" s="26">
        <f t="shared" si="5"/>
        <v>17708753</v>
      </c>
      <c r="AR20" s="26"/>
    </row>
    <row r="21" spans="1:44">
      <c r="A21" s="9" t="s">
        <v>743</v>
      </c>
      <c r="B21" s="9"/>
      <c r="C21" s="9" t="s">
        <v>44</v>
      </c>
      <c r="D21" s="9"/>
      <c r="E21" s="23">
        <v>45195</v>
      </c>
      <c r="F21" s="21"/>
      <c r="G21" s="19">
        <v>18612238</v>
      </c>
      <c r="H21" s="19"/>
      <c r="I21" s="19">
        <v>0</v>
      </c>
      <c r="J21" s="19"/>
      <c r="K21" s="19">
        <v>19593331</v>
      </c>
      <c r="L21" s="19"/>
      <c r="M21" s="19">
        <v>12042</v>
      </c>
      <c r="N21" s="19"/>
      <c r="O21" s="19">
        <f>1347882+17030+1035983</f>
        <v>2400895</v>
      </c>
      <c r="P21" s="19"/>
      <c r="Q21" s="19">
        <v>565089</v>
      </c>
      <c r="R21" s="19"/>
      <c r="S21" s="19">
        <v>63015</v>
      </c>
      <c r="T21" s="19"/>
      <c r="U21" s="19">
        <v>37909</v>
      </c>
      <c r="V21" s="19"/>
      <c r="W21" s="19">
        <v>233871</v>
      </c>
      <c r="X21" s="19"/>
      <c r="Y21" s="26">
        <f t="shared" si="4"/>
        <v>41518390</v>
      </c>
      <c r="Z21" s="19"/>
      <c r="AA21" s="19">
        <v>800</v>
      </c>
      <c r="AB21" s="19"/>
      <c r="AC21" s="19">
        <v>0</v>
      </c>
      <c r="AD21" s="19"/>
      <c r="AE21" s="19">
        <v>0</v>
      </c>
      <c r="AF21" s="19"/>
      <c r="AG21" s="19"/>
      <c r="AH21" s="19"/>
      <c r="AI21" s="19"/>
      <c r="AJ21" s="19"/>
      <c r="AK21" s="19">
        <v>0</v>
      </c>
      <c r="AL21" s="19"/>
      <c r="AM21" s="19">
        <v>0</v>
      </c>
      <c r="AN21" s="19"/>
      <c r="AO21" s="26">
        <f t="shared" si="3"/>
        <v>800</v>
      </c>
      <c r="AP21" s="19"/>
      <c r="AQ21" s="26">
        <f t="shared" si="5"/>
        <v>41519190</v>
      </c>
      <c r="AR21" s="26"/>
    </row>
    <row r="22" spans="1:44">
      <c r="A22" s="9" t="s">
        <v>798</v>
      </c>
      <c r="B22" s="9"/>
      <c r="C22" s="9" t="s">
        <v>61</v>
      </c>
      <c r="D22" s="9"/>
      <c r="E22" s="23">
        <v>49759</v>
      </c>
      <c r="F22" s="19"/>
      <c r="G22" s="19">
        <v>3227701</v>
      </c>
      <c r="H22" s="19"/>
      <c r="I22" s="19">
        <v>1816615</v>
      </c>
      <c r="J22" s="19"/>
      <c r="K22" s="19">
        <v>5854995</v>
      </c>
      <c r="L22" s="19"/>
      <c r="M22" s="19">
        <v>45111</v>
      </c>
      <c r="N22" s="19"/>
      <c r="O22" s="19">
        <f>641185+386885+45500</f>
        <v>1073570</v>
      </c>
      <c r="P22" s="19"/>
      <c r="Q22" s="19">
        <v>224646</v>
      </c>
      <c r="R22" s="19"/>
      <c r="S22" s="19">
        <v>1250</v>
      </c>
      <c r="T22" s="19"/>
      <c r="U22" s="19">
        <v>167973</v>
      </c>
      <c r="V22" s="19"/>
      <c r="W22" s="19">
        <f>81340-54973</f>
        <v>26367</v>
      </c>
      <c r="X22" s="19"/>
      <c r="Y22" s="26">
        <f t="shared" si="4"/>
        <v>12438228</v>
      </c>
      <c r="Z22" s="19"/>
      <c r="AA22" s="19">
        <v>0</v>
      </c>
      <c r="AB22" s="19"/>
      <c r="AC22" s="19">
        <v>0</v>
      </c>
      <c r="AD22" s="19"/>
      <c r="AE22" s="19">
        <v>0</v>
      </c>
      <c r="AF22" s="19"/>
      <c r="AG22" s="19"/>
      <c r="AH22" s="19"/>
      <c r="AI22" s="19"/>
      <c r="AJ22" s="19"/>
      <c r="AK22" s="19">
        <v>1026</v>
      </c>
      <c r="AL22" s="19"/>
      <c r="AM22" s="19">
        <v>0</v>
      </c>
      <c r="AN22" s="19"/>
      <c r="AO22" s="26">
        <f t="shared" si="3"/>
        <v>1026</v>
      </c>
      <c r="AP22" s="19"/>
      <c r="AQ22" s="26">
        <f t="shared" si="5"/>
        <v>12439254</v>
      </c>
      <c r="AR22" s="26"/>
    </row>
    <row r="23" spans="1:44" hidden="1">
      <c r="A23" s="9" t="s">
        <v>686</v>
      </c>
      <c r="B23" s="9"/>
      <c r="C23" s="9" t="s">
        <v>598</v>
      </c>
      <c r="D23" s="9"/>
      <c r="E23" s="23">
        <v>46623</v>
      </c>
      <c r="F23" s="19"/>
      <c r="G23" s="19">
        <v>0</v>
      </c>
      <c r="H23" s="19"/>
      <c r="I23" s="19">
        <v>0</v>
      </c>
      <c r="J23" s="19"/>
      <c r="K23" s="19">
        <v>0</v>
      </c>
      <c r="L23" s="19"/>
      <c r="M23" s="19">
        <v>0</v>
      </c>
      <c r="N23" s="19"/>
      <c r="O23" s="19">
        <v>0</v>
      </c>
      <c r="P23" s="19"/>
      <c r="Q23" s="19">
        <v>0</v>
      </c>
      <c r="R23" s="19"/>
      <c r="S23" s="19">
        <v>0</v>
      </c>
      <c r="T23" s="19"/>
      <c r="U23" s="19">
        <v>0</v>
      </c>
      <c r="V23" s="19"/>
      <c r="W23" s="19">
        <v>0</v>
      </c>
      <c r="X23" s="19"/>
      <c r="Y23" s="26">
        <f t="shared" si="4"/>
        <v>0</v>
      </c>
      <c r="Z23" s="19"/>
      <c r="AA23" s="19">
        <v>0</v>
      </c>
      <c r="AB23" s="19"/>
      <c r="AC23" s="19">
        <v>0</v>
      </c>
      <c r="AD23" s="19"/>
      <c r="AE23" s="19">
        <v>0</v>
      </c>
      <c r="AF23" s="19"/>
      <c r="AG23" s="19"/>
      <c r="AH23" s="19"/>
      <c r="AI23" s="19"/>
      <c r="AJ23" s="19"/>
      <c r="AK23" s="19">
        <v>0</v>
      </c>
      <c r="AL23" s="19"/>
      <c r="AM23" s="19">
        <v>0</v>
      </c>
      <c r="AN23" s="19"/>
      <c r="AO23" s="26">
        <f t="shared" si="3"/>
        <v>0</v>
      </c>
      <c r="AP23" s="19"/>
      <c r="AQ23" s="26">
        <f t="shared" si="5"/>
        <v>0</v>
      </c>
      <c r="AR23" s="26"/>
    </row>
    <row r="24" spans="1:44">
      <c r="A24" s="9" t="s">
        <v>387</v>
      </c>
      <c r="B24" s="9"/>
      <c r="C24" s="9" t="s">
        <v>114</v>
      </c>
      <c r="D24" s="9"/>
      <c r="E24" s="23">
        <v>48207</v>
      </c>
      <c r="F24" s="19"/>
      <c r="G24" s="19">
        <v>23618893</v>
      </c>
      <c r="H24" s="19"/>
      <c r="I24" s="19">
        <v>0</v>
      </c>
      <c r="J24" s="19"/>
      <c r="K24" s="19">
        <f>11429673+1425358</f>
        <v>12855031</v>
      </c>
      <c r="L24" s="19"/>
      <c r="M24" s="19">
        <v>7545</v>
      </c>
      <c r="N24" s="19"/>
      <c r="O24" s="19">
        <f>489092+784822+245618</f>
        <v>1519532</v>
      </c>
      <c r="P24" s="19"/>
      <c r="Q24" s="19">
        <v>552531</v>
      </c>
      <c r="R24" s="19"/>
      <c r="S24" s="19">
        <v>902077</v>
      </c>
      <c r="T24" s="19"/>
      <c r="U24" s="19">
        <v>0</v>
      </c>
      <c r="V24" s="19"/>
      <c r="W24" s="19">
        <v>233344</v>
      </c>
      <c r="X24" s="19"/>
      <c r="Y24" s="26">
        <f t="shared" si="4"/>
        <v>39688953</v>
      </c>
      <c r="Z24" s="19"/>
      <c r="AA24" s="19">
        <v>0</v>
      </c>
      <c r="AB24" s="19"/>
      <c r="AC24" s="19">
        <v>0</v>
      </c>
      <c r="AD24" s="19"/>
      <c r="AE24" s="19">
        <v>0</v>
      </c>
      <c r="AF24" s="19"/>
      <c r="AG24" s="19"/>
      <c r="AH24" s="19"/>
      <c r="AI24" s="19"/>
      <c r="AJ24" s="19"/>
      <c r="AK24" s="19">
        <v>28987</v>
      </c>
      <c r="AL24" s="19"/>
      <c r="AM24" s="19">
        <v>0</v>
      </c>
      <c r="AN24" s="19"/>
      <c r="AO24" s="26">
        <f t="shared" si="3"/>
        <v>28987</v>
      </c>
      <c r="AP24" s="19"/>
      <c r="AQ24" s="26">
        <f t="shared" si="5"/>
        <v>39717940</v>
      </c>
      <c r="AR24" s="26"/>
    </row>
    <row r="25" spans="1:44" hidden="1">
      <c r="A25" s="9" t="s">
        <v>853</v>
      </c>
      <c r="B25" s="9"/>
      <c r="C25" s="9" t="s">
        <v>447</v>
      </c>
      <c r="D25" s="9"/>
      <c r="E25" s="23">
        <v>48991</v>
      </c>
      <c r="F25" s="19"/>
      <c r="G25" s="19">
        <v>0</v>
      </c>
      <c r="H25" s="19"/>
      <c r="I25" s="19">
        <v>0</v>
      </c>
      <c r="J25" s="19"/>
      <c r="K25" s="19">
        <v>0</v>
      </c>
      <c r="L25" s="19"/>
      <c r="M25" s="19">
        <v>0</v>
      </c>
      <c r="N25" s="19"/>
      <c r="O25" s="19">
        <v>0</v>
      </c>
      <c r="P25" s="19"/>
      <c r="Q25" s="19">
        <v>0</v>
      </c>
      <c r="R25" s="19"/>
      <c r="S25" s="19">
        <v>0</v>
      </c>
      <c r="T25" s="19"/>
      <c r="U25" s="19">
        <v>0</v>
      </c>
      <c r="V25" s="19"/>
      <c r="W25" s="19">
        <v>0</v>
      </c>
      <c r="X25" s="19"/>
      <c r="Y25" s="26">
        <f t="shared" ref="Y25" si="9">SUM(G25:W25)</f>
        <v>0</v>
      </c>
      <c r="Z25" s="19"/>
      <c r="AA25" s="19">
        <v>0</v>
      </c>
      <c r="AB25" s="19"/>
      <c r="AC25" s="19">
        <v>0</v>
      </c>
      <c r="AD25" s="19"/>
      <c r="AE25" s="19">
        <v>0</v>
      </c>
      <c r="AF25" s="19"/>
      <c r="AG25" s="19"/>
      <c r="AH25" s="19"/>
      <c r="AI25" s="19"/>
      <c r="AJ25" s="19"/>
      <c r="AK25" s="19">
        <v>0</v>
      </c>
      <c r="AL25" s="19"/>
      <c r="AM25" s="19">
        <v>0</v>
      </c>
      <c r="AN25" s="19"/>
      <c r="AO25" s="26">
        <f t="shared" ref="AO25" si="10">SUM(AA25:AM25)</f>
        <v>0</v>
      </c>
      <c r="AP25" s="19"/>
      <c r="AQ25" s="26">
        <f t="shared" ref="AQ25" si="11">Y25+AO25</f>
        <v>0</v>
      </c>
      <c r="AR25" s="26"/>
    </row>
    <row r="26" spans="1:44">
      <c r="A26" s="9" t="s">
        <v>332</v>
      </c>
      <c r="B26" s="9"/>
      <c r="C26" s="9" t="s">
        <v>33</v>
      </c>
      <c r="D26" s="9"/>
      <c r="E26" s="23">
        <v>47415</v>
      </c>
      <c r="F26" s="19"/>
      <c r="G26" s="19">
        <v>2138641</v>
      </c>
      <c r="H26" s="19"/>
      <c r="I26" s="19">
        <v>743960</v>
      </c>
      <c r="J26" s="19"/>
      <c r="K26" s="19">
        <v>2459417</v>
      </c>
      <c r="L26" s="19"/>
      <c r="M26" s="19">
        <v>9409</v>
      </c>
      <c r="N26" s="19"/>
      <c r="O26" s="19">
        <f>769279+187128</f>
        <v>956407</v>
      </c>
      <c r="P26" s="19"/>
      <c r="Q26" s="19">
        <v>80598</v>
      </c>
      <c r="R26" s="19"/>
      <c r="S26" s="19">
        <v>0</v>
      </c>
      <c r="T26" s="19"/>
      <c r="U26" s="19">
        <v>115264</v>
      </c>
      <c r="V26" s="19"/>
      <c r="W26" s="19">
        <v>18674</v>
      </c>
      <c r="X26" s="19"/>
      <c r="Y26" s="26">
        <f t="shared" si="4"/>
        <v>6522370</v>
      </c>
      <c r="Z26" s="19"/>
      <c r="AA26" s="19">
        <v>0</v>
      </c>
      <c r="AB26" s="19"/>
      <c r="AC26" s="19">
        <v>0</v>
      </c>
      <c r="AD26" s="19"/>
      <c r="AE26" s="19">
        <v>0</v>
      </c>
      <c r="AF26" s="19"/>
      <c r="AG26" s="19"/>
      <c r="AH26" s="19"/>
      <c r="AI26" s="19"/>
      <c r="AJ26" s="19"/>
      <c r="AK26" s="19">
        <v>0</v>
      </c>
      <c r="AL26" s="19"/>
      <c r="AM26" s="19">
        <v>0</v>
      </c>
      <c r="AN26" s="19"/>
      <c r="AO26" s="26">
        <f t="shared" si="3"/>
        <v>0</v>
      </c>
      <c r="AP26" s="19"/>
      <c r="AQ26" s="26">
        <f t="shared" si="5"/>
        <v>6522370</v>
      </c>
      <c r="AR26" s="26"/>
    </row>
    <row r="27" spans="1:44" hidden="1">
      <c r="A27" s="9" t="s">
        <v>665</v>
      </c>
      <c r="B27" s="9"/>
      <c r="C27" s="9" t="s">
        <v>21</v>
      </c>
      <c r="D27" s="9"/>
      <c r="E27" s="23">
        <v>46631</v>
      </c>
      <c r="F27" s="19"/>
      <c r="G27" s="19">
        <v>0</v>
      </c>
      <c r="H27" s="19"/>
      <c r="I27" s="19">
        <v>0</v>
      </c>
      <c r="J27" s="19"/>
      <c r="K27" s="19">
        <v>0</v>
      </c>
      <c r="L27" s="19"/>
      <c r="M27" s="19">
        <v>0</v>
      </c>
      <c r="N27" s="19"/>
      <c r="O27" s="19">
        <v>0</v>
      </c>
      <c r="P27" s="19"/>
      <c r="Q27" s="19">
        <v>0</v>
      </c>
      <c r="R27" s="19"/>
      <c r="S27" s="19">
        <v>0</v>
      </c>
      <c r="T27" s="19"/>
      <c r="U27" s="19">
        <v>0</v>
      </c>
      <c r="V27" s="19"/>
      <c r="W27" s="19">
        <v>0</v>
      </c>
      <c r="X27" s="19"/>
      <c r="Y27" s="26">
        <f t="shared" si="4"/>
        <v>0</v>
      </c>
      <c r="Z27" s="19"/>
      <c r="AA27" s="19">
        <v>0</v>
      </c>
      <c r="AB27" s="19"/>
      <c r="AC27" s="19">
        <v>0</v>
      </c>
      <c r="AD27" s="19"/>
      <c r="AE27" s="19">
        <v>0</v>
      </c>
      <c r="AF27" s="19"/>
      <c r="AG27" s="19"/>
      <c r="AH27" s="19"/>
      <c r="AI27" s="19"/>
      <c r="AJ27" s="19"/>
      <c r="AK27" s="19">
        <v>0</v>
      </c>
      <c r="AL27" s="19"/>
      <c r="AM27" s="19">
        <v>0</v>
      </c>
      <c r="AN27" s="19"/>
      <c r="AO27" s="26">
        <f t="shared" si="3"/>
        <v>0</v>
      </c>
      <c r="AP27" s="19"/>
      <c r="AQ27" s="26">
        <f t="shared" si="5"/>
        <v>0</v>
      </c>
      <c r="AR27" s="26"/>
    </row>
    <row r="28" spans="1:44">
      <c r="A28" s="9" t="s">
        <v>854</v>
      </c>
      <c r="B28" s="9"/>
      <c r="C28" s="9" t="s">
        <v>28</v>
      </c>
      <c r="D28" s="9"/>
      <c r="E28" s="23">
        <v>47043</v>
      </c>
      <c r="F28" s="19"/>
      <c r="G28" s="19">
        <v>6075270</v>
      </c>
      <c r="H28" s="19"/>
      <c r="I28" s="19">
        <v>0</v>
      </c>
      <c r="J28" s="19"/>
      <c r="K28" s="19">
        <v>7088252</v>
      </c>
      <c r="L28" s="19"/>
      <c r="M28" s="19">
        <f>24662-9665</f>
        <v>14997</v>
      </c>
      <c r="N28" s="19"/>
      <c r="O28" s="19">
        <f>424690+6586+225020</f>
        <v>656296</v>
      </c>
      <c r="P28" s="19"/>
      <c r="Q28" s="19">
        <v>221232</v>
      </c>
      <c r="R28" s="19"/>
      <c r="S28" s="19">
        <v>72150</v>
      </c>
      <c r="T28" s="19"/>
      <c r="U28" s="19">
        <v>830</v>
      </c>
      <c r="V28" s="19"/>
      <c r="W28" s="19">
        <v>135952</v>
      </c>
      <c r="X28" s="19"/>
      <c r="Y28" s="26">
        <f t="shared" si="4"/>
        <v>14264979</v>
      </c>
      <c r="Z28" s="19"/>
      <c r="AA28" s="19">
        <v>21752</v>
      </c>
      <c r="AB28" s="19"/>
      <c r="AC28" s="19">
        <v>0</v>
      </c>
      <c r="AD28" s="19"/>
      <c r="AE28" s="19">
        <v>0</v>
      </c>
      <c r="AF28" s="19"/>
      <c r="AG28" s="19"/>
      <c r="AH28" s="19"/>
      <c r="AI28" s="19"/>
      <c r="AJ28" s="19"/>
      <c r="AK28" s="19">
        <v>0</v>
      </c>
      <c r="AL28" s="19"/>
      <c r="AM28" s="19">
        <v>0</v>
      </c>
      <c r="AN28" s="19"/>
      <c r="AO28" s="26">
        <f t="shared" si="3"/>
        <v>21752</v>
      </c>
      <c r="AP28" s="19"/>
      <c r="AQ28" s="26">
        <f t="shared" si="5"/>
        <v>14286731</v>
      </c>
      <c r="AR28" s="26"/>
    </row>
    <row r="29" spans="1:44">
      <c r="A29" s="9" t="s">
        <v>333</v>
      </c>
      <c r="B29" s="9"/>
      <c r="C29" s="9" t="s">
        <v>33</v>
      </c>
      <c r="D29" s="9"/>
      <c r="E29" s="23">
        <v>47423</v>
      </c>
      <c r="F29" s="19"/>
      <c r="G29" s="19">
        <v>1361276</v>
      </c>
      <c r="H29" s="19"/>
      <c r="I29" s="19">
        <v>1086726</v>
      </c>
      <c r="J29" s="19"/>
      <c r="K29" s="19">
        <v>3472958</v>
      </c>
      <c r="L29" s="19"/>
      <c r="M29" s="19">
        <v>5339</v>
      </c>
      <c r="N29" s="19"/>
      <c r="O29" s="19">
        <f>299492+171247</f>
        <v>470739</v>
      </c>
      <c r="P29" s="19"/>
      <c r="Q29" s="19">
        <v>96515</v>
      </c>
      <c r="R29" s="19"/>
      <c r="S29" s="19">
        <v>0</v>
      </c>
      <c r="T29" s="19"/>
      <c r="U29" s="19">
        <v>10035</v>
      </c>
      <c r="V29" s="19"/>
      <c r="W29" s="19">
        <v>42187</v>
      </c>
      <c r="X29" s="19"/>
      <c r="Y29" s="26">
        <f t="shared" si="4"/>
        <v>6545775</v>
      </c>
      <c r="Z29" s="19"/>
      <c r="AA29" s="19">
        <v>0</v>
      </c>
      <c r="AB29" s="19"/>
      <c r="AC29" s="19">
        <v>0</v>
      </c>
      <c r="AD29" s="19"/>
      <c r="AE29" s="19">
        <v>0</v>
      </c>
      <c r="AF29" s="19"/>
      <c r="AG29" s="19"/>
      <c r="AH29" s="19"/>
      <c r="AI29" s="19"/>
      <c r="AJ29" s="19"/>
      <c r="AK29" s="19">
        <v>1000</v>
      </c>
      <c r="AL29" s="19"/>
      <c r="AM29" s="19">
        <v>0</v>
      </c>
      <c r="AN29" s="19"/>
      <c r="AO29" s="26">
        <f t="shared" si="3"/>
        <v>1000</v>
      </c>
      <c r="AP29" s="19"/>
      <c r="AQ29" s="26">
        <f t="shared" si="5"/>
        <v>6546775</v>
      </c>
      <c r="AR29" s="26"/>
    </row>
    <row r="30" spans="1:44">
      <c r="A30" s="9" t="s">
        <v>202</v>
      </c>
      <c r="B30" s="9"/>
      <c r="C30" s="9" t="s">
        <v>11</v>
      </c>
      <c r="D30" s="9"/>
      <c r="E30" s="23">
        <v>43505</v>
      </c>
      <c r="F30" s="19"/>
      <c r="G30" s="19">
        <v>15862979</v>
      </c>
      <c r="H30" s="19"/>
      <c r="I30" s="19">
        <v>0</v>
      </c>
      <c r="J30" s="19"/>
      <c r="K30" s="19">
        <v>18100037</v>
      </c>
      <c r="L30" s="19"/>
      <c r="M30" s="19">
        <v>23188</v>
      </c>
      <c r="N30" s="19"/>
      <c r="O30" s="19">
        <f>527555+15098+473200</f>
        <v>1015853</v>
      </c>
      <c r="P30" s="19"/>
      <c r="Q30" s="19">
        <v>445917</v>
      </c>
      <c r="R30" s="19"/>
      <c r="S30" s="19">
        <v>0</v>
      </c>
      <c r="T30" s="19"/>
      <c r="U30" s="19">
        <v>38557</v>
      </c>
      <c r="V30" s="19"/>
      <c r="W30" s="19">
        <v>382959</v>
      </c>
      <c r="X30" s="19"/>
      <c r="Y30" s="26">
        <f t="shared" si="4"/>
        <v>35869490</v>
      </c>
      <c r="Z30" s="19"/>
      <c r="AA30" s="19">
        <v>27480895</v>
      </c>
      <c r="AB30" s="19"/>
      <c r="AC30" s="19">
        <v>0</v>
      </c>
      <c r="AD30" s="19"/>
      <c r="AE30" s="19">
        <v>0</v>
      </c>
      <c r="AF30" s="19"/>
      <c r="AG30" s="19"/>
      <c r="AH30" s="19"/>
      <c r="AI30" s="19"/>
      <c r="AJ30" s="19"/>
      <c r="AK30" s="19">
        <f>27469728+929740+250000+3045000</f>
        <v>31694468</v>
      </c>
      <c r="AL30" s="19"/>
      <c r="AM30" s="19">
        <v>0</v>
      </c>
      <c r="AN30" s="19"/>
      <c r="AO30" s="26">
        <f t="shared" si="3"/>
        <v>59175363</v>
      </c>
      <c r="AP30" s="19"/>
      <c r="AQ30" s="26">
        <f t="shared" si="5"/>
        <v>95044853</v>
      </c>
      <c r="AR30" s="26"/>
    </row>
    <row r="31" spans="1:44">
      <c r="A31" s="9" t="s">
        <v>664</v>
      </c>
      <c r="B31" s="9"/>
      <c r="C31" s="9" t="s">
        <v>12</v>
      </c>
      <c r="D31" s="9"/>
      <c r="E31" s="23">
        <v>43513</v>
      </c>
      <c r="F31" s="19"/>
      <c r="G31" s="19">
        <v>9686292</v>
      </c>
      <c r="H31" s="19"/>
      <c r="I31" s="19">
        <v>0</v>
      </c>
      <c r="J31" s="19"/>
      <c r="K31" s="19">
        <v>33007129</v>
      </c>
      <c r="L31" s="19"/>
      <c r="M31" s="19">
        <v>9020</v>
      </c>
      <c r="N31" s="19"/>
      <c r="O31" s="19">
        <f>297933+282205</f>
        <v>580138</v>
      </c>
      <c r="P31" s="19"/>
      <c r="Q31" s="19">
        <v>156839</v>
      </c>
      <c r="R31" s="19"/>
      <c r="S31" s="19">
        <v>0</v>
      </c>
      <c r="T31" s="19"/>
      <c r="U31" s="19">
        <v>0</v>
      </c>
      <c r="V31" s="19"/>
      <c r="W31" s="19">
        <v>285362</v>
      </c>
      <c r="X31" s="19"/>
      <c r="Y31" s="26">
        <f t="shared" si="4"/>
        <v>43724780</v>
      </c>
      <c r="Z31" s="19"/>
      <c r="AA31" s="19">
        <v>98742</v>
      </c>
      <c r="AB31" s="19"/>
      <c r="AC31" s="19">
        <v>0</v>
      </c>
      <c r="AD31" s="19"/>
      <c r="AE31" s="19">
        <v>0</v>
      </c>
      <c r="AF31" s="19"/>
      <c r="AG31" s="19"/>
      <c r="AH31" s="19"/>
      <c r="AI31" s="19"/>
      <c r="AJ31" s="19"/>
      <c r="AK31" s="19">
        <v>61372</v>
      </c>
      <c r="AL31" s="19"/>
      <c r="AM31" s="19">
        <v>0</v>
      </c>
      <c r="AN31" s="19"/>
      <c r="AO31" s="26">
        <f t="shared" si="3"/>
        <v>160114</v>
      </c>
      <c r="AP31" s="19"/>
      <c r="AQ31" s="26">
        <f t="shared" si="5"/>
        <v>43884894</v>
      </c>
      <c r="AR31" s="26"/>
    </row>
    <row r="32" spans="1:44">
      <c r="A32" s="9" t="s">
        <v>209</v>
      </c>
      <c r="B32" s="9"/>
      <c r="C32" s="9" t="s">
        <v>13</v>
      </c>
      <c r="D32" s="9"/>
      <c r="E32" s="23">
        <v>43521</v>
      </c>
      <c r="F32" s="19"/>
      <c r="G32" s="19">
        <v>16083953</v>
      </c>
      <c r="H32" s="19"/>
      <c r="I32" s="19">
        <v>3534523</v>
      </c>
      <c r="J32" s="19"/>
      <c r="K32" s="19">
        <v>11609598</v>
      </c>
      <c r="L32" s="19"/>
      <c r="M32" s="19">
        <v>50855</v>
      </c>
      <c r="N32" s="19"/>
      <c r="O32" s="19">
        <f>2578629+71494+207608</f>
        <v>2857731</v>
      </c>
      <c r="P32" s="19"/>
      <c r="Q32" s="19">
        <v>110977</v>
      </c>
      <c r="R32" s="19"/>
      <c r="S32" s="19">
        <v>256784</v>
      </c>
      <c r="T32" s="19"/>
      <c r="U32" s="19">
        <v>112788</v>
      </c>
      <c r="V32" s="19"/>
      <c r="W32" s="19">
        <v>107731</v>
      </c>
      <c r="X32" s="19"/>
      <c r="Y32" s="26">
        <f t="shared" si="4"/>
        <v>34724940</v>
      </c>
      <c r="Z32" s="19"/>
      <c r="AA32" s="19">
        <v>3300</v>
      </c>
      <c r="AB32" s="19"/>
      <c r="AC32" s="19">
        <v>0</v>
      </c>
      <c r="AD32" s="19"/>
      <c r="AE32" s="19">
        <f>7270000+791540</f>
        <v>8061540</v>
      </c>
      <c r="AF32" s="19"/>
      <c r="AG32" s="19"/>
      <c r="AH32" s="19"/>
      <c r="AI32" s="19"/>
      <c r="AJ32" s="19"/>
      <c r="AK32" s="19">
        <v>0</v>
      </c>
      <c r="AL32" s="19"/>
      <c r="AM32" s="19">
        <v>345819</v>
      </c>
      <c r="AN32" s="19"/>
      <c r="AO32" s="26">
        <f t="shared" si="3"/>
        <v>8410659</v>
      </c>
      <c r="AP32" s="19"/>
      <c r="AQ32" s="26">
        <f t="shared" si="5"/>
        <v>43135599</v>
      </c>
      <c r="AR32" s="26"/>
    </row>
    <row r="33" spans="1:44">
      <c r="A33" s="9" t="s">
        <v>456</v>
      </c>
      <c r="B33" s="9"/>
      <c r="C33" s="9" t="s">
        <v>56</v>
      </c>
      <c r="D33" s="9"/>
      <c r="E33" s="23">
        <v>49171</v>
      </c>
      <c r="F33" s="19"/>
      <c r="G33" s="19">
        <v>24250924</v>
      </c>
      <c r="H33" s="19"/>
      <c r="I33" s="19">
        <v>0</v>
      </c>
      <c r="J33" s="19"/>
      <c r="K33" s="19">
        <v>9273925</v>
      </c>
      <c r="L33" s="19"/>
      <c r="M33" s="19">
        <v>4896</v>
      </c>
      <c r="N33" s="19"/>
      <c r="O33" s="19">
        <f>508206+552058+6849</f>
        <v>1067113</v>
      </c>
      <c r="P33" s="19"/>
      <c r="Q33" s="19">
        <v>369384</v>
      </c>
      <c r="R33" s="19"/>
      <c r="S33" s="19">
        <v>0</v>
      </c>
      <c r="T33" s="19"/>
      <c r="U33" s="19">
        <v>102181</v>
      </c>
      <c r="V33" s="19"/>
      <c r="W33" s="19">
        <v>72867</v>
      </c>
      <c r="X33" s="19"/>
      <c r="Y33" s="26">
        <f t="shared" si="4"/>
        <v>35141290</v>
      </c>
      <c r="Z33" s="19"/>
      <c r="AA33" s="19">
        <v>0</v>
      </c>
      <c r="AB33" s="19"/>
      <c r="AC33" s="19">
        <v>0</v>
      </c>
      <c r="AD33" s="19"/>
      <c r="AE33" s="19">
        <v>0</v>
      </c>
      <c r="AF33" s="19"/>
      <c r="AG33" s="19"/>
      <c r="AH33" s="19"/>
      <c r="AI33" s="19"/>
      <c r="AJ33" s="19"/>
      <c r="AK33" s="19">
        <v>71649</v>
      </c>
      <c r="AL33" s="19"/>
      <c r="AM33" s="19">
        <v>0</v>
      </c>
      <c r="AN33" s="19"/>
      <c r="AO33" s="26">
        <f t="shared" si="3"/>
        <v>71649</v>
      </c>
      <c r="AP33" s="19"/>
      <c r="AQ33" s="26">
        <f t="shared" si="5"/>
        <v>35212939</v>
      </c>
      <c r="AR33" s="26"/>
    </row>
    <row r="34" spans="1:44">
      <c r="A34" s="9" t="s">
        <v>398</v>
      </c>
      <c r="B34" s="9"/>
      <c r="C34" s="9" t="s">
        <v>45</v>
      </c>
      <c r="D34" s="9"/>
      <c r="E34" s="23">
        <v>48298</v>
      </c>
      <c r="F34" s="19"/>
      <c r="G34" s="19">
        <v>18619192</v>
      </c>
      <c r="H34" s="19"/>
      <c r="I34" s="19">
        <v>0</v>
      </c>
      <c r="J34" s="19"/>
      <c r="K34" s="19">
        <f>17810+23595375+4726326</f>
        <v>28339511</v>
      </c>
      <c r="L34" s="19"/>
      <c r="M34" s="19">
        <v>55156</v>
      </c>
      <c r="N34" s="19"/>
      <c r="O34" s="19">
        <f>3505796+753953+144666</f>
        <v>4404415</v>
      </c>
      <c r="P34" s="19"/>
      <c r="Q34" s="19">
        <v>610054</v>
      </c>
      <c r="R34" s="19"/>
      <c r="S34" s="19">
        <v>0</v>
      </c>
      <c r="T34" s="19"/>
      <c r="U34" s="19">
        <v>0</v>
      </c>
      <c r="V34" s="19"/>
      <c r="W34" s="19">
        <v>418759</v>
      </c>
      <c r="X34" s="19"/>
      <c r="Y34" s="26">
        <f t="shared" si="4"/>
        <v>52447087</v>
      </c>
      <c r="Z34" s="19"/>
      <c r="AA34" s="19">
        <v>754185</v>
      </c>
      <c r="AB34" s="19"/>
      <c r="AC34" s="19">
        <v>0</v>
      </c>
      <c r="AD34" s="19"/>
      <c r="AE34" s="19">
        <v>0</v>
      </c>
      <c r="AF34" s="19"/>
      <c r="AG34" s="19"/>
      <c r="AH34" s="19"/>
      <c r="AI34" s="19"/>
      <c r="AJ34" s="19"/>
      <c r="AK34" s="19">
        <v>117697</v>
      </c>
      <c r="AL34" s="19"/>
      <c r="AM34" s="19">
        <v>0</v>
      </c>
      <c r="AN34" s="19"/>
      <c r="AO34" s="26">
        <f t="shared" si="3"/>
        <v>871882</v>
      </c>
      <c r="AP34" s="19"/>
      <c r="AQ34" s="26">
        <f t="shared" si="5"/>
        <v>53318969</v>
      </c>
      <c r="AR34" s="26"/>
    </row>
    <row r="35" spans="1:44">
      <c r="A35" s="9" t="s">
        <v>378</v>
      </c>
      <c r="B35" s="9"/>
      <c r="C35" s="9" t="s">
        <v>44</v>
      </c>
      <c r="D35" s="9"/>
      <c r="E35" s="23">
        <v>48124</v>
      </c>
      <c r="F35" s="19"/>
      <c r="G35" s="19">
        <v>30618749</v>
      </c>
      <c r="H35" s="19"/>
      <c r="I35" s="19">
        <v>0</v>
      </c>
      <c r="J35" s="19"/>
      <c r="K35" s="19">
        <v>10946060</v>
      </c>
      <c r="L35" s="19"/>
      <c r="M35" s="19">
        <v>49359</v>
      </c>
      <c r="N35" s="19"/>
      <c r="O35" s="19">
        <f>683272+1069630</f>
        <v>1752902</v>
      </c>
      <c r="P35" s="19"/>
      <c r="Q35" s="19">
        <v>416515</v>
      </c>
      <c r="R35" s="19"/>
      <c r="S35" s="19">
        <v>0</v>
      </c>
      <c r="T35" s="19"/>
      <c r="U35" s="19">
        <v>0</v>
      </c>
      <c r="V35" s="19"/>
      <c r="W35" s="19">
        <v>528239</v>
      </c>
      <c r="X35" s="19"/>
      <c r="Y35" s="26">
        <f t="shared" si="4"/>
        <v>44311824</v>
      </c>
      <c r="Z35" s="19"/>
      <c r="AA35" s="19">
        <v>0</v>
      </c>
      <c r="AB35" s="19"/>
      <c r="AC35" s="19">
        <v>0</v>
      </c>
      <c r="AD35" s="19"/>
      <c r="AE35" s="19">
        <v>0</v>
      </c>
      <c r="AF35" s="19"/>
      <c r="AG35" s="19"/>
      <c r="AH35" s="19"/>
      <c r="AI35" s="19"/>
      <c r="AJ35" s="19"/>
      <c r="AK35" s="19">
        <v>0</v>
      </c>
      <c r="AL35" s="19"/>
      <c r="AM35" s="19">
        <v>0</v>
      </c>
      <c r="AN35" s="19"/>
      <c r="AO35" s="26">
        <f t="shared" si="3"/>
        <v>0</v>
      </c>
      <c r="AP35" s="19"/>
      <c r="AQ35" s="26">
        <f t="shared" si="5"/>
        <v>44311824</v>
      </c>
      <c r="AR35" s="26"/>
    </row>
    <row r="36" spans="1:44">
      <c r="A36" s="9" t="s">
        <v>379</v>
      </c>
      <c r="B36" s="9"/>
      <c r="C36" s="9" t="s">
        <v>44</v>
      </c>
      <c r="D36" s="9"/>
      <c r="E36" s="23">
        <v>48116</v>
      </c>
      <c r="F36" s="19"/>
      <c r="G36" s="19">
        <v>26579537</v>
      </c>
      <c r="H36" s="19"/>
      <c r="I36" s="19">
        <v>0</v>
      </c>
      <c r="J36" s="19"/>
      <c r="K36" s="19">
        <v>8992811</v>
      </c>
      <c r="L36" s="19"/>
      <c r="M36" s="19">
        <v>42668</v>
      </c>
      <c r="N36" s="19"/>
      <c r="O36" s="19">
        <f>759053+559461</f>
        <v>1318514</v>
      </c>
      <c r="P36" s="19"/>
      <c r="Q36" s="19">
        <v>417560</v>
      </c>
      <c r="R36" s="19"/>
      <c r="S36" s="19">
        <v>0</v>
      </c>
      <c r="T36" s="19"/>
      <c r="U36" s="19">
        <v>0</v>
      </c>
      <c r="V36" s="19"/>
      <c r="W36" s="19">
        <v>1950008</v>
      </c>
      <c r="X36" s="19"/>
      <c r="Y36" s="26">
        <f t="shared" si="4"/>
        <v>39301098</v>
      </c>
      <c r="Z36" s="19"/>
      <c r="AA36" s="19">
        <v>0</v>
      </c>
      <c r="AB36" s="19"/>
      <c r="AC36" s="19">
        <v>0</v>
      </c>
      <c r="AD36" s="19"/>
      <c r="AE36" s="19">
        <f>2907908+3260000+37018980</f>
        <v>43186888</v>
      </c>
      <c r="AF36" s="19"/>
      <c r="AG36" s="19"/>
      <c r="AH36" s="19"/>
      <c r="AI36" s="19"/>
      <c r="AJ36" s="19"/>
      <c r="AK36" s="19">
        <v>0</v>
      </c>
      <c r="AL36" s="19"/>
      <c r="AM36" s="19">
        <v>0</v>
      </c>
      <c r="AN36" s="19"/>
      <c r="AO36" s="26">
        <f t="shared" si="3"/>
        <v>43186888</v>
      </c>
      <c r="AP36" s="19"/>
      <c r="AQ36" s="26">
        <f t="shared" si="5"/>
        <v>82487986</v>
      </c>
      <c r="AR36" s="26"/>
    </row>
    <row r="37" spans="1:44" ht="12.75" customHeight="1">
      <c r="A37" s="9" t="s">
        <v>281</v>
      </c>
      <c r="B37" s="9"/>
      <c r="C37" s="9" t="s">
        <v>22</v>
      </c>
      <c r="D37" s="9"/>
      <c r="E37" s="23">
        <v>46706</v>
      </c>
      <c r="F37" s="19"/>
      <c r="G37" s="19">
        <v>2404924</v>
      </c>
      <c r="H37" s="19"/>
      <c r="I37" s="19">
        <v>845876</v>
      </c>
      <c r="J37" s="19"/>
      <c r="K37" s="19">
        <f>3123976+441929</f>
        <v>3565905</v>
      </c>
      <c r="L37" s="19"/>
      <c r="M37" s="19">
        <v>4322</v>
      </c>
      <c r="N37" s="19"/>
      <c r="O37" s="19">
        <f>1168707+218642+50141</f>
        <v>1437490</v>
      </c>
      <c r="P37" s="19"/>
      <c r="Q37" s="19">
        <v>101743</v>
      </c>
      <c r="R37" s="19"/>
      <c r="S37" s="19">
        <v>23894</v>
      </c>
      <c r="T37" s="19"/>
      <c r="U37" s="19">
        <v>0</v>
      </c>
      <c r="V37" s="19"/>
      <c r="W37" s="19">
        <f>79176-5191</f>
        <v>73985</v>
      </c>
      <c r="X37" s="19"/>
      <c r="Y37" s="26">
        <f>SUM(G37:W37)</f>
        <v>8458139</v>
      </c>
      <c r="Z37" s="19"/>
      <c r="AA37" s="19">
        <v>6500</v>
      </c>
      <c r="AB37" s="19"/>
      <c r="AC37" s="19">
        <v>0</v>
      </c>
      <c r="AD37" s="19"/>
      <c r="AE37" s="19">
        <v>0</v>
      </c>
      <c r="AF37" s="19"/>
      <c r="AG37" s="19"/>
      <c r="AH37" s="19"/>
      <c r="AI37" s="19"/>
      <c r="AJ37" s="19"/>
      <c r="AK37" s="19">
        <v>95304</v>
      </c>
      <c r="AL37" s="19"/>
      <c r="AM37" s="19">
        <v>0</v>
      </c>
      <c r="AN37" s="19"/>
      <c r="AO37" s="26">
        <f t="shared" si="3"/>
        <v>101804</v>
      </c>
      <c r="AP37" s="19"/>
      <c r="AQ37" s="26">
        <f t="shared" si="5"/>
        <v>8559943</v>
      </c>
      <c r="AR37" s="26"/>
    </row>
    <row r="38" spans="1:44">
      <c r="A38" s="9" t="s">
        <v>503</v>
      </c>
      <c r="B38" s="9"/>
      <c r="C38" s="9" t="s">
        <v>63</v>
      </c>
      <c r="D38" s="9"/>
      <c r="E38" s="23">
        <v>43539</v>
      </c>
      <c r="F38" s="19"/>
      <c r="G38" s="19">
        <v>11645428</v>
      </c>
      <c r="H38" s="19"/>
      <c r="I38" s="19">
        <v>0</v>
      </c>
      <c r="J38" s="19"/>
      <c r="K38" s="19">
        <f>149840+24844873+6302651</f>
        <v>31297364</v>
      </c>
      <c r="L38" s="19"/>
      <c r="M38" s="19">
        <v>12040</v>
      </c>
      <c r="N38" s="19"/>
      <c r="O38" s="19">
        <f>1956037+415373+78605</f>
        <v>2450015</v>
      </c>
      <c r="P38" s="19"/>
      <c r="Q38" s="19">
        <v>336000</v>
      </c>
      <c r="R38" s="19"/>
      <c r="S38" s="19">
        <v>0</v>
      </c>
      <c r="T38" s="19"/>
      <c r="U38" s="19">
        <v>2329814</v>
      </c>
      <c r="V38" s="19"/>
      <c r="W38" s="19">
        <v>876543</v>
      </c>
      <c r="X38" s="19"/>
      <c r="Y38" s="26">
        <f t="shared" ref="Y38:Y56" si="12">SUM(G38:X38)</f>
        <v>48947204</v>
      </c>
      <c r="Z38" s="19"/>
      <c r="AA38" s="19">
        <v>272712</v>
      </c>
      <c r="AB38" s="19"/>
      <c r="AC38" s="19">
        <v>0</v>
      </c>
      <c r="AD38" s="19"/>
      <c r="AE38" s="19">
        <f>1310115+16290000</f>
        <v>17600115</v>
      </c>
      <c r="AF38" s="19"/>
      <c r="AG38" s="19"/>
      <c r="AH38" s="19"/>
      <c r="AI38" s="19"/>
      <c r="AJ38" s="19"/>
      <c r="AK38" s="19">
        <v>0</v>
      </c>
      <c r="AL38" s="19"/>
      <c r="AM38" s="19">
        <v>0</v>
      </c>
      <c r="AN38" s="19"/>
      <c r="AO38" s="26">
        <f t="shared" si="3"/>
        <v>17872827</v>
      </c>
      <c r="AP38" s="19"/>
      <c r="AQ38" s="26">
        <f t="shared" si="5"/>
        <v>66820031</v>
      </c>
      <c r="AR38" s="26"/>
    </row>
    <row r="39" spans="1:44">
      <c r="A39" s="9" t="s">
        <v>744</v>
      </c>
      <c r="B39" s="9"/>
      <c r="C39" s="9" t="s">
        <v>15</v>
      </c>
      <c r="D39" s="9"/>
      <c r="E39" s="23">
        <v>45203</v>
      </c>
      <c r="F39" s="19"/>
      <c r="G39" s="19">
        <v>4101873</v>
      </c>
      <c r="H39" s="19"/>
      <c r="I39" s="19">
        <v>0</v>
      </c>
      <c r="J39" s="19"/>
      <c r="K39" s="19">
        <v>7791278</v>
      </c>
      <c r="L39" s="19"/>
      <c r="M39" s="19">
        <v>10313</v>
      </c>
      <c r="N39" s="19"/>
      <c r="O39" s="19">
        <f>646943+362602+107300</f>
        <v>1116845</v>
      </c>
      <c r="P39" s="19"/>
      <c r="Q39" s="19">
        <v>175430</v>
      </c>
      <c r="R39" s="19"/>
      <c r="S39" s="19">
        <v>0</v>
      </c>
      <c r="T39" s="19"/>
      <c r="U39" s="19">
        <v>43299</v>
      </c>
      <c r="V39" s="19"/>
      <c r="W39" s="19">
        <v>69829</v>
      </c>
      <c r="X39" s="19"/>
      <c r="Y39" s="26">
        <f t="shared" si="12"/>
        <v>13308867</v>
      </c>
      <c r="Z39" s="19"/>
      <c r="AA39" s="19">
        <v>2018776</v>
      </c>
      <c r="AB39" s="19"/>
      <c r="AC39" s="19">
        <v>0</v>
      </c>
      <c r="AD39" s="19"/>
      <c r="AE39" s="19">
        <v>0</v>
      </c>
      <c r="AF39" s="19"/>
      <c r="AG39" s="19"/>
      <c r="AH39" s="19"/>
      <c r="AI39" s="19"/>
      <c r="AJ39" s="19"/>
      <c r="AK39" s="19">
        <v>151506</v>
      </c>
      <c r="AL39" s="19"/>
      <c r="AM39" s="19">
        <v>0</v>
      </c>
      <c r="AN39" s="19"/>
      <c r="AO39" s="26">
        <f t="shared" si="3"/>
        <v>2170282</v>
      </c>
      <c r="AP39" s="19"/>
      <c r="AQ39" s="26">
        <f t="shared" si="5"/>
        <v>15479149</v>
      </c>
      <c r="AR39" s="26"/>
    </row>
    <row r="40" spans="1:44">
      <c r="A40" s="9" t="s">
        <v>235</v>
      </c>
      <c r="B40" s="9"/>
      <c r="C40" s="9" t="s">
        <v>112</v>
      </c>
      <c r="D40" s="9"/>
      <c r="E40" s="23">
        <v>46300</v>
      </c>
      <c r="F40" s="19"/>
      <c r="G40" s="19">
        <v>7305145</v>
      </c>
      <c r="H40" s="19"/>
      <c r="I40" s="19">
        <v>0</v>
      </c>
      <c r="J40" s="19"/>
      <c r="K40" s="19">
        <v>10511411</v>
      </c>
      <c r="L40" s="19"/>
      <c r="M40" s="19">
        <v>-46867</v>
      </c>
      <c r="N40" s="19"/>
      <c r="O40" s="19">
        <v>1088215</v>
      </c>
      <c r="P40" s="19"/>
      <c r="Q40" s="19">
        <v>0</v>
      </c>
      <c r="R40" s="19"/>
      <c r="S40" s="19">
        <v>965298</v>
      </c>
      <c r="T40" s="19"/>
      <c r="U40" s="19">
        <v>0</v>
      </c>
      <c r="V40" s="19"/>
      <c r="W40" s="19">
        <v>472385</v>
      </c>
      <c r="X40" s="19"/>
      <c r="Y40" s="26">
        <f t="shared" si="12"/>
        <v>20295587</v>
      </c>
      <c r="Z40" s="19"/>
      <c r="AA40" s="19">
        <v>65910</v>
      </c>
      <c r="AB40" s="19"/>
      <c r="AC40" s="19">
        <v>0</v>
      </c>
      <c r="AD40" s="19"/>
      <c r="AE40" s="19">
        <f>13642448+181239</f>
        <v>13823687</v>
      </c>
      <c r="AF40" s="19"/>
      <c r="AG40" s="19"/>
      <c r="AH40" s="19"/>
      <c r="AI40" s="19"/>
      <c r="AJ40" s="19"/>
      <c r="AK40" s="19">
        <v>300820</v>
      </c>
      <c r="AL40" s="19"/>
      <c r="AM40" s="19">
        <v>0</v>
      </c>
      <c r="AN40" s="19"/>
      <c r="AO40" s="26">
        <f t="shared" si="3"/>
        <v>14190417</v>
      </c>
      <c r="AP40" s="19"/>
      <c r="AQ40" s="26">
        <f t="shared" si="5"/>
        <v>34486004</v>
      </c>
      <c r="AR40" s="26"/>
    </row>
    <row r="41" spans="1:44" s="68" customFormat="1" hidden="1">
      <c r="A41" s="9" t="s">
        <v>666</v>
      </c>
      <c r="C41" s="68" t="s">
        <v>10</v>
      </c>
      <c r="E41" s="69">
        <v>45765</v>
      </c>
      <c r="F41" s="19"/>
      <c r="G41" s="19">
        <v>0</v>
      </c>
      <c r="H41" s="19"/>
      <c r="I41" s="19">
        <v>0</v>
      </c>
      <c r="J41" s="19"/>
      <c r="K41" s="19">
        <v>0</v>
      </c>
      <c r="L41" s="19"/>
      <c r="M41" s="19">
        <v>0</v>
      </c>
      <c r="N41" s="19"/>
      <c r="O41" s="19">
        <v>0</v>
      </c>
      <c r="P41" s="19"/>
      <c r="Q41" s="19">
        <v>0</v>
      </c>
      <c r="R41" s="19"/>
      <c r="S41" s="19">
        <v>0</v>
      </c>
      <c r="T41" s="19"/>
      <c r="U41" s="19">
        <v>0</v>
      </c>
      <c r="V41" s="19"/>
      <c r="W41" s="19">
        <v>0</v>
      </c>
      <c r="X41" s="19"/>
      <c r="Y41" s="26">
        <f t="shared" si="12"/>
        <v>0</v>
      </c>
      <c r="Z41" s="19"/>
      <c r="AA41" s="19">
        <v>0</v>
      </c>
      <c r="AB41" s="19"/>
      <c r="AC41" s="19">
        <v>0</v>
      </c>
      <c r="AD41" s="19"/>
      <c r="AE41" s="19">
        <v>0</v>
      </c>
      <c r="AF41" s="19"/>
      <c r="AG41" s="19"/>
      <c r="AH41" s="19"/>
      <c r="AI41" s="19"/>
      <c r="AJ41" s="19"/>
      <c r="AK41" s="19">
        <v>0</v>
      </c>
      <c r="AL41" s="19"/>
      <c r="AM41" s="19">
        <v>0</v>
      </c>
      <c r="AN41" s="19"/>
      <c r="AO41" s="26">
        <f t="shared" si="3"/>
        <v>0</v>
      </c>
      <c r="AP41" s="19"/>
      <c r="AQ41" s="26">
        <f t="shared" si="5"/>
        <v>0</v>
      </c>
      <c r="AR41" s="26"/>
    </row>
    <row r="42" spans="1:44">
      <c r="A42" s="9" t="s">
        <v>629</v>
      </c>
      <c r="B42" s="9"/>
      <c r="C42" s="9" t="s">
        <v>20</v>
      </c>
      <c r="D42" s="9"/>
      <c r="E42" s="23">
        <v>43547</v>
      </c>
      <c r="F42" s="19"/>
      <c r="G42" s="19">
        <v>23901520</v>
      </c>
      <c r="H42" s="19"/>
      <c r="I42" s="19">
        <v>0</v>
      </c>
      <c r="J42" s="19"/>
      <c r="K42" s="19">
        <v>9351074</v>
      </c>
      <c r="L42" s="19"/>
      <c r="M42" s="19">
        <v>156122</v>
      </c>
      <c r="N42" s="19"/>
      <c r="O42" s="19">
        <f>1280694+614659</f>
        <v>1895353</v>
      </c>
      <c r="P42" s="19"/>
      <c r="Q42" s="19">
        <v>360068</v>
      </c>
      <c r="R42" s="19"/>
      <c r="S42" s="19">
        <v>0</v>
      </c>
      <c r="T42" s="19"/>
      <c r="U42" s="19">
        <v>0</v>
      </c>
      <c r="V42" s="19"/>
      <c r="W42" s="19">
        <v>423454</v>
      </c>
      <c r="X42" s="19"/>
      <c r="Y42" s="26">
        <f t="shared" si="12"/>
        <v>36087591</v>
      </c>
      <c r="Z42" s="19"/>
      <c r="AA42" s="19">
        <v>58868</v>
      </c>
      <c r="AB42" s="19"/>
      <c r="AC42" s="19">
        <v>0</v>
      </c>
      <c r="AD42" s="19"/>
      <c r="AE42" s="19">
        <f>546390+16800000</f>
        <v>17346390</v>
      </c>
      <c r="AF42" s="19"/>
      <c r="AG42" s="19"/>
      <c r="AH42" s="19"/>
      <c r="AI42" s="19"/>
      <c r="AJ42" s="19"/>
      <c r="AK42" s="19">
        <v>0</v>
      </c>
      <c r="AL42" s="19"/>
      <c r="AM42" s="19">
        <v>0</v>
      </c>
      <c r="AN42" s="19"/>
      <c r="AO42" s="26">
        <f t="shared" si="3"/>
        <v>17405258</v>
      </c>
      <c r="AP42" s="19"/>
      <c r="AQ42" s="26">
        <f t="shared" si="5"/>
        <v>53492849</v>
      </c>
      <c r="AR42" s="26"/>
    </row>
    <row r="43" spans="1:44">
      <c r="A43" s="9" t="s">
        <v>259</v>
      </c>
      <c r="B43" s="9"/>
      <c r="C43" s="9" t="s">
        <v>20</v>
      </c>
      <c r="D43" s="9"/>
      <c r="E43" s="23">
        <v>43554</v>
      </c>
      <c r="F43" s="19"/>
      <c r="G43" s="19">
        <v>27846976</v>
      </c>
      <c r="H43" s="19"/>
      <c r="I43" s="19">
        <v>0</v>
      </c>
      <c r="J43" s="19"/>
      <c r="K43" s="19">
        <v>8673834</v>
      </c>
      <c r="L43" s="19"/>
      <c r="M43" s="19">
        <v>73489</v>
      </c>
      <c r="N43" s="19"/>
      <c r="O43" s="19">
        <f>3443210+300182+566147</f>
        <v>4309539</v>
      </c>
      <c r="P43" s="19"/>
      <c r="Q43" s="19">
        <v>59973</v>
      </c>
      <c r="R43" s="19"/>
      <c r="S43" s="19">
        <v>0</v>
      </c>
      <c r="T43" s="19"/>
      <c r="U43" s="19">
        <v>21620</v>
      </c>
      <c r="V43" s="19"/>
      <c r="W43" s="19">
        <v>5392284</v>
      </c>
      <c r="X43" s="19"/>
      <c r="Y43" s="26">
        <f t="shared" si="12"/>
        <v>46377715</v>
      </c>
      <c r="Z43" s="19"/>
      <c r="AA43" s="19">
        <v>331600</v>
      </c>
      <c r="AB43" s="19"/>
      <c r="AC43" s="19">
        <v>0</v>
      </c>
      <c r="AD43" s="19"/>
      <c r="AE43" s="19">
        <f>3245000+96400+157750</f>
        <v>3499150</v>
      </c>
      <c r="AF43" s="19"/>
      <c r="AG43" s="19"/>
      <c r="AH43" s="19"/>
      <c r="AI43" s="19"/>
      <c r="AJ43" s="19"/>
      <c r="AK43" s="19">
        <v>0</v>
      </c>
      <c r="AL43" s="19"/>
      <c r="AM43" s="19">
        <v>0</v>
      </c>
      <c r="AN43" s="19"/>
      <c r="AO43" s="26">
        <f t="shared" si="3"/>
        <v>3830750</v>
      </c>
      <c r="AP43" s="19"/>
      <c r="AQ43" s="26">
        <f t="shared" si="5"/>
        <v>50208465</v>
      </c>
      <c r="AR43" s="26"/>
    </row>
    <row r="44" spans="1:44">
      <c r="A44" s="9" t="s">
        <v>244</v>
      </c>
      <c r="B44" s="9"/>
      <c r="C44" s="9" t="s">
        <v>111</v>
      </c>
      <c r="D44" s="9"/>
      <c r="E44" s="23">
        <v>46425</v>
      </c>
      <c r="F44" s="19"/>
      <c r="G44" s="19">
        <v>6181900</v>
      </c>
      <c r="H44" s="19"/>
      <c r="I44" s="19">
        <v>0</v>
      </c>
      <c r="J44" s="19"/>
      <c r="K44" s="19">
        <v>15258468</v>
      </c>
      <c r="L44" s="19"/>
      <c r="M44" s="19">
        <f>211351-206904</f>
        <v>4447</v>
      </c>
      <c r="N44" s="19"/>
      <c r="O44" s="19">
        <f>1528915+12971+209984</f>
        <v>1751870</v>
      </c>
      <c r="P44" s="19"/>
      <c r="Q44" s="19">
        <v>250005</v>
      </c>
      <c r="R44" s="19"/>
      <c r="S44" s="19">
        <v>0</v>
      </c>
      <c r="T44" s="19"/>
      <c r="U44" s="19">
        <v>0</v>
      </c>
      <c r="V44" s="19"/>
      <c r="W44" s="19">
        <v>67570</v>
      </c>
      <c r="X44" s="19"/>
      <c r="Y44" s="26">
        <f t="shared" si="12"/>
        <v>23514260</v>
      </c>
      <c r="Z44" s="19"/>
      <c r="AA44" s="19">
        <v>6000</v>
      </c>
      <c r="AB44" s="19"/>
      <c r="AC44" s="19">
        <v>0</v>
      </c>
      <c r="AD44" s="19"/>
      <c r="AE44" s="19">
        <v>21498614</v>
      </c>
      <c r="AF44" s="19"/>
      <c r="AG44" s="19"/>
      <c r="AH44" s="19"/>
      <c r="AI44" s="19"/>
      <c r="AJ44" s="19"/>
      <c r="AK44" s="19">
        <f>449311+1977</f>
        <v>451288</v>
      </c>
      <c r="AL44" s="19"/>
      <c r="AM44" s="19">
        <v>0</v>
      </c>
      <c r="AN44" s="19"/>
      <c r="AO44" s="26">
        <f>SUM(AA44:AM44)</f>
        <v>21955902</v>
      </c>
      <c r="AP44" s="19"/>
      <c r="AQ44" s="26">
        <f>Y44+AO44</f>
        <v>45470162</v>
      </c>
      <c r="AR44" s="26"/>
    </row>
    <row r="45" spans="1:44">
      <c r="A45" s="9" t="s">
        <v>315</v>
      </c>
      <c r="B45" s="9"/>
      <c r="C45" s="9" t="s">
        <v>113</v>
      </c>
      <c r="D45" s="9"/>
      <c r="E45" s="23">
        <v>47241</v>
      </c>
      <c r="F45" s="19"/>
      <c r="G45" s="19">
        <v>57442659</v>
      </c>
      <c r="H45" s="19"/>
      <c r="I45" s="19">
        <v>0</v>
      </c>
      <c r="J45" s="19"/>
      <c r="K45" s="19">
        <v>21914878</v>
      </c>
      <c r="L45" s="19"/>
      <c r="M45" s="19">
        <v>256353</v>
      </c>
      <c r="N45" s="19"/>
      <c r="O45" s="19">
        <f>1583549+26087+1777686</f>
        <v>3387322</v>
      </c>
      <c r="P45" s="19"/>
      <c r="Q45" s="19">
        <v>977118</v>
      </c>
      <c r="R45" s="19"/>
      <c r="S45" s="19">
        <v>0</v>
      </c>
      <c r="T45" s="19"/>
      <c r="U45" s="19">
        <v>60797</v>
      </c>
      <c r="V45" s="19"/>
      <c r="W45" s="19">
        <v>424019</v>
      </c>
      <c r="X45" s="19"/>
      <c r="Y45" s="26">
        <f t="shared" si="12"/>
        <v>84463146</v>
      </c>
      <c r="Z45" s="19"/>
      <c r="AA45" s="19">
        <v>0</v>
      </c>
      <c r="AB45" s="19"/>
      <c r="AC45" s="19">
        <v>0</v>
      </c>
      <c r="AD45" s="19"/>
      <c r="AE45" s="19">
        <v>0</v>
      </c>
      <c r="AF45" s="19"/>
      <c r="AG45" s="19"/>
      <c r="AH45" s="19"/>
      <c r="AI45" s="19"/>
      <c r="AJ45" s="19"/>
      <c r="AK45" s="19">
        <v>0</v>
      </c>
      <c r="AL45" s="19"/>
      <c r="AM45" s="19">
        <v>0</v>
      </c>
      <c r="AN45" s="19"/>
      <c r="AO45" s="26">
        <f t="shared" si="3"/>
        <v>0</v>
      </c>
      <c r="AP45" s="19"/>
      <c r="AQ45" s="26">
        <f>Y45+AO45</f>
        <v>84463146</v>
      </c>
      <c r="AR45" s="26"/>
    </row>
    <row r="46" spans="1:44">
      <c r="A46" s="9" t="s">
        <v>260</v>
      </c>
      <c r="B46" s="9"/>
      <c r="C46" s="9" t="s">
        <v>20</v>
      </c>
      <c r="D46" s="9"/>
      <c r="E46" s="23">
        <v>43562</v>
      </c>
      <c r="F46" s="19"/>
      <c r="G46" s="19">
        <v>27447886</v>
      </c>
      <c r="H46" s="19"/>
      <c r="I46" s="19">
        <v>0</v>
      </c>
      <c r="J46" s="19"/>
      <c r="K46" s="19">
        <v>19207456</v>
      </c>
      <c r="L46" s="19"/>
      <c r="M46" s="19">
        <v>18041</v>
      </c>
      <c r="N46" s="19"/>
      <c r="O46" s="19">
        <f>579174+1517077+38204</f>
        <v>2134455</v>
      </c>
      <c r="P46" s="19"/>
      <c r="Q46" s="19">
        <v>250250</v>
      </c>
      <c r="R46" s="19"/>
      <c r="S46" s="19">
        <v>0</v>
      </c>
      <c r="T46" s="19"/>
      <c r="U46" s="19">
        <v>33755</v>
      </c>
      <c r="V46" s="19"/>
      <c r="W46" s="19">
        <v>223307</v>
      </c>
      <c r="X46" s="19"/>
      <c r="Y46" s="26">
        <f t="shared" si="12"/>
        <v>49315150</v>
      </c>
      <c r="Z46" s="19"/>
      <c r="AA46" s="19">
        <v>330450</v>
      </c>
      <c r="AB46" s="19"/>
      <c r="AC46" s="19">
        <v>0</v>
      </c>
      <c r="AD46" s="19"/>
      <c r="AE46" s="19">
        <v>274578</v>
      </c>
      <c r="AF46" s="19"/>
      <c r="AG46" s="19"/>
      <c r="AH46" s="19"/>
      <c r="AI46" s="19"/>
      <c r="AJ46" s="19"/>
      <c r="AK46" s="19">
        <v>12508</v>
      </c>
      <c r="AL46" s="19"/>
      <c r="AM46" s="19">
        <v>0</v>
      </c>
      <c r="AN46" s="19"/>
      <c r="AO46" s="26">
        <f t="shared" si="3"/>
        <v>617536</v>
      </c>
      <c r="AP46" s="19"/>
      <c r="AQ46" s="26">
        <f>Y46+AO46</f>
        <v>49932686</v>
      </c>
      <c r="AR46" s="26"/>
    </row>
    <row r="47" spans="1:44">
      <c r="A47" s="9" t="s">
        <v>214</v>
      </c>
      <c r="B47" s="9"/>
      <c r="C47" s="9" t="s">
        <v>15</v>
      </c>
      <c r="D47" s="9"/>
      <c r="E47" s="23">
        <v>43570</v>
      </c>
      <c r="F47" s="19"/>
      <c r="G47" s="19">
        <v>2675231</v>
      </c>
      <c r="H47" s="19"/>
      <c r="I47" s="19">
        <v>0</v>
      </c>
      <c r="J47" s="19"/>
      <c r="K47" s="19">
        <v>12653849</v>
      </c>
      <c r="L47" s="19"/>
      <c r="M47" s="19">
        <v>10340</v>
      </c>
      <c r="N47" s="19"/>
      <c r="O47" s="19">
        <f>862822+6000+212553</f>
        <v>1081375</v>
      </c>
      <c r="P47" s="19"/>
      <c r="Q47" s="19">
        <v>241892</v>
      </c>
      <c r="R47" s="19"/>
      <c r="S47" s="19">
        <v>0</v>
      </c>
      <c r="T47" s="19"/>
      <c r="U47" s="19">
        <v>11843</v>
      </c>
      <c r="V47" s="19"/>
      <c r="W47" s="19">
        <v>46918</v>
      </c>
      <c r="X47" s="19"/>
      <c r="Y47" s="26">
        <f t="shared" si="12"/>
        <v>16721448</v>
      </c>
      <c r="Z47" s="19"/>
      <c r="AA47" s="19">
        <v>0</v>
      </c>
      <c r="AB47" s="19"/>
      <c r="AC47" s="19">
        <v>0</v>
      </c>
      <c r="AD47" s="19"/>
      <c r="AE47" s="19">
        <v>0</v>
      </c>
      <c r="AF47" s="19"/>
      <c r="AG47" s="19"/>
      <c r="AH47" s="19"/>
      <c r="AI47" s="19"/>
      <c r="AJ47" s="19"/>
      <c r="AK47" s="19">
        <v>124500</v>
      </c>
      <c r="AL47" s="19"/>
      <c r="AM47" s="19">
        <v>0</v>
      </c>
      <c r="AN47" s="19"/>
      <c r="AO47" s="26">
        <f t="shared" si="3"/>
        <v>124500</v>
      </c>
      <c r="AP47" s="19"/>
      <c r="AQ47" s="26">
        <f>Y47+AO47</f>
        <v>16845948</v>
      </c>
      <c r="AR47" s="26"/>
    </row>
    <row r="48" spans="1:44">
      <c r="A48" s="9" t="s">
        <v>729</v>
      </c>
      <c r="B48" s="9"/>
      <c r="C48" s="9" t="s">
        <v>113</v>
      </c>
      <c r="D48" s="9"/>
      <c r="E48" s="23">
        <v>47274</v>
      </c>
      <c r="F48" s="19"/>
      <c r="G48" s="19">
        <v>18254405</v>
      </c>
      <c r="H48" s="19"/>
      <c r="I48" s="19">
        <v>0</v>
      </c>
      <c r="J48" s="19"/>
      <c r="K48" s="19">
        <v>9402448</v>
      </c>
      <c r="L48" s="19"/>
      <c r="M48" s="19">
        <v>878</v>
      </c>
      <c r="N48" s="19"/>
      <c r="O48" s="19">
        <f>539206+528534+53805</f>
        <v>1121545</v>
      </c>
      <c r="P48" s="19"/>
      <c r="Q48" s="19">
        <v>449039</v>
      </c>
      <c r="R48" s="19"/>
      <c r="S48" s="19">
        <v>0</v>
      </c>
      <c r="T48" s="19"/>
      <c r="U48" s="19">
        <v>172498</v>
      </c>
      <c r="V48" s="19"/>
      <c r="W48" s="19">
        <v>398025</v>
      </c>
      <c r="X48" s="19"/>
      <c r="Y48" s="26">
        <f t="shared" si="12"/>
        <v>29798838</v>
      </c>
      <c r="Z48" s="19"/>
      <c r="AA48" s="19">
        <v>0</v>
      </c>
      <c r="AB48" s="19"/>
      <c r="AC48" s="19">
        <v>0</v>
      </c>
      <c r="AD48" s="19"/>
      <c r="AE48" s="19">
        <v>0</v>
      </c>
      <c r="AF48" s="19"/>
      <c r="AG48" s="19"/>
      <c r="AH48" s="19"/>
      <c r="AI48" s="19"/>
      <c r="AJ48" s="19"/>
      <c r="AK48" s="19">
        <f>363630+600</f>
        <v>364230</v>
      </c>
      <c r="AL48" s="19"/>
      <c r="AM48" s="19">
        <v>0</v>
      </c>
      <c r="AN48" s="19"/>
      <c r="AO48" s="26">
        <f t="shared" si="3"/>
        <v>364230</v>
      </c>
      <c r="AP48" s="19"/>
      <c r="AQ48" s="26">
        <f t="shared" si="5"/>
        <v>30163068</v>
      </c>
      <c r="AR48" s="26"/>
    </row>
    <row r="49" spans="1:44" s="68" customFormat="1" hidden="1">
      <c r="A49" s="9" t="s">
        <v>873</v>
      </c>
      <c r="B49" s="9"/>
      <c r="C49" s="9" t="s">
        <v>43</v>
      </c>
      <c r="D49" s="9"/>
      <c r="E49" s="23">
        <v>43588</v>
      </c>
      <c r="F49" s="19"/>
      <c r="G49" s="19">
        <v>0</v>
      </c>
      <c r="H49" s="19"/>
      <c r="I49" s="19">
        <v>0</v>
      </c>
      <c r="J49" s="19"/>
      <c r="K49" s="19">
        <v>0</v>
      </c>
      <c r="L49" s="19"/>
      <c r="M49" s="19">
        <v>0</v>
      </c>
      <c r="N49" s="19"/>
      <c r="O49" s="19">
        <v>0</v>
      </c>
      <c r="P49" s="19"/>
      <c r="Q49" s="19">
        <v>0</v>
      </c>
      <c r="R49" s="19"/>
      <c r="S49" s="19">
        <v>0</v>
      </c>
      <c r="T49" s="19"/>
      <c r="U49" s="19">
        <v>0</v>
      </c>
      <c r="V49" s="19"/>
      <c r="W49" s="19">
        <v>0</v>
      </c>
      <c r="X49" s="19"/>
      <c r="Y49" s="26">
        <f t="shared" ref="Y49" si="13">SUM(G49:X49)</f>
        <v>0</v>
      </c>
      <c r="Z49" s="19"/>
      <c r="AA49" s="19">
        <v>0</v>
      </c>
      <c r="AB49" s="19"/>
      <c r="AC49" s="19">
        <v>0</v>
      </c>
      <c r="AD49" s="19"/>
      <c r="AE49" s="19">
        <v>0</v>
      </c>
      <c r="AF49" s="19"/>
      <c r="AG49" s="19"/>
      <c r="AH49" s="19"/>
      <c r="AI49" s="19"/>
      <c r="AJ49" s="19"/>
      <c r="AK49" s="19">
        <v>0</v>
      </c>
      <c r="AL49" s="19"/>
      <c r="AM49" s="19">
        <v>0</v>
      </c>
      <c r="AN49" s="19"/>
      <c r="AO49" s="26">
        <f t="shared" ref="AO49" si="14">SUM(AA49:AM49)</f>
        <v>0</v>
      </c>
      <c r="AP49" s="19"/>
      <c r="AQ49" s="26">
        <f t="shared" ref="AQ49" si="15">Y49+AO49</f>
        <v>0</v>
      </c>
      <c r="AR49" s="26"/>
    </row>
    <row r="50" spans="1:44">
      <c r="A50" s="9" t="s">
        <v>353</v>
      </c>
      <c r="B50" s="9"/>
      <c r="C50" s="9" t="s">
        <v>37</v>
      </c>
      <c r="D50" s="9"/>
      <c r="E50" s="23">
        <v>43596</v>
      </c>
      <c r="F50" s="19"/>
      <c r="G50" s="19">
        <v>8321333</v>
      </c>
      <c r="H50" s="19"/>
      <c r="I50" s="19">
        <v>1323420</v>
      </c>
      <c r="J50" s="19"/>
      <c r="K50" s="19">
        <f>2423+10987453+1851225</f>
        <v>12841101</v>
      </c>
      <c r="L50" s="19"/>
      <c r="M50" s="19">
        <f>42178-17127</f>
        <v>25051</v>
      </c>
      <c r="N50" s="19"/>
      <c r="O50" s="19">
        <f>454028+353137+70218+26329</f>
        <v>903712</v>
      </c>
      <c r="P50" s="19"/>
      <c r="Q50" s="19">
        <v>248075</v>
      </c>
      <c r="R50" s="19"/>
      <c r="S50" s="19">
        <v>0</v>
      </c>
      <c r="T50" s="19"/>
      <c r="U50" s="19">
        <v>8089</v>
      </c>
      <c r="V50" s="19"/>
      <c r="W50" s="19">
        <v>243847</v>
      </c>
      <c r="X50" s="19"/>
      <c r="Y50" s="26">
        <f t="shared" si="12"/>
        <v>23914628</v>
      </c>
      <c r="Z50" s="19"/>
      <c r="AA50" s="19">
        <v>76256</v>
      </c>
      <c r="AB50" s="19"/>
      <c r="AC50" s="19">
        <v>0</v>
      </c>
      <c r="AD50" s="19"/>
      <c r="AE50" s="19">
        <v>0</v>
      </c>
      <c r="AF50" s="19"/>
      <c r="AG50" s="19"/>
      <c r="AH50" s="19"/>
      <c r="AI50" s="19"/>
      <c r="AJ50" s="19"/>
      <c r="AK50" s="19">
        <f>61906+260231+150000</f>
        <v>472137</v>
      </c>
      <c r="AL50" s="19"/>
      <c r="AM50" s="19">
        <v>0</v>
      </c>
      <c r="AN50" s="19"/>
      <c r="AO50" s="26">
        <f t="shared" si="3"/>
        <v>548393</v>
      </c>
      <c r="AP50" s="19"/>
      <c r="AQ50" s="26">
        <f t="shared" si="5"/>
        <v>24463021</v>
      </c>
      <c r="AR50" s="26"/>
    </row>
    <row r="51" spans="1:44">
      <c r="A51" s="9" t="s">
        <v>543</v>
      </c>
      <c r="B51" s="9"/>
      <c r="C51" s="9" t="s">
        <v>70</v>
      </c>
      <c r="D51" s="9"/>
      <c r="E51" s="23">
        <v>43604</v>
      </c>
      <c r="F51" s="19"/>
      <c r="G51" s="19">
        <v>3424777</v>
      </c>
      <c r="H51" s="19"/>
      <c r="I51" s="19">
        <v>0</v>
      </c>
      <c r="J51" s="19"/>
      <c r="K51" s="19">
        <f>5371571+1496628</f>
        <v>6868199</v>
      </c>
      <c r="L51" s="19"/>
      <c r="M51" s="19">
        <v>38705</v>
      </c>
      <c r="N51" s="19"/>
      <c r="O51" s="19">
        <f>483213+112570+18627+2000</f>
        <v>616410</v>
      </c>
      <c r="P51" s="19"/>
      <c r="Q51" s="19">
        <v>98072</v>
      </c>
      <c r="R51" s="19"/>
      <c r="S51" s="19">
        <v>0</v>
      </c>
      <c r="T51" s="19"/>
      <c r="U51" s="19">
        <v>7750</v>
      </c>
      <c r="V51" s="19"/>
      <c r="W51" s="19">
        <v>52729</v>
      </c>
      <c r="X51" s="19"/>
      <c r="Y51" s="26">
        <f t="shared" si="12"/>
        <v>11106642</v>
      </c>
      <c r="Z51" s="19"/>
      <c r="AA51" s="19">
        <v>0</v>
      </c>
      <c r="AB51" s="19"/>
      <c r="AC51" s="19">
        <v>0</v>
      </c>
      <c r="AD51" s="19"/>
      <c r="AE51" s="19">
        <v>0</v>
      </c>
      <c r="AF51" s="19"/>
      <c r="AG51" s="19"/>
      <c r="AH51" s="19"/>
      <c r="AI51" s="19"/>
      <c r="AJ51" s="19"/>
      <c r="AK51" s="19">
        <v>0</v>
      </c>
      <c r="AL51" s="19"/>
      <c r="AM51" s="19">
        <v>0</v>
      </c>
      <c r="AN51" s="19"/>
      <c r="AO51" s="26">
        <f t="shared" si="3"/>
        <v>0</v>
      </c>
      <c r="AP51" s="19"/>
      <c r="AQ51" s="26">
        <f t="shared" si="5"/>
        <v>11106642</v>
      </c>
      <c r="AR51" s="26"/>
    </row>
    <row r="52" spans="1:44" hidden="1">
      <c r="A52" s="9" t="s">
        <v>874</v>
      </c>
      <c r="B52" s="9"/>
      <c r="C52" s="9" t="s">
        <v>43</v>
      </c>
      <c r="D52" s="9"/>
      <c r="E52" s="23">
        <v>48074</v>
      </c>
      <c r="F52" s="19"/>
      <c r="G52" s="19">
        <v>0</v>
      </c>
      <c r="H52" s="19"/>
      <c r="I52" s="19">
        <v>0</v>
      </c>
      <c r="J52" s="19"/>
      <c r="K52" s="19">
        <v>0</v>
      </c>
      <c r="L52" s="19"/>
      <c r="M52" s="19">
        <v>0</v>
      </c>
      <c r="N52" s="19"/>
      <c r="O52" s="19">
        <v>0</v>
      </c>
      <c r="P52" s="19"/>
      <c r="Q52" s="19">
        <v>0</v>
      </c>
      <c r="R52" s="19"/>
      <c r="S52" s="19">
        <v>0</v>
      </c>
      <c r="T52" s="19"/>
      <c r="U52" s="19">
        <v>0</v>
      </c>
      <c r="V52" s="19"/>
      <c r="W52" s="19">
        <v>0</v>
      </c>
      <c r="X52" s="19"/>
      <c r="Y52" s="26">
        <f t="shared" ref="Y52" si="16">SUM(G52:X52)</f>
        <v>0</v>
      </c>
      <c r="Z52" s="19"/>
      <c r="AA52" s="19">
        <v>0</v>
      </c>
      <c r="AB52" s="19"/>
      <c r="AC52" s="19">
        <v>0</v>
      </c>
      <c r="AD52" s="19"/>
      <c r="AE52" s="19">
        <v>0</v>
      </c>
      <c r="AF52" s="19"/>
      <c r="AG52" s="19"/>
      <c r="AH52" s="19"/>
      <c r="AI52" s="19"/>
      <c r="AJ52" s="19"/>
      <c r="AK52" s="19">
        <v>0</v>
      </c>
      <c r="AL52" s="19"/>
      <c r="AM52" s="19">
        <v>0</v>
      </c>
      <c r="AN52" s="19"/>
      <c r="AO52" s="26">
        <f t="shared" ref="AO52" si="17">SUM(AA52:AM52)</f>
        <v>0</v>
      </c>
      <c r="AP52" s="19"/>
      <c r="AQ52" s="26">
        <f t="shared" ref="AQ52" si="18">Y52+AO52</f>
        <v>0</v>
      </c>
      <c r="AR52" s="26"/>
    </row>
    <row r="53" spans="1:44" hidden="1">
      <c r="A53" s="9" t="s">
        <v>857</v>
      </c>
      <c r="B53" s="9"/>
      <c r="C53" s="9" t="s">
        <v>53</v>
      </c>
      <c r="D53" s="9"/>
      <c r="E53" s="23">
        <v>48926</v>
      </c>
      <c r="F53" s="19"/>
      <c r="G53" s="19">
        <v>0</v>
      </c>
      <c r="H53" s="19"/>
      <c r="I53" s="19">
        <v>0</v>
      </c>
      <c r="J53" s="19"/>
      <c r="K53" s="19">
        <v>0</v>
      </c>
      <c r="L53" s="19"/>
      <c r="M53" s="19">
        <v>0</v>
      </c>
      <c r="N53" s="19"/>
      <c r="O53" s="19">
        <v>0</v>
      </c>
      <c r="P53" s="19"/>
      <c r="Q53" s="19">
        <v>0</v>
      </c>
      <c r="R53" s="19"/>
      <c r="S53" s="19">
        <v>0</v>
      </c>
      <c r="T53" s="19"/>
      <c r="U53" s="19">
        <v>0</v>
      </c>
      <c r="V53" s="19"/>
      <c r="W53" s="19">
        <v>0</v>
      </c>
      <c r="X53" s="19"/>
      <c r="Y53" s="26">
        <f t="shared" si="12"/>
        <v>0</v>
      </c>
      <c r="Z53" s="19"/>
      <c r="AA53" s="19">
        <v>0</v>
      </c>
      <c r="AB53" s="19"/>
      <c r="AC53" s="19">
        <v>0</v>
      </c>
      <c r="AD53" s="19"/>
      <c r="AE53" s="19">
        <v>0</v>
      </c>
      <c r="AF53" s="19"/>
      <c r="AG53" s="19"/>
      <c r="AH53" s="19"/>
      <c r="AI53" s="19"/>
      <c r="AJ53" s="19"/>
      <c r="AK53" s="19">
        <v>0</v>
      </c>
      <c r="AL53" s="19"/>
      <c r="AM53" s="19">
        <v>0</v>
      </c>
      <c r="AN53" s="19"/>
      <c r="AO53" s="26">
        <f t="shared" si="3"/>
        <v>0</v>
      </c>
      <c r="AP53" s="19"/>
      <c r="AQ53" s="26">
        <f t="shared" si="5"/>
        <v>0</v>
      </c>
      <c r="AR53" s="26"/>
    </row>
    <row r="54" spans="1:44">
      <c r="A54" s="9" t="s">
        <v>261</v>
      </c>
      <c r="B54" s="9"/>
      <c r="C54" s="9" t="s">
        <v>20</v>
      </c>
      <c r="D54" s="9"/>
      <c r="E54" s="23">
        <v>43612</v>
      </c>
      <c r="F54" s="19"/>
      <c r="G54" s="19">
        <v>55022732</v>
      </c>
      <c r="H54" s="19"/>
      <c r="I54" s="19">
        <v>0</v>
      </c>
      <c r="J54" s="19"/>
      <c r="K54" s="19">
        <v>28235695</v>
      </c>
      <c r="L54" s="19"/>
      <c r="M54" s="19">
        <v>20181</v>
      </c>
      <c r="N54" s="19"/>
      <c r="O54" s="19">
        <f>3981655+68650+1095096</f>
        <v>5145401</v>
      </c>
      <c r="P54" s="19"/>
      <c r="Q54" s="19">
        <v>695598</v>
      </c>
      <c r="R54" s="19"/>
      <c r="S54" s="19">
        <v>0</v>
      </c>
      <c r="T54" s="19"/>
      <c r="U54" s="19">
        <v>386584</v>
      </c>
      <c r="V54" s="19"/>
      <c r="W54" s="19">
        <v>965240</v>
      </c>
      <c r="X54" s="19"/>
      <c r="Y54" s="26">
        <f t="shared" si="12"/>
        <v>90471431</v>
      </c>
      <c r="Z54" s="19"/>
      <c r="AA54" s="19">
        <v>571137</v>
      </c>
      <c r="AB54" s="19"/>
      <c r="AC54" s="19">
        <v>0</v>
      </c>
      <c r="AD54" s="19"/>
      <c r="AE54" s="19">
        <v>0</v>
      </c>
      <c r="AF54" s="19"/>
      <c r="AG54" s="19"/>
      <c r="AH54" s="19"/>
      <c r="AI54" s="19"/>
      <c r="AJ54" s="19"/>
      <c r="AK54" s="19">
        <v>0</v>
      </c>
      <c r="AL54" s="19"/>
      <c r="AM54" s="19">
        <v>0</v>
      </c>
      <c r="AN54" s="19"/>
      <c r="AO54" s="26">
        <f t="shared" si="3"/>
        <v>571137</v>
      </c>
      <c r="AP54" s="19"/>
      <c r="AQ54" s="26">
        <f t="shared" si="5"/>
        <v>91042568</v>
      </c>
      <c r="AR54" s="26"/>
    </row>
    <row r="55" spans="1:44">
      <c r="A55" s="9" t="s">
        <v>634</v>
      </c>
      <c r="B55" s="9"/>
      <c r="C55" s="9" t="s">
        <v>30</v>
      </c>
      <c r="D55" s="9"/>
      <c r="E55" s="23">
        <v>47167</v>
      </c>
      <c r="F55" s="19"/>
      <c r="G55" s="19">
        <v>4373428</v>
      </c>
      <c r="H55" s="19"/>
      <c r="I55" s="19">
        <v>1735507</v>
      </c>
      <c r="J55" s="19"/>
      <c r="K55" s="19">
        <v>4628000</v>
      </c>
      <c r="L55" s="19"/>
      <c r="M55" s="19">
        <v>4079</v>
      </c>
      <c r="N55" s="19"/>
      <c r="O55" s="19">
        <f>498588+105066+1880</f>
        <v>605534</v>
      </c>
      <c r="P55" s="19"/>
      <c r="Q55" s="19">
        <v>152660</v>
      </c>
      <c r="R55" s="19"/>
      <c r="S55" s="19">
        <v>0</v>
      </c>
      <c r="T55" s="19"/>
      <c r="U55" s="19">
        <v>31022</v>
      </c>
      <c r="V55" s="19"/>
      <c r="W55" s="19">
        <v>43260</v>
      </c>
      <c r="X55" s="19"/>
      <c r="Y55" s="26">
        <f t="shared" si="12"/>
        <v>11573490</v>
      </c>
      <c r="Z55" s="19"/>
      <c r="AA55" s="19">
        <v>75000</v>
      </c>
      <c r="AB55" s="19"/>
      <c r="AC55" s="19">
        <v>0</v>
      </c>
      <c r="AD55" s="19"/>
      <c r="AE55" s="19">
        <v>0</v>
      </c>
      <c r="AF55" s="19"/>
      <c r="AG55" s="19"/>
      <c r="AH55" s="19"/>
      <c r="AI55" s="19"/>
      <c r="AJ55" s="19"/>
      <c r="AK55" s="19">
        <v>146624</v>
      </c>
      <c r="AL55" s="19"/>
      <c r="AM55" s="19">
        <v>0</v>
      </c>
      <c r="AN55" s="19"/>
      <c r="AO55" s="26">
        <f t="shared" si="3"/>
        <v>221624</v>
      </c>
      <c r="AP55" s="19"/>
      <c r="AQ55" s="26">
        <f t="shared" si="5"/>
        <v>11795114</v>
      </c>
      <c r="AR55" s="26"/>
    </row>
    <row r="56" spans="1:44" hidden="1">
      <c r="A56" s="9" t="s">
        <v>283</v>
      </c>
      <c r="B56" s="9"/>
      <c r="C56" s="9" t="s">
        <v>24</v>
      </c>
      <c r="D56" s="9"/>
      <c r="E56" s="23">
        <v>46789</v>
      </c>
      <c r="F56" s="19"/>
      <c r="G56" s="19">
        <v>0</v>
      </c>
      <c r="H56" s="19"/>
      <c r="I56" s="19">
        <v>0</v>
      </c>
      <c r="J56" s="19"/>
      <c r="K56" s="19">
        <v>0</v>
      </c>
      <c r="L56" s="19"/>
      <c r="M56" s="19">
        <v>0</v>
      </c>
      <c r="N56" s="19"/>
      <c r="O56" s="19">
        <v>0</v>
      </c>
      <c r="P56" s="19"/>
      <c r="Q56" s="19">
        <v>0</v>
      </c>
      <c r="R56" s="19"/>
      <c r="S56" s="19">
        <v>0</v>
      </c>
      <c r="T56" s="19"/>
      <c r="U56" s="19">
        <v>0</v>
      </c>
      <c r="V56" s="19"/>
      <c r="W56" s="19">
        <v>0</v>
      </c>
      <c r="X56" s="19"/>
      <c r="Y56" s="26">
        <f t="shared" si="12"/>
        <v>0</v>
      </c>
      <c r="Z56" s="19"/>
      <c r="AA56" s="19">
        <v>0</v>
      </c>
      <c r="AB56" s="19"/>
      <c r="AC56" s="19">
        <v>0</v>
      </c>
      <c r="AD56" s="19"/>
      <c r="AE56" s="19">
        <v>0</v>
      </c>
      <c r="AF56" s="19"/>
      <c r="AG56" s="19"/>
      <c r="AH56" s="19"/>
      <c r="AI56" s="19"/>
      <c r="AJ56" s="19"/>
      <c r="AK56" s="19">
        <v>0</v>
      </c>
      <c r="AL56" s="19"/>
      <c r="AM56" s="19">
        <v>0</v>
      </c>
      <c r="AN56" s="19"/>
      <c r="AO56" s="26">
        <f t="shared" si="3"/>
        <v>0</v>
      </c>
      <c r="AP56" s="19"/>
      <c r="AQ56" s="26">
        <f t="shared" si="5"/>
        <v>0</v>
      </c>
      <c r="AR56" s="26"/>
    </row>
    <row r="57" spans="1:44" hidden="1">
      <c r="A57" s="9" t="s">
        <v>786</v>
      </c>
      <c r="B57" s="9"/>
      <c r="C57" s="9" t="s">
        <v>25</v>
      </c>
      <c r="D57" s="9"/>
      <c r="E57" s="23">
        <v>46854</v>
      </c>
      <c r="F57" s="19"/>
      <c r="G57" s="19">
        <v>0</v>
      </c>
      <c r="H57" s="19"/>
      <c r="I57" s="19">
        <v>0</v>
      </c>
      <c r="J57" s="19"/>
      <c r="K57" s="19">
        <v>0</v>
      </c>
      <c r="L57" s="19"/>
      <c r="M57" s="19">
        <v>0</v>
      </c>
      <c r="N57" s="19"/>
      <c r="O57" s="19">
        <v>0</v>
      </c>
      <c r="P57" s="19"/>
      <c r="Q57" s="19">
        <v>0</v>
      </c>
      <c r="R57" s="19"/>
      <c r="S57" s="19">
        <v>0</v>
      </c>
      <c r="T57" s="19"/>
      <c r="U57" s="19">
        <v>0</v>
      </c>
      <c r="V57" s="19"/>
      <c r="W57" s="19">
        <v>0</v>
      </c>
      <c r="X57" s="19"/>
      <c r="Y57" s="26">
        <f t="shared" ref="Y57:Y86" si="19">SUM(G57:W57)</f>
        <v>0</v>
      </c>
      <c r="Z57" s="19"/>
      <c r="AA57" s="19">
        <v>0</v>
      </c>
      <c r="AB57" s="19"/>
      <c r="AC57" s="19">
        <v>0</v>
      </c>
      <c r="AD57" s="19"/>
      <c r="AE57" s="19">
        <v>0</v>
      </c>
      <c r="AF57" s="19"/>
      <c r="AG57" s="19"/>
      <c r="AH57" s="19"/>
      <c r="AI57" s="19"/>
      <c r="AJ57" s="19"/>
      <c r="AK57" s="19">
        <v>0</v>
      </c>
      <c r="AL57" s="19"/>
      <c r="AM57" s="19">
        <v>0</v>
      </c>
      <c r="AN57" s="19"/>
      <c r="AO57" s="26">
        <f t="shared" si="3"/>
        <v>0</v>
      </c>
      <c r="AP57" s="19"/>
      <c r="AQ57" s="26">
        <f t="shared" si="5"/>
        <v>0</v>
      </c>
      <c r="AR57" s="26"/>
    </row>
    <row r="58" spans="1:44">
      <c r="A58" s="9" t="s">
        <v>420</v>
      </c>
      <c r="B58" s="9"/>
      <c r="C58" s="9" t="s">
        <v>48</v>
      </c>
      <c r="D58" s="9"/>
      <c r="E58" s="23">
        <v>48611</v>
      </c>
      <c r="F58" s="19"/>
      <c r="G58" s="19">
        <v>3955282</v>
      </c>
      <c r="H58" s="19"/>
      <c r="I58" s="19">
        <v>821461</v>
      </c>
      <c r="J58" s="19"/>
      <c r="K58" s="19">
        <v>3581429</v>
      </c>
      <c r="L58" s="19"/>
      <c r="M58" s="19">
        <v>42944</v>
      </c>
      <c r="N58" s="19"/>
      <c r="O58" s="19">
        <f>837038+187580</f>
        <v>1024618</v>
      </c>
      <c r="P58" s="19"/>
      <c r="Q58" s="19">
        <v>170426</v>
      </c>
      <c r="R58" s="19"/>
      <c r="S58" s="19">
        <v>0</v>
      </c>
      <c r="T58" s="19"/>
      <c r="U58" s="19">
        <v>0</v>
      </c>
      <c r="V58" s="19"/>
      <c r="W58" s="19">
        <v>216797</v>
      </c>
      <c r="X58" s="19"/>
      <c r="Y58" s="26">
        <f t="shared" ref="Y58" si="20">SUM(G58:X58)</f>
        <v>9812957</v>
      </c>
      <c r="Z58" s="19"/>
      <c r="AA58" s="19">
        <v>0</v>
      </c>
      <c r="AB58" s="19"/>
      <c r="AC58" s="19">
        <v>0</v>
      </c>
      <c r="AD58" s="19"/>
      <c r="AE58" s="19">
        <v>0</v>
      </c>
      <c r="AF58" s="19"/>
      <c r="AG58" s="19"/>
      <c r="AH58" s="19"/>
      <c r="AI58" s="19"/>
      <c r="AJ58" s="19"/>
      <c r="AK58" s="19">
        <v>0</v>
      </c>
      <c r="AL58" s="19"/>
      <c r="AM58" s="19">
        <v>0</v>
      </c>
      <c r="AN58" s="19"/>
      <c r="AO58" s="26">
        <f t="shared" ref="AO58" si="21">SUM(AA58:AM58)</f>
        <v>0</v>
      </c>
      <c r="AP58" s="19"/>
      <c r="AQ58" s="26">
        <f t="shared" ref="AQ58" si="22">Y58+AO58</f>
        <v>9812957</v>
      </c>
      <c r="AR58" s="26"/>
    </row>
    <row r="59" spans="1:44">
      <c r="A59" s="9" t="s">
        <v>236</v>
      </c>
      <c r="B59" s="9"/>
      <c r="C59" s="9" t="s">
        <v>112</v>
      </c>
      <c r="D59" s="9"/>
      <c r="E59" s="23">
        <v>46318</v>
      </c>
      <c r="F59" s="19"/>
      <c r="G59" s="19">
        <v>3470961</v>
      </c>
      <c r="H59" s="19"/>
      <c r="I59" s="19">
        <v>0</v>
      </c>
      <c r="J59" s="19"/>
      <c r="K59" s="19">
        <v>11098007</v>
      </c>
      <c r="L59" s="19"/>
      <c r="M59" s="19">
        <v>3429</v>
      </c>
      <c r="N59" s="19"/>
      <c r="O59" s="19">
        <f>1135275+11036+274618</f>
        <v>1420929</v>
      </c>
      <c r="P59" s="19"/>
      <c r="Q59" s="19">
        <v>271826</v>
      </c>
      <c r="R59" s="19"/>
      <c r="S59" s="19">
        <v>0</v>
      </c>
      <c r="T59" s="19"/>
      <c r="U59" s="19">
        <v>42451</v>
      </c>
      <c r="V59" s="19"/>
      <c r="W59" s="19">
        <v>45745</v>
      </c>
      <c r="X59" s="19"/>
      <c r="Y59" s="26">
        <f t="shared" si="19"/>
        <v>16353348</v>
      </c>
      <c r="Z59" s="19"/>
      <c r="AA59" s="19">
        <v>467554</v>
      </c>
      <c r="AB59" s="19"/>
      <c r="AC59" s="19">
        <v>0</v>
      </c>
      <c r="AD59" s="19"/>
      <c r="AE59" s="19">
        <v>0</v>
      </c>
      <c r="AF59" s="19"/>
      <c r="AG59" s="19"/>
      <c r="AH59" s="19"/>
      <c r="AI59" s="19"/>
      <c r="AJ59" s="19"/>
      <c r="AK59" s="19">
        <v>7500</v>
      </c>
      <c r="AL59" s="19"/>
      <c r="AM59" s="19">
        <v>0</v>
      </c>
      <c r="AN59" s="19"/>
      <c r="AO59" s="26">
        <f t="shared" si="3"/>
        <v>475054</v>
      </c>
      <c r="AP59" s="19"/>
      <c r="AQ59" s="26">
        <f t="shared" si="5"/>
        <v>16828402</v>
      </c>
      <c r="AR59" s="26"/>
    </row>
    <row r="60" spans="1:44" hidden="1">
      <c r="A60" s="9" t="s">
        <v>667</v>
      </c>
      <c r="B60" s="9"/>
      <c r="C60" s="9" t="s">
        <v>60</v>
      </c>
      <c r="D60" s="9"/>
      <c r="E60" s="23">
        <v>49692</v>
      </c>
      <c r="F60" s="19"/>
      <c r="G60" s="19">
        <v>0</v>
      </c>
      <c r="H60" s="19"/>
      <c r="I60" s="19">
        <v>0</v>
      </c>
      <c r="J60" s="19"/>
      <c r="K60" s="19">
        <v>0</v>
      </c>
      <c r="L60" s="19"/>
      <c r="M60" s="19">
        <v>0</v>
      </c>
      <c r="N60" s="19"/>
      <c r="O60" s="19">
        <v>0</v>
      </c>
      <c r="P60" s="19"/>
      <c r="Q60" s="19">
        <v>0</v>
      </c>
      <c r="R60" s="19"/>
      <c r="S60" s="19">
        <v>0</v>
      </c>
      <c r="T60" s="19"/>
      <c r="U60" s="19">
        <v>0</v>
      </c>
      <c r="V60" s="19"/>
      <c r="W60" s="19">
        <v>0</v>
      </c>
      <c r="X60" s="19"/>
      <c r="Y60" s="26">
        <f t="shared" si="19"/>
        <v>0</v>
      </c>
      <c r="Z60" s="19"/>
      <c r="AA60" s="19">
        <v>0</v>
      </c>
      <c r="AB60" s="19"/>
      <c r="AC60" s="19">
        <v>0</v>
      </c>
      <c r="AD60" s="19"/>
      <c r="AE60" s="19">
        <v>0</v>
      </c>
      <c r="AF60" s="19"/>
      <c r="AG60" s="19"/>
      <c r="AH60" s="19"/>
      <c r="AI60" s="19"/>
      <c r="AJ60" s="19"/>
      <c r="AK60" s="19">
        <v>0</v>
      </c>
      <c r="AL60" s="19"/>
      <c r="AM60" s="19">
        <v>0</v>
      </c>
      <c r="AN60" s="19"/>
      <c r="AO60" s="26">
        <f t="shared" si="3"/>
        <v>0</v>
      </c>
      <c r="AP60" s="19"/>
      <c r="AQ60" s="26">
        <f t="shared" si="5"/>
        <v>0</v>
      </c>
      <c r="AR60" s="26"/>
    </row>
    <row r="61" spans="1:44">
      <c r="A61" s="9" t="s">
        <v>297</v>
      </c>
      <c r="B61" s="9"/>
      <c r="C61" s="9" t="s">
        <v>27</v>
      </c>
      <c r="D61" s="9"/>
      <c r="E61" s="23">
        <v>43620</v>
      </c>
      <c r="F61" s="19"/>
      <c r="G61" s="19">
        <v>21702543</v>
      </c>
      <c r="H61" s="19"/>
      <c r="I61" s="19">
        <v>7187761</v>
      </c>
      <c r="J61" s="19"/>
      <c r="K61" s="19">
        <f>828270+7024905+833957</f>
        <v>8687132</v>
      </c>
      <c r="L61" s="19"/>
      <c r="M61" s="19">
        <v>61799</v>
      </c>
      <c r="N61" s="19"/>
      <c r="O61" s="19">
        <f>283161+105803</f>
        <v>388964</v>
      </c>
      <c r="P61" s="19"/>
      <c r="Q61" s="19">
        <v>279073</v>
      </c>
      <c r="R61" s="19"/>
      <c r="S61" s="19">
        <v>0</v>
      </c>
      <c r="T61" s="19"/>
      <c r="U61" s="19">
        <v>0</v>
      </c>
      <c r="V61" s="19"/>
      <c r="W61" s="19">
        <v>414796</v>
      </c>
      <c r="X61" s="19"/>
      <c r="Y61" s="26">
        <f t="shared" si="19"/>
        <v>38722068</v>
      </c>
      <c r="Z61" s="19"/>
      <c r="AA61" s="19">
        <v>240017</v>
      </c>
      <c r="AB61" s="19"/>
      <c r="AC61" s="19">
        <v>0</v>
      </c>
      <c r="AD61" s="19"/>
      <c r="AE61" s="19">
        <v>0</v>
      </c>
      <c r="AF61" s="19"/>
      <c r="AG61" s="19"/>
      <c r="AH61" s="19"/>
      <c r="AI61" s="19"/>
      <c r="AJ61" s="19"/>
      <c r="AK61" s="19">
        <v>0</v>
      </c>
      <c r="AL61" s="19"/>
      <c r="AM61" s="19">
        <v>0</v>
      </c>
      <c r="AN61" s="19"/>
      <c r="AO61" s="26">
        <f t="shared" si="3"/>
        <v>240017</v>
      </c>
      <c r="AP61" s="19"/>
      <c r="AQ61" s="26">
        <f t="shared" si="5"/>
        <v>38962085</v>
      </c>
      <c r="AR61" s="26"/>
    </row>
    <row r="62" spans="1:44">
      <c r="A62" s="9" t="s">
        <v>630</v>
      </c>
      <c r="B62" s="9"/>
      <c r="C62" s="9" t="s">
        <v>23</v>
      </c>
      <c r="D62" s="9"/>
      <c r="E62" s="23">
        <v>46748</v>
      </c>
      <c r="F62" s="19"/>
      <c r="G62" s="19">
        <v>20433156</v>
      </c>
      <c r="H62" s="19"/>
      <c r="I62" s="19">
        <v>5082396</v>
      </c>
      <c r="J62" s="19"/>
      <c r="K62" s="19">
        <v>8940574</v>
      </c>
      <c r="L62" s="19"/>
      <c r="M62" s="19">
        <v>20719</v>
      </c>
      <c r="N62" s="19"/>
      <c r="O62" s="19">
        <f>382112+718086</f>
        <v>1100198</v>
      </c>
      <c r="P62" s="19"/>
      <c r="Q62" s="19">
        <v>216664</v>
      </c>
      <c r="R62" s="19"/>
      <c r="S62" s="19">
        <v>0</v>
      </c>
      <c r="T62" s="19"/>
      <c r="U62" s="19">
        <v>164293</v>
      </c>
      <c r="V62" s="19"/>
      <c r="W62" s="19">
        <v>395011</v>
      </c>
      <c r="X62" s="19"/>
      <c r="Y62" s="26">
        <f t="shared" si="19"/>
        <v>36353011</v>
      </c>
      <c r="Z62" s="19"/>
      <c r="AA62" s="19">
        <v>0</v>
      </c>
      <c r="AB62" s="19"/>
      <c r="AC62" s="19">
        <v>0</v>
      </c>
      <c r="AD62" s="19"/>
      <c r="AE62" s="19">
        <v>0</v>
      </c>
      <c r="AF62" s="19"/>
      <c r="AG62" s="19"/>
      <c r="AH62" s="19"/>
      <c r="AI62" s="19"/>
      <c r="AJ62" s="19"/>
      <c r="AK62" s="19">
        <v>101854</v>
      </c>
      <c r="AL62" s="19"/>
      <c r="AM62" s="19">
        <v>0</v>
      </c>
      <c r="AN62" s="19"/>
      <c r="AO62" s="26">
        <f t="shared" si="3"/>
        <v>101854</v>
      </c>
      <c r="AP62" s="19"/>
      <c r="AQ62" s="26">
        <f t="shared" si="5"/>
        <v>36454865</v>
      </c>
      <c r="AR62" s="26"/>
    </row>
    <row r="63" spans="1:44">
      <c r="A63" s="9" t="s">
        <v>411</v>
      </c>
      <c r="B63" s="9"/>
      <c r="C63" s="9" t="s">
        <v>47</v>
      </c>
      <c r="D63" s="9"/>
      <c r="E63" s="23">
        <v>48462</v>
      </c>
      <c r="F63" s="19"/>
      <c r="G63" s="19">
        <v>3991476</v>
      </c>
      <c r="H63" s="19"/>
      <c r="I63" s="19">
        <v>0</v>
      </c>
      <c r="J63" s="19"/>
      <c r="K63" s="19">
        <f>29066+7679104+1071564</f>
        <v>8779734</v>
      </c>
      <c r="L63" s="19"/>
      <c r="M63" s="19">
        <v>18519</v>
      </c>
      <c r="N63" s="19"/>
      <c r="O63" s="19">
        <f>354271+110395+46678+16731+3489</f>
        <v>531564</v>
      </c>
      <c r="P63" s="19"/>
      <c r="Q63" s="19">
        <v>350519</v>
      </c>
      <c r="R63" s="19"/>
      <c r="S63" s="19">
        <v>0</v>
      </c>
      <c r="T63" s="19"/>
      <c r="U63" s="19">
        <v>457</v>
      </c>
      <c r="V63" s="19"/>
      <c r="W63" s="19">
        <f>228608+19069</f>
        <v>247677</v>
      </c>
      <c r="X63" s="19"/>
      <c r="Y63" s="26">
        <f t="shared" si="19"/>
        <v>13919946</v>
      </c>
      <c r="Z63" s="19"/>
      <c r="AA63" s="19">
        <v>119104</v>
      </c>
      <c r="AB63" s="19"/>
      <c r="AC63" s="19">
        <v>0</v>
      </c>
      <c r="AD63" s="19"/>
      <c r="AE63" s="19">
        <v>0</v>
      </c>
      <c r="AF63" s="19"/>
      <c r="AG63" s="19"/>
      <c r="AH63" s="19"/>
      <c r="AI63" s="19"/>
      <c r="AJ63" s="19"/>
      <c r="AK63" s="19">
        <v>0</v>
      </c>
      <c r="AL63" s="19"/>
      <c r="AM63" s="19">
        <v>0</v>
      </c>
      <c r="AN63" s="19"/>
      <c r="AO63" s="26">
        <f t="shared" si="3"/>
        <v>119104</v>
      </c>
      <c r="AP63" s="19"/>
      <c r="AQ63" s="26">
        <f t="shared" si="5"/>
        <v>14039050</v>
      </c>
      <c r="AR63" s="26"/>
    </row>
    <row r="64" spans="1:44">
      <c r="A64" s="9" t="s">
        <v>240</v>
      </c>
      <c r="B64" s="9"/>
      <c r="C64" s="9" t="s">
        <v>18</v>
      </c>
      <c r="D64" s="9"/>
      <c r="E64" s="23">
        <v>46383</v>
      </c>
      <c r="F64" s="19"/>
      <c r="G64" s="19">
        <v>3118207</v>
      </c>
      <c r="H64" s="19"/>
      <c r="I64" s="19">
        <v>0</v>
      </c>
      <c r="J64" s="19"/>
      <c r="K64" s="19">
        <v>11259515</v>
      </c>
      <c r="L64" s="19"/>
      <c r="M64" s="19">
        <v>32016</v>
      </c>
      <c r="N64" s="19"/>
      <c r="O64" s="19">
        <f>1551634+262786</f>
        <v>1814420</v>
      </c>
      <c r="P64" s="19"/>
      <c r="Q64" s="19">
        <v>136317</v>
      </c>
      <c r="R64" s="19"/>
      <c r="S64" s="19">
        <v>0</v>
      </c>
      <c r="T64" s="19"/>
      <c r="U64" s="19">
        <v>0</v>
      </c>
      <c r="V64" s="19"/>
      <c r="W64" s="19">
        <v>146824</v>
      </c>
      <c r="X64" s="19"/>
      <c r="Y64" s="26">
        <f t="shared" si="19"/>
        <v>16507299</v>
      </c>
      <c r="Z64" s="19"/>
      <c r="AA64" s="19">
        <v>0</v>
      </c>
      <c r="AB64" s="19"/>
      <c r="AC64" s="19">
        <v>0</v>
      </c>
      <c r="AD64" s="19"/>
      <c r="AE64" s="19">
        <v>0</v>
      </c>
      <c r="AF64" s="19"/>
      <c r="AG64" s="19"/>
      <c r="AH64" s="19"/>
      <c r="AI64" s="19"/>
      <c r="AJ64" s="19"/>
      <c r="AK64" s="19">
        <f>2114999+88423</f>
        <v>2203422</v>
      </c>
      <c r="AL64" s="19"/>
      <c r="AM64" s="19">
        <v>0</v>
      </c>
      <c r="AN64" s="19"/>
      <c r="AO64" s="26">
        <f t="shared" si="3"/>
        <v>2203422</v>
      </c>
      <c r="AP64" s="19"/>
      <c r="AQ64" s="26">
        <f t="shared" si="5"/>
        <v>18710721</v>
      </c>
      <c r="AR64" s="26"/>
    </row>
    <row r="65" spans="1:44">
      <c r="A65" s="9" t="s">
        <v>291</v>
      </c>
      <c r="B65" s="9"/>
      <c r="C65" s="9" t="s">
        <v>25</v>
      </c>
      <c r="D65" s="9"/>
      <c r="E65" s="23">
        <v>46862</v>
      </c>
      <c r="F65" s="19"/>
      <c r="G65" s="19">
        <v>8145505</v>
      </c>
      <c r="H65" s="19"/>
      <c r="I65" s="19">
        <v>3855565</v>
      </c>
      <c r="J65" s="19"/>
      <c r="K65" s="19">
        <v>6102213</v>
      </c>
      <c r="L65" s="19"/>
      <c r="M65" s="19">
        <v>34444</v>
      </c>
      <c r="N65" s="19"/>
      <c r="O65" s="19">
        <f>1098321+388080</f>
        <v>1486401</v>
      </c>
      <c r="P65" s="19"/>
      <c r="Q65" s="19">
        <v>160826</v>
      </c>
      <c r="R65" s="19"/>
      <c r="S65" s="19">
        <v>0</v>
      </c>
      <c r="T65" s="19"/>
      <c r="U65" s="19">
        <v>72885</v>
      </c>
      <c r="V65" s="19"/>
      <c r="W65" s="19">
        <v>79459</v>
      </c>
      <c r="X65" s="19"/>
      <c r="Y65" s="26">
        <f t="shared" si="19"/>
        <v>19937298</v>
      </c>
      <c r="Z65" s="19"/>
      <c r="AA65" s="19">
        <v>18004</v>
      </c>
      <c r="AB65" s="19"/>
      <c r="AC65" s="19">
        <v>0</v>
      </c>
      <c r="AD65" s="19"/>
      <c r="AE65" s="19">
        <f>10761732+298869</f>
        <v>11060601</v>
      </c>
      <c r="AF65" s="19"/>
      <c r="AG65" s="19"/>
      <c r="AH65" s="19"/>
      <c r="AI65" s="19"/>
      <c r="AJ65" s="19"/>
      <c r="AK65" s="19">
        <f>15463+3592</f>
        <v>19055</v>
      </c>
      <c r="AL65" s="19"/>
      <c r="AM65" s="19">
        <v>0</v>
      </c>
      <c r="AN65" s="19"/>
      <c r="AO65" s="26">
        <f t="shared" si="3"/>
        <v>11097660</v>
      </c>
      <c r="AP65" s="19"/>
      <c r="AQ65" s="26">
        <f t="shared" si="5"/>
        <v>31034958</v>
      </c>
      <c r="AR65" s="26"/>
    </row>
    <row r="66" spans="1:44">
      <c r="A66" s="9" t="s">
        <v>514</v>
      </c>
      <c r="B66" s="9"/>
      <c r="C66" s="9" t="s">
        <v>64</v>
      </c>
      <c r="D66" s="9"/>
      <c r="E66" s="23">
        <v>50096</v>
      </c>
      <c r="F66" s="19"/>
      <c r="G66" s="19">
        <v>1368065</v>
      </c>
      <c r="H66" s="19"/>
      <c r="I66" s="19">
        <v>0</v>
      </c>
      <c r="J66" s="19"/>
      <c r="K66" s="19">
        <f>1621616+936106</f>
        <v>2557722</v>
      </c>
      <c r="L66" s="19"/>
      <c r="M66" s="19">
        <v>515</v>
      </c>
      <c r="N66" s="19"/>
      <c r="O66" s="19">
        <f>183096+24027+2972+46+10320</f>
        <v>220461</v>
      </c>
      <c r="P66" s="19"/>
      <c r="Q66" s="19">
        <v>28575</v>
      </c>
      <c r="R66" s="19"/>
      <c r="S66" s="19">
        <v>0</v>
      </c>
      <c r="T66" s="19"/>
      <c r="U66" s="19">
        <v>875</v>
      </c>
      <c r="V66" s="19"/>
      <c r="W66" s="19">
        <v>6747</v>
      </c>
      <c r="X66" s="19"/>
      <c r="Y66" s="26">
        <f t="shared" si="19"/>
        <v>4182960</v>
      </c>
      <c r="Z66" s="19"/>
      <c r="AA66" s="19">
        <v>0</v>
      </c>
      <c r="AB66" s="19"/>
      <c r="AC66" s="19">
        <v>0</v>
      </c>
      <c r="AD66" s="19"/>
      <c r="AE66" s="19">
        <v>0</v>
      </c>
      <c r="AF66" s="19"/>
      <c r="AG66" s="19"/>
      <c r="AH66" s="19"/>
      <c r="AI66" s="19"/>
      <c r="AJ66" s="19"/>
      <c r="AK66" s="19">
        <v>0</v>
      </c>
      <c r="AL66" s="19"/>
      <c r="AM66" s="19">
        <v>0</v>
      </c>
      <c r="AN66" s="19"/>
      <c r="AO66" s="26">
        <f t="shared" si="3"/>
        <v>0</v>
      </c>
      <c r="AP66" s="19"/>
      <c r="AQ66" s="26">
        <f t="shared" si="5"/>
        <v>4182960</v>
      </c>
      <c r="AR66" s="26"/>
    </row>
    <row r="67" spans="1:44">
      <c r="A67" s="9" t="s">
        <v>476</v>
      </c>
      <c r="B67" s="9"/>
      <c r="C67" s="9" t="s">
        <v>59</v>
      </c>
      <c r="D67" s="9"/>
      <c r="E67" s="23">
        <v>49593</v>
      </c>
      <c r="F67" s="19"/>
      <c r="G67" s="19">
        <v>1197873</v>
      </c>
      <c r="H67" s="19"/>
      <c r="I67" s="19">
        <v>0</v>
      </c>
      <c r="J67" s="19"/>
      <c r="K67" s="19">
        <v>7895548</v>
      </c>
      <c r="L67" s="19"/>
      <c r="M67" s="19">
        <v>5065</v>
      </c>
      <c r="N67" s="19"/>
      <c r="O67" s="19">
        <f>871163+400+124444</f>
        <v>996007</v>
      </c>
      <c r="P67" s="19"/>
      <c r="Q67" s="19">
        <v>41685</v>
      </c>
      <c r="R67" s="19"/>
      <c r="S67" s="19">
        <v>0</v>
      </c>
      <c r="T67" s="19"/>
      <c r="U67" s="19">
        <v>11005</v>
      </c>
      <c r="V67" s="19"/>
      <c r="W67" s="19">
        <v>250493</v>
      </c>
      <c r="X67" s="19"/>
      <c r="Y67" s="26">
        <f>SUM(G67:W67)</f>
        <v>10397676</v>
      </c>
      <c r="Z67" s="19"/>
      <c r="AA67" s="19">
        <v>35126</v>
      </c>
      <c r="AB67" s="19"/>
      <c r="AC67" s="19">
        <v>0</v>
      </c>
      <c r="AD67" s="19"/>
      <c r="AE67" s="19">
        <v>0</v>
      </c>
      <c r="AF67" s="19"/>
      <c r="AG67" s="19"/>
      <c r="AH67" s="19"/>
      <c r="AI67" s="19"/>
      <c r="AJ67" s="19"/>
      <c r="AK67" s="19">
        <v>4948</v>
      </c>
      <c r="AL67" s="19"/>
      <c r="AM67" s="19">
        <v>0</v>
      </c>
      <c r="AN67" s="19"/>
      <c r="AO67" s="26">
        <f t="shared" si="3"/>
        <v>40074</v>
      </c>
      <c r="AP67" s="19"/>
      <c r="AQ67" s="26">
        <f t="shared" si="5"/>
        <v>10437750</v>
      </c>
      <c r="AR67" s="26"/>
    </row>
    <row r="68" spans="1:44" hidden="1">
      <c r="A68" s="9" t="s">
        <v>875</v>
      </c>
      <c r="B68" s="9"/>
      <c r="C68" s="9" t="s">
        <v>10</v>
      </c>
      <c r="D68" s="9"/>
      <c r="E68" s="23">
        <v>45211</v>
      </c>
      <c r="F68" s="19"/>
      <c r="G68" s="19">
        <v>0</v>
      </c>
      <c r="H68" s="19"/>
      <c r="I68" s="19">
        <v>0</v>
      </c>
      <c r="J68" s="19"/>
      <c r="K68" s="19">
        <v>0</v>
      </c>
      <c r="L68" s="19"/>
      <c r="M68" s="19">
        <v>0</v>
      </c>
      <c r="N68" s="19"/>
      <c r="O68" s="19">
        <v>0</v>
      </c>
      <c r="P68" s="19"/>
      <c r="Q68" s="19">
        <v>0</v>
      </c>
      <c r="R68" s="19"/>
      <c r="S68" s="19">
        <v>0</v>
      </c>
      <c r="T68" s="19"/>
      <c r="U68" s="19">
        <v>0</v>
      </c>
      <c r="V68" s="19"/>
      <c r="W68" s="19">
        <v>0</v>
      </c>
      <c r="X68" s="19"/>
      <c r="Y68" s="26">
        <f>SUM(G68:W68)</f>
        <v>0</v>
      </c>
      <c r="Z68" s="19"/>
      <c r="AA68" s="19">
        <v>0</v>
      </c>
      <c r="AB68" s="19"/>
      <c r="AC68" s="19">
        <v>0</v>
      </c>
      <c r="AD68" s="19"/>
      <c r="AE68" s="19">
        <v>0</v>
      </c>
      <c r="AF68" s="19"/>
      <c r="AG68" s="19"/>
      <c r="AH68" s="19"/>
      <c r="AI68" s="19"/>
      <c r="AJ68" s="19"/>
      <c r="AK68" s="19">
        <v>0</v>
      </c>
      <c r="AL68" s="19"/>
      <c r="AM68" s="19">
        <v>0</v>
      </c>
      <c r="AN68" s="19"/>
      <c r="AO68" s="26">
        <f t="shared" si="3"/>
        <v>0</v>
      </c>
      <c r="AP68" s="19"/>
      <c r="AQ68" s="26">
        <f t="shared" si="5"/>
        <v>0</v>
      </c>
      <c r="AR68" s="26"/>
    </row>
    <row r="69" spans="1:44">
      <c r="A69" s="9" t="s">
        <v>399</v>
      </c>
      <c r="B69" s="9"/>
      <c r="C69" s="9" t="s">
        <v>45</v>
      </c>
      <c r="D69" s="9"/>
      <c r="E69" s="23">
        <v>48306</v>
      </c>
      <c r="F69" s="19"/>
      <c r="G69" s="19">
        <v>27387398</v>
      </c>
      <c r="H69" s="19"/>
      <c r="I69" s="19">
        <v>0</v>
      </c>
      <c r="J69" s="19"/>
      <c r="K69" s="19">
        <v>15944151</v>
      </c>
      <c r="L69" s="19"/>
      <c r="M69" s="19">
        <v>9721</v>
      </c>
      <c r="N69" s="19"/>
      <c r="O69" s="19">
        <f>639864+1964530+143516</f>
        <v>2747910</v>
      </c>
      <c r="P69" s="19"/>
      <c r="Q69" s="19">
        <v>450816</v>
      </c>
      <c r="R69" s="19"/>
      <c r="S69" s="19">
        <v>0</v>
      </c>
      <c r="T69" s="19"/>
      <c r="U69" s="19">
        <v>37051</v>
      </c>
      <c r="V69" s="19"/>
      <c r="W69" s="19">
        <v>278390</v>
      </c>
      <c r="X69" s="19"/>
      <c r="Y69" s="26">
        <f t="shared" si="19"/>
        <v>46855437</v>
      </c>
      <c r="Z69" s="19"/>
      <c r="AA69" s="19">
        <v>461343</v>
      </c>
      <c r="AB69" s="19"/>
      <c r="AC69" s="19">
        <v>0</v>
      </c>
      <c r="AD69" s="19"/>
      <c r="AE69" s="19">
        <v>0</v>
      </c>
      <c r="AF69" s="19"/>
      <c r="AG69" s="19"/>
      <c r="AH69" s="19"/>
      <c r="AI69" s="19"/>
      <c r="AJ69" s="19"/>
      <c r="AK69" s="19">
        <f>516910+13745</f>
        <v>530655</v>
      </c>
      <c r="AL69" s="19"/>
      <c r="AM69" s="19">
        <v>0</v>
      </c>
      <c r="AN69" s="19"/>
      <c r="AO69" s="26">
        <f t="shared" si="3"/>
        <v>991998</v>
      </c>
      <c r="AP69" s="19"/>
      <c r="AQ69" s="26">
        <f t="shared" si="5"/>
        <v>47847435</v>
      </c>
      <c r="AR69" s="26"/>
    </row>
    <row r="70" spans="1:44" hidden="1">
      <c r="A70" s="9" t="s">
        <v>900</v>
      </c>
      <c r="B70" s="9"/>
      <c r="C70" s="9" t="s">
        <v>61</v>
      </c>
      <c r="D70" s="9"/>
      <c r="E70" s="23">
        <v>49767</v>
      </c>
      <c r="F70" s="19"/>
      <c r="G70" s="19">
        <v>0</v>
      </c>
      <c r="H70" s="19"/>
      <c r="I70" s="19">
        <v>0</v>
      </c>
      <c r="J70" s="19"/>
      <c r="K70" s="19">
        <v>0</v>
      </c>
      <c r="L70" s="19"/>
      <c r="M70" s="19">
        <v>0</v>
      </c>
      <c r="N70" s="19"/>
      <c r="O70" s="19">
        <v>0</v>
      </c>
      <c r="P70" s="19"/>
      <c r="Q70" s="19">
        <v>0</v>
      </c>
      <c r="R70" s="19"/>
      <c r="S70" s="19">
        <v>0</v>
      </c>
      <c r="T70" s="19"/>
      <c r="U70" s="19">
        <v>0</v>
      </c>
      <c r="V70" s="19"/>
      <c r="W70" s="19">
        <v>0</v>
      </c>
      <c r="X70" s="19"/>
      <c r="Y70" s="26">
        <f t="shared" si="19"/>
        <v>0</v>
      </c>
      <c r="Z70" s="19"/>
      <c r="AA70" s="19">
        <v>0</v>
      </c>
      <c r="AB70" s="19"/>
      <c r="AC70" s="19">
        <v>0</v>
      </c>
      <c r="AD70" s="19"/>
      <c r="AE70" s="19">
        <v>0</v>
      </c>
      <c r="AF70" s="19"/>
      <c r="AG70" s="19"/>
      <c r="AH70" s="19"/>
      <c r="AI70" s="19"/>
      <c r="AJ70" s="19"/>
      <c r="AK70" s="19">
        <v>0</v>
      </c>
      <c r="AL70" s="19"/>
      <c r="AM70" s="19">
        <v>0</v>
      </c>
      <c r="AN70" s="19"/>
      <c r="AO70" s="26">
        <f t="shared" si="3"/>
        <v>0</v>
      </c>
      <c r="AP70" s="19"/>
      <c r="AQ70" s="26">
        <f t="shared" si="5"/>
        <v>0</v>
      </c>
      <c r="AR70" s="26"/>
    </row>
    <row r="71" spans="1:44">
      <c r="A71" s="9" t="s">
        <v>549</v>
      </c>
      <c r="B71" s="9"/>
      <c r="C71" s="9" t="s">
        <v>72</v>
      </c>
      <c r="D71" s="9"/>
      <c r="E71" s="23">
        <v>43638</v>
      </c>
      <c r="F71" s="19"/>
      <c r="G71" s="19">
        <v>18732983</v>
      </c>
      <c r="H71" s="19"/>
      <c r="I71" s="19">
        <v>3060887</v>
      </c>
      <c r="J71" s="19"/>
      <c r="K71" s="19">
        <v>11724104</v>
      </c>
      <c r="L71" s="19"/>
      <c r="M71" s="19">
        <v>33640</v>
      </c>
      <c r="N71" s="19"/>
      <c r="O71" s="19">
        <f>429065+4925</f>
        <v>433990</v>
      </c>
      <c r="P71" s="19"/>
      <c r="Q71" s="19">
        <v>282157</v>
      </c>
      <c r="R71" s="19"/>
      <c r="S71" s="19">
        <v>0</v>
      </c>
      <c r="T71" s="19"/>
      <c r="U71" s="19">
        <v>6265</v>
      </c>
      <c r="V71" s="19"/>
      <c r="W71" s="19">
        <v>131646</v>
      </c>
      <c r="X71" s="19"/>
      <c r="Y71" s="26">
        <f t="shared" si="19"/>
        <v>34405672</v>
      </c>
      <c r="Z71" s="19"/>
      <c r="AA71" s="19">
        <v>0</v>
      </c>
      <c r="AB71" s="19"/>
      <c r="AC71" s="19">
        <v>0</v>
      </c>
      <c r="AD71" s="19"/>
      <c r="AE71" s="19">
        <v>0</v>
      </c>
      <c r="AF71" s="19"/>
      <c r="AG71" s="19"/>
      <c r="AH71" s="19"/>
      <c r="AI71" s="19"/>
      <c r="AJ71" s="19"/>
      <c r="AK71" s="19">
        <v>87829</v>
      </c>
      <c r="AL71" s="19"/>
      <c r="AM71" s="19">
        <v>0</v>
      </c>
      <c r="AN71" s="19"/>
      <c r="AO71" s="26">
        <f t="shared" si="3"/>
        <v>87829</v>
      </c>
      <c r="AP71" s="19"/>
      <c r="AQ71" s="26">
        <f t="shared" si="5"/>
        <v>34493501</v>
      </c>
      <c r="AR71" s="26"/>
    </row>
    <row r="72" spans="1:44" ht="12" hidden="1" customHeight="1">
      <c r="A72" s="9" t="s">
        <v>876</v>
      </c>
      <c r="B72" s="9"/>
      <c r="C72" s="9" t="s">
        <v>48</v>
      </c>
      <c r="D72" s="9"/>
      <c r="E72" s="23">
        <v>45229</v>
      </c>
      <c r="F72" s="19"/>
      <c r="G72" s="19">
        <v>0</v>
      </c>
      <c r="H72" s="19"/>
      <c r="I72" s="19">
        <v>0</v>
      </c>
      <c r="J72" s="19"/>
      <c r="K72" s="19">
        <v>0</v>
      </c>
      <c r="L72" s="19"/>
      <c r="M72" s="19">
        <v>0</v>
      </c>
      <c r="N72" s="19"/>
      <c r="O72" s="19">
        <v>0</v>
      </c>
      <c r="P72" s="19"/>
      <c r="Q72" s="19">
        <v>0</v>
      </c>
      <c r="R72" s="19"/>
      <c r="S72" s="19">
        <v>0</v>
      </c>
      <c r="T72" s="19"/>
      <c r="U72" s="19">
        <v>0</v>
      </c>
      <c r="V72" s="19"/>
      <c r="W72" s="19">
        <v>0</v>
      </c>
      <c r="X72" s="19"/>
      <c r="Y72" s="26">
        <f>SUM(G72:W72)</f>
        <v>0</v>
      </c>
      <c r="Z72" s="19"/>
      <c r="AA72" s="19">
        <v>0</v>
      </c>
      <c r="AB72" s="19"/>
      <c r="AC72" s="19">
        <v>0</v>
      </c>
      <c r="AD72" s="19"/>
      <c r="AE72" s="19">
        <v>0</v>
      </c>
      <c r="AF72" s="19"/>
      <c r="AG72" s="19"/>
      <c r="AH72" s="19"/>
      <c r="AI72" s="19"/>
      <c r="AJ72" s="19"/>
      <c r="AK72" s="19">
        <v>0</v>
      </c>
      <c r="AL72" s="19"/>
      <c r="AM72" s="19">
        <v>0</v>
      </c>
      <c r="AN72" s="19"/>
      <c r="AO72" s="26">
        <f t="shared" si="3"/>
        <v>0</v>
      </c>
      <c r="AP72" s="19"/>
      <c r="AQ72" s="26">
        <f t="shared" si="5"/>
        <v>0</v>
      </c>
      <c r="AR72" s="26"/>
    </row>
    <row r="73" spans="1:44">
      <c r="A73" s="9" t="s">
        <v>779</v>
      </c>
      <c r="B73" s="9"/>
      <c r="C73" s="9" t="s">
        <v>20</v>
      </c>
      <c r="D73" s="9"/>
      <c r="E73" s="23">
        <v>43646</v>
      </c>
      <c r="F73" s="19"/>
      <c r="G73" s="19">
        <v>36315927</v>
      </c>
      <c r="H73" s="19"/>
      <c r="I73" s="19">
        <v>0</v>
      </c>
      <c r="J73" s="19"/>
      <c r="K73" s="19">
        <v>13639111</v>
      </c>
      <c r="L73" s="19"/>
      <c r="M73" s="19">
        <v>33394</v>
      </c>
      <c r="N73" s="19"/>
      <c r="O73" s="19">
        <f>1327540+77824+1385752</f>
        <v>2791116</v>
      </c>
      <c r="P73" s="19"/>
      <c r="Q73" s="19">
        <v>1260620</v>
      </c>
      <c r="R73" s="19"/>
      <c r="S73" s="19">
        <v>465443</v>
      </c>
      <c r="T73" s="19"/>
      <c r="U73" s="19">
        <v>128093</v>
      </c>
      <c r="V73" s="19"/>
      <c r="W73" s="19">
        <v>39502</v>
      </c>
      <c r="X73" s="19"/>
      <c r="Y73" s="26">
        <f t="shared" si="19"/>
        <v>54673206</v>
      </c>
      <c r="Z73" s="19"/>
      <c r="AA73" s="19">
        <v>15000</v>
      </c>
      <c r="AB73" s="19"/>
      <c r="AC73" s="19">
        <v>0</v>
      </c>
      <c r="AD73" s="19"/>
      <c r="AE73" s="19">
        <f>10480000+1280000+64374</f>
        <v>11824374</v>
      </c>
      <c r="AF73" s="19"/>
      <c r="AG73" s="19"/>
      <c r="AH73" s="19"/>
      <c r="AI73" s="19"/>
      <c r="AJ73" s="19"/>
      <c r="AK73" s="19">
        <v>0</v>
      </c>
      <c r="AL73" s="19"/>
      <c r="AM73" s="19">
        <v>0</v>
      </c>
      <c r="AN73" s="19"/>
      <c r="AO73" s="26">
        <f t="shared" si="3"/>
        <v>11839374</v>
      </c>
      <c r="AP73" s="19"/>
      <c r="AQ73" s="26">
        <f t="shared" si="5"/>
        <v>66512580</v>
      </c>
      <c r="AR73" s="26"/>
    </row>
    <row r="74" spans="1:44">
      <c r="A74" s="9" t="s">
        <v>745</v>
      </c>
      <c r="B74" s="9"/>
      <c r="C74" s="9" t="s">
        <v>15</v>
      </c>
      <c r="D74" s="9"/>
      <c r="E74" s="23">
        <v>45237</v>
      </c>
      <c r="F74" s="19"/>
      <c r="G74" s="19">
        <v>2048211</v>
      </c>
      <c r="H74" s="19"/>
      <c r="I74" s="19">
        <v>0</v>
      </c>
      <c r="J74" s="19"/>
      <c r="K74" s="19">
        <f>4729311+844942</f>
        <v>5574253</v>
      </c>
      <c r="L74" s="19"/>
      <c r="M74" s="19">
        <v>4039</v>
      </c>
      <c r="N74" s="19"/>
      <c r="O74" s="19">
        <f>682864+75159</f>
        <v>758023</v>
      </c>
      <c r="P74" s="19"/>
      <c r="Q74" s="19">
        <v>53676</v>
      </c>
      <c r="R74" s="19"/>
      <c r="S74" s="19">
        <v>0</v>
      </c>
      <c r="T74" s="19"/>
      <c r="U74" s="19">
        <v>0</v>
      </c>
      <c r="V74" s="19"/>
      <c r="W74" s="19">
        <v>90916</v>
      </c>
      <c r="X74" s="19"/>
      <c r="Y74" s="26">
        <f t="shared" si="19"/>
        <v>8529118</v>
      </c>
      <c r="Z74" s="19"/>
      <c r="AA74" s="19">
        <v>0</v>
      </c>
      <c r="AB74" s="19"/>
      <c r="AC74" s="19">
        <v>0</v>
      </c>
      <c r="AD74" s="19"/>
      <c r="AE74" s="19">
        <v>0</v>
      </c>
      <c r="AF74" s="19"/>
      <c r="AG74" s="19"/>
      <c r="AH74" s="19"/>
      <c r="AI74" s="19"/>
      <c r="AJ74" s="19"/>
      <c r="AK74" s="19">
        <v>294850</v>
      </c>
      <c r="AL74" s="19"/>
      <c r="AM74" s="19">
        <v>0</v>
      </c>
      <c r="AN74" s="19"/>
      <c r="AO74" s="26">
        <f t="shared" si="3"/>
        <v>294850</v>
      </c>
      <c r="AP74" s="19"/>
      <c r="AQ74" s="26">
        <f t="shared" si="5"/>
        <v>8823968</v>
      </c>
      <c r="AR74" s="26"/>
    </row>
    <row r="75" spans="1:44" hidden="1">
      <c r="A75" s="9" t="s">
        <v>787</v>
      </c>
      <c r="B75" s="9"/>
      <c r="C75" s="9" t="s">
        <v>346</v>
      </c>
      <c r="D75" s="9"/>
      <c r="E75" s="23">
        <v>47613</v>
      </c>
      <c r="F75" s="19"/>
      <c r="G75" s="19">
        <v>0</v>
      </c>
      <c r="H75" s="19"/>
      <c r="I75" s="19">
        <v>0</v>
      </c>
      <c r="J75" s="19"/>
      <c r="K75" s="19">
        <v>0</v>
      </c>
      <c r="L75" s="19"/>
      <c r="M75" s="19">
        <v>0</v>
      </c>
      <c r="N75" s="19"/>
      <c r="O75" s="19">
        <v>0</v>
      </c>
      <c r="P75" s="19"/>
      <c r="Q75" s="19">
        <v>0</v>
      </c>
      <c r="R75" s="19"/>
      <c r="S75" s="19">
        <v>0</v>
      </c>
      <c r="T75" s="19"/>
      <c r="U75" s="19">
        <v>0</v>
      </c>
      <c r="V75" s="19"/>
      <c r="W75" s="19">
        <v>0</v>
      </c>
      <c r="X75" s="19"/>
      <c r="Y75" s="26">
        <f t="shared" si="19"/>
        <v>0</v>
      </c>
      <c r="Z75" s="19"/>
      <c r="AA75" s="19">
        <v>0</v>
      </c>
      <c r="AB75" s="19"/>
      <c r="AC75" s="19">
        <v>0</v>
      </c>
      <c r="AD75" s="19"/>
      <c r="AE75" s="19">
        <v>0</v>
      </c>
      <c r="AF75" s="19"/>
      <c r="AG75" s="19"/>
      <c r="AH75" s="19"/>
      <c r="AI75" s="19"/>
      <c r="AJ75" s="19"/>
      <c r="AK75" s="19">
        <v>0</v>
      </c>
      <c r="AL75" s="19"/>
      <c r="AM75" s="19">
        <v>0</v>
      </c>
      <c r="AN75" s="19"/>
      <c r="AO75" s="26">
        <f t="shared" si="3"/>
        <v>0</v>
      </c>
      <c r="AP75" s="19"/>
      <c r="AQ75" s="26">
        <f t="shared" si="5"/>
        <v>0</v>
      </c>
      <c r="AR75" s="26"/>
    </row>
    <row r="76" spans="1:44">
      <c r="A76" s="9" t="s">
        <v>515</v>
      </c>
      <c r="B76" s="9"/>
      <c r="C76" s="9" t="s">
        <v>64</v>
      </c>
      <c r="D76" s="9"/>
      <c r="E76" s="23">
        <v>50112</v>
      </c>
      <c r="F76" s="19"/>
      <c r="G76" s="19">
        <v>2537395</v>
      </c>
      <c r="H76" s="19"/>
      <c r="I76" s="19">
        <v>0</v>
      </c>
      <c r="J76" s="19"/>
      <c r="K76" s="19">
        <f>3822538+766504</f>
        <v>4589042</v>
      </c>
      <c r="L76" s="19"/>
      <c r="M76" s="19">
        <v>5481</v>
      </c>
      <c r="N76" s="19"/>
      <c r="O76" s="19">
        <f>272224+110526+1358+9360</f>
        <v>393468</v>
      </c>
      <c r="P76" s="19"/>
      <c r="Q76" s="19">
        <v>115146</v>
      </c>
      <c r="R76" s="19"/>
      <c r="S76" s="19">
        <v>0</v>
      </c>
      <c r="T76" s="19"/>
      <c r="U76" s="19">
        <v>216449</v>
      </c>
      <c r="V76" s="19"/>
      <c r="W76" s="19">
        <v>23486</v>
      </c>
      <c r="X76" s="19"/>
      <c r="Y76" s="26">
        <f t="shared" si="19"/>
        <v>7880467</v>
      </c>
      <c r="Z76" s="19"/>
      <c r="AA76" s="19">
        <v>0</v>
      </c>
      <c r="AB76" s="19"/>
      <c r="AC76" s="19">
        <v>0</v>
      </c>
      <c r="AD76" s="19"/>
      <c r="AE76" s="19">
        <v>0</v>
      </c>
      <c r="AF76" s="19"/>
      <c r="AG76" s="19"/>
      <c r="AH76" s="19"/>
      <c r="AI76" s="19"/>
      <c r="AJ76" s="19"/>
      <c r="AK76" s="19">
        <v>2000</v>
      </c>
      <c r="AL76" s="19"/>
      <c r="AM76" s="19">
        <v>0</v>
      </c>
      <c r="AN76" s="19"/>
      <c r="AO76" s="26">
        <f t="shared" si="3"/>
        <v>2000</v>
      </c>
      <c r="AP76" s="19"/>
      <c r="AQ76" s="26">
        <f t="shared" si="5"/>
        <v>7882467</v>
      </c>
      <c r="AR76" s="26"/>
    </row>
    <row r="77" spans="1:44">
      <c r="A77" s="9" t="s">
        <v>668</v>
      </c>
      <c r="B77" s="9"/>
      <c r="C77" s="9" t="s">
        <v>64</v>
      </c>
      <c r="D77" s="9"/>
      <c r="E77" s="23">
        <v>50120</v>
      </c>
      <c r="F77" s="19"/>
      <c r="G77" s="19">
        <v>3530995</v>
      </c>
      <c r="H77" s="19"/>
      <c r="I77" s="19">
        <v>0</v>
      </c>
      <c r="J77" s="19"/>
      <c r="K77" s="19">
        <v>7353301</v>
      </c>
      <c r="L77" s="19"/>
      <c r="M77" s="19">
        <v>959</v>
      </c>
      <c r="N77" s="19"/>
      <c r="O77" s="19">
        <f>318622+194056+17804</f>
        <v>530482</v>
      </c>
      <c r="P77" s="19"/>
      <c r="Q77" s="19">
        <v>137527</v>
      </c>
      <c r="R77" s="19"/>
      <c r="S77" s="19">
        <v>0</v>
      </c>
      <c r="T77" s="19"/>
      <c r="U77" s="19">
        <v>25126</v>
      </c>
      <c r="V77" s="19"/>
      <c r="W77" s="19">
        <v>161284</v>
      </c>
      <c r="X77" s="19"/>
      <c r="Y77" s="26">
        <f t="shared" si="19"/>
        <v>11739674</v>
      </c>
      <c r="Z77" s="19"/>
      <c r="AA77" s="19">
        <v>0</v>
      </c>
      <c r="AB77" s="19"/>
      <c r="AC77" s="19">
        <v>0</v>
      </c>
      <c r="AD77" s="19"/>
      <c r="AE77" s="19">
        <v>0</v>
      </c>
      <c r="AF77" s="19"/>
      <c r="AG77" s="19"/>
      <c r="AH77" s="19"/>
      <c r="AI77" s="19"/>
      <c r="AJ77" s="19"/>
      <c r="AK77" s="19">
        <v>0</v>
      </c>
      <c r="AL77" s="19"/>
      <c r="AM77" s="19">
        <v>0</v>
      </c>
      <c r="AN77" s="19"/>
      <c r="AO77" s="26">
        <f t="shared" si="3"/>
        <v>0</v>
      </c>
      <c r="AP77" s="19"/>
      <c r="AQ77" s="26">
        <f t="shared" si="5"/>
        <v>11739674</v>
      </c>
      <c r="AR77" s="26"/>
    </row>
    <row r="78" spans="1:44">
      <c r="A78" s="9" t="s">
        <v>262</v>
      </c>
      <c r="B78" s="9"/>
      <c r="C78" s="9" t="s">
        <v>20</v>
      </c>
      <c r="D78" s="9"/>
      <c r="E78" s="23">
        <v>43653</v>
      </c>
      <c r="F78" s="19"/>
      <c r="G78" s="19">
        <v>10150215</v>
      </c>
      <c r="H78" s="19"/>
      <c r="I78" s="19">
        <v>0</v>
      </c>
      <c r="J78" s="19"/>
      <c r="K78" s="19">
        <v>4775551</v>
      </c>
      <c r="L78" s="19"/>
      <c r="M78" s="19">
        <v>0</v>
      </c>
      <c r="N78" s="19"/>
      <c r="O78" s="19">
        <f>200323+271526+3915</f>
        <v>475764</v>
      </c>
      <c r="P78" s="19"/>
      <c r="Q78" s="19">
        <v>125137</v>
      </c>
      <c r="R78" s="19"/>
      <c r="S78" s="19">
        <v>0</v>
      </c>
      <c r="T78" s="19"/>
      <c r="U78" s="19">
        <v>12928</v>
      </c>
      <c r="V78" s="19"/>
      <c r="W78" s="19">
        <v>418549</v>
      </c>
      <c r="X78" s="19"/>
      <c r="Y78" s="26">
        <f t="shared" si="19"/>
        <v>15958144</v>
      </c>
      <c r="Z78" s="19"/>
      <c r="AA78" s="19">
        <v>0</v>
      </c>
      <c r="AB78" s="19"/>
      <c r="AC78" s="19">
        <v>0</v>
      </c>
      <c r="AD78" s="19"/>
      <c r="AE78" s="19">
        <v>0</v>
      </c>
      <c r="AF78" s="19"/>
      <c r="AG78" s="19"/>
      <c r="AH78" s="19"/>
      <c r="AI78" s="19"/>
      <c r="AJ78" s="19"/>
      <c r="AK78" s="19">
        <v>0</v>
      </c>
      <c r="AL78" s="19"/>
      <c r="AM78" s="19">
        <v>0</v>
      </c>
      <c r="AN78" s="19"/>
      <c r="AO78" s="26">
        <f t="shared" si="3"/>
        <v>0</v>
      </c>
      <c r="AP78" s="19"/>
      <c r="AQ78" s="26">
        <f t="shared" si="5"/>
        <v>15958144</v>
      </c>
      <c r="AR78" s="26"/>
    </row>
    <row r="79" spans="1:44">
      <c r="A79" s="9" t="s">
        <v>425</v>
      </c>
      <c r="B79" s="9"/>
      <c r="C79" s="9" t="s">
        <v>50</v>
      </c>
      <c r="D79" s="9"/>
      <c r="E79" s="23">
        <v>48678</v>
      </c>
      <c r="F79" s="19"/>
      <c r="G79" s="19">
        <v>6267479</v>
      </c>
      <c r="H79" s="19"/>
      <c r="I79" s="19">
        <v>0</v>
      </c>
      <c r="J79" s="19"/>
      <c r="K79" s="19">
        <v>7146930</v>
      </c>
      <c r="L79" s="19"/>
      <c r="M79" s="19">
        <v>487</v>
      </c>
      <c r="N79" s="19"/>
      <c r="O79" s="19">
        <f>393581+455963</f>
        <v>849544</v>
      </c>
      <c r="P79" s="19"/>
      <c r="Q79" s="19">
        <v>274155</v>
      </c>
      <c r="R79" s="19"/>
      <c r="S79" s="19">
        <v>155220</v>
      </c>
      <c r="T79" s="19"/>
      <c r="U79" s="19">
        <v>0</v>
      </c>
      <c r="V79" s="19"/>
      <c r="W79" s="19">
        <v>182053</v>
      </c>
      <c r="X79" s="19"/>
      <c r="Y79" s="26">
        <f t="shared" si="19"/>
        <v>14875868</v>
      </c>
      <c r="Z79" s="19"/>
      <c r="AA79" s="19">
        <v>96839</v>
      </c>
      <c r="AB79" s="19"/>
      <c r="AC79" s="19">
        <v>0</v>
      </c>
      <c r="AD79" s="19"/>
      <c r="AE79" s="19">
        <v>0</v>
      </c>
      <c r="AF79" s="19"/>
      <c r="AG79" s="19"/>
      <c r="AH79" s="19"/>
      <c r="AI79" s="19"/>
      <c r="AJ79" s="19"/>
      <c r="AK79" s="19">
        <v>0</v>
      </c>
      <c r="AL79" s="19"/>
      <c r="AM79" s="19">
        <v>0</v>
      </c>
      <c r="AN79" s="19"/>
      <c r="AO79" s="26">
        <f t="shared" si="3"/>
        <v>96839</v>
      </c>
      <c r="AP79" s="19"/>
      <c r="AQ79" s="26">
        <f t="shared" si="5"/>
        <v>14972707</v>
      </c>
      <c r="AR79" s="26"/>
    </row>
    <row r="80" spans="1:44">
      <c r="A80" s="9" t="s">
        <v>226</v>
      </c>
      <c r="B80" s="9"/>
      <c r="C80" s="9" t="s">
        <v>16</v>
      </c>
      <c r="D80" s="9"/>
      <c r="E80" s="23">
        <v>46177</v>
      </c>
      <c r="F80" s="19"/>
      <c r="G80" s="19">
        <v>3475858</v>
      </c>
      <c r="H80" s="19"/>
      <c r="I80" s="19">
        <v>0</v>
      </c>
      <c r="J80" s="19"/>
      <c r="K80" s="19">
        <v>3712338</v>
      </c>
      <c r="L80" s="19"/>
      <c r="M80" s="19">
        <v>11617</v>
      </c>
      <c r="N80" s="19"/>
      <c r="O80" s="19">
        <f>319522+16422+82810</f>
        <v>418754</v>
      </c>
      <c r="P80" s="19"/>
      <c r="Q80" s="19">
        <v>127789</v>
      </c>
      <c r="R80" s="19"/>
      <c r="S80" s="19">
        <v>0</v>
      </c>
      <c r="T80" s="19"/>
      <c r="U80" s="19">
        <v>8235</v>
      </c>
      <c r="V80" s="19"/>
      <c r="W80" s="19">
        <v>48620</v>
      </c>
      <c r="X80" s="19"/>
      <c r="Y80" s="26">
        <f t="shared" si="19"/>
        <v>7803211</v>
      </c>
      <c r="Z80" s="19"/>
      <c r="AA80" s="19">
        <v>0</v>
      </c>
      <c r="AB80" s="19"/>
      <c r="AC80" s="19">
        <v>0</v>
      </c>
      <c r="AD80" s="19"/>
      <c r="AE80" s="19">
        <v>0</v>
      </c>
      <c r="AF80" s="19"/>
      <c r="AG80" s="19"/>
      <c r="AH80" s="19"/>
      <c r="AI80" s="19"/>
      <c r="AJ80" s="19"/>
      <c r="AK80" s="19">
        <v>69677</v>
      </c>
      <c r="AL80" s="19"/>
      <c r="AM80" s="19">
        <v>0</v>
      </c>
      <c r="AN80" s="19"/>
      <c r="AO80" s="26">
        <f t="shared" si="3"/>
        <v>69677</v>
      </c>
      <c r="AP80" s="19"/>
      <c r="AQ80" s="26">
        <f t="shared" si="5"/>
        <v>7872888</v>
      </c>
      <c r="AR80" s="26"/>
    </row>
    <row r="81" spans="1:44">
      <c r="A81" s="9" t="s">
        <v>412</v>
      </c>
      <c r="B81" s="9"/>
      <c r="C81" s="9" t="s">
        <v>47</v>
      </c>
      <c r="D81" s="9"/>
      <c r="E81" s="23">
        <v>43661</v>
      </c>
      <c r="F81" s="19"/>
      <c r="G81" s="19">
        <v>35563911</v>
      </c>
      <c r="H81" s="19"/>
      <c r="I81" s="19">
        <v>0</v>
      </c>
      <c r="J81" s="19"/>
      <c r="K81" s="19">
        <v>33505530</v>
      </c>
      <c r="L81" s="19"/>
      <c r="M81" s="19">
        <v>19115</v>
      </c>
      <c r="N81" s="19"/>
      <c r="O81" s="19">
        <f>820152+65342+1078635</f>
        <v>1964129</v>
      </c>
      <c r="P81" s="19"/>
      <c r="Q81" s="19">
        <v>1133835</v>
      </c>
      <c r="R81" s="19"/>
      <c r="S81" s="19">
        <v>0</v>
      </c>
      <c r="T81" s="19"/>
      <c r="U81" s="19">
        <v>56678</v>
      </c>
      <c r="V81" s="19"/>
      <c r="W81" s="19">
        <v>507266</v>
      </c>
      <c r="X81" s="19"/>
      <c r="Y81" s="26">
        <f t="shared" si="19"/>
        <v>72750464</v>
      </c>
      <c r="Z81" s="19"/>
      <c r="AA81" s="19">
        <v>7500</v>
      </c>
      <c r="AB81" s="19"/>
      <c r="AC81" s="19">
        <v>0</v>
      </c>
      <c r="AD81" s="19"/>
      <c r="AE81" s="19">
        <v>0</v>
      </c>
      <c r="AF81" s="19"/>
      <c r="AG81" s="19"/>
      <c r="AH81" s="19"/>
      <c r="AI81" s="19"/>
      <c r="AJ81" s="19"/>
      <c r="AK81" s="19">
        <v>0</v>
      </c>
      <c r="AL81" s="19"/>
      <c r="AM81" s="19">
        <v>0</v>
      </c>
      <c r="AN81" s="19"/>
      <c r="AO81" s="26">
        <f t="shared" si="3"/>
        <v>7500</v>
      </c>
      <c r="AP81" s="19"/>
      <c r="AQ81" s="26">
        <f t="shared" si="5"/>
        <v>72757964</v>
      </c>
      <c r="AR81" s="26"/>
    </row>
    <row r="82" spans="1:44" hidden="1">
      <c r="A82" s="9" t="s">
        <v>669</v>
      </c>
      <c r="B82" s="9"/>
      <c r="C82" s="9" t="s">
        <v>548</v>
      </c>
      <c r="D82" s="9"/>
      <c r="E82" s="23">
        <v>43679</v>
      </c>
      <c r="F82" s="19"/>
      <c r="G82" s="19">
        <v>0</v>
      </c>
      <c r="H82" s="19"/>
      <c r="I82" s="19">
        <v>0</v>
      </c>
      <c r="J82" s="19"/>
      <c r="K82" s="19">
        <v>0</v>
      </c>
      <c r="L82" s="19"/>
      <c r="M82" s="19">
        <v>0</v>
      </c>
      <c r="N82" s="19"/>
      <c r="O82" s="19">
        <v>0</v>
      </c>
      <c r="P82" s="19"/>
      <c r="Q82" s="19">
        <v>0</v>
      </c>
      <c r="R82" s="19"/>
      <c r="S82" s="19">
        <v>0</v>
      </c>
      <c r="T82" s="19"/>
      <c r="U82" s="19">
        <v>0</v>
      </c>
      <c r="V82" s="19"/>
      <c r="W82" s="19">
        <v>0</v>
      </c>
      <c r="X82" s="19"/>
      <c r="Y82" s="26">
        <f t="shared" si="19"/>
        <v>0</v>
      </c>
      <c r="Z82" s="19"/>
      <c r="AA82" s="19">
        <v>0</v>
      </c>
      <c r="AB82" s="19"/>
      <c r="AC82" s="19">
        <v>0</v>
      </c>
      <c r="AD82" s="19"/>
      <c r="AE82" s="19">
        <v>0</v>
      </c>
      <c r="AF82" s="19"/>
      <c r="AG82" s="19"/>
      <c r="AH82" s="19"/>
      <c r="AI82" s="19"/>
      <c r="AJ82" s="19"/>
      <c r="AK82" s="19">
        <v>0</v>
      </c>
      <c r="AL82" s="19"/>
      <c r="AM82" s="19">
        <v>0</v>
      </c>
      <c r="AN82" s="19"/>
      <c r="AO82" s="26">
        <f t="shared" ref="AO82:AO145" si="23">SUM(AA82:AM82)</f>
        <v>0</v>
      </c>
      <c r="AP82" s="19"/>
      <c r="AQ82" s="26">
        <f t="shared" si="5"/>
        <v>0</v>
      </c>
      <c r="AR82" s="26"/>
    </row>
    <row r="83" spans="1:44">
      <c r="A83" s="9" t="s">
        <v>254</v>
      </c>
      <c r="B83" s="9"/>
      <c r="C83" s="9" t="s">
        <v>110</v>
      </c>
      <c r="D83" s="9"/>
      <c r="E83" s="23">
        <v>46508</v>
      </c>
      <c r="F83" s="19"/>
      <c r="G83" s="19">
        <v>2944354</v>
      </c>
      <c r="H83" s="19"/>
      <c r="I83" s="19">
        <v>1569540</v>
      </c>
      <c r="J83" s="19"/>
      <c r="K83" s="19">
        <f>4465053+532910</f>
        <v>4997963</v>
      </c>
      <c r="L83" s="19"/>
      <c r="M83" s="19">
        <v>7546</v>
      </c>
      <c r="N83" s="19"/>
      <c r="O83" s="19">
        <f>188757+137789+21643+1432</f>
        <v>349621</v>
      </c>
      <c r="P83" s="19"/>
      <c r="Q83" s="19">
        <v>100808</v>
      </c>
      <c r="R83" s="19"/>
      <c r="S83" s="19">
        <v>0</v>
      </c>
      <c r="T83" s="19"/>
      <c r="U83" s="19">
        <v>0</v>
      </c>
      <c r="V83" s="19"/>
      <c r="W83" s="19">
        <v>50468</v>
      </c>
      <c r="X83" s="19"/>
      <c r="Y83" s="26">
        <f t="shared" si="19"/>
        <v>10020300</v>
      </c>
      <c r="Z83" s="19"/>
      <c r="AA83" s="19">
        <v>50000</v>
      </c>
      <c r="AB83" s="19"/>
      <c r="AC83" s="19">
        <v>0</v>
      </c>
      <c r="AD83" s="19"/>
      <c r="AE83" s="19">
        <v>0</v>
      </c>
      <c r="AF83" s="19"/>
      <c r="AG83" s="19"/>
      <c r="AH83" s="19"/>
      <c r="AI83" s="19"/>
      <c r="AJ83" s="19"/>
      <c r="AK83" s="19">
        <v>111922</v>
      </c>
      <c r="AL83" s="19"/>
      <c r="AM83" s="19">
        <v>0</v>
      </c>
      <c r="AN83" s="19"/>
      <c r="AO83" s="26">
        <f t="shared" si="23"/>
        <v>161922</v>
      </c>
      <c r="AP83" s="19"/>
      <c r="AQ83" s="26">
        <f t="shared" si="5"/>
        <v>10182222</v>
      </c>
      <c r="AR83" s="26"/>
    </row>
    <row r="84" spans="1:44">
      <c r="A84" s="9" t="s">
        <v>205</v>
      </c>
      <c r="B84" s="9"/>
      <c r="C84" s="9" t="s">
        <v>12</v>
      </c>
      <c r="D84" s="9"/>
      <c r="E84" s="23">
        <v>45856</v>
      </c>
      <c r="F84" s="19"/>
      <c r="G84" s="19">
        <v>4180001</v>
      </c>
      <c r="H84" s="19"/>
      <c r="I84" s="19">
        <v>0</v>
      </c>
      <c r="J84" s="19"/>
      <c r="K84" s="19">
        <v>10109795</v>
      </c>
      <c r="L84" s="19"/>
      <c r="M84" s="19">
        <v>23140</v>
      </c>
      <c r="N84" s="19"/>
      <c r="O84" s="19">
        <f>1170943+278628+2145</f>
        <v>1451716</v>
      </c>
      <c r="P84" s="19"/>
      <c r="Q84" s="19">
        <v>148938</v>
      </c>
      <c r="R84" s="19"/>
      <c r="S84" s="19">
        <v>0</v>
      </c>
      <c r="T84" s="19"/>
      <c r="U84" s="19">
        <v>8439</v>
      </c>
      <c r="V84" s="19"/>
      <c r="W84" s="19">
        <v>14749</v>
      </c>
      <c r="X84" s="19"/>
      <c r="Y84" s="26">
        <f t="shared" si="19"/>
        <v>15936778</v>
      </c>
      <c r="Z84" s="19"/>
      <c r="AA84" s="19">
        <v>0</v>
      </c>
      <c r="AB84" s="19"/>
      <c r="AC84" s="19">
        <v>0</v>
      </c>
      <c r="AD84" s="19"/>
      <c r="AE84" s="19">
        <v>0</v>
      </c>
      <c r="AF84" s="19"/>
      <c r="AG84" s="19"/>
      <c r="AH84" s="19"/>
      <c r="AI84" s="19"/>
      <c r="AJ84" s="19"/>
      <c r="AK84" s="19">
        <v>146000</v>
      </c>
      <c r="AL84" s="19"/>
      <c r="AM84" s="19">
        <v>0</v>
      </c>
      <c r="AN84" s="19"/>
      <c r="AO84" s="26">
        <f t="shared" si="23"/>
        <v>146000</v>
      </c>
      <c r="AP84" s="19"/>
      <c r="AQ84" s="26">
        <f t="shared" ref="AQ84:AQ112" si="24">Y84+AO84</f>
        <v>16082778</v>
      </c>
      <c r="AR84" s="26"/>
    </row>
    <row r="85" spans="1:44">
      <c r="A85" s="9" t="s">
        <v>205</v>
      </c>
      <c r="B85" s="9"/>
      <c r="C85" s="9" t="s">
        <v>39</v>
      </c>
      <c r="D85" s="9"/>
      <c r="E85" s="23">
        <v>47787</v>
      </c>
      <c r="F85" s="19"/>
      <c r="G85" s="19">
        <v>6868434</v>
      </c>
      <c r="H85" s="19"/>
      <c r="I85" s="19">
        <v>0</v>
      </c>
      <c r="J85" s="19"/>
      <c r="K85" s="19">
        <v>13004828</v>
      </c>
      <c r="L85" s="19"/>
      <c r="M85" s="19">
        <v>1871</v>
      </c>
      <c r="N85" s="19"/>
      <c r="O85" s="19">
        <f>477298+806870+158555</f>
        <v>1442723</v>
      </c>
      <c r="P85" s="19"/>
      <c r="Q85" s="19">
        <v>137023</v>
      </c>
      <c r="R85" s="19"/>
      <c r="S85" s="19">
        <v>0</v>
      </c>
      <c r="T85" s="19"/>
      <c r="U85" s="19">
        <v>52024</v>
      </c>
      <c r="V85" s="19"/>
      <c r="W85" s="19">
        <v>42724</v>
      </c>
      <c r="X85" s="19"/>
      <c r="Y85" s="26">
        <f t="shared" si="19"/>
        <v>21549627</v>
      </c>
      <c r="Z85" s="19"/>
      <c r="AA85" s="19">
        <v>7786</v>
      </c>
      <c r="AB85" s="19"/>
      <c r="AC85" s="19">
        <v>0</v>
      </c>
      <c r="AD85" s="19"/>
      <c r="AE85" s="19">
        <f>885000+2865</f>
        <v>887865</v>
      </c>
      <c r="AF85" s="19"/>
      <c r="AG85" s="19"/>
      <c r="AH85" s="19"/>
      <c r="AI85" s="19"/>
      <c r="AJ85" s="19"/>
      <c r="AK85" s="19">
        <v>19100</v>
      </c>
      <c r="AL85" s="19"/>
      <c r="AM85" s="19">
        <v>0</v>
      </c>
      <c r="AN85" s="19"/>
      <c r="AO85" s="26">
        <f t="shared" si="23"/>
        <v>914751</v>
      </c>
      <c r="AP85" s="19"/>
      <c r="AQ85" s="26">
        <f t="shared" si="24"/>
        <v>22464378</v>
      </c>
      <c r="AR85" s="26"/>
    </row>
    <row r="86" spans="1:44">
      <c r="A86" s="9" t="s">
        <v>670</v>
      </c>
      <c r="B86" s="9"/>
      <c r="C86" s="9" t="s">
        <v>47</v>
      </c>
      <c r="D86" s="9"/>
      <c r="E86" s="23">
        <v>48470</v>
      </c>
      <c r="F86" s="19"/>
      <c r="G86" s="19">
        <v>12099534</v>
      </c>
      <c r="H86" s="19"/>
      <c r="I86" s="19">
        <v>0</v>
      </c>
      <c r="J86" s="19"/>
      <c r="K86" s="19">
        <v>10707036</v>
      </c>
      <c r="L86" s="19"/>
      <c r="M86" s="19">
        <v>3036</v>
      </c>
      <c r="N86" s="19"/>
      <c r="O86" s="19">
        <f>258528+38794+212821</f>
        <v>510143</v>
      </c>
      <c r="P86" s="19"/>
      <c r="Q86" s="19">
        <v>500237</v>
      </c>
      <c r="R86" s="19"/>
      <c r="S86" s="19">
        <v>0</v>
      </c>
      <c r="T86" s="19"/>
      <c r="U86" s="19">
        <v>5507</v>
      </c>
      <c r="V86" s="19"/>
      <c r="W86" s="19">
        <v>83436</v>
      </c>
      <c r="X86" s="19"/>
      <c r="Y86" s="26">
        <f t="shared" si="19"/>
        <v>23908929</v>
      </c>
      <c r="Z86" s="19"/>
      <c r="AA86" s="19">
        <v>128185</v>
      </c>
      <c r="AB86" s="19"/>
      <c r="AC86" s="19">
        <v>0</v>
      </c>
      <c r="AD86" s="19"/>
      <c r="AE86" s="19">
        <f>2529995+148438</f>
        <v>2678433</v>
      </c>
      <c r="AF86" s="19"/>
      <c r="AG86" s="19"/>
      <c r="AH86" s="19"/>
      <c r="AI86" s="19"/>
      <c r="AJ86" s="19"/>
      <c r="AK86" s="19">
        <v>0</v>
      </c>
      <c r="AL86" s="19"/>
      <c r="AM86" s="19">
        <v>0</v>
      </c>
      <c r="AN86" s="19"/>
      <c r="AO86" s="26">
        <f t="shared" si="23"/>
        <v>2806618</v>
      </c>
      <c r="AP86" s="19"/>
      <c r="AQ86" s="26">
        <f t="shared" si="24"/>
        <v>26715547</v>
      </c>
      <c r="AR86" s="26"/>
    </row>
    <row r="87" spans="1:44" hidden="1">
      <c r="A87" s="35" t="s">
        <v>788</v>
      </c>
      <c r="B87" s="9"/>
      <c r="C87" s="9" t="s">
        <v>111</v>
      </c>
      <c r="D87" s="9"/>
      <c r="E87" s="54" t="s">
        <v>871</v>
      </c>
      <c r="F87" s="19"/>
      <c r="G87" s="19">
        <v>0</v>
      </c>
      <c r="H87" s="19"/>
      <c r="I87" s="19">
        <v>0</v>
      </c>
      <c r="J87" s="19"/>
      <c r="K87" s="19">
        <v>0</v>
      </c>
      <c r="L87" s="19"/>
      <c r="M87" s="19">
        <v>0</v>
      </c>
      <c r="N87" s="19"/>
      <c r="O87" s="19">
        <v>0</v>
      </c>
      <c r="P87" s="19"/>
      <c r="Q87" s="19">
        <v>0</v>
      </c>
      <c r="R87" s="19"/>
      <c r="S87" s="19">
        <v>0</v>
      </c>
      <c r="T87" s="19"/>
      <c r="U87" s="19">
        <v>0</v>
      </c>
      <c r="V87" s="19"/>
      <c r="W87" s="19">
        <v>0</v>
      </c>
      <c r="X87" s="19"/>
      <c r="Y87" s="26">
        <f>SUM(G87:W87)</f>
        <v>0</v>
      </c>
      <c r="Z87" s="19"/>
      <c r="AA87" s="19">
        <v>0</v>
      </c>
      <c r="AB87" s="19"/>
      <c r="AC87" s="19">
        <v>0</v>
      </c>
      <c r="AD87" s="19"/>
      <c r="AE87" s="19">
        <v>0</v>
      </c>
      <c r="AF87" s="19"/>
      <c r="AG87" s="19"/>
      <c r="AH87" s="19"/>
      <c r="AI87" s="19"/>
      <c r="AJ87" s="19"/>
      <c r="AK87" s="19">
        <v>0</v>
      </c>
      <c r="AL87" s="19"/>
      <c r="AM87" s="19">
        <v>0</v>
      </c>
      <c r="AN87" s="19"/>
      <c r="AO87" s="26">
        <f t="shared" si="23"/>
        <v>0</v>
      </c>
      <c r="AP87" s="19"/>
      <c r="AQ87" s="26">
        <f t="shared" si="24"/>
        <v>0</v>
      </c>
      <c r="AR87" s="26"/>
    </row>
    <row r="88" spans="1:44">
      <c r="A88" s="9" t="s">
        <v>631</v>
      </c>
      <c r="B88" s="9"/>
      <c r="C88" s="9" t="s">
        <v>23</v>
      </c>
      <c r="D88" s="9"/>
      <c r="E88" s="23">
        <v>46755</v>
      </c>
      <c r="F88" s="19"/>
      <c r="G88" s="19">
        <v>12401052</v>
      </c>
      <c r="H88" s="19"/>
      <c r="I88" s="19">
        <v>5346248</v>
      </c>
      <c r="J88" s="19"/>
      <c r="K88" s="19">
        <f>6278537+1225363</f>
        <v>7503900</v>
      </c>
      <c r="L88" s="19"/>
      <c r="M88" s="19">
        <v>13001</v>
      </c>
      <c r="N88" s="19"/>
      <c r="O88" s="19">
        <f>796218+501097+230938+12781</f>
        <v>1541034</v>
      </c>
      <c r="P88" s="19"/>
      <c r="Q88" s="19">
        <v>330071</v>
      </c>
      <c r="R88" s="19"/>
      <c r="S88" s="19">
        <v>0</v>
      </c>
      <c r="T88" s="19"/>
      <c r="U88" s="19">
        <v>19082</v>
      </c>
      <c r="V88" s="19"/>
      <c r="W88" s="19">
        <f>1450+104240</f>
        <v>105690</v>
      </c>
      <c r="X88" s="19"/>
      <c r="Y88" s="26">
        <f>SUM(G88:W88)</f>
        <v>27260078</v>
      </c>
      <c r="Z88" s="19"/>
      <c r="AA88" s="19">
        <v>357869</v>
      </c>
      <c r="AB88" s="19"/>
      <c r="AC88" s="19">
        <v>0</v>
      </c>
      <c r="AD88" s="19"/>
      <c r="AE88" s="19">
        <v>0</v>
      </c>
      <c r="AF88" s="19"/>
      <c r="AG88" s="19"/>
      <c r="AH88" s="19"/>
      <c r="AI88" s="19"/>
      <c r="AJ88" s="19"/>
      <c r="AK88" s="19">
        <v>458581</v>
      </c>
      <c r="AL88" s="19"/>
      <c r="AM88" s="19">
        <v>0</v>
      </c>
      <c r="AN88" s="19"/>
      <c r="AO88" s="26">
        <f t="shared" si="23"/>
        <v>816450</v>
      </c>
      <c r="AP88" s="19"/>
      <c r="AQ88" s="26">
        <f t="shared" si="24"/>
        <v>28076528</v>
      </c>
      <c r="AR88" s="26"/>
    </row>
    <row r="89" spans="1:44">
      <c r="A89" s="9" t="s">
        <v>255</v>
      </c>
      <c r="B89" s="9"/>
      <c r="C89" s="9" t="s">
        <v>110</v>
      </c>
      <c r="D89" s="9"/>
      <c r="E89" s="23">
        <v>43687</v>
      </c>
      <c r="F89" s="19"/>
      <c r="G89" s="19">
        <v>4315652</v>
      </c>
      <c r="H89" s="19"/>
      <c r="I89" s="19">
        <v>0</v>
      </c>
      <c r="J89" s="19"/>
      <c r="K89" s="19">
        <v>11533659</v>
      </c>
      <c r="L89" s="19"/>
      <c r="M89" s="19">
        <v>28162</v>
      </c>
      <c r="N89" s="19"/>
      <c r="O89" s="19">
        <f>525791+301036</f>
        <v>826827</v>
      </c>
      <c r="P89" s="19"/>
      <c r="Q89" s="19">
        <v>93568</v>
      </c>
      <c r="R89" s="19"/>
      <c r="S89" s="19">
        <v>45131</v>
      </c>
      <c r="T89" s="19"/>
      <c r="U89" s="19">
        <v>1225</v>
      </c>
      <c r="V89" s="19"/>
      <c r="W89" s="19">
        <v>251850</v>
      </c>
      <c r="X89" s="19"/>
      <c r="Y89" s="26">
        <f>SUM(G89:W89)</f>
        <v>17096074</v>
      </c>
      <c r="Z89" s="19"/>
      <c r="AA89" s="19">
        <v>1135780</v>
      </c>
      <c r="AB89" s="19"/>
      <c r="AC89" s="19">
        <v>0</v>
      </c>
      <c r="AD89" s="19"/>
      <c r="AE89" s="19">
        <f>8310000+1594156</f>
        <v>9904156</v>
      </c>
      <c r="AF89" s="19"/>
      <c r="AG89" s="19"/>
      <c r="AH89" s="19"/>
      <c r="AI89" s="19"/>
      <c r="AJ89" s="19"/>
      <c r="AK89" s="19">
        <v>0</v>
      </c>
      <c r="AL89" s="19"/>
      <c r="AM89" s="19">
        <v>0</v>
      </c>
      <c r="AN89" s="19"/>
      <c r="AO89" s="26">
        <f t="shared" si="23"/>
        <v>11039936</v>
      </c>
      <c r="AP89" s="19"/>
      <c r="AQ89" s="26">
        <f t="shared" si="24"/>
        <v>28136010</v>
      </c>
      <c r="AR89" s="26"/>
    </row>
    <row r="90" spans="1:44">
      <c r="A90" s="9" t="s">
        <v>746</v>
      </c>
      <c r="B90" s="9"/>
      <c r="C90" s="9" t="s">
        <v>52</v>
      </c>
      <c r="D90" s="9"/>
      <c r="E90" s="23">
        <v>45252</v>
      </c>
      <c r="F90" s="19"/>
      <c r="G90" s="19">
        <v>2592313</v>
      </c>
      <c r="H90" s="19"/>
      <c r="I90" s="19">
        <v>0</v>
      </c>
      <c r="J90" s="19"/>
      <c r="K90" s="19">
        <v>5302827</v>
      </c>
      <c r="L90" s="19"/>
      <c r="M90" s="19">
        <v>2752</v>
      </c>
      <c r="N90" s="19"/>
      <c r="O90" s="19">
        <f>271869+127416</f>
        <v>399285</v>
      </c>
      <c r="P90" s="19"/>
      <c r="Q90" s="19">
        <v>169382</v>
      </c>
      <c r="R90" s="19"/>
      <c r="S90" s="19">
        <v>0</v>
      </c>
      <c r="T90" s="19"/>
      <c r="U90" s="19">
        <v>21173</v>
      </c>
      <c r="V90" s="19"/>
      <c r="W90" s="19">
        <v>53008</v>
      </c>
      <c r="X90" s="19"/>
      <c r="Y90" s="26">
        <f t="shared" ref="Y90:Y91" si="25">SUM(G90:W90)</f>
        <v>8540740</v>
      </c>
      <c r="Z90" s="19"/>
      <c r="AA90" s="19">
        <v>0</v>
      </c>
      <c r="AB90" s="19"/>
      <c r="AC90" s="19">
        <v>0</v>
      </c>
      <c r="AD90" s="19"/>
      <c r="AE90" s="19">
        <v>0</v>
      </c>
      <c r="AF90" s="19"/>
      <c r="AG90" s="19"/>
      <c r="AH90" s="19"/>
      <c r="AI90" s="19"/>
      <c r="AJ90" s="19"/>
      <c r="AK90" s="19">
        <v>0</v>
      </c>
      <c r="AL90" s="19"/>
      <c r="AM90" s="19">
        <v>0</v>
      </c>
      <c r="AN90" s="19"/>
      <c r="AO90" s="26">
        <f t="shared" si="23"/>
        <v>0</v>
      </c>
      <c r="AP90" s="19"/>
      <c r="AQ90" s="26">
        <f t="shared" si="24"/>
        <v>8540740</v>
      </c>
      <c r="AR90" s="26"/>
    </row>
    <row r="91" spans="1:44">
      <c r="A91" s="9" t="s">
        <v>317</v>
      </c>
      <c r="B91" s="9"/>
      <c r="C91" s="9" t="s">
        <v>31</v>
      </c>
      <c r="D91" s="9"/>
      <c r="E91" s="23">
        <v>43695</v>
      </c>
      <c r="F91" s="19"/>
      <c r="G91" s="19">
        <v>6124962</v>
      </c>
      <c r="H91" s="19"/>
      <c r="I91" s="19">
        <v>0</v>
      </c>
      <c r="J91" s="19"/>
      <c r="K91" s="19">
        <v>17026674</v>
      </c>
      <c r="L91" s="19"/>
      <c r="M91" s="19">
        <v>19435</v>
      </c>
      <c r="N91" s="19"/>
      <c r="O91" s="19">
        <f>642813+27300</f>
        <v>670113</v>
      </c>
      <c r="P91" s="19"/>
      <c r="Q91" s="19">
        <v>160506</v>
      </c>
      <c r="R91" s="19"/>
      <c r="S91" s="19">
        <v>0</v>
      </c>
      <c r="T91" s="19"/>
      <c r="U91" s="19">
        <v>25701</v>
      </c>
      <c r="V91" s="19"/>
      <c r="W91" s="19">
        <f>218092+271871</f>
        <v>489963</v>
      </c>
      <c r="X91" s="19"/>
      <c r="Y91" s="26">
        <f t="shared" si="25"/>
        <v>24517354</v>
      </c>
      <c r="Z91" s="19"/>
      <c r="AA91" s="19">
        <v>0</v>
      </c>
      <c r="AB91" s="19"/>
      <c r="AC91" s="19">
        <v>0</v>
      </c>
      <c r="AD91" s="19"/>
      <c r="AE91" s="19">
        <v>0</v>
      </c>
      <c r="AF91" s="19"/>
      <c r="AG91" s="19"/>
      <c r="AH91" s="19"/>
      <c r="AI91" s="19"/>
      <c r="AJ91" s="19"/>
      <c r="AK91" s="19">
        <v>734</v>
      </c>
      <c r="AL91" s="19"/>
      <c r="AM91" s="19">
        <v>0</v>
      </c>
      <c r="AN91" s="19"/>
      <c r="AO91" s="26">
        <f t="shared" si="23"/>
        <v>734</v>
      </c>
      <c r="AP91" s="19"/>
      <c r="AQ91" s="26">
        <f t="shared" si="24"/>
        <v>24518088</v>
      </c>
      <c r="AR91" s="26"/>
    </row>
    <row r="92" spans="1:44">
      <c r="A92" s="9" t="s">
        <v>642</v>
      </c>
      <c r="B92" s="9"/>
      <c r="C92" s="9" t="s">
        <v>45</v>
      </c>
      <c r="D92" s="9"/>
      <c r="E92" s="23">
        <v>43703</v>
      </c>
      <c r="F92" s="19"/>
      <c r="G92" s="19">
        <v>2008933</v>
      </c>
      <c r="H92" s="19"/>
      <c r="I92" s="19">
        <v>0</v>
      </c>
      <c r="J92" s="19"/>
      <c r="K92" s="19">
        <v>12882960</v>
      </c>
      <c r="L92" s="19"/>
      <c r="M92" s="19">
        <v>23</v>
      </c>
      <c r="N92" s="19"/>
      <c r="O92" s="19">
        <f>41165+59141+8000</f>
        <v>108306</v>
      </c>
      <c r="P92" s="19"/>
      <c r="Q92" s="19">
        <v>119191</v>
      </c>
      <c r="R92" s="19"/>
      <c r="S92" s="19">
        <v>0</v>
      </c>
      <c r="T92" s="19"/>
      <c r="U92" s="19">
        <v>15201</v>
      </c>
      <c r="V92" s="19"/>
      <c r="W92" s="19">
        <f>293646+84861</f>
        <v>378507</v>
      </c>
      <c r="X92" s="19"/>
      <c r="Y92" s="26">
        <f t="shared" ref="Y92:Y156" si="26">SUM(G92:W92)</f>
        <v>15513121</v>
      </c>
      <c r="Z92" s="19"/>
      <c r="AA92" s="19">
        <v>293646</v>
      </c>
      <c r="AB92" s="19"/>
      <c r="AC92" s="19">
        <v>0</v>
      </c>
      <c r="AD92" s="19"/>
      <c r="AE92" s="19">
        <v>0</v>
      </c>
      <c r="AF92" s="19"/>
      <c r="AG92" s="19"/>
      <c r="AH92" s="19"/>
      <c r="AI92" s="19"/>
      <c r="AJ92" s="19"/>
      <c r="AK92" s="19">
        <v>0</v>
      </c>
      <c r="AL92" s="19"/>
      <c r="AM92" s="19">
        <v>0</v>
      </c>
      <c r="AN92" s="19"/>
      <c r="AO92" s="26">
        <f t="shared" si="23"/>
        <v>293646</v>
      </c>
      <c r="AP92" s="19"/>
      <c r="AQ92" s="26">
        <f t="shared" si="24"/>
        <v>15806767</v>
      </c>
      <c r="AR92" s="26"/>
    </row>
    <row r="93" spans="1:44">
      <c r="A93" s="9" t="s">
        <v>298</v>
      </c>
      <c r="B93" s="9"/>
      <c r="C93" s="9" t="s">
        <v>27</v>
      </c>
      <c r="D93" s="9"/>
      <c r="E93" s="23">
        <v>46946</v>
      </c>
      <c r="F93" s="19"/>
      <c r="G93" s="19">
        <v>18608333</v>
      </c>
      <c r="H93" s="19"/>
      <c r="I93" s="19">
        <v>3611985</v>
      </c>
      <c r="J93" s="19"/>
      <c r="K93" s="19">
        <f>16077255+1731448</f>
        <v>17808703</v>
      </c>
      <c r="L93" s="19"/>
      <c r="M93" s="19">
        <v>39423</v>
      </c>
      <c r="N93" s="19"/>
      <c r="O93" s="19">
        <f>158671+63032+647616+175084+94944</f>
        <v>1139347</v>
      </c>
      <c r="P93" s="19"/>
      <c r="Q93" s="19">
        <v>639857</v>
      </c>
      <c r="R93" s="19"/>
      <c r="S93" s="19">
        <v>248668</v>
      </c>
      <c r="T93" s="19"/>
      <c r="U93" s="19">
        <v>36552</v>
      </c>
      <c r="V93" s="19"/>
      <c r="W93" s="19">
        <v>112364</v>
      </c>
      <c r="X93" s="19"/>
      <c r="Y93" s="26">
        <f t="shared" si="26"/>
        <v>42245232</v>
      </c>
      <c r="Z93" s="19"/>
      <c r="AA93" s="19">
        <v>189061</v>
      </c>
      <c r="AB93" s="19"/>
      <c r="AC93" s="19">
        <v>0</v>
      </c>
      <c r="AD93" s="19"/>
      <c r="AE93" s="19">
        <f>626659+5494997</f>
        <v>6121656</v>
      </c>
      <c r="AF93" s="19"/>
      <c r="AG93" s="19"/>
      <c r="AH93" s="19"/>
      <c r="AI93" s="19"/>
      <c r="AJ93" s="19"/>
      <c r="AK93" s="19">
        <f>135167+49501+641170</f>
        <v>825838</v>
      </c>
      <c r="AL93" s="19"/>
      <c r="AM93" s="19">
        <v>0</v>
      </c>
      <c r="AN93" s="19"/>
      <c r="AO93" s="26">
        <f t="shared" si="23"/>
        <v>7136555</v>
      </c>
      <c r="AP93" s="19"/>
      <c r="AQ93" s="26">
        <f t="shared" si="24"/>
        <v>49381787</v>
      </c>
      <c r="AR93" s="26"/>
    </row>
    <row r="94" spans="1:44">
      <c r="A94" s="9" t="s">
        <v>400</v>
      </c>
      <c r="B94" s="9"/>
      <c r="C94" s="9" t="s">
        <v>45</v>
      </c>
      <c r="D94" s="9"/>
      <c r="E94" s="23">
        <v>48314</v>
      </c>
      <c r="F94" s="19"/>
      <c r="G94" s="19">
        <v>15607584</v>
      </c>
      <c r="H94" s="19"/>
      <c r="I94" s="19">
        <v>0</v>
      </c>
      <c r="J94" s="19"/>
      <c r="K94" s="19">
        <v>9477519</v>
      </c>
      <c r="L94" s="19"/>
      <c r="M94" s="19">
        <v>10614</v>
      </c>
      <c r="N94" s="19"/>
      <c r="O94" s="19">
        <f>246282+763024+32172</f>
        <v>1041478</v>
      </c>
      <c r="P94" s="19"/>
      <c r="Q94" s="19">
        <v>418095</v>
      </c>
      <c r="R94" s="19"/>
      <c r="S94" s="19">
        <v>0</v>
      </c>
      <c r="T94" s="19"/>
      <c r="U94" s="19">
        <v>134698</v>
      </c>
      <c r="V94" s="19"/>
      <c r="W94" s="19">
        <v>99794</v>
      </c>
      <c r="X94" s="19"/>
      <c r="Y94" s="26">
        <f t="shared" si="26"/>
        <v>26789782</v>
      </c>
      <c r="Z94" s="19"/>
      <c r="AA94" s="19">
        <v>85000</v>
      </c>
      <c r="AB94" s="19"/>
      <c r="AC94" s="19">
        <v>0</v>
      </c>
      <c r="AD94" s="19"/>
      <c r="AE94" s="19">
        <v>0</v>
      </c>
      <c r="AF94" s="19"/>
      <c r="AG94" s="19"/>
      <c r="AH94" s="19"/>
      <c r="AI94" s="19"/>
      <c r="AJ94" s="19"/>
      <c r="AK94" s="19">
        <v>500</v>
      </c>
      <c r="AL94" s="19"/>
      <c r="AM94" s="19">
        <v>0</v>
      </c>
      <c r="AN94" s="19"/>
      <c r="AO94" s="26">
        <f t="shared" si="23"/>
        <v>85500</v>
      </c>
      <c r="AP94" s="19"/>
      <c r="AQ94" s="26">
        <f t="shared" si="24"/>
        <v>26875282</v>
      </c>
      <c r="AR94" s="26"/>
    </row>
    <row r="95" spans="1:44">
      <c r="A95" s="9" t="s">
        <v>490</v>
      </c>
      <c r="B95" s="9"/>
      <c r="C95" s="9" t="s">
        <v>62</v>
      </c>
      <c r="D95" s="9"/>
      <c r="E95" s="23">
        <v>43711</v>
      </c>
      <c r="F95" s="19"/>
      <c r="G95" s="19">
        <v>28217000</v>
      </c>
      <c r="H95" s="19"/>
      <c r="I95" s="19">
        <v>0</v>
      </c>
      <c r="J95" s="19"/>
      <c r="K95" s="19">
        <f>77000+78293000+17547000</f>
        <v>95917000</v>
      </c>
      <c r="L95" s="19"/>
      <c r="M95" s="19">
        <f>322000-223000</f>
        <v>99000</v>
      </c>
      <c r="N95" s="19"/>
      <c r="O95" s="19">
        <f>1032000+321000+70000</f>
        <v>1423000</v>
      </c>
      <c r="P95" s="19"/>
      <c r="Q95" s="19">
        <v>678000</v>
      </c>
      <c r="R95" s="19"/>
      <c r="S95" s="19">
        <v>0</v>
      </c>
      <c r="T95" s="19"/>
      <c r="U95" s="19">
        <v>0</v>
      </c>
      <c r="V95" s="19"/>
      <c r="W95" s="19">
        <v>1538000</v>
      </c>
      <c r="X95" s="19"/>
      <c r="Y95" s="26">
        <f>SUM(G95:W95)</f>
        <v>127872000</v>
      </c>
      <c r="Z95" s="19"/>
      <c r="AA95" s="19">
        <v>2036000</v>
      </c>
      <c r="AB95" s="19"/>
      <c r="AC95" s="19">
        <v>0</v>
      </c>
      <c r="AD95" s="19"/>
      <c r="AE95" s="19">
        <f>14585000+1829000</f>
        <v>16414000</v>
      </c>
      <c r="AF95" s="19"/>
      <c r="AG95" s="19"/>
      <c r="AH95" s="19"/>
      <c r="AI95" s="19"/>
      <c r="AJ95" s="19"/>
      <c r="AK95" s="19">
        <v>81000</v>
      </c>
      <c r="AL95" s="19"/>
      <c r="AM95" s="19">
        <v>0</v>
      </c>
      <c r="AN95" s="19"/>
      <c r="AO95" s="26">
        <f t="shared" si="23"/>
        <v>18531000</v>
      </c>
      <c r="AP95" s="19"/>
      <c r="AQ95" s="26">
        <f t="shared" si="24"/>
        <v>146403000</v>
      </c>
      <c r="AR95" s="26"/>
    </row>
    <row r="96" spans="1:44">
      <c r="A96" s="9" t="s">
        <v>491</v>
      </c>
      <c r="B96" s="9"/>
      <c r="C96" s="9" t="s">
        <v>62</v>
      </c>
      <c r="D96" s="9"/>
      <c r="E96" s="23">
        <v>49833</v>
      </c>
      <c r="F96" s="19"/>
      <c r="G96" s="19">
        <v>7960503</v>
      </c>
      <c r="H96" s="19"/>
      <c r="I96" s="19">
        <v>0</v>
      </c>
      <c r="J96" s="19"/>
      <c r="K96" s="19">
        <f>12104644+2169725</f>
        <v>14274369</v>
      </c>
      <c r="L96" s="19"/>
      <c r="M96" s="19">
        <v>605</v>
      </c>
      <c r="N96" s="19"/>
      <c r="O96" s="19">
        <f>1107989+1693728+74401+74058</f>
        <v>2950176</v>
      </c>
      <c r="P96" s="19"/>
      <c r="Q96" s="19">
        <v>178190</v>
      </c>
      <c r="R96" s="19"/>
      <c r="S96" s="19">
        <v>103975</v>
      </c>
      <c r="T96" s="19"/>
      <c r="U96" s="19">
        <v>23641</v>
      </c>
      <c r="V96" s="19"/>
      <c r="W96" s="19">
        <v>91239</v>
      </c>
      <c r="X96" s="19"/>
      <c r="Y96" s="26">
        <f t="shared" si="26"/>
        <v>25582698</v>
      </c>
      <c r="Z96" s="19"/>
      <c r="AA96" s="19">
        <v>0</v>
      </c>
      <c r="AB96" s="19"/>
      <c r="AC96" s="19">
        <v>0</v>
      </c>
      <c r="AD96" s="19"/>
      <c r="AE96" s="19">
        <v>0</v>
      </c>
      <c r="AF96" s="19"/>
      <c r="AG96" s="19"/>
      <c r="AH96" s="19"/>
      <c r="AI96" s="19"/>
      <c r="AJ96" s="19"/>
      <c r="AK96" s="19">
        <v>57499</v>
      </c>
      <c r="AL96" s="19"/>
      <c r="AM96" s="19">
        <v>0</v>
      </c>
      <c r="AN96" s="19"/>
      <c r="AO96" s="26">
        <f t="shared" si="23"/>
        <v>57499</v>
      </c>
      <c r="AP96" s="19"/>
      <c r="AQ96" s="26">
        <f t="shared" si="24"/>
        <v>25640197</v>
      </c>
      <c r="AR96" s="26"/>
    </row>
    <row r="97" spans="1:44">
      <c r="A97" s="9" t="s">
        <v>643</v>
      </c>
      <c r="B97" s="9"/>
      <c r="C97" s="9" t="s">
        <v>30</v>
      </c>
      <c r="D97" s="9"/>
      <c r="E97" s="23">
        <v>47175</v>
      </c>
      <c r="F97" s="19"/>
      <c r="G97" s="19">
        <v>7137261</v>
      </c>
      <c r="H97" s="19"/>
      <c r="I97" s="19">
        <v>0</v>
      </c>
      <c r="J97" s="19"/>
      <c r="K97" s="19">
        <v>7276930</v>
      </c>
      <c r="L97" s="19"/>
      <c r="M97" s="19">
        <v>8434</v>
      </c>
      <c r="N97" s="19"/>
      <c r="O97" s="19">
        <f>753785+120004+73737</f>
        <v>947526</v>
      </c>
      <c r="P97" s="19"/>
      <c r="Q97" s="19">
        <v>228124</v>
      </c>
      <c r="R97" s="19"/>
      <c r="S97" s="19">
        <v>0</v>
      </c>
      <c r="T97" s="19"/>
      <c r="U97" s="19">
        <v>25061</v>
      </c>
      <c r="V97" s="19"/>
      <c r="W97" s="19">
        <v>356228</v>
      </c>
      <c r="X97" s="19"/>
      <c r="Y97" s="26">
        <f t="shared" si="26"/>
        <v>15979564</v>
      </c>
      <c r="Z97" s="19"/>
      <c r="AA97" s="19">
        <v>147341</v>
      </c>
      <c r="AB97" s="19"/>
      <c r="AC97" s="19">
        <v>0</v>
      </c>
      <c r="AD97" s="19"/>
      <c r="AE97" s="19">
        <v>0</v>
      </c>
      <c r="AF97" s="19"/>
      <c r="AG97" s="19"/>
      <c r="AH97" s="19"/>
      <c r="AI97" s="19"/>
      <c r="AJ97" s="19"/>
      <c r="AK97" s="19">
        <v>0</v>
      </c>
      <c r="AL97" s="19"/>
      <c r="AM97" s="19">
        <v>0</v>
      </c>
      <c r="AN97" s="19"/>
      <c r="AO97" s="26">
        <f t="shared" si="23"/>
        <v>147341</v>
      </c>
      <c r="AP97" s="19"/>
      <c r="AQ97" s="26">
        <f t="shared" si="24"/>
        <v>16126905</v>
      </c>
      <c r="AR97" s="26"/>
    </row>
    <row r="98" spans="1:44">
      <c r="A98" s="9" t="s">
        <v>438</v>
      </c>
      <c r="B98" s="9"/>
      <c r="C98" s="9" t="s">
        <v>78</v>
      </c>
      <c r="D98" s="9"/>
      <c r="E98" s="23">
        <v>48793</v>
      </c>
      <c r="F98" s="19"/>
      <c r="G98" s="19">
        <v>2590842</v>
      </c>
      <c r="H98" s="19"/>
      <c r="I98" s="19">
        <v>0</v>
      </c>
      <c r="J98" s="19"/>
      <c r="K98" s="19">
        <f>7187469+1448514</f>
        <v>8635983</v>
      </c>
      <c r="L98" s="19"/>
      <c r="M98" s="19">
        <v>1426</v>
      </c>
      <c r="N98" s="19"/>
      <c r="O98" s="19">
        <f>693374+143037</f>
        <v>836411</v>
      </c>
      <c r="P98" s="19"/>
      <c r="Q98" s="19">
        <v>92949</v>
      </c>
      <c r="R98" s="19"/>
      <c r="S98" s="19">
        <v>174798</v>
      </c>
      <c r="T98" s="19"/>
      <c r="U98" s="19">
        <v>6397</v>
      </c>
      <c r="V98" s="19"/>
      <c r="W98" s="19">
        <f>88109+9237</f>
        <v>97346</v>
      </c>
      <c r="X98" s="19"/>
      <c r="Y98" s="26">
        <f t="shared" si="26"/>
        <v>12436152</v>
      </c>
      <c r="Z98" s="19"/>
      <c r="AA98" s="19">
        <v>131730</v>
      </c>
      <c r="AB98" s="19"/>
      <c r="AC98" s="19">
        <v>0</v>
      </c>
      <c r="AD98" s="19"/>
      <c r="AE98" s="19">
        <v>0</v>
      </c>
      <c r="AF98" s="19"/>
      <c r="AG98" s="19"/>
      <c r="AH98" s="19"/>
      <c r="AI98" s="19"/>
      <c r="AJ98" s="19"/>
      <c r="AK98" s="19">
        <v>2702</v>
      </c>
      <c r="AL98" s="19"/>
      <c r="AM98" s="19">
        <v>0</v>
      </c>
      <c r="AN98" s="19"/>
      <c r="AO98" s="26">
        <f t="shared" si="23"/>
        <v>134432</v>
      </c>
      <c r="AP98" s="19"/>
      <c r="AQ98" s="26">
        <f t="shared" si="24"/>
        <v>12570584</v>
      </c>
      <c r="AR98" s="26"/>
    </row>
    <row r="99" spans="1:44" hidden="1">
      <c r="A99" s="9" t="s">
        <v>855</v>
      </c>
      <c r="B99" s="9"/>
      <c r="C99" s="9" t="s">
        <v>553</v>
      </c>
      <c r="D99" s="9"/>
      <c r="E99" s="23">
        <v>45260</v>
      </c>
      <c r="F99" s="19"/>
      <c r="G99" s="19">
        <v>0</v>
      </c>
      <c r="H99" s="19"/>
      <c r="I99" s="19">
        <v>0</v>
      </c>
      <c r="J99" s="19"/>
      <c r="K99" s="19">
        <v>0</v>
      </c>
      <c r="L99" s="19"/>
      <c r="M99" s="19">
        <v>0</v>
      </c>
      <c r="N99" s="19"/>
      <c r="O99" s="19">
        <v>0</v>
      </c>
      <c r="P99" s="19"/>
      <c r="Q99" s="19">
        <v>0</v>
      </c>
      <c r="R99" s="19"/>
      <c r="S99" s="19">
        <v>0</v>
      </c>
      <c r="T99" s="19"/>
      <c r="U99" s="19">
        <v>0</v>
      </c>
      <c r="V99" s="19"/>
      <c r="W99" s="19">
        <v>0</v>
      </c>
      <c r="X99" s="19"/>
      <c r="Y99" s="26">
        <f t="shared" si="26"/>
        <v>0</v>
      </c>
      <c r="Z99" s="19"/>
      <c r="AA99" s="19">
        <v>0</v>
      </c>
      <c r="AB99" s="19"/>
      <c r="AC99" s="19">
        <v>0</v>
      </c>
      <c r="AD99" s="19"/>
      <c r="AE99" s="19">
        <v>0</v>
      </c>
      <c r="AF99" s="19"/>
      <c r="AG99" s="19"/>
      <c r="AH99" s="19"/>
      <c r="AI99" s="19"/>
      <c r="AJ99" s="19"/>
      <c r="AK99" s="19">
        <v>0</v>
      </c>
      <c r="AL99" s="19"/>
      <c r="AM99" s="19">
        <v>0</v>
      </c>
      <c r="AN99" s="19"/>
      <c r="AO99" s="26">
        <f t="shared" si="23"/>
        <v>0</v>
      </c>
      <c r="AP99" s="19"/>
      <c r="AQ99" s="26">
        <f t="shared" si="24"/>
        <v>0</v>
      </c>
      <c r="AR99" s="26"/>
    </row>
    <row r="100" spans="1:44" s="24" customFormat="1">
      <c r="A100" s="51" t="s">
        <v>539</v>
      </c>
      <c r="B100" s="51"/>
      <c r="C100" s="51" t="s">
        <v>69</v>
      </c>
      <c r="D100" s="51"/>
      <c r="E100" s="23">
        <v>50419</v>
      </c>
      <c r="F100" s="66"/>
      <c r="G100" s="19">
        <v>4529960</v>
      </c>
      <c r="H100" s="19"/>
      <c r="I100" s="19">
        <v>1859392</v>
      </c>
      <c r="J100" s="19"/>
      <c r="K100" s="19">
        <v>9381536</v>
      </c>
      <c r="L100" s="19"/>
      <c r="M100" s="19">
        <v>1886</v>
      </c>
      <c r="N100" s="19"/>
      <c r="O100" s="19">
        <f>229374+43336+350340</f>
        <v>623050</v>
      </c>
      <c r="P100" s="19"/>
      <c r="Q100" s="19">
        <v>122759</v>
      </c>
      <c r="R100" s="19"/>
      <c r="S100" s="19">
        <v>221818</v>
      </c>
      <c r="T100" s="19"/>
      <c r="U100" s="19">
        <v>3807</v>
      </c>
      <c r="V100" s="19"/>
      <c r="W100" s="19">
        <v>68907</v>
      </c>
      <c r="X100" s="19"/>
      <c r="Y100" s="26">
        <f t="shared" si="26"/>
        <v>16813115</v>
      </c>
      <c r="Z100" s="19"/>
      <c r="AA100" s="19">
        <v>0</v>
      </c>
      <c r="AB100" s="19"/>
      <c r="AC100" s="19">
        <v>0</v>
      </c>
      <c r="AD100" s="19"/>
      <c r="AE100" s="19">
        <v>0</v>
      </c>
      <c r="AF100" s="19"/>
      <c r="AG100" s="19"/>
      <c r="AH100" s="19"/>
      <c r="AI100" s="19"/>
      <c r="AJ100" s="19"/>
      <c r="AK100" s="19">
        <v>127146</v>
      </c>
      <c r="AL100" s="19"/>
      <c r="AM100" s="19">
        <v>0</v>
      </c>
      <c r="AN100" s="19"/>
      <c r="AO100" s="26">
        <f t="shared" si="23"/>
        <v>127146</v>
      </c>
      <c r="AP100" s="19"/>
      <c r="AQ100" s="26">
        <f t="shared" si="24"/>
        <v>16940261</v>
      </c>
      <c r="AR100" s="67"/>
    </row>
    <row r="101" spans="1:44" s="24" customFormat="1">
      <c r="A101" s="51" t="s">
        <v>747</v>
      </c>
      <c r="B101" s="51"/>
      <c r="C101" s="51" t="s">
        <v>16</v>
      </c>
      <c r="D101" s="51"/>
      <c r="E101" s="51">
        <v>45278</v>
      </c>
      <c r="F101" s="66"/>
      <c r="G101" s="66">
        <v>6907336</v>
      </c>
      <c r="H101" s="66"/>
      <c r="I101" s="66">
        <v>0</v>
      </c>
      <c r="J101" s="66"/>
      <c r="K101" s="66">
        <v>13855687</v>
      </c>
      <c r="L101" s="66"/>
      <c r="M101" s="66">
        <v>1773</v>
      </c>
      <c r="N101" s="66"/>
      <c r="O101" s="66">
        <f>798347+49864+121857</f>
        <v>970068</v>
      </c>
      <c r="P101" s="66"/>
      <c r="Q101" s="66">
        <v>195854</v>
      </c>
      <c r="R101" s="66"/>
      <c r="S101" s="66">
        <v>0</v>
      </c>
      <c r="T101" s="66"/>
      <c r="U101" s="66">
        <v>52787</v>
      </c>
      <c r="V101" s="66"/>
      <c r="W101" s="66">
        <v>82190</v>
      </c>
      <c r="X101" s="66"/>
      <c r="Y101" s="67">
        <f t="shared" si="26"/>
        <v>22065695</v>
      </c>
      <c r="Z101" s="66"/>
      <c r="AA101" s="66">
        <v>228489</v>
      </c>
      <c r="AB101" s="66"/>
      <c r="AC101" s="66">
        <v>0</v>
      </c>
      <c r="AD101" s="66"/>
      <c r="AE101" s="66">
        <v>0</v>
      </c>
      <c r="AF101" s="66"/>
      <c r="AG101" s="66"/>
      <c r="AH101" s="66"/>
      <c r="AI101" s="66"/>
      <c r="AJ101" s="66"/>
      <c r="AK101" s="66">
        <f>10+98850+778</f>
        <v>99638</v>
      </c>
      <c r="AL101" s="66"/>
      <c r="AM101" s="66">
        <v>0</v>
      </c>
      <c r="AN101" s="66"/>
      <c r="AO101" s="67">
        <f t="shared" si="23"/>
        <v>328127</v>
      </c>
      <c r="AP101" s="66"/>
      <c r="AQ101" s="67">
        <f t="shared" si="24"/>
        <v>22393822</v>
      </c>
      <c r="AR101" s="67"/>
    </row>
    <row r="102" spans="1:44">
      <c r="A102" s="9" t="s">
        <v>644</v>
      </c>
      <c r="B102" s="9"/>
      <c r="C102" s="9" t="s">
        <v>113</v>
      </c>
      <c r="D102" s="9"/>
      <c r="E102" s="23">
        <v>47258</v>
      </c>
      <c r="F102" s="19"/>
      <c r="G102" s="19">
        <v>2613855</v>
      </c>
      <c r="H102" s="19"/>
      <c r="I102" s="19">
        <v>1052477</v>
      </c>
      <c r="J102" s="19"/>
      <c r="K102" s="19">
        <v>5377217</v>
      </c>
      <c r="L102" s="19"/>
      <c r="M102" s="19">
        <v>21047</v>
      </c>
      <c r="N102" s="19"/>
      <c r="O102" s="19">
        <f>461569+595+79248</f>
        <v>541412</v>
      </c>
      <c r="P102" s="19"/>
      <c r="Q102" s="19">
        <v>141503</v>
      </c>
      <c r="R102" s="19"/>
      <c r="S102" s="19">
        <v>0</v>
      </c>
      <c r="T102" s="19"/>
      <c r="U102" s="19">
        <v>66686</v>
      </c>
      <c r="V102" s="19"/>
      <c r="W102" s="19">
        <v>117624</v>
      </c>
      <c r="X102" s="19"/>
      <c r="Y102" s="26">
        <f t="shared" si="26"/>
        <v>9931821</v>
      </c>
      <c r="Z102" s="19"/>
      <c r="AA102" s="19">
        <v>0</v>
      </c>
      <c r="AB102" s="19"/>
      <c r="AC102" s="19">
        <v>0</v>
      </c>
      <c r="AD102" s="19"/>
      <c r="AE102" s="19">
        <v>0</v>
      </c>
      <c r="AF102" s="19"/>
      <c r="AG102" s="19"/>
      <c r="AH102" s="19"/>
      <c r="AI102" s="19"/>
      <c r="AJ102" s="19"/>
      <c r="AK102" s="19">
        <v>0</v>
      </c>
      <c r="AL102" s="19"/>
      <c r="AM102" s="19">
        <v>0</v>
      </c>
      <c r="AN102" s="19"/>
      <c r="AO102" s="26">
        <f t="shared" si="23"/>
        <v>0</v>
      </c>
      <c r="AP102" s="19"/>
      <c r="AQ102" s="26">
        <f t="shared" si="24"/>
        <v>9931821</v>
      </c>
      <c r="AR102" s="26"/>
    </row>
    <row r="103" spans="1:44" hidden="1">
      <c r="A103" s="9" t="s">
        <v>613</v>
      </c>
      <c r="B103" s="9"/>
      <c r="C103" s="9" t="s">
        <v>419</v>
      </c>
      <c r="D103" s="9"/>
      <c r="E103" s="23">
        <v>43729</v>
      </c>
      <c r="F103" s="19"/>
      <c r="G103" s="19">
        <v>0</v>
      </c>
      <c r="H103" s="19"/>
      <c r="I103" s="19">
        <v>0</v>
      </c>
      <c r="J103" s="19"/>
      <c r="K103" s="19">
        <v>0</v>
      </c>
      <c r="L103" s="19"/>
      <c r="M103" s="19">
        <v>0</v>
      </c>
      <c r="N103" s="19"/>
      <c r="O103" s="19">
        <v>0</v>
      </c>
      <c r="P103" s="19"/>
      <c r="Q103" s="19">
        <v>0</v>
      </c>
      <c r="R103" s="19"/>
      <c r="S103" s="19">
        <v>0</v>
      </c>
      <c r="T103" s="19"/>
      <c r="U103" s="19">
        <v>0</v>
      </c>
      <c r="V103" s="19"/>
      <c r="W103" s="19">
        <v>0</v>
      </c>
      <c r="X103" s="19"/>
      <c r="Y103" s="26">
        <f t="shared" si="26"/>
        <v>0</v>
      </c>
      <c r="Z103" s="19"/>
      <c r="AA103" s="19">
        <v>0</v>
      </c>
      <c r="AB103" s="19"/>
      <c r="AC103" s="19">
        <v>0</v>
      </c>
      <c r="AD103" s="19"/>
      <c r="AE103" s="19">
        <v>0</v>
      </c>
      <c r="AF103" s="19"/>
      <c r="AG103" s="19"/>
      <c r="AH103" s="19"/>
      <c r="AI103" s="19"/>
      <c r="AJ103" s="19"/>
      <c r="AK103" s="19">
        <v>0</v>
      </c>
      <c r="AL103" s="19"/>
      <c r="AM103" s="19">
        <v>0</v>
      </c>
      <c r="AN103" s="19"/>
      <c r="AO103" s="26">
        <f t="shared" si="23"/>
        <v>0</v>
      </c>
      <c r="AP103" s="19"/>
      <c r="AQ103" s="26">
        <f t="shared" si="24"/>
        <v>0</v>
      </c>
      <c r="AR103" s="26"/>
    </row>
    <row r="104" spans="1:44" hidden="1">
      <c r="A104" s="9" t="s">
        <v>856</v>
      </c>
      <c r="B104" s="9"/>
      <c r="C104" s="9" t="s">
        <v>40</v>
      </c>
      <c r="D104" s="9"/>
      <c r="E104" s="23">
        <v>47829</v>
      </c>
      <c r="F104" s="19"/>
      <c r="G104" s="19">
        <v>0</v>
      </c>
      <c r="H104" s="19"/>
      <c r="I104" s="19">
        <v>0</v>
      </c>
      <c r="J104" s="19"/>
      <c r="K104" s="19">
        <v>0</v>
      </c>
      <c r="L104" s="19"/>
      <c r="M104" s="19">
        <v>0</v>
      </c>
      <c r="N104" s="19"/>
      <c r="O104" s="19">
        <v>0</v>
      </c>
      <c r="P104" s="19"/>
      <c r="Q104" s="19">
        <v>0</v>
      </c>
      <c r="R104" s="19"/>
      <c r="S104" s="19">
        <v>0</v>
      </c>
      <c r="T104" s="19"/>
      <c r="U104" s="19">
        <v>0</v>
      </c>
      <c r="V104" s="19"/>
      <c r="W104" s="19">
        <v>0</v>
      </c>
      <c r="X104" s="19"/>
      <c r="Y104" s="26">
        <f t="shared" si="26"/>
        <v>0</v>
      </c>
      <c r="Z104" s="19"/>
      <c r="AA104" s="19">
        <v>0</v>
      </c>
      <c r="AB104" s="19"/>
      <c r="AC104" s="19">
        <v>0</v>
      </c>
      <c r="AD104" s="19"/>
      <c r="AE104" s="19">
        <v>0</v>
      </c>
      <c r="AF104" s="19"/>
      <c r="AG104" s="19"/>
      <c r="AH104" s="19"/>
      <c r="AI104" s="19"/>
      <c r="AJ104" s="19"/>
      <c r="AK104" s="19">
        <v>0</v>
      </c>
      <c r="AL104" s="19"/>
      <c r="AM104" s="19">
        <v>0</v>
      </c>
      <c r="AN104" s="19"/>
      <c r="AO104" s="26">
        <f t="shared" si="23"/>
        <v>0</v>
      </c>
      <c r="AP104" s="19"/>
      <c r="AQ104" s="26">
        <f t="shared" si="24"/>
        <v>0</v>
      </c>
      <c r="AR104" s="26"/>
    </row>
    <row r="105" spans="1:44">
      <c r="A105" s="9" t="s">
        <v>645</v>
      </c>
      <c r="B105" s="9"/>
      <c r="C105" s="9" t="s">
        <v>50</v>
      </c>
      <c r="D105" s="9"/>
      <c r="E105" s="23">
        <v>43737</v>
      </c>
      <c r="F105" s="19"/>
      <c r="G105" s="19">
        <v>61652124</v>
      </c>
      <c r="H105" s="19"/>
      <c r="I105" s="19">
        <v>0</v>
      </c>
      <c r="J105" s="19"/>
      <c r="K105" s="19">
        <v>25364538</v>
      </c>
      <c r="L105" s="19"/>
      <c r="M105" s="19">
        <v>589877</v>
      </c>
      <c r="N105" s="19"/>
      <c r="O105" s="19">
        <f>1684719+1934719</f>
        <v>3619438</v>
      </c>
      <c r="P105" s="19"/>
      <c r="Q105" s="19">
        <v>1383997</v>
      </c>
      <c r="R105" s="19"/>
      <c r="S105" s="19">
        <v>21600</v>
      </c>
      <c r="T105" s="19"/>
      <c r="U105" s="19">
        <v>0</v>
      </c>
      <c r="V105" s="19"/>
      <c r="W105" s="19">
        <v>466312</v>
      </c>
      <c r="X105" s="19"/>
      <c r="Y105" s="26">
        <f t="shared" si="26"/>
        <v>93097886</v>
      </c>
      <c r="Z105" s="19"/>
      <c r="AA105" s="19">
        <v>0</v>
      </c>
      <c r="AB105" s="19"/>
      <c r="AC105" s="19">
        <v>0</v>
      </c>
      <c r="AD105" s="19"/>
      <c r="AE105" s="19">
        <f>48510531+5816489</f>
        <v>54327020</v>
      </c>
      <c r="AF105" s="19"/>
      <c r="AG105" s="19"/>
      <c r="AH105" s="19"/>
      <c r="AI105" s="19"/>
      <c r="AJ105" s="19"/>
      <c r="AK105" s="19">
        <v>14661</v>
      </c>
      <c r="AL105" s="19"/>
      <c r="AM105" s="19">
        <v>0</v>
      </c>
      <c r="AN105" s="19"/>
      <c r="AO105" s="26">
        <f t="shared" si="23"/>
        <v>54341681</v>
      </c>
      <c r="AP105" s="19"/>
      <c r="AQ105" s="26">
        <f t="shared" si="24"/>
        <v>147439567</v>
      </c>
      <c r="AR105" s="26"/>
    </row>
    <row r="106" spans="1:44" hidden="1">
      <c r="A106" s="9" t="s">
        <v>730</v>
      </c>
      <c r="B106" s="9"/>
      <c r="C106" s="9" t="s">
        <v>22</v>
      </c>
      <c r="D106" s="9"/>
      <c r="E106" s="23">
        <v>46714</v>
      </c>
      <c r="F106" s="19"/>
      <c r="G106" s="19">
        <v>0</v>
      </c>
      <c r="H106" s="19"/>
      <c r="I106" s="19">
        <v>0</v>
      </c>
      <c r="J106" s="19"/>
      <c r="K106" s="19">
        <v>0</v>
      </c>
      <c r="L106" s="19"/>
      <c r="M106" s="19">
        <v>0</v>
      </c>
      <c r="N106" s="19"/>
      <c r="O106" s="19">
        <v>0</v>
      </c>
      <c r="P106" s="19"/>
      <c r="Q106" s="19">
        <v>0</v>
      </c>
      <c r="R106" s="19"/>
      <c r="S106" s="19">
        <v>0</v>
      </c>
      <c r="T106" s="19"/>
      <c r="U106" s="19">
        <v>0</v>
      </c>
      <c r="V106" s="19"/>
      <c r="W106" s="19">
        <v>0</v>
      </c>
      <c r="X106" s="19"/>
      <c r="Y106" s="26">
        <f t="shared" si="26"/>
        <v>0</v>
      </c>
      <c r="Z106" s="19"/>
      <c r="AA106" s="19">
        <v>0</v>
      </c>
      <c r="AB106" s="19"/>
      <c r="AC106" s="19">
        <v>0</v>
      </c>
      <c r="AD106" s="19"/>
      <c r="AE106" s="19">
        <v>0</v>
      </c>
      <c r="AF106" s="19"/>
      <c r="AG106" s="19"/>
      <c r="AH106" s="19"/>
      <c r="AI106" s="19"/>
      <c r="AJ106" s="19"/>
      <c r="AK106" s="19">
        <v>0</v>
      </c>
      <c r="AL106" s="19"/>
      <c r="AM106" s="19">
        <v>0</v>
      </c>
      <c r="AN106" s="19"/>
      <c r="AO106" s="26">
        <f t="shared" si="23"/>
        <v>0</v>
      </c>
      <c r="AP106" s="19"/>
      <c r="AQ106" s="26">
        <f t="shared" si="24"/>
        <v>0</v>
      </c>
      <c r="AR106" s="26"/>
    </row>
    <row r="107" spans="1:44">
      <c r="A107" s="9" t="s">
        <v>748</v>
      </c>
      <c r="B107" s="9"/>
      <c r="C107" s="9" t="s">
        <v>20</v>
      </c>
      <c r="D107" s="9"/>
      <c r="E107" s="23">
        <v>45286</v>
      </c>
      <c r="F107" s="19"/>
      <c r="G107" s="19">
        <v>23086685</v>
      </c>
      <c r="H107" s="19"/>
      <c r="I107" s="19">
        <v>0</v>
      </c>
      <c r="J107" s="19"/>
      <c r="K107" s="19">
        <v>5687827</v>
      </c>
      <c r="L107" s="19"/>
      <c r="M107" s="19">
        <v>1929</v>
      </c>
      <c r="N107" s="19"/>
      <c r="O107" s="19">
        <f>986886+4210+598762</f>
        <v>1589858</v>
      </c>
      <c r="P107" s="19"/>
      <c r="Q107" s="19">
        <v>468444</v>
      </c>
      <c r="R107" s="19"/>
      <c r="S107" s="19">
        <v>0</v>
      </c>
      <c r="T107" s="19"/>
      <c r="U107" s="19">
        <v>140830</v>
      </c>
      <c r="V107" s="19"/>
      <c r="W107" s="19">
        <v>28304</v>
      </c>
      <c r="X107" s="19"/>
      <c r="Y107" s="26">
        <f t="shared" si="26"/>
        <v>31003877</v>
      </c>
      <c r="Z107" s="19"/>
      <c r="AA107" s="19">
        <v>419200</v>
      </c>
      <c r="AB107" s="19"/>
      <c r="AC107" s="19">
        <v>0</v>
      </c>
      <c r="AD107" s="19"/>
      <c r="AE107" s="19">
        <f>18665000+2022116</f>
        <v>20687116</v>
      </c>
      <c r="AF107" s="19"/>
      <c r="AG107" s="19"/>
      <c r="AH107" s="19"/>
      <c r="AI107" s="19"/>
      <c r="AJ107" s="19"/>
      <c r="AK107" s="19">
        <v>8210</v>
      </c>
      <c r="AL107" s="19"/>
      <c r="AM107" s="19">
        <v>0</v>
      </c>
      <c r="AN107" s="19"/>
      <c r="AO107" s="26">
        <f t="shared" si="23"/>
        <v>21114526</v>
      </c>
      <c r="AP107" s="19"/>
      <c r="AQ107" s="26">
        <f t="shared" si="24"/>
        <v>52118403</v>
      </c>
      <c r="AR107" s="26"/>
    </row>
    <row r="108" spans="1:44">
      <c r="A108" s="9" t="s">
        <v>516</v>
      </c>
      <c r="B108" s="9"/>
      <c r="C108" s="9" t="s">
        <v>64</v>
      </c>
      <c r="D108" s="9"/>
      <c r="E108" s="23">
        <v>50138</v>
      </c>
      <c r="F108" s="19"/>
      <c r="G108" s="19">
        <v>4756573</v>
      </c>
      <c r="H108" s="19"/>
      <c r="I108" s="19">
        <v>0</v>
      </c>
      <c r="J108" s="19"/>
      <c r="K108" s="19">
        <f>7379622+739108</f>
        <v>8118730</v>
      </c>
      <c r="L108" s="19"/>
      <c r="M108" s="19">
        <v>3391</v>
      </c>
      <c r="N108" s="19"/>
      <c r="O108" s="19">
        <f>588815+2361+228458+29331+42990</f>
        <v>891955</v>
      </c>
      <c r="P108" s="19"/>
      <c r="Q108" s="19">
        <v>101544</v>
      </c>
      <c r="R108" s="19"/>
      <c r="S108" s="19">
        <v>0</v>
      </c>
      <c r="T108" s="19"/>
      <c r="U108" s="19">
        <v>22444</v>
      </c>
      <c r="V108" s="19"/>
      <c r="W108" s="19">
        <f>20876+41213</f>
        <v>62089</v>
      </c>
      <c r="X108" s="19"/>
      <c r="Y108" s="26">
        <f t="shared" si="26"/>
        <v>13956726</v>
      </c>
      <c r="Z108" s="19"/>
      <c r="AA108" s="19">
        <v>71147</v>
      </c>
      <c r="AB108" s="19"/>
      <c r="AC108" s="19">
        <v>0</v>
      </c>
      <c r="AD108" s="19"/>
      <c r="AE108" s="19">
        <v>500000</v>
      </c>
      <c r="AF108" s="19"/>
      <c r="AG108" s="19"/>
      <c r="AH108" s="19"/>
      <c r="AI108" s="19"/>
      <c r="AJ108" s="19"/>
      <c r="AK108" s="19">
        <v>99868</v>
      </c>
      <c r="AL108" s="19"/>
      <c r="AM108" s="19">
        <v>0</v>
      </c>
      <c r="AN108" s="19"/>
      <c r="AO108" s="26">
        <f t="shared" si="23"/>
        <v>671015</v>
      </c>
      <c r="AP108" s="19"/>
      <c r="AQ108" s="26">
        <f t="shared" si="24"/>
        <v>14627741</v>
      </c>
      <c r="AR108" s="26"/>
    </row>
    <row r="109" spans="1:44" hidden="1">
      <c r="A109" s="9" t="s">
        <v>731</v>
      </c>
      <c r="B109" s="9"/>
      <c r="C109" s="9" t="s">
        <v>30</v>
      </c>
      <c r="D109" s="9"/>
      <c r="E109" s="23">
        <v>47183</v>
      </c>
      <c r="F109" s="19"/>
      <c r="G109" s="19">
        <v>0</v>
      </c>
      <c r="H109" s="19"/>
      <c r="I109" s="19">
        <v>0</v>
      </c>
      <c r="J109" s="19"/>
      <c r="K109" s="19">
        <v>0</v>
      </c>
      <c r="L109" s="19"/>
      <c r="M109" s="19">
        <v>0</v>
      </c>
      <c r="N109" s="19"/>
      <c r="O109" s="19">
        <v>0</v>
      </c>
      <c r="P109" s="19"/>
      <c r="Q109" s="19">
        <v>0</v>
      </c>
      <c r="R109" s="19"/>
      <c r="S109" s="19">
        <v>0</v>
      </c>
      <c r="T109" s="19"/>
      <c r="U109" s="19">
        <v>0</v>
      </c>
      <c r="V109" s="19"/>
      <c r="W109" s="19">
        <v>0</v>
      </c>
      <c r="X109" s="19"/>
      <c r="Y109" s="26">
        <f t="shared" si="26"/>
        <v>0</v>
      </c>
      <c r="Z109" s="19"/>
      <c r="AA109" s="19">
        <v>0</v>
      </c>
      <c r="AB109" s="19"/>
      <c r="AC109" s="19">
        <v>0</v>
      </c>
      <c r="AD109" s="19"/>
      <c r="AE109" s="19">
        <v>0</v>
      </c>
      <c r="AF109" s="19"/>
      <c r="AG109" s="19"/>
      <c r="AH109" s="19"/>
      <c r="AI109" s="19"/>
      <c r="AJ109" s="19"/>
      <c r="AK109" s="19">
        <v>0</v>
      </c>
      <c r="AL109" s="19"/>
      <c r="AM109" s="19">
        <v>0</v>
      </c>
      <c r="AN109" s="19"/>
      <c r="AO109" s="26">
        <f t="shared" si="23"/>
        <v>0</v>
      </c>
      <c r="AP109" s="19"/>
      <c r="AQ109" s="26">
        <f t="shared" si="24"/>
        <v>0</v>
      </c>
      <c r="AR109" s="26"/>
    </row>
    <row r="110" spans="1:44">
      <c r="A110" s="9" t="s">
        <v>749</v>
      </c>
      <c r="B110" s="9"/>
      <c r="C110" s="9" t="s">
        <v>364</v>
      </c>
      <c r="D110" s="9"/>
      <c r="E110" s="23">
        <v>45294</v>
      </c>
      <c r="F110" s="19"/>
      <c r="G110" s="19">
        <v>2130340</v>
      </c>
      <c r="H110" s="19"/>
      <c r="I110" s="19">
        <v>0</v>
      </c>
      <c r="J110" s="19"/>
      <c r="K110" s="19">
        <v>10670529</v>
      </c>
      <c r="L110" s="19"/>
      <c r="M110" s="19">
        <v>3246</v>
      </c>
      <c r="N110" s="19"/>
      <c r="O110" s="19">
        <f>1062279+92233</f>
        <v>1154512</v>
      </c>
      <c r="P110" s="19"/>
      <c r="Q110" s="19">
        <v>61637</v>
      </c>
      <c r="R110" s="19"/>
      <c r="S110" s="19">
        <v>0</v>
      </c>
      <c r="T110" s="19"/>
      <c r="U110" s="19">
        <v>42984</v>
      </c>
      <c r="V110" s="19"/>
      <c r="W110" s="19">
        <v>122640</v>
      </c>
      <c r="X110" s="19"/>
      <c r="Y110" s="26">
        <f t="shared" si="26"/>
        <v>14185888</v>
      </c>
      <c r="Z110" s="19"/>
      <c r="AA110" s="19">
        <v>62341</v>
      </c>
      <c r="AB110" s="19"/>
      <c r="AC110" s="19">
        <v>0</v>
      </c>
      <c r="AD110" s="19"/>
      <c r="AE110" s="19">
        <v>0</v>
      </c>
      <c r="AF110" s="19"/>
      <c r="AG110" s="19"/>
      <c r="AH110" s="19"/>
      <c r="AI110" s="19"/>
      <c r="AJ110" s="19"/>
      <c r="AK110" s="19">
        <v>3007000</v>
      </c>
      <c r="AL110" s="19"/>
      <c r="AM110" s="19">
        <v>0</v>
      </c>
      <c r="AN110" s="19"/>
      <c r="AO110" s="26">
        <f t="shared" si="23"/>
        <v>3069341</v>
      </c>
      <c r="AP110" s="19"/>
      <c r="AQ110" s="26">
        <f t="shared" si="24"/>
        <v>17255229</v>
      </c>
      <c r="AR110" s="26"/>
    </row>
    <row r="111" spans="1:44">
      <c r="A111" s="9" t="s">
        <v>470</v>
      </c>
      <c r="B111" s="9"/>
      <c r="C111" s="9" t="s">
        <v>58</v>
      </c>
      <c r="D111" s="9"/>
      <c r="E111" s="23">
        <v>43745</v>
      </c>
      <c r="F111" s="19"/>
      <c r="G111" s="19">
        <v>12117923</v>
      </c>
      <c r="H111" s="19"/>
      <c r="I111" s="19">
        <v>0</v>
      </c>
      <c r="J111" s="19"/>
      <c r="K111" s="19">
        <v>19381807</v>
      </c>
      <c r="L111" s="19"/>
      <c r="M111" s="19">
        <v>6469</v>
      </c>
      <c r="N111" s="19"/>
      <c r="O111" s="19">
        <f>1437009+5181+416820</f>
        <v>1859010</v>
      </c>
      <c r="P111" s="19"/>
      <c r="Q111" s="19">
        <v>123498</v>
      </c>
      <c r="R111" s="19"/>
      <c r="S111" s="19">
        <v>0</v>
      </c>
      <c r="T111" s="19"/>
      <c r="U111" s="19">
        <v>31889</v>
      </c>
      <c r="V111" s="19"/>
      <c r="W111" s="19">
        <f>176751-8362</f>
        <v>168389</v>
      </c>
      <c r="X111" s="19"/>
      <c r="Y111" s="26">
        <f t="shared" si="26"/>
        <v>33688985</v>
      </c>
      <c r="Z111" s="19"/>
      <c r="AA111" s="19">
        <v>0</v>
      </c>
      <c r="AB111" s="19"/>
      <c r="AC111" s="19">
        <v>0</v>
      </c>
      <c r="AD111" s="19"/>
      <c r="AE111" s="19">
        <v>1500000</v>
      </c>
      <c r="AF111" s="19"/>
      <c r="AG111" s="19"/>
      <c r="AH111" s="19"/>
      <c r="AI111" s="19"/>
      <c r="AJ111" s="19"/>
      <c r="AK111" s="19">
        <v>11296</v>
      </c>
      <c r="AL111" s="19"/>
      <c r="AM111" s="19">
        <v>0</v>
      </c>
      <c r="AN111" s="19"/>
      <c r="AO111" s="26">
        <f t="shared" si="23"/>
        <v>1511296</v>
      </c>
      <c r="AP111" s="19"/>
      <c r="AQ111" s="26">
        <f t="shared" si="24"/>
        <v>35200281</v>
      </c>
      <c r="AR111" s="26"/>
    </row>
    <row r="112" spans="1:44">
      <c r="A112" s="9" t="s">
        <v>547</v>
      </c>
      <c r="B112" s="9"/>
      <c r="C112" s="9" t="s">
        <v>71</v>
      </c>
      <c r="D112" s="9"/>
      <c r="E112" s="23">
        <v>50534</v>
      </c>
      <c r="F112" s="19"/>
      <c r="G112" s="19">
        <v>3799743</v>
      </c>
      <c r="H112" s="19"/>
      <c r="I112" s="19">
        <v>1753350</v>
      </c>
      <c r="J112" s="19"/>
      <c r="K112" s="19">
        <f>3146+5677373+730559</f>
        <v>6411078</v>
      </c>
      <c r="L112" s="19"/>
      <c r="M112" s="19">
        <v>8570</v>
      </c>
      <c r="N112" s="19"/>
      <c r="O112" s="19">
        <f>228334+93378+11439</f>
        <v>333151</v>
      </c>
      <c r="P112" s="19"/>
      <c r="Q112" s="19">
        <v>235520</v>
      </c>
      <c r="R112" s="19"/>
      <c r="S112" s="19">
        <v>0</v>
      </c>
      <c r="T112" s="19"/>
      <c r="U112" s="19">
        <v>4995</v>
      </c>
      <c r="V112" s="19"/>
      <c r="W112" s="19">
        <v>21862</v>
      </c>
      <c r="X112" s="19"/>
      <c r="Y112" s="26">
        <f t="shared" si="26"/>
        <v>12568269</v>
      </c>
      <c r="Z112" s="19"/>
      <c r="AA112" s="19">
        <v>271500</v>
      </c>
      <c r="AB112" s="19"/>
      <c r="AC112" s="19">
        <v>0</v>
      </c>
      <c r="AD112" s="19"/>
      <c r="AE112" s="19">
        <v>0</v>
      </c>
      <c r="AF112" s="19"/>
      <c r="AG112" s="19"/>
      <c r="AH112" s="19"/>
      <c r="AI112" s="19"/>
      <c r="AJ112" s="19"/>
      <c r="AK112" s="19">
        <v>0</v>
      </c>
      <c r="AL112" s="19"/>
      <c r="AM112" s="19">
        <v>0</v>
      </c>
      <c r="AN112" s="19"/>
      <c r="AO112" s="26">
        <f t="shared" si="23"/>
        <v>271500</v>
      </c>
      <c r="AP112" s="19"/>
      <c r="AQ112" s="26">
        <f t="shared" si="24"/>
        <v>12839769</v>
      </c>
      <c r="AR112" s="26"/>
    </row>
    <row r="113" spans="1:44">
      <c r="A113" s="9" t="s">
        <v>647</v>
      </c>
      <c r="B113" s="9"/>
      <c r="C113" s="9" t="s">
        <v>32</v>
      </c>
      <c r="D113" s="9"/>
      <c r="E113" s="23">
        <v>43752</v>
      </c>
      <c r="F113" s="19"/>
      <c r="G113" s="19">
        <v>283096196</v>
      </c>
      <c r="H113" s="19"/>
      <c r="I113" s="19">
        <v>0</v>
      </c>
      <c r="J113" s="19"/>
      <c r="K113" s="19">
        <f>206336075+76749168</f>
        <v>283085243</v>
      </c>
      <c r="L113" s="19"/>
      <c r="M113" s="19">
        <v>443349</v>
      </c>
      <c r="N113" s="19"/>
      <c r="O113" s="19">
        <v>2491311</v>
      </c>
      <c r="P113" s="19"/>
      <c r="Q113" s="19">
        <v>0</v>
      </c>
      <c r="R113" s="19"/>
      <c r="S113" s="19">
        <v>26730600</v>
      </c>
      <c r="T113" s="19"/>
      <c r="U113" s="19">
        <v>0</v>
      </c>
      <c r="V113" s="19"/>
      <c r="W113" s="19">
        <f>1446185+495048+17902623</f>
        <v>19843856</v>
      </c>
      <c r="X113" s="19"/>
      <c r="Y113" s="26">
        <f t="shared" si="26"/>
        <v>615690555</v>
      </c>
      <c r="Z113" s="19"/>
      <c r="AA113" s="19">
        <v>12402825</v>
      </c>
      <c r="AB113" s="19"/>
      <c r="AC113" s="19">
        <v>0</v>
      </c>
      <c r="AD113" s="19"/>
      <c r="AE113" s="19">
        <v>0</v>
      </c>
      <c r="AF113" s="19"/>
      <c r="AG113" s="19"/>
      <c r="AH113" s="19"/>
      <c r="AI113" s="19"/>
      <c r="AJ113" s="19"/>
      <c r="AK113" s="19">
        <v>4694782</v>
      </c>
      <c r="AL113" s="19"/>
      <c r="AM113" s="19">
        <v>0</v>
      </c>
      <c r="AN113" s="19"/>
      <c r="AO113" s="26">
        <f t="shared" si="23"/>
        <v>17097607</v>
      </c>
      <c r="AP113" s="19"/>
      <c r="AQ113" s="26">
        <f t="shared" ref="AQ113:AQ114" si="27">Y113+AO113</f>
        <v>632788162</v>
      </c>
      <c r="AR113" s="26"/>
    </row>
    <row r="114" spans="1:44">
      <c r="A114" s="9" t="s">
        <v>449</v>
      </c>
      <c r="B114" s="9"/>
      <c r="C114" s="9" t="s">
        <v>54</v>
      </c>
      <c r="D114" s="9"/>
      <c r="E114" s="23">
        <v>43760</v>
      </c>
      <c r="F114" s="19"/>
      <c r="G114" s="19">
        <v>10224289</v>
      </c>
      <c r="H114" s="19"/>
      <c r="I114" s="19">
        <v>1539012</v>
      </c>
      <c r="J114" s="19"/>
      <c r="K114" s="19">
        <f>22418746+4907614</f>
        <v>27326360</v>
      </c>
      <c r="L114" s="19"/>
      <c r="M114" s="19">
        <v>85776</v>
      </c>
      <c r="N114" s="19"/>
      <c r="O114" s="19">
        <f>554550+214752+2496+69340</f>
        <v>841138</v>
      </c>
      <c r="P114" s="19"/>
      <c r="Q114" s="19">
        <v>150432</v>
      </c>
      <c r="R114" s="19"/>
      <c r="S114" s="19">
        <v>116004</v>
      </c>
      <c r="T114" s="19"/>
      <c r="U114" s="19">
        <v>700</v>
      </c>
      <c r="V114" s="19"/>
      <c r="W114" s="19">
        <f>186085+9486</f>
        <v>195571</v>
      </c>
      <c r="X114" s="19"/>
      <c r="Y114" s="26">
        <f t="shared" si="26"/>
        <v>40479282</v>
      </c>
      <c r="Z114" s="19"/>
      <c r="AA114" s="19">
        <v>75360</v>
      </c>
      <c r="AB114" s="19"/>
      <c r="AC114" s="19">
        <v>0</v>
      </c>
      <c r="AD114" s="19"/>
      <c r="AE114" s="19">
        <v>0</v>
      </c>
      <c r="AF114" s="19"/>
      <c r="AG114" s="19"/>
      <c r="AH114" s="19"/>
      <c r="AI114" s="19"/>
      <c r="AJ114" s="19"/>
      <c r="AK114" s="19">
        <v>181895</v>
      </c>
      <c r="AL114" s="19"/>
      <c r="AM114" s="19">
        <v>0</v>
      </c>
      <c r="AN114" s="19"/>
      <c r="AO114" s="26">
        <f t="shared" si="23"/>
        <v>257255</v>
      </c>
      <c r="AP114" s="19"/>
      <c r="AQ114" s="26">
        <f t="shared" si="27"/>
        <v>40736537</v>
      </c>
      <c r="AR114" s="26"/>
    </row>
    <row r="115" spans="1:44">
      <c r="A115" s="9" t="s">
        <v>229</v>
      </c>
      <c r="B115" s="9"/>
      <c r="C115" s="9" t="s">
        <v>17</v>
      </c>
      <c r="D115" s="9"/>
      <c r="E115" s="23">
        <v>46284</v>
      </c>
      <c r="F115" s="19"/>
      <c r="G115" s="19">
        <v>8912768</v>
      </c>
      <c r="H115" s="19"/>
      <c r="I115" s="19">
        <v>0</v>
      </c>
      <c r="J115" s="19"/>
      <c r="K115" s="19">
        <v>8090074</v>
      </c>
      <c r="L115" s="19"/>
      <c r="M115" s="19">
        <v>122</v>
      </c>
      <c r="N115" s="19"/>
      <c r="O115" s="19">
        <f>2424134+10384+467996</f>
        <v>2902514</v>
      </c>
      <c r="P115" s="19"/>
      <c r="Q115" s="19">
        <v>432013</v>
      </c>
      <c r="R115" s="19"/>
      <c r="S115" s="19">
        <v>0</v>
      </c>
      <c r="T115" s="19"/>
      <c r="U115" s="19">
        <v>8680</v>
      </c>
      <c r="V115" s="19"/>
      <c r="W115" s="19">
        <v>86626</v>
      </c>
      <c r="X115" s="19"/>
      <c r="Y115" s="26">
        <f t="shared" si="26"/>
        <v>20432797</v>
      </c>
      <c r="Z115" s="19"/>
      <c r="AA115" s="19">
        <v>227824</v>
      </c>
      <c r="AB115" s="19"/>
      <c r="AC115" s="19">
        <v>0</v>
      </c>
      <c r="AD115" s="19"/>
      <c r="AE115" s="19">
        <v>0</v>
      </c>
      <c r="AF115" s="19"/>
      <c r="AG115" s="19"/>
      <c r="AH115" s="19"/>
      <c r="AI115" s="19"/>
      <c r="AJ115" s="19"/>
      <c r="AK115" s="19">
        <v>84935</v>
      </c>
      <c r="AL115" s="19"/>
      <c r="AM115" s="19">
        <v>0</v>
      </c>
      <c r="AN115" s="19"/>
      <c r="AO115" s="26">
        <f t="shared" si="23"/>
        <v>312759</v>
      </c>
      <c r="AP115" s="19"/>
      <c r="AQ115" s="26">
        <f t="shared" ref="AQ115:AQ179" si="28">Y115+AO115</f>
        <v>20745556</v>
      </c>
      <c r="AR115" s="26"/>
    </row>
    <row r="116" spans="1:44">
      <c r="A116" s="9" t="s">
        <v>477</v>
      </c>
      <c r="B116" s="9"/>
      <c r="C116" s="9" t="s">
        <v>59</v>
      </c>
      <c r="D116" s="9"/>
      <c r="E116" s="23">
        <v>49601</v>
      </c>
      <c r="F116" s="19"/>
      <c r="G116" s="19">
        <v>1330204</v>
      </c>
      <c r="H116" s="19"/>
      <c r="I116" s="19">
        <v>0</v>
      </c>
      <c r="J116" s="19"/>
      <c r="K116" s="19">
        <v>3812451</v>
      </c>
      <c r="L116" s="19"/>
      <c r="M116" s="19">
        <v>1041</v>
      </c>
      <c r="N116" s="19"/>
      <c r="O116" s="19">
        <f>1250652+59436</f>
        <v>1310088</v>
      </c>
      <c r="P116" s="19"/>
      <c r="Q116" s="19">
        <v>67870</v>
      </c>
      <c r="R116" s="19"/>
      <c r="S116" s="19">
        <v>0</v>
      </c>
      <c r="T116" s="19"/>
      <c r="U116" s="19">
        <v>25975</v>
      </c>
      <c r="V116" s="19"/>
      <c r="W116" s="19">
        <v>227288</v>
      </c>
      <c r="X116" s="19"/>
      <c r="Y116" s="26">
        <f t="shared" si="26"/>
        <v>6774917</v>
      </c>
      <c r="Z116" s="19"/>
      <c r="AA116" s="19">
        <v>499836</v>
      </c>
      <c r="AB116" s="19"/>
      <c r="AC116" s="19">
        <v>0</v>
      </c>
      <c r="AD116" s="19"/>
      <c r="AE116" s="19">
        <v>0</v>
      </c>
      <c r="AF116" s="19"/>
      <c r="AG116" s="19"/>
      <c r="AH116" s="19"/>
      <c r="AI116" s="19"/>
      <c r="AJ116" s="19"/>
      <c r="AK116" s="19">
        <v>0</v>
      </c>
      <c r="AL116" s="19"/>
      <c r="AM116" s="19">
        <v>0</v>
      </c>
      <c r="AN116" s="19"/>
      <c r="AO116" s="26">
        <f t="shared" si="23"/>
        <v>499836</v>
      </c>
      <c r="AP116" s="19"/>
      <c r="AQ116" s="26">
        <f t="shared" si="28"/>
        <v>7274753</v>
      </c>
      <c r="AR116" s="26"/>
    </row>
    <row r="117" spans="1:44">
      <c r="A117" s="9" t="s">
        <v>529</v>
      </c>
      <c r="B117" s="9"/>
      <c r="C117" s="9" t="s">
        <v>65</v>
      </c>
      <c r="D117" s="9"/>
      <c r="E117" s="23">
        <v>43778</v>
      </c>
      <c r="F117" s="19"/>
      <c r="G117" s="19">
        <v>3665178</v>
      </c>
      <c r="H117" s="19"/>
      <c r="I117" s="19">
        <v>0</v>
      </c>
      <c r="J117" s="19"/>
      <c r="K117" s="19">
        <f>13666165+2186574</f>
        <v>15852739</v>
      </c>
      <c r="L117" s="19"/>
      <c r="M117" s="19">
        <v>419</v>
      </c>
      <c r="N117" s="19"/>
      <c r="O117" s="19">
        <f>1150491+158029+39943+6568</f>
        <v>1355031</v>
      </c>
      <c r="P117" s="19"/>
      <c r="Q117" s="19">
        <v>168936</v>
      </c>
      <c r="R117" s="19"/>
      <c r="S117" s="19">
        <v>10000</v>
      </c>
      <c r="T117" s="19"/>
      <c r="U117" s="19">
        <v>79605</v>
      </c>
      <c r="V117" s="19"/>
      <c r="W117" s="19">
        <v>8821</v>
      </c>
      <c r="X117" s="19"/>
      <c r="Y117" s="26">
        <f t="shared" si="26"/>
        <v>21140729</v>
      </c>
      <c r="Z117" s="19"/>
      <c r="AA117" s="19">
        <v>0</v>
      </c>
      <c r="AB117" s="19"/>
      <c r="AC117" s="19">
        <v>0</v>
      </c>
      <c r="AD117" s="19"/>
      <c r="AE117" s="19">
        <v>0</v>
      </c>
      <c r="AF117" s="19"/>
      <c r="AG117" s="19"/>
      <c r="AH117" s="19"/>
      <c r="AI117" s="19"/>
      <c r="AJ117" s="19"/>
      <c r="AK117" s="19">
        <v>201604</v>
      </c>
      <c r="AL117" s="19"/>
      <c r="AM117" s="19">
        <v>0</v>
      </c>
      <c r="AN117" s="19"/>
      <c r="AO117" s="26">
        <f t="shared" si="23"/>
        <v>201604</v>
      </c>
      <c r="AP117" s="19"/>
      <c r="AQ117" s="26">
        <f t="shared" si="28"/>
        <v>21342333</v>
      </c>
      <c r="AR117" s="26"/>
    </row>
    <row r="118" spans="1:44">
      <c r="A118" s="9" t="s">
        <v>465</v>
      </c>
      <c r="B118" s="9"/>
      <c r="C118" s="9" t="s">
        <v>109</v>
      </c>
      <c r="D118" s="9"/>
      <c r="E118" s="23">
        <v>49411</v>
      </c>
      <c r="F118" s="19"/>
      <c r="G118" s="19">
        <v>4814834</v>
      </c>
      <c r="H118" s="19"/>
      <c r="I118" s="19">
        <v>326353</v>
      </c>
      <c r="J118" s="19"/>
      <c r="K118" s="19">
        <f>9104331+973282</f>
        <v>10077613</v>
      </c>
      <c r="L118" s="19"/>
      <c r="M118" s="19">
        <v>37977</v>
      </c>
      <c r="N118" s="19"/>
      <c r="O118" s="19">
        <f>1128889+330773+70961+11021+16173</f>
        <v>1557817</v>
      </c>
      <c r="P118" s="19"/>
      <c r="Q118" s="19">
        <v>147325</v>
      </c>
      <c r="R118" s="19"/>
      <c r="S118" s="19">
        <v>0</v>
      </c>
      <c r="T118" s="19"/>
      <c r="U118" s="19">
        <v>82166</v>
      </c>
      <c r="V118" s="19"/>
      <c r="W118" s="19">
        <f>17014+26179</f>
        <v>43193</v>
      </c>
      <c r="X118" s="19"/>
      <c r="Y118" s="26">
        <f t="shared" si="26"/>
        <v>17087278</v>
      </c>
      <c r="Z118" s="19"/>
      <c r="AA118" s="19">
        <v>307263</v>
      </c>
      <c r="AB118" s="19"/>
      <c r="AC118" s="19">
        <v>0</v>
      </c>
      <c r="AD118" s="19"/>
      <c r="AE118" s="19">
        <v>0</v>
      </c>
      <c r="AF118" s="19"/>
      <c r="AG118" s="19"/>
      <c r="AH118" s="19"/>
      <c r="AI118" s="19"/>
      <c r="AJ118" s="19"/>
      <c r="AK118" s="19">
        <v>0</v>
      </c>
      <c r="AL118" s="19"/>
      <c r="AM118" s="19">
        <v>0</v>
      </c>
      <c r="AN118" s="19"/>
      <c r="AO118" s="26">
        <f t="shared" si="23"/>
        <v>307263</v>
      </c>
      <c r="AP118" s="19"/>
      <c r="AQ118" s="26">
        <f t="shared" si="28"/>
        <v>17394541</v>
      </c>
      <c r="AR118" s="26"/>
    </row>
    <row r="119" spans="1:44" hidden="1">
      <c r="A119" s="9" t="s">
        <v>901</v>
      </c>
      <c r="B119" s="9"/>
      <c r="C119" s="9" t="s">
        <v>44</v>
      </c>
      <c r="D119" s="9"/>
      <c r="E119" s="23">
        <v>48132</v>
      </c>
      <c r="F119" s="19"/>
      <c r="G119" s="19">
        <v>0</v>
      </c>
      <c r="H119" s="19"/>
      <c r="I119" s="19">
        <v>0</v>
      </c>
      <c r="J119" s="19"/>
      <c r="K119" s="19">
        <v>0</v>
      </c>
      <c r="L119" s="19"/>
      <c r="M119" s="19">
        <v>0</v>
      </c>
      <c r="N119" s="19"/>
      <c r="O119" s="19">
        <v>0</v>
      </c>
      <c r="P119" s="19"/>
      <c r="Q119" s="19">
        <v>0</v>
      </c>
      <c r="R119" s="19"/>
      <c r="S119" s="19">
        <v>0</v>
      </c>
      <c r="T119" s="19"/>
      <c r="U119" s="19">
        <v>0</v>
      </c>
      <c r="V119" s="19"/>
      <c r="W119" s="19">
        <v>0</v>
      </c>
      <c r="X119" s="19"/>
      <c r="Y119" s="26">
        <f t="shared" si="26"/>
        <v>0</v>
      </c>
      <c r="Z119" s="19"/>
      <c r="AA119" s="19">
        <v>0</v>
      </c>
      <c r="AB119" s="19"/>
      <c r="AC119" s="19">
        <v>0</v>
      </c>
      <c r="AD119" s="19"/>
      <c r="AE119" s="19">
        <v>0</v>
      </c>
      <c r="AF119" s="19"/>
      <c r="AG119" s="19"/>
      <c r="AH119" s="19"/>
      <c r="AI119" s="19"/>
      <c r="AJ119" s="19"/>
      <c r="AK119" s="19">
        <v>0</v>
      </c>
      <c r="AL119" s="19"/>
      <c r="AM119" s="19">
        <v>0</v>
      </c>
      <c r="AN119" s="19"/>
      <c r="AO119" s="26">
        <f t="shared" si="23"/>
        <v>0</v>
      </c>
      <c r="AP119" s="19"/>
      <c r="AQ119" s="26">
        <f t="shared" si="28"/>
        <v>0</v>
      </c>
      <c r="AR119" s="26"/>
    </row>
    <row r="120" spans="1:44">
      <c r="A120" s="9" t="s">
        <v>648</v>
      </c>
      <c r="B120" s="9"/>
      <c r="C120" s="9" t="s">
        <v>112</v>
      </c>
      <c r="D120" s="9"/>
      <c r="E120" s="23">
        <v>46326</v>
      </c>
      <c r="F120" s="19"/>
      <c r="G120" s="19">
        <v>9566328</v>
      </c>
      <c r="H120" s="19"/>
      <c r="I120" s="19">
        <v>0</v>
      </c>
      <c r="J120" s="19"/>
      <c r="K120" s="19">
        <v>7380977</v>
      </c>
      <c r="L120" s="19"/>
      <c r="M120" s="19">
        <v>4342</v>
      </c>
      <c r="N120" s="19"/>
      <c r="O120" s="19">
        <f>622374+335050</f>
        <v>957424</v>
      </c>
      <c r="P120" s="19"/>
      <c r="Q120" s="19">
        <v>0</v>
      </c>
      <c r="R120" s="19"/>
      <c r="S120" s="19">
        <v>0</v>
      </c>
      <c r="T120" s="19"/>
      <c r="U120" s="19">
        <v>0</v>
      </c>
      <c r="V120" s="19"/>
      <c r="W120" s="19">
        <v>578756</v>
      </c>
      <c r="X120" s="19"/>
      <c r="Y120" s="26">
        <f t="shared" si="26"/>
        <v>18487827</v>
      </c>
      <c r="Z120" s="19"/>
      <c r="AA120" s="19">
        <v>386000</v>
      </c>
      <c r="AB120" s="19"/>
      <c r="AC120" s="19">
        <v>0</v>
      </c>
      <c r="AD120" s="19"/>
      <c r="AE120" s="19">
        <v>0</v>
      </c>
      <c r="AF120" s="19"/>
      <c r="AG120" s="19"/>
      <c r="AH120" s="19"/>
      <c r="AI120" s="19"/>
      <c r="AJ120" s="19"/>
      <c r="AK120" s="19">
        <v>0</v>
      </c>
      <c r="AL120" s="19"/>
      <c r="AM120" s="19">
        <v>0</v>
      </c>
      <c r="AN120" s="19"/>
      <c r="AO120" s="26">
        <f t="shared" si="23"/>
        <v>386000</v>
      </c>
      <c r="AP120" s="19"/>
      <c r="AQ120" s="26">
        <f t="shared" si="28"/>
        <v>18873827</v>
      </c>
      <c r="AR120" s="26"/>
    </row>
    <row r="121" spans="1:44">
      <c r="A121" s="9" t="s">
        <v>646</v>
      </c>
      <c r="B121" s="9"/>
      <c r="C121" s="9" t="s">
        <v>20</v>
      </c>
      <c r="D121" s="9"/>
      <c r="E121" s="23">
        <v>43794</v>
      </c>
      <c r="F121" s="19"/>
      <c r="G121" s="19">
        <v>72593187</v>
      </c>
      <c r="H121" s="19"/>
      <c r="I121" s="19">
        <v>0</v>
      </c>
      <c r="J121" s="19"/>
      <c r="K121" s="19">
        <v>39293275</v>
      </c>
      <c r="L121" s="19"/>
      <c r="M121" s="19">
        <v>269926</v>
      </c>
      <c r="N121" s="19"/>
      <c r="O121" s="19">
        <f>4261340+9899</f>
        <v>4271239</v>
      </c>
      <c r="P121" s="19"/>
      <c r="Q121" s="19">
        <v>249403</v>
      </c>
      <c r="R121" s="19"/>
      <c r="S121" s="19">
        <v>0</v>
      </c>
      <c r="T121" s="19"/>
      <c r="U121" s="19">
        <v>0</v>
      </c>
      <c r="V121" s="19"/>
      <c r="W121" s="19">
        <v>1286958</v>
      </c>
      <c r="X121" s="19"/>
      <c r="Y121" s="26">
        <f t="shared" si="26"/>
        <v>117963988</v>
      </c>
      <c r="Z121" s="19"/>
      <c r="AA121" s="19">
        <v>625321</v>
      </c>
      <c r="AB121" s="19"/>
      <c r="AC121" s="19">
        <v>0</v>
      </c>
      <c r="AD121" s="19"/>
      <c r="AE121" s="19">
        <f>6750000+199722</f>
        <v>6949722</v>
      </c>
      <c r="AF121" s="19"/>
      <c r="AG121" s="19"/>
      <c r="AH121" s="19"/>
      <c r="AI121" s="19"/>
      <c r="AJ121" s="19"/>
      <c r="AK121" s="19">
        <v>87077</v>
      </c>
      <c r="AL121" s="19"/>
      <c r="AM121" s="19">
        <v>0</v>
      </c>
      <c r="AN121" s="19"/>
      <c r="AO121" s="26">
        <f t="shared" si="23"/>
        <v>7662120</v>
      </c>
      <c r="AP121" s="19"/>
      <c r="AQ121" s="26">
        <f t="shared" si="28"/>
        <v>125626108</v>
      </c>
      <c r="AR121" s="26"/>
    </row>
    <row r="122" spans="1:44">
      <c r="A122" s="9" t="s">
        <v>263</v>
      </c>
      <c r="B122" s="9"/>
      <c r="C122" s="9" t="s">
        <v>20</v>
      </c>
      <c r="D122" s="9"/>
      <c r="E122" s="23">
        <v>43786</v>
      </c>
      <c r="F122" s="19"/>
      <c r="G122" s="19">
        <v>211788636</v>
      </c>
      <c r="H122" s="19"/>
      <c r="I122" s="19">
        <v>0</v>
      </c>
      <c r="J122" s="19"/>
      <c r="K122" s="19">
        <f>457766044+47613559+2055040+109780767</f>
        <v>617215410</v>
      </c>
      <c r="L122" s="19"/>
      <c r="M122" s="19">
        <v>1345163</v>
      </c>
      <c r="N122" s="19"/>
      <c r="O122" s="19">
        <v>6236352</v>
      </c>
      <c r="P122" s="19"/>
      <c r="Q122" s="19">
        <v>512011</v>
      </c>
      <c r="R122" s="19"/>
      <c r="S122" s="19">
        <v>0</v>
      </c>
      <c r="T122" s="19"/>
      <c r="U122" s="19">
        <v>4369374</v>
      </c>
      <c r="V122" s="19"/>
      <c r="W122" s="19">
        <f>4838821+15259654</f>
        <v>20098475</v>
      </c>
      <c r="X122" s="19"/>
      <c r="Y122" s="26">
        <f t="shared" si="26"/>
        <v>861565421</v>
      </c>
      <c r="Z122" s="19"/>
      <c r="AA122" s="19">
        <v>13469667</v>
      </c>
      <c r="AB122" s="19"/>
      <c r="AC122" s="19">
        <v>0</v>
      </c>
      <c r="AD122" s="19"/>
      <c r="AE122" s="19">
        <f>45600000+6130213</f>
        <v>51730213</v>
      </c>
      <c r="AF122" s="19"/>
      <c r="AG122" s="19"/>
      <c r="AH122" s="19"/>
      <c r="AI122" s="19"/>
      <c r="AJ122" s="19"/>
      <c r="AK122" s="19">
        <v>0</v>
      </c>
      <c r="AL122" s="19"/>
      <c r="AM122" s="19">
        <v>0</v>
      </c>
      <c r="AN122" s="19"/>
      <c r="AO122" s="26">
        <f t="shared" si="23"/>
        <v>65199880</v>
      </c>
      <c r="AP122" s="19"/>
      <c r="AQ122" s="26">
        <f t="shared" si="28"/>
        <v>926765301</v>
      </c>
      <c r="AR122" s="26"/>
    </row>
    <row r="123" spans="1:44">
      <c r="A123" s="9" t="s">
        <v>241</v>
      </c>
      <c r="B123" s="9"/>
      <c r="C123" s="9" t="s">
        <v>18</v>
      </c>
      <c r="D123" s="9"/>
      <c r="E123" s="23">
        <v>46391</v>
      </c>
      <c r="F123" s="19"/>
      <c r="G123" s="19">
        <v>5105183</v>
      </c>
      <c r="H123" s="19"/>
      <c r="I123" s="19">
        <v>0</v>
      </c>
      <c r="J123" s="19"/>
      <c r="K123" s="19">
        <v>10299101</v>
      </c>
      <c r="L123" s="19"/>
      <c r="M123" s="19">
        <v>7174</v>
      </c>
      <c r="N123" s="19"/>
      <c r="O123" s="19">
        <f>1396145+436610</f>
        <v>1832755</v>
      </c>
      <c r="P123" s="19"/>
      <c r="Q123" s="19">
        <v>246566</v>
      </c>
      <c r="R123" s="19"/>
      <c r="S123" s="19">
        <v>13234</v>
      </c>
      <c r="T123" s="19"/>
      <c r="U123" s="19">
        <v>0</v>
      </c>
      <c r="V123" s="19"/>
      <c r="W123" s="19">
        <v>168517</v>
      </c>
      <c r="X123" s="19"/>
      <c r="Y123" s="26">
        <f t="shared" si="26"/>
        <v>17672530</v>
      </c>
      <c r="Z123" s="19"/>
      <c r="AA123" s="19">
        <v>85008</v>
      </c>
      <c r="AB123" s="19"/>
      <c r="AC123" s="19">
        <v>0</v>
      </c>
      <c r="AD123" s="19"/>
      <c r="AE123" s="19">
        <f>796564+31085</f>
        <v>827649</v>
      </c>
      <c r="AF123" s="19"/>
      <c r="AG123" s="19"/>
      <c r="AH123" s="19"/>
      <c r="AI123" s="19"/>
      <c r="AJ123" s="19"/>
      <c r="AK123" s="19">
        <f>269170+1200</f>
        <v>270370</v>
      </c>
      <c r="AL123" s="19"/>
      <c r="AM123" s="19">
        <v>0</v>
      </c>
      <c r="AN123" s="19"/>
      <c r="AO123" s="26">
        <f t="shared" si="23"/>
        <v>1183027</v>
      </c>
      <c r="AP123" s="19"/>
      <c r="AQ123" s="26">
        <f t="shared" si="28"/>
        <v>18855557</v>
      </c>
      <c r="AR123" s="26"/>
    </row>
    <row r="124" spans="1:44">
      <c r="A124" s="9" t="s">
        <v>413</v>
      </c>
      <c r="B124" s="9"/>
      <c r="C124" s="9" t="s">
        <v>47</v>
      </c>
      <c r="D124" s="9"/>
      <c r="E124" s="23">
        <v>48488</v>
      </c>
      <c r="F124" s="19"/>
      <c r="G124" s="19">
        <v>12556447</v>
      </c>
      <c r="H124" s="19"/>
      <c r="I124" s="19">
        <v>2008841</v>
      </c>
      <c r="J124" s="19"/>
      <c r="K124" s="19">
        <f>72020+11151137+2281577</f>
        <v>13504734</v>
      </c>
      <c r="L124" s="19"/>
      <c r="M124" s="19">
        <v>7086</v>
      </c>
      <c r="N124" s="19"/>
      <c r="O124" s="19">
        <f>630192+593218+130894+98975</f>
        <v>1453279</v>
      </c>
      <c r="P124" s="19"/>
      <c r="Q124" s="19">
        <v>278423</v>
      </c>
      <c r="R124" s="19"/>
      <c r="S124" s="19">
        <v>52452</v>
      </c>
      <c r="T124" s="19"/>
      <c r="U124" s="19">
        <v>39387</v>
      </c>
      <c r="V124" s="19"/>
      <c r="W124" s="19">
        <f>1026545+19750</f>
        <v>1046295</v>
      </c>
      <c r="X124" s="19"/>
      <c r="Y124" s="26">
        <f t="shared" si="26"/>
        <v>30946944</v>
      </c>
      <c r="Z124" s="19"/>
      <c r="AA124" s="19">
        <v>176409</v>
      </c>
      <c r="AB124" s="19"/>
      <c r="AC124" s="19">
        <v>0</v>
      </c>
      <c r="AD124" s="19"/>
      <c r="AE124" s="19">
        <v>0</v>
      </c>
      <c r="AF124" s="19"/>
      <c r="AG124" s="19"/>
      <c r="AH124" s="19"/>
      <c r="AI124" s="19"/>
      <c r="AJ124" s="19"/>
      <c r="AK124" s="19">
        <v>177645</v>
      </c>
      <c r="AL124" s="19"/>
      <c r="AM124" s="19">
        <v>0</v>
      </c>
      <c r="AN124" s="19"/>
      <c r="AO124" s="26">
        <f t="shared" si="23"/>
        <v>354054</v>
      </c>
      <c r="AP124" s="19"/>
      <c r="AQ124" s="26">
        <f t="shared" si="28"/>
        <v>31300998</v>
      </c>
      <c r="AR124" s="26"/>
    </row>
    <row r="125" spans="1:44">
      <c r="A125" s="9" t="s">
        <v>750</v>
      </c>
      <c r="B125" s="9"/>
      <c r="C125" s="9" t="s">
        <v>79</v>
      </c>
      <c r="D125" s="9"/>
      <c r="E125" s="23">
        <v>45302</v>
      </c>
      <c r="F125" s="19"/>
      <c r="G125" s="19">
        <v>6618878</v>
      </c>
      <c r="H125" s="19"/>
      <c r="I125" s="19">
        <v>2151398</v>
      </c>
      <c r="J125" s="19"/>
      <c r="K125" s="19">
        <f>11412834+1776867</f>
        <v>13189701</v>
      </c>
      <c r="L125" s="19"/>
      <c r="M125" s="19">
        <v>21862</v>
      </c>
      <c r="N125" s="19"/>
      <c r="O125" s="19">
        <f>727262+552200+40810</f>
        <v>1320272</v>
      </c>
      <c r="P125" s="19"/>
      <c r="Q125" s="19">
        <v>382780</v>
      </c>
      <c r="R125" s="19"/>
      <c r="S125" s="19">
        <v>168158</v>
      </c>
      <c r="T125" s="19"/>
      <c r="U125" s="19">
        <v>0</v>
      </c>
      <c r="V125" s="19"/>
      <c r="W125" s="19">
        <v>117247</v>
      </c>
      <c r="X125" s="19"/>
      <c r="Y125" s="26">
        <f t="shared" si="26"/>
        <v>23970296</v>
      </c>
      <c r="Z125" s="19"/>
      <c r="AA125" s="19">
        <v>1727902</v>
      </c>
      <c r="AB125" s="19"/>
      <c r="AC125" s="19">
        <v>0</v>
      </c>
      <c r="AD125" s="19"/>
      <c r="AE125" s="19">
        <v>0</v>
      </c>
      <c r="AF125" s="19"/>
      <c r="AG125" s="19"/>
      <c r="AH125" s="19"/>
      <c r="AI125" s="19"/>
      <c r="AJ125" s="19"/>
      <c r="AK125" s="19">
        <v>1549</v>
      </c>
      <c r="AL125" s="19"/>
      <c r="AM125" s="19">
        <v>0</v>
      </c>
      <c r="AN125" s="19"/>
      <c r="AO125" s="26">
        <f t="shared" si="23"/>
        <v>1729451</v>
      </c>
      <c r="AP125" s="19"/>
      <c r="AQ125" s="26">
        <f t="shared" si="28"/>
        <v>25699747</v>
      </c>
      <c r="AR125" s="26"/>
    </row>
    <row r="126" spans="1:44" hidden="1">
      <c r="A126" s="9" t="s">
        <v>649</v>
      </c>
      <c r="B126" s="9"/>
      <c r="C126" s="9" t="s">
        <v>419</v>
      </c>
      <c r="D126" s="9"/>
      <c r="E126" s="23">
        <v>45310</v>
      </c>
      <c r="F126" s="19"/>
      <c r="G126" s="19">
        <v>0</v>
      </c>
      <c r="H126" s="19"/>
      <c r="I126" s="19">
        <v>0</v>
      </c>
      <c r="J126" s="19"/>
      <c r="K126" s="19">
        <v>0</v>
      </c>
      <c r="L126" s="19"/>
      <c r="M126" s="19">
        <v>0</v>
      </c>
      <c r="N126" s="19"/>
      <c r="O126" s="19">
        <v>0</v>
      </c>
      <c r="P126" s="19"/>
      <c r="Q126" s="19">
        <v>0</v>
      </c>
      <c r="R126" s="19"/>
      <c r="S126" s="19">
        <v>0</v>
      </c>
      <c r="T126" s="19"/>
      <c r="U126" s="19">
        <v>0</v>
      </c>
      <c r="V126" s="19"/>
      <c r="W126" s="19">
        <v>0</v>
      </c>
      <c r="X126" s="19"/>
      <c r="Y126" s="26">
        <f t="shared" si="26"/>
        <v>0</v>
      </c>
      <c r="Z126" s="19"/>
      <c r="AA126" s="19">
        <v>0</v>
      </c>
      <c r="AB126" s="19"/>
      <c r="AC126" s="19">
        <v>0</v>
      </c>
      <c r="AD126" s="19"/>
      <c r="AE126" s="19">
        <v>0</v>
      </c>
      <c r="AF126" s="19"/>
      <c r="AG126" s="19"/>
      <c r="AH126" s="19"/>
      <c r="AI126" s="19"/>
      <c r="AJ126" s="19"/>
      <c r="AK126" s="19">
        <v>0</v>
      </c>
      <c r="AL126" s="19"/>
      <c r="AM126" s="19">
        <v>0</v>
      </c>
      <c r="AN126" s="19"/>
      <c r="AO126" s="26">
        <f t="shared" si="23"/>
        <v>0</v>
      </c>
      <c r="AP126" s="19"/>
      <c r="AQ126" s="26">
        <f t="shared" si="28"/>
        <v>0</v>
      </c>
      <c r="AR126" s="26"/>
    </row>
    <row r="127" spans="1:44" hidden="1">
      <c r="A127" s="9" t="s">
        <v>605</v>
      </c>
      <c r="B127" s="9"/>
      <c r="C127" s="9" t="s">
        <v>57</v>
      </c>
      <c r="D127" s="9"/>
      <c r="E127" s="23">
        <v>64964</v>
      </c>
      <c r="F127" s="19"/>
      <c r="G127" s="19">
        <v>0</v>
      </c>
      <c r="H127" s="19"/>
      <c r="I127" s="19">
        <v>0</v>
      </c>
      <c r="J127" s="19"/>
      <c r="K127" s="19">
        <v>0</v>
      </c>
      <c r="L127" s="19"/>
      <c r="M127" s="19">
        <v>0</v>
      </c>
      <c r="N127" s="19"/>
      <c r="O127" s="19">
        <v>0</v>
      </c>
      <c r="P127" s="19"/>
      <c r="Q127" s="19">
        <v>0</v>
      </c>
      <c r="R127" s="19"/>
      <c r="S127" s="19">
        <v>0</v>
      </c>
      <c r="T127" s="19"/>
      <c r="U127" s="19">
        <v>0</v>
      </c>
      <c r="V127" s="19"/>
      <c r="W127" s="19">
        <v>0</v>
      </c>
      <c r="X127" s="19"/>
      <c r="Y127" s="26">
        <f t="shared" si="26"/>
        <v>0</v>
      </c>
      <c r="Z127" s="19"/>
      <c r="AA127" s="19">
        <v>0</v>
      </c>
      <c r="AB127" s="19"/>
      <c r="AC127" s="19">
        <v>0</v>
      </c>
      <c r="AD127" s="19"/>
      <c r="AE127" s="19">
        <v>0</v>
      </c>
      <c r="AF127" s="19"/>
      <c r="AG127" s="19"/>
      <c r="AH127" s="19"/>
      <c r="AI127" s="19"/>
      <c r="AJ127" s="19"/>
      <c r="AK127" s="19">
        <v>0</v>
      </c>
      <c r="AL127" s="19"/>
      <c r="AM127" s="19">
        <v>0</v>
      </c>
      <c r="AN127" s="19"/>
      <c r="AO127" s="26">
        <f t="shared" si="23"/>
        <v>0</v>
      </c>
      <c r="AP127" s="19"/>
      <c r="AQ127" s="26">
        <f t="shared" si="28"/>
        <v>0</v>
      </c>
      <c r="AR127" s="26"/>
    </row>
    <row r="128" spans="1:44">
      <c r="A128" s="9" t="s">
        <v>256</v>
      </c>
      <c r="B128" s="9"/>
      <c r="C128" s="9" t="s">
        <v>110</v>
      </c>
      <c r="D128" s="9"/>
      <c r="E128" s="23">
        <v>46516</v>
      </c>
      <c r="F128" s="19"/>
      <c r="G128" s="19">
        <v>2938153</v>
      </c>
      <c r="H128" s="19"/>
      <c r="I128" s="19">
        <v>1602980</v>
      </c>
      <c r="J128" s="19"/>
      <c r="K128" s="19">
        <f>12704+3777983+480211</f>
        <v>4270898</v>
      </c>
      <c r="L128" s="19"/>
      <c r="M128" s="19">
        <v>7557</v>
      </c>
      <c r="N128" s="19"/>
      <c r="O128" s="19">
        <f>1346866+147579+65274+3857</f>
        <v>1563576</v>
      </c>
      <c r="P128" s="19"/>
      <c r="Q128" s="19">
        <v>106310</v>
      </c>
      <c r="R128" s="19"/>
      <c r="S128" s="19">
        <v>0</v>
      </c>
      <c r="T128" s="19"/>
      <c r="U128" s="19">
        <v>30071</v>
      </c>
      <c r="V128" s="19"/>
      <c r="W128" s="19">
        <f>1698+28260</f>
        <v>29958</v>
      </c>
      <c r="X128" s="19"/>
      <c r="Y128" s="26">
        <f t="shared" si="26"/>
        <v>10549503</v>
      </c>
      <c r="Z128" s="19"/>
      <c r="AA128" s="19">
        <v>0</v>
      </c>
      <c r="AB128" s="19"/>
      <c r="AC128" s="19">
        <v>0</v>
      </c>
      <c r="AD128" s="19"/>
      <c r="AE128" s="19">
        <v>0</v>
      </c>
      <c r="AF128" s="19"/>
      <c r="AG128" s="19"/>
      <c r="AH128" s="19"/>
      <c r="AI128" s="19"/>
      <c r="AJ128" s="19"/>
      <c r="AK128" s="19">
        <v>75756</v>
      </c>
      <c r="AL128" s="19"/>
      <c r="AM128" s="19">
        <v>0</v>
      </c>
      <c r="AN128" s="19"/>
      <c r="AO128" s="26">
        <f t="shared" si="23"/>
        <v>75756</v>
      </c>
      <c r="AP128" s="19"/>
      <c r="AQ128" s="26">
        <f t="shared" si="28"/>
        <v>10625259</v>
      </c>
      <c r="AR128" s="26"/>
    </row>
    <row r="129" spans="1:44">
      <c r="A129" s="9" t="s">
        <v>380</v>
      </c>
      <c r="B129" s="9"/>
      <c r="C129" s="9" t="s">
        <v>44</v>
      </c>
      <c r="D129" s="9"/>
      <c r="E129" s="23">
        <v>48140</v>
      </c>
      <c r="F129" s="19"/>
      <c r="G129" s="19">
        <v>6338936</v>
      </c>
      <c r="H129" s="19"/>
      <c r="I129" s="19">
        <v>0</v>
      </c>
      <c r="J129" s="19"/>
      <c r="K129" s="19">
        <f>17069+3219828+473527</f>
        <v>3710424</v>
      </c>
      <c r="L129" s="19"/>
      <c r="M129" s="19">
        <v>1828</v>
      </c>
      <c r="N129" s="19"/>
      <c r="O129" s="19">
        <f>562752+152347+48420+18170</f>
        <v>781689</v>
      </c>
      <c r="P129" s="19"/>
      <c r="Q129" s="19">
        <v>120763</v>
      </c>
      <c r="R129" s="19"/>
      <c r="S129" s="19">
        <v>0</v>
      </c>
      <c r="T129" s="19"/>
      <c r="U129" s="19">
        <v>51104</v>
      </c>
      <c r="V129" s="19"/>
      <c r="W129" s="19">
        <v>133759</v>
      </c>
      <c r="X129" s="19"/>
      <c r="Y129" s="26">
        <f t="shared" si="26"/>
        <v>11138503</v>
      </c>
      <c r="Z129" s="19"/>
      <c r="AA129" s="19">
        <v>188607</v>
      </c>
      <c r="AB129" s="19"/>
      <c r="AC129" s="19">
        <v>0</v>
      </c>
      <c r="AD129" s="19"/>
      <c r="AE129" s="19">
        <v>650000</v>
      </c>
      <c r="AF129" s="19"/>
      <c r="AG129" s="19"/>
      <c r="AH129" s="19"/>
      <c r="AI129" s="19"/>
      <c r="AJ129" s="19"/>
      <c r="AK129" s="19">
        <v>88652</v>
      </c>
      <c r="AL129" s="19"/>
      <c r="AM129" s="19">
        <v>0</v>
      </c>
      <c r="AN129" s="19"/>
      <c r="AO129" s="26">
        <f t="shared" si="23"/>
        <v>927259</v>
      </c>
      <c r="AP129" s="19"/>
      <c r="AQ129" s="26">
        <f t="shared" si="28"/>
        <v>12065762</v>
      </c>
      <c r="AR129" s="26"/>
    </row>
    <row r="130" spans="1:44">
      <c r="A130" s="9" t="s">
        <v>751</v>
      </c>
      <c r="B130" s="9"/>
      <c r="C130" s="9" t="s">
        <v>111</v>
      </c>
      <c r="D130" s="9"/>
      <c r="E130" s="23">
        <v>45328</v>
      </c>
      <c r="F130" s="19"/>
      <c r="G130" s="19">
        <v>3930551</v>
      </c>
      <c r="H130" s="19"/>
      <c r="I130" s="19">
        <v>1736141</v>
      </c>
      <c r="J130" s="19"/>
      <c r="K130" s="19">
        <v>3929291</v>
      </c>
      <c r="L130" s="19"/>
      <c r="M130" s="19">
        <v>280620</v>
      </c>
      <c r="N130" s="19"/>
      <c r="O130" s="19">
        <f>1216315+3525+114671</f>
        <v>1334511</v>
      </c>
      <c r="P130" s="19"/>
      <c r="Q130" s="19">
        <v>233380</v>
      </c>
      <c r="R130" s="19"/>
      <c r="S130" s="19">
        <v>0</v>
      </c>
      <c r="T130" s="19"/>
      <c r="U130" s="19">
        <v>86875</v>
      </c>
      <c r="V130" s="19"/>
      <c r="W130" s="19">
        <v>9314</v>
      </c>
      <c r="X130" s="19"/>
      <c r="Y130" s="26">
        <f t="shared" si="26"/>
        <v>11540683</v>
      </c>
      <c r="Z130" s="19"/>
      <c r="AA130" s="19">
        <v>0</v>
      </c>
      <c r="AB130" s="19"/>
      <c r="AC130" s="19">
        <v>0</v>
      </c>
      <c r="AD130" s="19"/>
      <c r="AE130" s="19">
        <v>160000</v>
      </c>
      <c r="AF130" s="19"/>
      <c r="AG130" s="19"/>
      <c r="AH130" s="19"/>
      <c r="AI130" s="19"/>
      <c r="AJ130" s="19"/>
      <c r="AK130" s="19">
        <v>1704</v>
      </c>
      <c r="AL130" s="19"/>
      <c r="AM130" s="19">
        <v>0</v>
      </c>
      <c r="AN130" s="19"/>
      <c r="AO130" s="26">
        <f t="shared" si="23"/>
        <v>161704</v>
      </c>
      <c r="AP130" s="19"/>
      <c r="AQ130" s="26">
        <f t="shared" si="28"/>
        <v>11702387</v>
      </c>
      <c r="AR130" s="26"/>
    </row>
    <row r="131" spans="1:44">
      <c r="A131" s="9" t="s">
        <v>299</v>
      </c>
      <c r="B131" s="9"/>
      <c r="C131" s="9" t="s">
        <v>27</v>
      </c>
      <c r="D131" s="9"/>
      <c r="E131" s="23">
        <v>43802</v>
      </c>
      <c r="F131" s="19"/>
      <c r="G131" s="19">
        <v>377697342</v>
      </c>
      <c r="H131" s="19"/>
      <c r="I131" s="19">
        <v>0</v>
      </c>
      <c r="J131" s="19"/>
      <c r="K131" s="19">
        <v>442256209</v>
      </c>
      <c r="L131" s="19"/>
      <c r="M131" s="19">
        <v>695985</v>
      </c>
      <c r="N131" s="19"/>
      <c r="O131" s="19">
        <f>5779420+939004+5450337</f>
        <v>12168761</v>
      </c>
      <c r="P131" s="19"/>
      <c r="Q131" s="19">
        <v>1747838</v>
      </c>
      <c r="R131" s="19"/>
      <c r="S131" s="19">
        <v>40783885</v>
      </c>
      <c r="T131" s="19"/>
      <c r="U131" s="19">
        <v>1198280</v>
      </c>
      <c r="V131" s="19"/>
      <c r="W131" s="19">
        <v>4028905</v>
      </c>
      <c r="X131" s="19"/>
      <c r="Y131" s="26">
        <f t="shared" si="26"/>
        <v>880577205</v>
      </c>
      <c r="Z131" s="19"/>
      <c r="AA131" s="19">
        <v>25804338</v>
      </c>
      <c r="AB131" s="19"/>
      <c r="AC131" s="19">
        <v>0</v>
      </c>
      <c r="AD131" s="19"/>
      <c r="AE131" s="19">
        <f>26150000+1360123</f>
        <v>27510123</v>
      </c>
      <c r="AF131" s="19"/>
      <c r="AG131" s="19"/>
      <c r="AH131" s="19"/>
      <c r="AI131" s="19"/>
      <c r="AJ131" s="19"/>
      <c r="AK131" s="19">
        <f>26917754+724398</f>
        <v>27642152</v>
      </c>
      <c r="AL131" s="19"/>
      <c r="AM131" s="19">
        <v>0</v>
      </c>
      <c r="AN131" s="19"/>
      <c r="AO131" s="26">
        <f t="shared" si="23"/>
        <v>80956613</v>
      </c>
      <c r="AP131" s="19"/>
      <c r="AQ131" s="26">
        <f t="shared" si="28"/>
        <v>961533818</v>
      </c>
      <c r="AR131" s="26"/>
    </row>
    <row r="132" spans="1:44" hidden="1">
      <c r="A132" s="9" t="s">
        <v>606</v>
      </c>
      <c r="B132" s="9"/>
      <c r="C132" s="9" t="s">
        <v>464</v>
      </c>
      <c r="D132" s="9"/>
      <c r="E132" s="23">
        <v>49312</v>
      </c>
      <c r="F132" s="19"/>
      <c r="G132" s="19">
        <v>0</v>
      </c>
      <c r="H132" s="19"/>
      <c r="I132" s="19">
        <v>0</v>
      </c>
      <c r="J132" s="19"/>
      <c r="K132" s="19">
        <v>0</v>
      </c>
      <c r="L132" s="19"/>
      <c r="M132" s="19">
        <v>0</v>
      </c>
      <c r="N132" s="19"/>
      <c r="O132" s="19">
        <v>0</v>
      </c>
      <c r="P132" s="19"/>
      <c r="Q132" s="19">
        <v>0</v>
      </c>
      <c r="R132" s="19"/>
      <c r="S132" s="19">
        <v>0</v>
      </c>
      <c r="T132" s="19"/>
      <c r="U132" s="19">
        <v>0</v>
      </c>
      <c r="V132" s="19"/>
      <c r="W132" s="19">
        <v>0</v>
      </c>
      <c r="X132" s="19"/>
      <c r="Y132" s="26">
        <f t="shared" si="26"/>
        <v>0</v>
      </c>
      <c r="Z132" s="19"/>
      <c r="AA132" s="19">
        <v>0</v>
      </c>
      <c r="AB132" s="19"/>
      <c r="AC132" s="19">
        <v>0</v>
      </c>
      <c r="AD132" s="19"/>
      <c r="AE132" s="19">
        <v>0</v>
      </c>
      <c r="AF132" s="19"/>
      <c r="AG132" s="19"/>
      <c r="AH132" s="19"/>
      <c r="AI132" s="19"/>
      <c r="AJ132" s="19"/>
      <c r="AK132" s="19">
        <v>0</v>
      </c>
      <c r="AL132" s="19"/>
      <c r="AM132" s="19">
        <v>0</v>
      </c>
      <c r="AN132" s="19"/>
      <c r="AO132" s="26">
        <f t="shared" si="23"/>
        <v>0</v>
      </c>
      <c r="AP132" s="19"/>
      <c r="AQ132" s="26">
        <f t="shared" si="28"/>
        <v>0</v>
      </c>
      <c r="AR132" s="26"/>
    </row>
    <row r="133" spans="1:44">
      <c r="A133" s="9" t="s">
        <v>206</v>
      </c>
      <c r="B133" s="9"/>
      <c r="C133" s="9" t="s">
        <v>12</v>
      </c>
      <c r="D133" s="9"/>
      <c r="E133" s="23">
        <v>43810</v>
      </c>
      <c r="F133" s="19"/>
      <c r="G133" s="19">
        <v>3789958</v>
      </c>
      <c r="H133" s="19"/>
      <c r="I133" s="19">
        <v>0</v>
      </c>
      <c r="J133" s="19"/>
      <c r="K133" s="19">
        <v>14677522</v>
      </c>
      <c r="L133" s="19"/>
      <c r="M133" s="19">
        <v>5369</v>
      </c>
      <c r="N133" s="19"/>
      <c r="O133" s="19">
        <f>298374+150149</f>
        <v>448523</v>
      </c>
      <c r="P133" s="19"/>
      <c r="Q133" s="19">
        <v>70519</v>
      </c>
      <c r="R133" s="19"/>
      <c r="S133" s="19">
        <v>0</v>
      </c>
      <c r="T133" s="19"/>
      <c r="U133" s="19">
        <v>187798</v>
      </c>
      <c r="V133" s="19"/>
      <c r="W133" s="19">
        <v>58434</v>
      </c>
      <c r="X133" s="19"/>
      <c r="Y133" s="26">
        <f t="shared" si="26"/>
        <v>19238123</v>
      </c>
      <c r="Z133" s="19"/>
      <c r="AA133" s="19">
        <v>742731</v>
      </c>
      <c r="AB133" s="19"/>
      <c r="AC133" s="19">
        <v>0</v>
      </c>
      <c r="AD133" s="19"/>
      <c r="AE133" s="19">
        <v>0</v>
      </c>
      <c r="AF133" s="19"/>
      <c r="AG133" s="19"/>
      <c r="AH133" s="19"/>
      <c r="AI133" s="19"/>
      <c r="AJ133" s="19"/>
      <c r="AK133" s="19">
        <v>0</v>
      </c>
      <c r="AL133" s="19"/>
      <c r="AM133" s="19">
        <v>0</v>
      </c>
      <c r="AN133" s="19"/>
      <c r="AO133" s="26">
        <f t="shared" si="23"/>
        <v>742731</v>
      </c>
      <c r="AP133" s="19"/>
      <c r="AQ133" s="26">
        <f t="shared" si="28"/>
        <v>19980854</v>
      </c>
      <c r="AR133" s="26"/>
    </row>
    <row r="134" spans="1:44">
      <c r="A134" s="9" t="s">
        <v>340</v>
      </c>
      <c r="B134" s="9"/>
      <c r="C134" s="9" t="s">
        <v>341</v>
      </c>
      <c r="D134" s="9"/>
      <c r="E134" s="23">
        <v>47548</v>
      </c>
      <c r="F134" s="19"/>
      <c r="G134" s="19">
        <v>2093355</v>
      </c>
      <c r="H134" s="19"/>
      <c r="I134" s="19">
        <v>0</v>
      </c>
      <c r="J134" s="19"/>
      <c r="K134" s="19">
        <f>2563923+429975</f>
        <v>2993898</v>
      </c>
      <c r="L134" s="19"/>
      <c r="M134" s="19">
        <v>173</v>
      </c>
      <c r="N134" s="19"/>
      <c r="O134" s="19">
        <f>358529+68199</f>
        <v>426728</v>
      </c>
      <c r="P134" s="19"/>
      <c r="Q134" s="19">
        <v>42835</v>
      </c>
      <c r="R134" s="19"/>
      <c r="S134" s="19">
        <v>0</v>
      </c>
      <c r="T134" s="19"/>
      <c r="U134" s="19">
        <v>31500</v>
      </c>
      <c r="V134" s="19"/>
      <c r="W134" s="19">
        <v>36955</v>
      </c>
      <c r="X134" s="19"/>
      <c r="Y134" s="26">
        <f t="shared" si="26"/>
        <v>5625444</v>
      </c>
      <c r="Z134" s="19"/>
      <c r="AA134" s="19">
        <v>20000</v>
      </c>
      <c r="AB134" s="19"/>
      <c r="AC134" s="19">
        <v>0</v>
      </c>
      <c r="AD134" s="19"/>
      <c r="AE134" s="19">
        <v>0</v>
      </c>
      <c r="AF134" s="19"/>
      <c r="AG134" s="19"/>
      <c r="AH134" s="19"/>
      <c r="AI134" s="19"/>
      <c r="AJ134" s="19"/>
      <c r="AK134" s="19">
        <v>0</v>
      </c>
      <c r="AL134" s="19"/>
      <c r="AM134" s="19">
        <v>0</v>
      </c>
      <c r="AN134" s="19"/>
      <c r="AO134" s="26">
        <f t="shared" si="23"/>
        <v>20000</v>
      </c>
      <c r="AP134" s="19"/>
      <c r="AQ134" s="26">
        <f t="shared" si="28"/>
        <v>5645444</v>
      </c>
      <c r="AR134" s="26"/>
    </row>
    <row r="135" spans="1:44" hidden="1">
      <c r="A135" s="9" t="s">
        <v>671</v>
      </c>
      <c r="B135" s="9"/>
      <c r="C135" s="9" t="s">
        <v>464</v>
      </c>
      <c r="D135" s="9"/>
      <c r="E135" s="23">
        <v>49320</v>
      </c>
      <c r="F135" s="19"/>
      <c r="G135" s="19">
        <v>0</v>
      </c>
      <c r="H135" s="19"/>
      <c r="I135" s="19">
        <v>0</v>
      </c>
      <c r="J135" s="19"/>
      <c r="K135" s="19">
        <v>0</v>
      </c>
      <c r="L135" s="19"/>
      <c r="M135" s="19">
        <v>0</v>
      </c>
      <c r="N135" s="19"/>
      <c r="O135" s="19">
        <v>0</v>
      </c>
      <c r="P135" s="19"/>
      <c r="Q135" s="19">
        <v>0</v>
      </c>
      <c r="R135" s="19"/>
      <c r="S135" s="19">
        <v>0</v>
      </c>
      <c r="T135" s="19"/>
      <c r="U135" s="19">
        <v>0</v>
      </c>
      <c r="V135" s="19"/>
      <c r="W135" s="19">
        <v>0</v>
      </c>
      <c r="X135" s="19"/>
      <c r="Y135" s="26">
        <f t="shared" si="26"/>
        <v>0</v>
      </c>
      <c r="Z135" s="19"/>
      <c r="AA135" s="19">
        <v>0</v>
      </c>
      <c r="AB135" s="19"/>
      <c r="AC135" s="19">
        <v>0</v>
      </c>
      <c r="AD135" s="19"/>
      <c r="AE135" s="19">
        <v>0</v>
      </c>
      <c r="AF135" s="19"/>
      <c r="AG135" s="19"/>
      <c r="AH135" s="19"/>
      <c r="AI135" s="19"/>
      <c r="AJ135" s="19"/>
      <c r="AK135" s="19">
        <v>0</v>
      </c>
      <c r="AL135" s="19"/>
      <c r="AM135" s="19">
        <v>0</v>
      </c>
      <c r="AN135" s="19"/>
      <c r="AO135" s="26">
        <f t="shared" si="23"/>
        <v>0</v>
      </c>
      <c r="AP135" s="19"/>
      <c r="AQ135" s="26">
        <f t="shared" si="28"/>
        <v>0</v>
      </c>
      <c r="AR135" s="26"/>
    </row>
    <row r="136" spans="1:44">
      <c r="A136" s="9" t="s">
        <v>504</v>
      </c>
      <c r="B136" s="9"/>
      <c r="C136" s="9" t="s">
        <v>63</v>
      </c>
      <c r="D136" s="9"/>
      <c r="E136" s="23">
        <v>49981</v>
      </c>
      <c r="F136" s="19"/>
      <c r="G136" s="19">
        <v>26765537</v>
      </c>
      <c r="H136" s="19"/>
      <c r="I136" s="19">
        <v>0</v>
      </c>
      <c r="J136" s="19"/>
      <c r="K136" s="19">
        <v>8467301</v>
      </c>
      <c r="L136" s="19"/>
      <c r="M136" s="19">
        <f>28412-32779</f>
        <v>-4367</v>
      </c>
      <c r="N136" s="19"/>
      <c r="O136" s="19">
        <f>615462+469042+42506</f>
        <v>1127010</v>
      </c>
      <c r="P136" s="19"/>
      <c r="Q136" s="19">
        <v>178540</v>
      </c>
      <c r="R136" s="19"/>
      <c r="S136" s="19">
        <v>0</v>
      </c>
      <c r="T136" s="19"/>
      <c r="U136" s="19">
        <v>160709</v>
      </c>
      <c r="V136" s="19"/>
      <c r="W136" s="19">
        <v>333023</v>
      </c>
      <c r="X136" s="19"/>
      <c r="Y136" s="26">
        <f t="shared" si="26"/>
        <v>37027753</v>
      </c>
      <c r="Z136" s="19"/>
      <c r="AA136" s="19">
        <v>30000</v>
      </c>
      <c r="AB136" s="19"/>
      <c r="AC136" s="19">
        <v>0</v>
      </c>
      <c r="AD136" s="19"/>
      <c r="AE136" s="19">
        <v>3000000</v>
      </c>
      <c r="AF136" s="19"/>
      <c r="AG136" s="19"/>
      <c r="AH136" s="19"/>
      <c r="AI136" s="19"/>
      <c r="AJ136" s="19"/>
      <c r="AK136" s="19">
        <v>0</v>
      </c>
      <c r="AL136" s="19"/>
      <c r="AM136" s="19">
        <v>0</v>
      </c>
      <c r="AN136" s="19"/>
      <c r="AO136" s="26">
        <f t="shared" si="23"/>
        <v>3030000</v>
      </c>
      <c r="AP136" s="19"/>
      <c r="AQ136" s="26">
        <f t="shared" si="28"/>
        <v>40057753</v>
      </c>
      <c r="AR136" s="26"/>
    </row>
    <row r="137" spans="1:44">
      <c r="A137" s="9" t="s">
        <v>334</v>
      </c>
      <c r="B137" s="9"/>
      <c r="C137" s="9" t="s">
        <v>33</v>
      </c>
      <c r="D137" s="9"/>
      <c r="E137" s="23">
        <v>47431</v>
      </c>
      <c r="F137" s="19"/>
      <c r="G137" s="19">
        <v>2391559</v>
      </c>
      <c r="H137" s="19"/>
      <c r="I137" s="19">
        <v>1640429</v>
      </c>
      <c r="J137" s="19"/>
      <c r="K137" s="19">
        <v>4778293</v>
      </c>
      <c r="L137" s="19"/>
      <c r="M137" s="19">
        <v>20995</v>
      </c>
      <c r="N137" s="19"/>
      <c r="O137" s="19">
        <f>529953+115707</f>
        <v>645660</v>
      </c>
      <c r="P137" s="19"/>
      <c r="Q137" s="19">
        <v>108980</v>
      </c>
      <c r="R137" s="19"/>
      <c r="S137" s="19">
        <v>0</v>
      </c>
      <c r="T137" s="19"/>
      <c r="U137" s="19">
        <v>56913</v>
      </c>
      <c r="V137" s="19"/>
      <c r="W137" s="19">
        <v>127970</v>
      </c>
      <c r="X137" s="19"/>
      <c r="Y137" s="26">
        <f t="shared" si="26"/>
        <v>9770799</v>
      </c>
      <c r="Z137" s="19"/>
      <c r="AA137" s="19">
        <v>20859</v>
      </c>
      <c r="AB137" s="19"/>
      <c r="AC137" s="19">
        <v>0</v>
      </c>
      <c r="AD137" s="19"/>
      <c r="AE137" s="19">
        <v>0</v>
      </c>
      <c r="AF137" s="19"/>
      <c r="AG137" s="19"/>
      <c r="AH137" s="19"/>
      <c r="AI137" s="19"/>
      <c r="AJ137" s="19"/>
      <c r="AK137" s="19">
        <v>7000</v>
      </c>
      <c r="AL137" s="19"/>
      <c r="AM137" s="19">
        <v>0</v>
      </c>
      <c r="AN137" s="19"/>
      <c r="AO137" s="26">
        <f t="shared" si="23"/>
        <v>27859</v>
      </c>
      <c r="AP137" s="19"/>
      <c r="AQ137" s="26">
        <f t="shared" si="28"/>
        <v>9798658</v>
      </c>
      <c r="AR137" s="26"/>
    </row>
    <row r="138" spans="1:44">
      <c r="A138" s="9" t="s">
        <v>251</v>
      </c>
      <c r="B138" s="9"/>
      <c r="C138" s="9" t="s">
        <v>19</v>
      </c>
      <c r="D138" s="9"/>
      <c r="E138" s="23">
        <v>43828</v>
      </c>
      <c r="F138" s="19"/>
      <c r="G138" s="19">
        <v>5280322</v>
      </c>
      <c r="H138" s="19"/>
      <c r="I138" s="19">
        <v>0</v>
      </c>
      <c r="J138" s="19"/>
      <c r="K138" s="19">
        <f>13311335+2806590</f>
        <v>16117925</v>
      </c>
      <c r="L138" s="19"/>
      <c r="M138" s="19">
        <v>20454</v>
      </c>
      <c r="N138" s="19"/>
      <c r="O138" s="19">
        <f>810069+27450+56952</f>
        <v>894471</v>
      </c>
      <c r="P138" s="19"/>
      <c r="Q138" s="19">
        <v>157904</v>
      </c>
      <c r="R138" s="19"/>
      <c r="S138" s="19">
        <v>0</v>
      </c>
      <c r="T138" s="19"/>
      <c r="U138" s="19">
        <v>0</v>
      </c>
      <c r="V138" s="19"/>
      <c r="W138" s="19">
        <f>115264+200532</f>
        <v>315796</v>
      </c>
      <c r="X138" s="19"/>
      <c r="Y138" s="26">
        <f t="shared" si="26"/>
        <v>22786872</v>
      </c>
      <c r="Z138" s="19"/>
      <c r="AA138" s="19">
        <v>29695</v>
      </c>
      <c r="AB138" s="19"/>
      <c r="AC138" s="19">
        <v>0</v>
      </c>
      <c r="AD138" s="19"/>
      <c r="AE138" s="19">
        <v>0</v>
      </c>
      <c r="AF138" s="19"/>
      <c r="AG138" s="19"/>
      <c r="AH138" s="19"/>
      <c r="AI138" s="19"/>
      <c r="AJ138" s="19"/>
      <c r="AK138" s="19">
        <v>60868</v>
      </c>
      <c r="AL138" s="19"/>
      <c r="AM138" s="19">
        <v>0</v>
      </c>
      <c r="AN138" s="19"/>
      <c r="AO138" s="26">
        <f t="shared" si="23"/>
        <v>90563</v>
      </c>
      <c r="AP138" s="19"/>
      <c r="AQ138" s="26">
        <f t="shared" si="28"/>
        <v>22877435</v>
      </c>
      <c r="AR138" s="26"/>
    </row>
    <row r="139" spans="1:44">
      <c r="A139" s="9" t="s">
        <v>599</v>
      </c>
      <c r="B139" s="9"/>
      <c r="C139" s="9" t="s">
        <v>63</v>
      </c>
      <c r="D139" s="9"/>
      <c r="E139" s="23">
        <v>49999</v>
      </c>
      <c r="F139" s="19"/>
      <c r="G139" s="19">
        <v>9078680</v>
      </c>
      <c r="H139" s="19"/>
      <c r="I139" s="19">
        <v>0</v>
      </c>
      <c r="J139" s="19"/>
      <c r="K139" s="19">
        <v>6844914</v>
      </c>
      <c r="L139" s="19"/>
      <c r="M139" s="19">
        <v>0</v>
      </c>
      <c r="N139" s="19"/>
      <c r="O139" s="19">
        <f>5293089+33025+255120</f>
        <v>5581234</v>
      </c>
      <c r="P139" s="19"/>
      <c r="Q139" s="19">
        <v>163919</v>
      </c>
      <c r="R139" s="19"/>
      <c r="S139" s="19">
        <v>0</v>
      </c>
      <c r="T139" s="19"/>
      <c r="U139" s="19">
        <v>28002</v>
      </c>
      <c r="V139" s="19"/>
      <c r="W139" s="19">
        <v>163644</v>
      </c>
      <c r="X139" s="19"/>
      <c r="Y139" s="26">
        <f t="shared" si="26"/>
        <v>21860393</v>
      </c>
      <c r="Z139" s="19"/>
      <c r="AA139" s="19">
        <v>192711</v>
      </c>
      <c r="AB139" s="19"/>
      <c r="AC139" s="19">
        <v>0</v>
      </c>
      <c r="AD139" s="19"/>
      <c r="AE139" s="19">
        <v>215000</v>
      </c>
      <c r="AF139" s="19"/>
      <c r="AG139" s="19"/>
      <c r="AH139" s="19"/>
      <c r="AI139" s="19"/>
      <c r="AJ139" s="19"/>
      <c r="AK139" s="19">
        <v>0</v>
      </c>
      <c r="AL139" s="19"/>
      <c r="AM139" s="19">
        <v>0</v>
      </c>
      <c r="AN139" s="19"/>
      <c r="AO139" s="26">
        <f t="shared" si="23"/>
        <v>407711</v>
      </c>
      <c r="AP139" s="19"/>
      <c r="AQ139" s="26">
        <f t="shared" si="28"/>
        <v>22268104</v>
      </c>
      <c r="AR139" s="26"/>
    </row>
    <row r="140" spans="1:44">
      <c r="A140" s="9" t="s">
        <v>752</v>
      </c>
      <c r="B140" s="9"/>
      <c r="C140" s="9" t="s">
        <v>48</v>
      </c>
      <c r="D140" s="9"/>
      <c r="E140" s="23">
        <v>45336</v>
      </c>
      <c r="F140" s="19"/>
      <c r="G140" s="19">
        <v>1682694</v>
      </c>
      <c r="H140" s="19"/>
      <c r="I140" s="19">
        <v>1802177</v>
      </c>
      <c r="J140" s="19"/>
      <c r="K140" s="19">
        <f>3403937+486492</f>
        <v>3890429</v>
      </c>
      <c r="L140" s="19"/>
      <c r="M140" s="19">
        <v>3939</v>
      </c>
      <c r="N140" s="19"/>
      <c r="O140" s="19">
        <f>658194+175850+38085+5827</f>
        <v>877956</v>
      </c>
      <c r="P140" s="19"/>
      <c r="Q140" s="19">
        <v>220914</v>
      </c>
      <c r="R140" s="19"/>
      <c r="S140" s="19">
        <v>0</v>
      </c>
      <c r="T140" s="19"/>
      <c r="U140" s="19">
        <v>125703</v>
      </c>
      <c r="V140" s="19"/>
      <c r="W140" s="19">
        <v>16489</v>
      </c>
      <c r="X140" s="19"/>
      <c r="Y140" s="26">
        <f t="shared" si="26"/>
        <v>8620301</v>
      </c>
      <c r="Z140" s="19"/>
      <c r="AA140" s="19">
        <v>0</v>
      </c>
      <c r="AB140" s="19"/>
      <c r="AC140" s="19">
        <v>0</v>
      </c>
      <c r="AD140" s="19"/>
      <c r="AE140" s="19">
        <v>0</v>
      </c>
      <c r="AF140" s="19"/>
      <c r="AG140" s="19"/>
      <c r="AH140" s="19"/>
      <c r="AI140" s="19"/>
      <c r="AJ140" s="19"/>
      <c r="AK140" s="19">
        <v>7452</v>
      </c>
      <c r="AL140" s="19"/>
      <c r="AM140" s="19">
        <v>0</v>
      </c>
      <c r="AN140" s="19"/>
      <c r="AO140" s="26">
        <f t="shared" si="23"/>
        <v>7452</v>
      </c>
      <c r="AP140" s="19"/>
      <c r="AQ140" s="26">
        <f t="shared" si="28"/>
        <v>8627753</v>
      </c>
      <c r="AR140" s="26"/>
    </row>
    <row r="141" spans="1:44" hidden="1">
      <c r="A141" s="9" t="s">
        <v>825</v>
      </c>
      <c r="B141" s="9"/>
      <c r="C141" s="9" t="s">
        <v>110</v>
      </c>
      <c r="D141" s="9"/>
      <c r="E141" s="23">
        <v>45344</v>
      </c>
      <c r="F141" s="19"/>
      <c r="G141" s="19">
        <v>0</v>
      </c>
      <c r="H141" s="19"/>
      <c r="I141" s="19">
        <v>0</v>
      </c>
      <c r="J141" s="19"/>
      <c r="K141" s="19">
        <v>0</v>
      </c>
      <c r="L141" s="19"/>
      <c r="M141" s="19">
        <v>0</v>
      </c>
      <c r="N141" s="19"/>
      <c r="O141" s="19">
        <v>0</v>
      </c>
      <c r="P141" s="19"/>
      <c r="Q141" s="19">
        <v>0</v>
      </c>
      <c r="R141" s="19"/>
      <c r="S141" s="19">
        <v>0</v>
      </c>
      <c r="T141" s="19"/>
      <c r="U141" s="19">
        <v>0</v>
      </c>
      <c r="V141" s="19"/>
      <c r="W141" s="19">
        <v>0</v>
      </c>
      <c r="X141" s="19"/>
      <c r="Y141" s="26">
        <f t="shared" si="26"/>
        <v>0</v>
      </c>
      <c r="Z141" s="19"/>
      <c r="AA141" s="19">
        <v>0</v>
      </c>
      <c r="AB141" s="19"/>
      <c r="AC141" s="19">
        <v>0</v>
      </c>
      <c r="AD141" s="19"/>
      <c r="AE141" s="19">
        <v>0</v>
      </c>
      <c r="AF141" s="19"/>
      <c r="AG141" s="19"/>
      <c r="AH141" s="19"/>
      <c r="AI141" s="19"/>
      <c r="AJ141" s="19"/>
      <c r="AK141" s="19">
        <v>0</v>
      </c>
      <c r="AL141" s="19"/>
      <c r="AM141" s="19">
        <v>0</v>
      </c>
      <c r="AN141" s="19"/>
      <c r="AO141" s="26">
        <f t="shared" si="23"/>
        <v>0</v>
      </c>
      <c r="AP141" s="19"/>
      <c r="AQ141" s="26">
        <f t="shared" si="28"/>
        <v>0</v>
      </c>
      <c r="AR141" s="26"/>
    </row>
    <row r="142" spans="1:44">
      <c r="A142" s="9" t="s">
        <v>245</v>
      </c>
      <c r="B142" s="9"/>
      <c r="C142" s="9" t="s">
        <v>111</v>
      </c>
      <c r="D142" s="9"/>
      <c r="E142" s="23">
        <v>46433</v>
      </c>
      <c r="F142" s="19"/>
      <c r="G142" s="19">
        <v>2611226</v>
      </c>
      <c r="H142" s="19"/>
      <c r="I142" s="19">
        <v>1225604</v>
      </c>
      <c r="J142" s="19"/>
      <c r="K142" s="19">
        <v>5775538</v>
      </c>
      <c r="L142" s="19"/>
      <c r="M142" s="19">
        <v>17184</v>
      </c>
      <c r="N142" s="19"/>
      <c r="O142" s="19">
        <f>2640382+253679+2153</f>
        <v>2896214</v>
      </c>
      <c r="P142" s="19"/>
      <c r="Q142" s="19">
        <v>237201</v>
      </c>
      <c r="R142" s="19"/>
      <c r="S142" s="19">
        <v>0</v>
      </c>
      <c r="T142" s="19"/>
      <c r="U142" s="19">
        <v>14672</v>
      </c>
      <c r="V142" s="19"/>
      <c r="W142" s="19">
        <v>69842</v>
      </c>
      <c r="X142" s="19"/>
      <c r="Y142" s="26">
        <f t="shared" si="26"/>
        <v>12847481</v>
      </c>
      <c r="Z142" s="19"/>
      <c r="AA142" s="19">
        <v>0</v>
      </c>
      <c r="AB142" s="19"/>
      <c r="AC142" s="19">
        <v>0</v>
      </c>
      <c r="AD142" s="19"/>
      <c r="AE142" s="19">
        <v>0</v>
      </c>
      <c r="AF142" s="19"/>
      <c r="AG142" s="19"/>
      <c r="AH142" s="19"/>
      <c r="AI142" s="19"/>
      <c r="AJ142" s="19"/>
      <c r="AK142" s="19">
        <v>0</v>
      </c>
      <c r="AL142" s="19"/>
      <c r="AM142" s="19">
        <v>0</v>
      </c>
      <c r="AN142" s="19"/>
      <c r="AO142" s="26">
        <f t="shared" si="23"/>
        <v>0</v>
      </c>
      <c r="AP142" s="19"/>
      <c r="AQ142" s="26">
        <f t="shared" si="28"/>
        <v>12847481</v>
      </c>
      <c r="AR142" s="26"/>
    </row>
    <row r="143" spans="1:44">
      <c r="A143" s="9" t="s">
        <v>245</v>
      </c>
      <c r="B143" s="9"/>
      <c r="C143" s="9" t="s">
        <v>109</v>
      </c>
      <c r="D143" s="9"/>
      <c r="E143" s="23">
        <v>49429</v>
      </c>
      <c r="F143" s="19"/>
      <c r="G143" s="19">
        <v>3060406</v>
      </c>
      <c r="H143" s="19"/>
      <c r="I143" s="19">
        <v>0</v>
      </c>
      <c r="J143" s="19"/>
      <c r="K143" s="19">
        <f>7581590+1188621</f>
        <v>8770211</v>
      </c>
      <c r="L143" s="19"/>
      <c r="M143" s="19">
        <v>44493</v>
      </c>
      <c r="N143" s="19"/>
      <c r="O143" s="19">
        <f>94943+171894+37218+2121</f>
        <v>306176</v>
      </c>
      <c r="P143" s="19"/>
      <c r="Q143" s="19">
        <v>221340</v>
      </c>
      <c r="R143" s="19"/>
      <c r="S143" s="19">
        <v>0</v>
      </c>
      <c r="T143" s="19"/>
      <c r="U143" s="19">
        <v>25549</v>
      </c>
      <c r="V143" s="19"/>
      <c r="W143" s="19">
        <f>81000+114262</f>
        <v>195262</v>
      </c>
      <c r="X143" s="19"/>
      <c r="Y143" s="26">
        <f t="shared" si="26"/>
        <v>12623437</v>
      </c>
      <c r="Z143" s="19"/>
      <c r="AA143" s="19">
        <v>6500</v>
      </c>
      <c r="AB143" s="19"/>
      <c r="AC143" s="19">
        <v>0</v>
      </c>
      <c r="AD143" s="19"/>
      <c r="AE143" s="19">
        <v>0</v>
      </c>
      <c r="AF143" s="19"/>
      <c r="AG143" s="19"/>
      <c r="AH143" s="19"/>
      <c r="AI143" s="19"/>
      <c r="AJ143" s="19"/>
      <c r="AK143" s="19">
        <v>0</v>
      </c>
      <c r="AL143" s="19"/>
      <c r="AM143" s="19">
        <v>0</v>
      </c>
      <c r="AN143" s="19"/>
      <c r="AO143" s="26">
        <f t="shared" si="23"/>
        <v>6500</v>
      </c>
      <c r="AP143" s="19"/>
      <c r="AQ143" s="26">
        <f t="shared" si="28"/>
        <v>12629937</v>
      </c>
      <c r="AR143" s="26"/>
    </row>
    <row r="144" spans="1:44" hidden="1">
      <c r="A144" s="9" t="s">
        <v>650</v>
      </c>
      <c r="B144" s="9"/>
      <c r="C144" s="9" t="s">
        <v>67</v>
      </c>
      <c r="D144" s="9"/>
      <c r="E144" s="23">
        <v>50351</v>
      </c>
      <c r="F144" s="19"/>
      <c r="G144" s="19">
        <v>0</v>
      </c>
      <c r="H144" s="19"/>
      <c r="I144" s="19">
        <v>0</v>
      </c>
      <c r="J144" s="19"/>
      <c r="K144" s="19">
        <v>0</v>
      </c>
      <c r="L144" s="19"/>
      <c r="M144" s="19">
        <v>0</v>
      </c>
      <c r="N144" s="19"/>
      <c r="O144" s="19">
        <v>0</v>
      </c>
      <c r="P144" s="19"/>
      <c r="Q144" s="19">
        <v>0</v>
      </c>
      <c r="R144" s="19"/>
      <c r="S144" s="19">
        <v>0</v>
      </c>
      <c r="T144" s="19"/>
      <c r="U144" s="19">
        <v>0</v>
      </c>
      <c r="V144" s="19"/>
      <c r="W144" s="19">
        <v>0</v>
      </c>
      <c r="X144" s="19"/>
      <c r="Y144" s="26">
        <f t="shared" si="26"/>
        <v>0</v>
      </c>
      <c r="Z144" s="19"/>
      <c r="AA144" s="19">
        <v>0</v>
      </c>
      <c r="AB144" s="19"/>
      <c r="AC144" s="19">
        <v>0</v>
      </c>
      <c r="AD144" s="19"/>
      <c r="AE144" s="19">
        <v>0</v>
      </c>
      <c r="AF144" s="19"/>
      <c r="AG144" s="19"/>
      <c r="AH144" s="19"/>
      <c r="AI144" s="19"/>
      <c r="AJ144" s="19"/>
      <c r="AK144" s="19">
        <v>0</v>
      </c>
      <c r="AL144" s="19"/>
      <c r="AM144" s="19">
        <v>0</v>
      </c>
      <c r="AN144" s="19"/>
      <c r="AO144" s="26">
        <f t="shared" si="23"/>
        <v>0</v>
      </c>
      <c r="AP144" s="19"/>
      <c r="AQ144" s="26">
        <f t="shared" si="28"/>
        <v>0</v>
      </c>
      <c r="AR144" s="26"/>
    </row>
    <row r="145" spans="1:44">
      <c r="A145" s="9" t="s">
        <v>712</v>
      </c>
      <c r="B145" s="9"/>
      <c r="C145" s="9" t="s">
        <v>56</v>
      </c>
      <c r="D145" s="9"/>
      <c r="E145" s="23">
        <v>49189</v>
      </c>
      <c r="F145" s="19"/>
      <c r="G145" s="19">
        <v>7369657</v>
      </c>
      <c r="H145" s="19"/>
      <c r="I145" s="19">
        <v>0</v>
      </c>
      <c r="J145" s="19"/>
      <c r="K145" s="19">
        <v>12965165</v>
      </c>
      <c r="L145" s="19"/>
      <c r="M145" s="19">
        <v>-8082</v>
      </c>
      <c r="N145" s="19"/>
      <c r="O145" s="19">
        <f>1206314+8160+258906</f>
        <v>1473380</v>
      </c>
      <c r="P145" s="19"/>
      <c r="Q145" s="19">
        <v>261105</v>
      </c>
      <c r="R145" s="19"/>
      <c r="S145" s="19">
        <v>0</v>
      </c>
      <c r="T145" s="19"/>
      <c r="U145" s="19">
        <v>41670</v>
      </c>
      <c r="V145" s="19"/>
      <c r="W145" s="19">
        <v>257139</v>
      </c>
      <c r="X145" s="19"/>
      <c r="Y145" s="26">
        <f t="shared" si="26"/>
        <v>22360034</v>
      </c>
      <c r="Z145" s="19"/>
      <c r="AA145" s="19">
        <v>71693</v>
      </c>
      <c r="AB145" s="19"/>
      <c r="AC145" s="19">
        <v>0</v>
      </c>
      <c r="AD145" s="19"/>
      <c r="AE145" s="19">
        <v>2123500</v>
      </c>
      <c r="AF145" s="19"/>
      <c r="AG145" s="19"/>
      <c r="AH145" s="19"/>
      <c r="AI145" s="19"/>
      <c r="AJ145" s="19"/>
      <c r="AK145" s="19">
        <v>1821</v>
      </c>
      <c r="AL145" s="19"/>
      <c r="AM145" s="19">
        <v>0</v>
      </c>
      <c r="AN145" s="19"/>
      <c r="AO145" s="26">
        <f t="shared" si="23"/>
        <v>2197014</v>
      </c>
      <c r="AP145" s="19"/>
      <c r="AQ145" s="26">
        <f t="shared" si="28"/>
        <v>24557048</v>
      </c>
      <c r="AR145" s="26"/>
    </row>
    <row r="146" spans="1:44">
      <c r="A146" s="9" t="s">
        <v>753</v>
      </c>
      <c r="B146" s="9"/>
      <c r="C146" s="9" t="s">
        <v>448</v>
      </c>
      <c r="D146" s="9"/>
      <c r="E146" s="23">
        <v>45351</v>
      </c>
      <c r="F146" s="19"/>
      <c r="G146" s="19">
        <v>1713188</v>
      </c>
      <c r="H146" s="19"/>
      <c r="I146" s="19">
        <v>0</v>
      </c>
      <c r="J146" s="19"/>
      <c r="K146" s="19">
        <f>7339150+1649282</f>
        <v>8988432</v>
      </c>
      <c r="L146" s="19"/>
      <c r="M146" s="19">
        <v>8043</v>
      </c>
      <c r="N146" s="19"/>
      <c r="O146" s="19">
        <f>834176+165+144012</f>
        <v>978353</v>
      </c>
      <c r="P146" s="19"/>
      <c r="Q146" s="19">
        <v>196452</v>
      </c>
      <c r="R146" s="19"/>
      <c r="S146" s="19">
        <v>0</v>
      </c>
      <c r="T146" s="19"/>
      <c r="U146" s="19">
        <v>0</v>
      </c>
      <c r="V146" s="19"/>
      <c r="W146" s="19">
        <v>228529</v>
      </c>
      <c r="X146" s="19"/>
      <c r="Y146" s="26">
        <f t="shared" si="26"/>
        <v>12112997</v>
      </c>
      <c r="Z146" s="19"/>
      <c r="AA146" s="19">
        <v>192986</v>
      </c>
      <c r="AB146" s="19"/>
      <c r="AC146" s="19">
        <v>0</v>
      </c>
      <c r="AD146" s="19"/>
      <c r="AE146" s="19">
        <v>0</v>
      </c>
      <c r="AF146" s="19"/>
      <c r="AG146" s="19"/>
      <c r="AH146" s="19"/>
      <c r="AI146" s="19"/>
      <c r="AJ146" s="19"/>
      <c r="AK146" s="19">
        <v>0</v>
      </c>
      <c r="AL146" s="19"/>
      <c r="AM146" s="19">
        <v>0</v>
      </c>
      <c r="AN146" s="19"/>
      <c r="AO146" s="26">
        <f t="shared" ref="AO146:AO151" si="29">SUM(AA146:AM146)</f>
        <v>192986</v>
      </c>
      <c r="AP146" s="19"/>
      <c r="AQ146" s="26">
        <f t="shared" si="28"/>
        <v>12305983</v>
      </c>
      <c r="AR146" s="26"/>
    </row>
    <row r="147" spans="1:44">
      <c r="A147" s="9" t="s">
        <v>651</v>
      </c>
      <c r="B147" s="9"/>
      <c r="C147" s="9" t="s">
        <v>63</v>
      </c>
      <c r="D147" s="9"/>
      <c r="E147" s="23">
        <v>43836</v>
      </c>
      <c r="F147" s="19"/>
      <c r="G147" s="19">
        <v>26524449</v>
      </c>
      <c r="H147" s="19"/>
      <c r="I147" s="19">
        <v>0</v>
      </c>
      <c r="J147" s="19"/>
      <c r="K147" s="19">
        <f>16909929+3352697</f>
        <v>20262626</v>
      </c>
      <c r="L147" s="19"/>
      <c r="M147" s="19">
        <v>5407</v>
      </c>
      <c r="N147" s="19"/>
      <c r="O147" s="19">
        <f>3279618+22929+637051+113814+349507</f>
        <v>4402919</v>
      </c>
      <c r="P147" s="19"/>
      <c r="Q147" s="19">
        <v>506643</v>
      </c>
      <c r="R147" s="19"/>
      <c r="S147" s="19">
        <v>0</v>
      </c>
      <c r="T147" s="19"/>
      <c r="U147" s="19">
        <v>0</v>
      </c>
      <c r="V147" s="19"/>
      <c r="W147" s="19">
        <f>18893+425655</f>
        <v>444548</v>
      </c>
      <c r="X147" s="19"/>
      <c r="Y147" s="26">
        <f t="shared" si="26"/>
        <v>52146592</v>
      </c>
      <c r="Z147" s="19"/>
      <c r="AA147" s="19">
        <v>13181</v>
      </c>
      <c r="AB147" s="19"/>
      <c r="AC147" s="19">
        <v>0</v>
      </c>
      <c r="AD147" s="19"/>
      <c r="AE147" s="19">
        <v>0</v>
      </c>
      <c r="AF147" s="19"/>
      <c r="AG147" s="19"/>
      <c r="AH147" s="19"/>
      <c r="AI147" s="19"/>
      <c r="AJ147" s="19"/>
      <c r="AK147" s="19">
        <f>12100+163562</f>
        <v>175662</v>
      </c>
      <c r="AL147" s="19"/>
      <c r="AM147" s="19">
        <v>0</v>
      </c>
      <c r="AN147" s="19"/>
      <c r="AO147" s="26">
        <f t="shared" si="29"/>
        <v>188843</v>
      </c>
      <c r="AP147" s="19"/>
      <c r="AQ147" s="26">
        <f t="shared" si="28"/>
        <v>52335435</v>
      </c>
      <c r="AR147" s="26"/>
    </row>
    <row r="148" spans="1:44">
      <c r="A148" s="9" t="s">
        <v>713</v>
      </c>
      <c r="B148" s="9"/>
      <c r="C148" s="9" t="s">
        <v>20</v>
      </c>
      <c r="D148" s="9"/>
      <c r="E148" s="23">
        <v>46557</v>
      </c>
      <c r="F148" s="19"/>
      <c r="G148" s="19">
        <v>8547325</v>
      </c>
      <c r="H148" s="19"/>
      <c r="I148" s="19">
        <v>0</v>
      </c>
      <c r="J148" s="19"/>
      <c r="K148" s="19">
        <v>5045202</v>
      </c>
      <c r="L148" s="19"/>
      <c r="M148" s="19">
        <v>1853</v>
      </c>
      <c r="N148" s="19"/>
      <c r="O148" s="19">
        <f>480120+407304+156280</f>
        <v>1043704</v>
      </c>
      <c r="P148" s="19"/>
      <c r="Q148" s="19">
        <v>105163</v>
      </c>
      <c r="R148" s="19"/>
      <c r="S148" s="19">
        <v>91138</v>
      </c>
      <c r="T148" s="19"/>
      <c r="U148" s="19">
        <v>24196</v>
      </c>
      <c r="V148" s="19"/>
      <c r="W148" s="19">
        <v>91176</v>
      </c>
      <c r="X148" s="19"/>
      <c r="Y148" s="26">
        <f t="shared" si="26"/>
        <v>14949757</v>
      </c>
      <c r="Z148" s="19"/>
      <c r="AA148" s="19">
        <v>110000</v>
      </c>
      <c r="AB148" s="19"/>
      <c r="AC148" s="19">
        <v>0</v>
      </c>
      <c r="AD148" s="19"/>
      <c r="AE148" s="19">
        <v>0</v>
      </c>
      <c r="AF148" s="19"/>
      <c r="AG148" s="19"/>
      <c r="AH148" s="19"/>
      <c r="AI148" s="19"/>
      <c r="AJ148" s="19"/>
      <c r="AK148" s="19">
        <v>0</v>
      </c>
      <c r="AL148" s="19"/>
      <c r="AM148" s="19">
        <v>308598</v>
      </c>
      <c r="AN148" s="19"/>
      <c r="AO148" s="26">
        <f t="shared" si="29"/>
        <v>418598</v>
      </c>
      <c r="AP148" s="19"/>
      <c r="AQ148" s="26">
        <f t="shared" si="28"/>
        <v>15368355</v>
      </c>
      <c r="AR148" s="26"/>
    </row>
    <row r="149" spans="1:44">
      <c r="A149" s="9" t="s">
        <v>604</v>
      </c>
      <c r="B149" s="9"/>
      <c r="C149" s="9" t="s">
        <v>71</v>
      </c>
      <c r="D149" s="9"/>
      <c r="E149" s="23">
        <v>50542</v>
      </c>
      <c r="F149" s="19"/>
      <c r="G149" s="19">
        <v>3664142</v>
      </c>
      <c r="H149" s="19"/>
      <c r="I149" s="19">
        <v>1162899</v>
      </c>
      <c r="J149" s="19"/>
      <c r="K149" s="19">
        <f>10894+5721701+602220</f>
        <v>6334815</v>
      </c>
      <c r="L149" s="19"/>
      <c r="M149" s="19">
        <v>84515</v>
      </c>
      <c r="N149" s="19"/>
      <c r="O149" s="19">
        <f>445605+121050+3613+1608</f>
        <v>571876</v>
      </c>
      <c r="P149" s="19"/>
      <c r="Q149" s="19">
        <v>205181</v>
      </c>
      <c r="R149" s="19"/>
      <c r="S149" s="19">
        <v>0</v>
      </c>
      <c r="T149" s="19"/>
      <c r="U149" s="19">
        <v>1700</v>
      </c>
      <c r="V149" s="19"/>
      <c r="W149" s="19">
        <v>38930</v>
      </c>
      <c r="X149" s="19"/>
      <c r="Y149" s="26">
        <f t="shared" si="26"/>
        <v>12064058</v>
      </c>
      <c r="Z149" s="19"/>
      <c r="AA149" s="19">
        <v>11220095</v>
      </c>
      <c r="AB149" s="19"/>
      <c r="AC149" s="19">
        <v>0</v>
      </c>
      <c r="AD149" s="19"/>
      <c r="AE149" s="19">
        <v>788336</v>
      </c>
      <c r="AF149" s="19"/>
      <c r="AG149" s="19"/>
      <c r="AH149" s="19"/>
      <c r="AI149" s="19"/>
      <c r="AJ149" s="19"/>
      <c r="AK149" s="19">
        <v>0</v>
      </c>
      <c r="AL149" s="19"/>
      <c r="AM149" s="19">
        <v>0</v>
      </c>
      <c r="AN149" s="19"/>
      <c r="AO149" s="26">
        <f t="shared" si="29"/>
        <v>12008431</v>
      </c>
      <c r="AP149" s="19"/>
      <c r="AQ149" s="26">
        <f t="shared" si="28"/>
        <v>24072489</v>
      </c>
      <c r="AR149" s="26"/>
    </row>
    <row r="150" spans="1:44" hidden="1">
      <c r="A150" s="9" t="s">
        <v>735</v>
      </c>
      <c r="B150" s="9"/>
      <c r="C150" s="9" t="s">
        <v>53</v>
      </c>
      <c r="D150" s="9"/>
      <c r="E150" s="23">
        <v>48934</v>
      </c>
      <c r="F150" s="19"/>
      <c r="G150" s="19">
        <v>0</v>
      </c>
      <c r="H150" s="19"/>
      <c r="I150" s="19">
        <v>0</v>
      </c>
      <c r="J150" s="19"/>
      <c r="K150" s="19">
        <v>0</v>
      </c>
      <c r="L150" s="19"/>
      <c r="M150" s="19">
        <v>0</v>
      </c>
      <c r="N150" s="19"/>
      <c r="O150" s="19">
        <v>0</v>
      </c>
      <c r="P150" s="19"/>
      <c r="Q150" s="19">
        <v>0</v>
      </c>
      <c r="R150" s="19"/>
      <c r="S150" s="19">
        <v>0</v>
      </c>
      <c r="T150" s="19"/>
      <c r="U150" s="19">
        <v>0</v>
      </c>
      <c r="V150" s="19"/>
      <c r="W150" s="19">
        <v>0</v>
      </c>
      <c r="X150" s="19"/>
      <c r="Y150" s="26">
        <f t="shared" si="26"/>
        <v>0</v>
      </c>
      <c r="Z150" s="19"/>
      <c r="AA150" s="19">
        <v>0</v>
      </c>
      <c r="AB150" s="19"/>
      <c r="AC150" s="19">
        <v>0</v>
      </c>
      <c r="AD150" s="19"/>
      <c r="AE150" s="19">
        <v>0</v>
      </c>
      <c r="AF150" s="19"/>
      <c r="AG150" s="19"/>
      <c r="AH150" s="19"/>
      <c r="AI150" s="19"/>
      <c r="AJ150" s="19"/>
      <c r="AK150" s="19">
        <v>0</v>
      </c>
      <c r="AL150" s="19"/>
      <c r="AM150" s="19">
        <v>0</v>
      </c>
      <c r="AN150" s="19"/>
      <c r="AO150" s="26">
        <f t="shared" si="29"/>
        <v>0</v>
      </c>
      <c r="AP150" s="19"/>
      <c r="AQ150" s="26">
        <f t="shared" si="28"/>
        <v>0</v>
      </c>
      <c r="AR150" s="26"/>
    </row>
    <row r="151" spans="1:44" hidden="1">
      <c r="A151" s="9" t="s">
        <v>652</v>
      </c>
      <c r="B151" s="9"/>
      <c r="C151" s="9" t="s">
        <v>40</v>
      </c>
      <c r="D151" s="9"/>
      <c r="E151" s="23">
        <v>47837</v>
      </c>
      <c r="F151" s="19"/>
      <c r="G151" s="19">
        <v>0</v>
      </c>
      <c r="H151" s="19"/>
      <c r="I151" s="19">
        <v>0</v>
      </c>
      <c r="J151" s="19"/>
      <c r="K151" s="19">
        <v>0</v>
      </c>
      <c r="L151" s="19"/>
      <c r="M151" s="19">
        <v>0</v>
      </c>
      <c r="N151" s="19"/>
      <c r="O151" s="19">
        <v>0</v>
      </c>
      <c r="P151" s="19"/>
      <c r="Q151" s="19">
        <v>0</v>
      </c>
      <c r="R151" s="19"/>
      <c r="S151" s="19">
        <v>0</v>
      </c>
      <c r="T151" s="19"/>
      <c r="U151" s="19">
        <v>0</v>
      </c>
      <c r="V151" s="19"/>
      <c r="W151" s="19">
        <v>0</v>
      </c>
      <c r="X151" s="19"/>
      <c r="Y151" s="26">
        <f t="shared" si="26"/>
        <v>0</v>
      </c>
      <c r="Z151" s="19"/>
      <c r="AA151" s="19">
        <v>0</v>
      </c>
      <c r="AB151" s="19"/>
      <c r="AC151" s="19">
        <v>0</v>
      </c>
      <c r="AD151" s="19"/>
      <c r="AE151" s="19">
        <v>0</v>
      </c>
      <c r="AF151" s="19"/>
      <c r="AG151" s="19"/>
      <c r="AH151" s="19"/>
      <c r="AI151" s="19"/>
      <c r="AJ151" s="19"/>
      <c r="AK151" s="19">
        <v>0</v>
      </c>
      <c r="AL151" s="19"/>
      <c r="AM151" s="19">
        <v>0</v>
      </c>
      <c r="AN151" s="19"/>
      <c r="AO151" s="26">
        <f t="shared" si="29"/>
        <v>0</v>
      </c>
      <c r="AP151" s="19"/>
      <c r="AQ151" s="26">
        <f t="shared" si="28"/>
        <v>0</v>
      </c>
      <c r="AR151" s="26"/>
    </row>
    <row r="152" spans="1:44">
      <c r="A152" s="9" t="s">
        <v>365</v>
      </c>
      <c r="B152" s="9"/>
      <c r="C152" s="9" t="s">
        <v>364</v>
      </c>
      <c r="D152" s="9"/>
      <c r="E152" s="23">
        <v>47928</v>
      </c>
      <c r="F152" s="19"/>
      <c r="G152" s="19">
        <v>1307638</v>
      </c>
      <c r="H152" s="19"/>
      <c r="I152" s="19">
        <v>0</v>
      </c>
      <c r="J152" s="19"/>
      <c r="K152" s="19">
        <v>10271756</v>
      </c>
      <c r="L152" s="19"/>
      <c r="M152" s="19">
        <v>13318</v>
      </c>
      <c r="N152" s="19"/>
      <c r="O152" s="19">
        <f>1220242+114648+5930</f>
        <v>1340820</v>
      </c>
      <c r="P152" s="19"/>
      <c r="Q152" s="19">
        <v>155484</v>
      </c>
      <c r="R152" s="19"/>
      <c r="S152" s="19">
        <v>0</v>
      </c>
      <c r="T152" s="19"/>
      <c r="U152" s="19">
        <v>85576</v>
      </c>
      <c r="V152" s="19"/>
      <c r="W152" s="19">
        <v>43724</v>
      </c>
      <c r="X152" s="19"/>
      <c r="Y152" s="26">
        <f t="shared" si="26"/>
        <v>13218316</v>
      </c>
      <c r="Z152" s="19"/>
      <c r="AA152" s="19">
        <v>250624</v>
      </c>
      <c r="AB152" s="19"/>
      <c r="AC152" s="19">
        <v>0</v>
      </c>
      <c r="AD152" s="19"/>
      <c r="AE152" s="19">
        <v>0</v>
      </c>
      <c r="AF152" s="19"/>
      <c r="AG152" s="19"/>
      <c r="AH152" s="19"/>
      <c r="AI152" s="19"/>
      <c r="AJ152" s="19"/>
      <c r="AK152" s="19">
        <v>0</v>
      </c>
      <c r="AL152" s="19"/>
      <c r="AM152" s="19">
        <v>0</v>
      </c>
      <c r="AN152" s="19"/>
      <c r="AO152" s="26">
        <f>SUM(AA152:AM152)</f>
        <v>250624</v>
      </c>
      <c r="AP152" s="19"/>
      <c r="AQ152" s="26">
        <f t="shared" si="28"/>
        <v>13468940</v>
      </c>
      <c r="AR152" s="26"/>
    </row>
    <row r="153" spans="1:44">
      <c r="A153" s="9" t="s">
        <v>426</v>
      </c>
      <c r="B153" s="9"/>
      <c r="C153" s="9" t="s">
        <v>50</v>
      </c>
      <c r="D153" s="9"/>
      <c r="E153" s="23">
        <v>43844</v>
      </c>
      <c r="F153" s="19"/>
      <c r="G153" s="19">
        <v>67189704</v>
      </c>
      <c r="H153" s="19"/>
      <c r="I153" s="19">
        <v>0</v>
      </c>
      <c r="J153" s="19"/>
      <c r="K153" s="19">
        <v>191347183</v>
      </c>
      <c r="L153" s="19"/>
      <c r="M153" s="19">
        <v>575840</v>
      </c>
      <c r="N153" s="19"/>
      <c r="O153" s="19">
        <f>1164730+495021</f>
        <v>1659751</v>
      </c>
      <c r="P153" s="19"/>
      <c r="Q153" s="19">
        <v>733312</v>
      </c>
      <c r="R153" s="19"/>
      <c r="S153" s="19">
        <v>0</v>
      </c>
      <c r="T153" s="19"/>
      <c r="U153" s="19">
        <v>26801</v>
      </c>
      <c r="V153" s="19"/>
      <c r="W153" s="19">
        <f>1168718+915656</f>
        <v>2084374</v>
      </c>
      <c r="X153" s="19"/>
      <c r="Y153" s="26">
        <f t="shared" si="26"/>
        <v>263616965</v>
      </c>
      <c r="Z153" s="19"/>
      <c r="AA153" s="19">
        <v>1242486</v>
      </c>
      <c r="AB153" s="19"/>
      <c r="AC153" s="19">
        <v>0</v>
      </c>
      <c r="AD153" s="19"/>
      <c r="AE153" s="19">
        <f>98284989+16438446+93450000</f>
        <v>208173435</v>
      </c>
      <c r="AF153" s="19"/>
      <c r="AG153" s="19"/>
      <c r="AH153" s="19"/>
      <c r="AI153" s="19"/>
      <c r="AJ153" s="19"/>
      <c r="AK153" s="19">
        <v>0</v>
      </c>
      <c r="AL153" s="19"/>
      <c r="AM153" s="19">
        <v>0</v>
      </c>
      <c r="AN153" s="19"/>
      <c r="AO153" s="26">
        <f t="shared" ref="AO153:AO158" si="30">AK153+AE153+AA153</f>
        <v>209415921</v>
      </c>
      <c r="AP153" s="19"/>
      <c r="AQ153" s="26">
        <f t="shared" si="28"/>
        <v>473032886</v>
      </c>
      <c r="AR153" s="26"/>
    </row>
    <row r="154" spans="1:44">
      <c r="A154" s="9" t="s">
        <v>877</v>
      </c>
      <c r="B154" s="9"/>
      <c r="C154" s="9" t="s">
        <v>32</v>
      </c>
      <c r="D154" s="9"/>
      <c r="E154" s="23">
        <v>43851</v>
      </c>
      <c r="F154" s="19"/>
      <c r="G154" s="19">
        <v>8194501</v>
      </c>
      <c r="H154" s="19"/>
      <c r="I154" s="19">
        <v>0</v>
      </c>
      <c r="J154" s="19"/>
      <c r="K154" s="19">
        <v>5504108</v>
      </c>
      <c r="L154" s="19"/>
      <c r="M154" s="19">
        <v>14108</v>
      </c>
      <c r="N154" s="19"/>
      <c r="O154" s="19">
        <f>149686+226661</f>
        <v>376347</v>
      </c>
      <c r="P154" s="19"/>
      <c r="Q154" s="19">
        <v>129107</v>
      </c>
      <c r="R154" s="19"/>
      <c r="S154" s="19">
        <v>396642</v>
      </c>
      <c r="T154" s="19"/>
      <c r="U154" s="19">
        <v>0</v>
      </c>
      <c r="V154" s="19"/>
      <c r="W154" s="19">
        <v>209785</v>
      </c>
      <c r="X154" s="19"/>
      <c r="Y154" s="26">
        <f t="shared" si="26"/>
        <v>14824598</v>
      </c>
      <c r="Z154" s="19"/>
      <c r="AA154" s="19">
        <v>1400334</v>
      </c>
      <c r="AB154" s="19"/>
      <c r="AC154" s="19">
        <v>0</v>
      </c>
      <c r="AD154" s="19"/>
      <c r="AE154" s="19">
        <v>0</v>
      </c>
      <c r="AF154" s="19"/>
      <c r="AG154" s="19"/>
      <c r="AH154" s="19"/>
      <c r="AI154" s="19"/>
      <c r="AJ154" s="19"/>
      <c r="AK154" s="19">
        <v>516010</v>
      </c>
      <c r="AL154" s="19"/>
      <c r="AM154" s="19">
        <v>0</v>
      </c>
      <c r="AN154" s="19"/>
      <c r="AO154" s="26">
        <f t="shared" si="30"/>
        <v>1916344</v>
      </c>
      <c r="AP154" s="19"/>
      <c r="AQ154" s="26">
        <f t="shared" si="28"/>
        <v>16740942</v>
      </c>
      <c r="AR154" s="26"/>
    </row>
    <row r="155" spans="1:44" hidden="1">
      <c r="A155" s="9" t="s">
        <v>653</v>
      </c>
      <c r="B155" s="9"/>
      <c r="C155" s="9" t="s">
        <v>22</v>
      </c>
      <c r="D155" s="9"/>
      <c r="E155" s="23">
        <v>43869</v>
      </c>
      <c r="F155" s="19"/>
      <c r="G155" s="19">
        <v>0</v>
      </c>
      <c r="H155" s="19"/>
      <c r="I155" s="19">
        <v>0</v>
      </c>
      <c r="J155" s="19"/>
      <c r="K155" s="19">
        <v>0</v>
      </c>
      <c r="L155" s="19"/>
      <c r="M155" s="19">
        <v>0</v>
      </c>
      <c r="N155" s="19"/>
      <c r="O155" s="19">
        <v>0</v>
      </c>
      <c r="P155" s="19"/>
      <c r="Q155" s="19">
        <v>0</v>
      </c>
      <c r="R155" s="19"/>
      <c r="S155" s="19">
        <v>0</v>
      </c>
      <c r="T155" s="19"/>
      <c r="U155" s="19">
        <v>0</v>
      </c>
      <c r="V155" s="19"/>
      <c r="W155" s="19">
        <v>0</v>
      </c>
      <c r="X155" s="19"/>
      <c r="Y155" s="26">
        <f t="shared" si="26"/>
        <v>0</v>
      </c>
      <c r="Z155" s="19"/>
      <c r="AA155" s="19">
        <v>0</v>
      </c>
      <c r="AB155" s="19"/>
      <c r="AC155" s="19">
        <v>0</v>
      </c>
      <c r="AD155" s="19"/>
      <c r="AE155" s="19">
        <v>0</v>
      </c>
      <c r="AF155" s="19"/>
      <c r="AG155" s="19"/>
      <c r="AH155" s="19"/>
      <c r="AI155" s="19"/>
      <c r="AJ155" s="19"/>
      <c r="AK155" s="19">
        <v>0</v>
      </c>
      <c r="AL155" s="19"/>
      <c r="AM155" s="19">
        <v>0</v>
      </c>
      <c r="AN155" s="19"/>
      <c r="AO155" s="26">
        <f t="shared" si="30"/>
        <v>0</v>
      </c>
      <c r="AP155" s="19"/>
      <c r="AQ155" s="26">
        <f t="shared" si="28"/>
        <v>0</v>
      </c>
      <c r="AR155" s="26"/>
    </row>
    <row r="156" spans="1:44">
      <c r="A156" s="9" t="s">
        <v>736</v>
      </c>
      <c r="B156" s="9"/>
      <c r="C156" s="9" t="s">
        <v>23</v>
      </c>
      <c r="D156" s="9"/>
      <c r="E156" s="23">
        <v>43877</v>
      </c>
      <c r="F156" s="19"/>
      <c r="G156" s="19">
        <v>35491288</v>
      </c>
      <c r="H156" s="19"/>
      <c r="I156" s="19">
        <v>0</v>
      </c>
      <c r="J156" s="19"/>
      <c r="K156" s="19">
        <v>22252327</v>
      </c>
      <c r="L156" s="19"/>
      <c r="M156" s="19">
        <v>112157</v>
      </c>
      <c r="N156" s="19"/>
      <c r="O156" s="19">
        <f>1521079+90891</f>
        <v>1611970</v>
      </c>
      <c r="P156" s="19"/>
      <c r="Q156" s="19">
        <v>370972</v>
      </c>
      <c r="R156" s="19"/>
      <c r="S156" s="19">
        <v>0</v>
      </c>
      <c r="T156" s="19"/>
      <c r="U156" s="19">
        <v>137710</v>
      </c>
      <c r="V156" s="19"/>
      <c r="W156" s="19">
        <f>939985+771804</f>
        <v>1711789</v>
      </c>
      <c r="X156" s="19"/>
      <c r="Y156" s="26">
        <f t="shared" si="26"/>
        <v>61688213</v>
      </c>
      <c r="Z156" s="19"/>
      <c r="AA156" s="19">
        <v>0</v>
      </c>
      <c r="AB156" s="19"/>
      <c r="AC156" s="19">
        <v>0</v>
      </c>
      <c r="AD156" s="19"/>
      <c r="AE156" s="19">
        <f>8720000+1011208</f>
        <v>9731208</v>
      </c>
      <c r="AF156" s="19"/>
      <c r="AG156" s="19"/>
      <c r="AH156" s="19"/>
      <c r="AI156" s="19"/>
      <c r="AJ156" s="19"/>
      <c r="AK156" s="19">
        <v>0</v>
      </c>
      <c r="AL156" s="19"/>
      <c r="AM156" s="19">
        <v>0</v>
      </c>
      <c r="AN156" s="19"/>
      <c r="AO156" s="26">
        <f t="shared" si="30"/>
        <v>9731208</v>
      </c>
      <c r="AP156" s="19"/>
      <c r="AQ156" s="26">
        <f t="shared" si="28"/>
        <v>71419421</v>
      </c>
      <c r="AR156" s="26"/>
    </row>
    <row r="157" spans="1:44">
      <c r="A157" s="9" t="s">
        <v>200</v>
      </c>
      <c r="B157" s="9"/>
      <c r="C157" s="9" t="s">
        <v>10</v>
      </c>
      <c r="D157" s="9"/>
      <c r="E157" s="23">
        <v>43885</v>
      </c>
      <c r="F157" s="19"/>
      <c r="G157" s="19">
        <v>4127382</v>
      </c>
      <c r="H157" s="19"/>
      <c r="I157" s="19">
        <v>0</v>
      </c>
      <c r="J157" s="19"/>
      <c r="K157" s="19">
        <v>5474911</v>
      </c>
      <c r="L157" s="19"/>
      <c r="M157" s="19">
        <v>13303</v>
      </c>
      <c r="N157" s="19"/>
      <c r="O157" s="19">
        <f>668074+239122</f>
        <v>907196</v>
      </c>
      <c r="P157" s="19"/>
      <c r="Q157" s="19">
        <v>159001</v>
      </c>
      <c r="R157" s="19"/>
      <c r="S157" s="19">
        <v>38562</v>
      </c>
      <c r="T157" s="19"/>
      <c r="U157" s="19">
        <v>112467</v>
      </c>
      <c r="V157" s="19"/>
      <c r="W157" s="19">
        <v>79589</v>
      </c>
      <c r="X157" s="19"/>
      <c r="Y157" s="26">
        <f t="shared" ref="Y157:Y158" si="31">SUM(G157:W157)</f>
        <v>10912411</v>
      </c>
      <c r="Z157" s="19"/>
      <c r="AA157" s="19">
        <v>0</v>
      </c>
      <c r="AB157" s="19"/>
      <c r="AC157" s="19">
        <v>0</v>
      </c>
      <c r="AD157" s="19"/>
      <c r="AE157" s="19">
        <v>0</v>
      </c>
      <c r="AF157" s="19"/>
      <c r="AG157" s="19"/>
      <c r="AH157" s="19"/>
      <c r="AI157" s="19"/>
      <c r="AJ157" s="19"/>
      <c r="AK157" s="19">
        <v>11680</v>
      </c>
      <c r="AL157" s="19"/>
      <c r="AM157" s="19">
        <v>0</v>
      </c>
      <c r="AN157" s="19"/>
      <c r="AO157" s="26">
        <f t="shared" si="30"/>
        <v>11680</v>
      </c>
      <c r="AP157" s="19"/>
      <c r="AQ157" s="26">
        <f t="shared" si="28"/>
        <v>10924091</v>
      </c>
      <c r="AR157" s="26"/>
    </row>
    <row r="158" spans="1:44">
      <c r="A158" s="9" t="s">
        <v>530</v>
      </c>
      <c r="B158" s="9"/>
      <c r="C158" s="9" t="s">
        <v>65</v>
      </c>
      <c r="D158" s="9"/>
      <c r="E158" s="23">
        <v>43893</v>
      </c>
      <c r="F158" s="19"/>
      <c r="G158" s="19">
        <v>11841497</v>
      </c>
      <c r="H158" s="19"/>
      <c r="I158" s="19">
        <v>0</v>
      </c>
      <c r="J158" s="19"/>
      <c r="K158" s="19">
        <v>11093822</v>
      </c>
      <c r="L158" s="19"/>
      <c r="M158" s="19">
        <v>4675</v>
      </c>
      <c r="N158" s="19"/>
      <c r="O158" s="19">
        <f>156235+357883</f>
        <v>514118</v>
      </c>
      <c r="P158" s="19"/>
      <c r="Q158" s="19">
        <v>532742</v>
      </c>
      <c r="R158" s="19"/>
      <c r="S158" s="19">
        <v>0</v>
      </c>
      <c r="T158" s="19"/>
      <c r="U158" s="19">
        <v>48732</v>
      </c>
      <c r="V158" s="19"/>
      <c r="W158" s="19">
        <v>101107</v>
      </c>
      <c r="X158" s="19"/>
      <c r="Y158" s="26">
        <f t="shared" si="31"/>
        <v>24136693</v>
      </c>
      <c r="Z158" s="19"/>
      <c r="AA158" s="19">
        <v>0</v>
      </c>
      <c r="AB158" s="19"/>
      <c r="AC158" s="19">
        <v>0</v>
      </c>
      <c r="AD158" s="19"/>
      <c r="AE158" s="19">
        <v>0</v>
      </c>
      <c r="AF158" s="19"/>
      <c r="AG158" s="19"/>
      <c r="AH158" s="19"/>
      <c r="AI158" s="19"/>
      <c r="AJ158" s="19"/>
      <c r="AK158" s="19">
        <v>0</v>
      </c>
      <c r="AL158" s="19"/>
      <c r="AM158" s="19">
        <v>0</v>
      </c>
      <c r="AN158" s="19"/>
      <c r="AO158" s="26">
        <f t="shared" si="30"/>
        <v>0</v>
      </c>
      <c r="AP158" s="19"/>
      <c r="AQ158" s="26">
        <f t="shared" si="28"/>
        <v>24136693</v>
      </c>
      <c r="AR158" s="26"/>
    </row>
    <row r="159" spans="1:44">
      <c r="A159" s="9" t="s">
        <v>300</v>
      </c>
      <c r="B159" s="9"/>
      <c r="C159" s="9" t="s">
        <v>27</v>
      </c>
      <c r="D159" s="9"/>
      <c r="E159" s="23">
        <v>47027</v>
      </c>
      <c r="F159" s="19"/>
      <c r="G159" s="19">
        <v>156045667</v>
      </c>
      <c r="H159" s="19"/>
      <c r="I159" s="19">
        <v>0</v>
      </c>
      <c r="J159" s="19"/>
      <c r="K159" s="19">
        <f>32831163+4054675</f>
        <v>36885838</v>
      </c>
      <c r="L159" s="19"/>
      <c r="M159" s="19">
        <v>287446</v>
      </c>
      <c r="N159" s="19"/>
      <c r="O159" s="19">
        <v>638974</v>
      </c>
      <c r="P159" s="19"/>
      <c r="Q159" s="19">
        <v>0</v>
      </c>
      <c r="R159" s="19"/>
      <c r="S159" s="19">
        <v>0</v>
      </c>
      <c r="T159" s="19"/>
      <c r="U159" s="19">
        <v>0</v>
      </c>
      <c r="V159" s="19"/>
      <c r="W159" s="19">
        <f>2685202+215034</f>
        <v>2900236</v>
      </c>
      <c r="X159" s="19"/>
      <c r="Y159" s="26">
        <f>SUM(G159:W159)</f>
        <v>196758161</v>
      </c>
      <c r="Z159" s="19"/>
      <c r="AA159" s="19">
        <v>444350</v>
      </c>
      <c r="AB159" s="19"/>
      <c r="AC159" s="19">
        <v>0</v>
      </c>
      <c r="AD159" s="19"/>
      <c r="AE159" s="19">
        <f>2451928+11850000</f>
        <v>14301928</v>
      </c>
      <c r="AF159" s="19"/>
      <c r="AG159" s="19"/>
      <c r="AH159" s="19"/>
      <c r="AI159" s="19"/>
      <c r="AJ159" s="19"/>
      <c r="AK159" s="19">
        <v>21782</v>
      </c>
      <c r="AL159" s="19"/>
      <c r="AM159" s="19">
        <v>0</v>
      </c>
      <c r="AN159" s="19"/>
      <c r="AO159" s="26">
        <f>SUM(AA159:AM159)</f>
        <v>14768060</v>
      </c>
      <c r="AP159" s="19"/>
      <c r="AQ159" s="26">
        <f t="shared" si="28"/>
        <v>211526221</v>
      </c>
      <c r="AR159" s="26"/>
    </row>
    <row r="160" spans="1:44">
      <c r="A160" s="9" t="s">
        <v>264</v>
      </c>
      <c r="B160" s="9"/>
      <c r="C160" s="9" t="s">
        <v>20</v>
      </c>
      <c r="D160" s="9"/>
      <c r="E160" s="23">
        <v>43901</v>
      </c>
      <c r="F160" s="19"/>
      <c r="G160" s="19">
        <v>7782495</v>
      </c>
      <c r="H160" s="19"/>
      <c r="I160" s="19">
        <v>0</v>
      </c>
      <c r="J160" s="19"/>
      <c r="K160" s="19">
        <v>41525894</v>
      </c>
      <c r="L160" s="19"/>
      <c r="M160" s="19">
        <v>173963</v>
      </c>
      <c r="N160" s="19"/>
      <c r="O160" s="19">
        <f>3316884+65307+750</f>
        <v>3382941</v>
      </c>
      <c r="P160" s="19"/>
      <c r="Q160" s="19">
        <v>38926</v>
      </c>
      <c r="R160" s="19"/>
      <c r="S160" s="19">
        <v>0</v>
      </c>
      <c r="T160" s="19"/>
      <c r="U160" s="19">
        <v>263430</v>
      </c>
      <c r="V160" s="19"/>
      <c r="W160" s="19">
        <v>583325</v>
      </c>
      <c r="X160" s="19"/>
      <c r="Y160" s="26">
        <f>SUM(G160:W160)</f>
        <v>53750974</v>
      </c>
      <c r="Z160" s="19"/>
      <c r="AA160" s="19">
        <v>180000</v>
      </c>
      <c r="AB160" s="19"/>
      <c r="AC160" s="19">
        <v>0</v>
      </c>
      <c r="AD160" s="19"/>
      <c r="AE160" s="19">
        <v>0</v>
      </c>
      <c r="AF160" s="19"/>
      <c r="AG160" s="19"/>
      <c r="AH160" s="19"/>
      <c r="AI160" s="19"/>
      <c r="AJ160" s="19"/>
      <c r="AK160" s="19">
        <v>0</v>
      </c>
      <c r="AL160" s="19"/>
      <c r="AM160" s="19">
        <v>0</v>
      </c>
      <c r="AN160" s="19"/>
      <c r="AO160" s="26">
        <f>AK160+AE160+AA160</f>
        <v>180000</v>
      </c>
      <c r="AP160" s="19"/>
      <c r="AQ160" s="26">
        <f t="shared" si="28"/>
        <v>53930974</v>
      </c>
      <c r="AR160" s="26"/>
    </row>
    <row r="161" spans="1:44">
      <c r="A161" s="9" t="s">
        <v>242</v>
      </c>
      <c r="B161" s="9"/>
      <c r="C161" s="9" t="s">
        <v>18</v>
      </c>
      <c r="D161" s="9"/>
      <c r="E161" s="23">
        <v>46409</v>
      </c>
      <c r="F161" s="19"/>
      <c r="G161" s="19">
        <v>3204374</v>
      </c>
      <c r="H161" s="19"/>
      <c r="I161" s="19">
        <v>0</v>
      </c>
      <c r="J161" s="19"/>
      <c r="K161" s="19">
        <v>9907116</v>
      </c>
      <c r="L161" s="19"/>
      <c r="M161" s="19">
        <v>46690</v>
      </c>
      <c r="N161" s="19"/>
      <c r="O161" s="19">
        <f>838850+2850</f>
        <v>841700</v>
      </c>
      <c r="P161" s="19"/>
      <c r="Q161" s="19">
        <v>85726</v>
      </c>
      <c r="R161" s="19"/>
      <c r="S161" s="19">
        <v>0</v>
      </c>
      <c r="T161" s="19"/>
      <c r="U161" s="19">
        <v>0</v>
      </c>
      <c r="V161" s="19"/>
      <c r="W161" s="19">
        <f>235082+98557</f>
        <v>333639</v>
      </c>
      <c r="X161" s="19"/>
      <c r="Y161" s="26">
        <f>SUM(G161:W161)</f>
        <v>14419245</v>
      </c>
      <c r="Z161" s="19"/>
      <c r="AA161" s="19">
        <v>0</v>
      </c>
      <c r="AB161" s="19"/>
      <c r="AC161" s="19">
        <v>0</v>
      </c>
      <c r="AD161" s="19"/>
      <c r="AE161" s="19">
        <v>0</v>
      </c>
      <c r="AF161" s="19"/>
      <c r="AG161" s="19"/>
      <c r="AH161" s="19"/>
      <c r="AI161" s="19"/>
      <c r="AJ161" s="19"/>
      <c r="AK161" s="19">
        <v>27681</v>
      </c>
      <c r="AL161" s="19"/>
      <c r="AM161" s="19">
        <v>0</v>
      </c>
      <c r="AN161" s="19"/>
      <c r="AO161" s="26">
        <f>AK161+AE161+AA161</f>
        <v>27681</v>
      </c>
      <c r="AP161" s="19"/>
      <c r="AQ161" s="26">
        <f t="shared" si="28"/>
        <v>14446926</v>
      </c>
      <c r="AR161" s="26"/>
    </row>
    <row r="162" spans="1:44">
      <c r="A162" s="9" t="s">
        <v>318</v>
      </c>
      <c r="B162" s="9"/>
      <c r="C162" s="9" t="s">
        <v>31</v>
      </c>
      <c r="D162" s="9"/>
      <c r="E162" s="23">
        <v>69682</v>
      </c>
      <c r="F162" s="19"/>
      <c r="G162" s="19">
        <v>3127643</v>
      </c>
      <c r="H162" s="19"/>
      <c r="I162" s="19">
        <v>0</v>
      </c>
      <c r="J162" s="19"/>
      <c r="K162" s="19">
        <v>7755752</v>
      </c>
      <c r="L162" s="19"/>
      <c r="M162" s="19">
        <v>8390</v>
      </c>
      <c r="N162" s="19"/>
      <c r="O162" s="19">
        <f>1026048+39034+73393</f>
        <v>1138475</v>
      </c>
      <c r="P162" s="19"/>
      <c r="Q162" s="19">
        <v>212066</v>
      </c>
      <c r="R162" s="19"/>
      <c r="S162" s="19">
        <v>0</v>
      </c>
      <c r="T162" s="19"/>
      <c r="U162" s="19">
        <v>52315</v>
      </c>
      <c r="V162" s="19"/>
      <c r="W162" s="19">
        <v>36760</v>
      </c>
      <c r="X162" s="19"/>
      <c r="Y162" s="26">
        <f t="shared" ref="Y162:Y225" si="32">SUM(G162:W162)</f>
        <v>12331401</v>
      </c>
      <c r="Z162" s="19"/>
      <c r="AA162" s="19">
        <v>246960</v>
      </c>
      <c r="AB162" s="19"/>
      <c r="AC162" s="19">
        <v>0</v>
      </c>
      <c r="AD162" s="19"/>
      <c r="AE162" s="19">
        <v>0</v>
      </c>
      <c r="AF162" s="19"/>
      <c r="AG162" s="19"/>
      <c r="AH162" s="19"/>
      <c r="AI162" s="19"/>
      <c r="AJ162" s="19"/>
      <c r="AK162" s="19">
        <f>47022+170119</f>
        <v>217141</v>
      </c>
      <c r="AL162" s="19"/>
      <c r="AM162" s="19">
        <v>0</v>
      </c>
      <c r="AN162" s="19"/>
      <c r="AO162" s="26">
        <f>SUM(AA162:AM162)</f>
        <v>464101</v>
      </c>
      <c r="AP162" s="19"/>
      <c r="AQ162" s="26">
        <f t="shared" si="28"/>
        <v>12795502</v>
      </c>
      <c r="AR162" s="26"/>
    </row>
    <row r="163" spans="1:44">
      <c r="A163" s="9" t="s">
        <v>351</v>
      </c>
      <c r="B163" s="9"/>
      <c r="C163" s="9" t="s">
        <v>36</v>
      </c>
      <c r="D163" s="9"/>
      <c r="E163" s="23">
        <v>47688</v>
      </c>
      <c r="F163" s="19"/>
      <c r="G163" s="19">
        <v>8610782</v>
      </c>
      <c r="H163" s="19"/>
      <c r="I163" s="19">
        <v>0</v>
      </c>
      <c r="J163" s="19"/>
      <c r="K163" s="19">
        <v>8774134</v>
      </c>
      <c r="L163" s="19"/>
      <c r="M163" s="19">
        <v>23102</v>
      </c>
      <c r="N163" s="19"/>
      <c r="O163" s="19">
        <f>890595+7331+371448</f>
        <v>1269374</v>
      </c>
      <c r="P163" s="19"/>
      <c r="Q163" s="19">
        <v>424619</v>
      </c>
      <c r="R163" s="19"/>
      <c r="S163" s="19">
        <v>0</v>
      </c>
      <c r="T163" s="19"/>
      <c r="U163" s="19">
        <v>29729</v>
      </c>
      <c r="V163" s="19"/>
      <c r="W163" s="19">
        <v>128349</v>
      </c>
      <c r="X163" s="19"/>
      <c r="Y163" s="26">
        <f t="shared" si="32"/>
        <v>19260089</v>
      </c>
      <c r="Z163" s="19"/>
      <c r="AA163" s="19">
        <v>75000</v>
      </c>
      <c r="AB163" s="19"/>
      <c r="AC163" s="19">
        <v>0</v>
      </c>
      <c r="AD163" s="19"/>
      <c r="AE163" s="19">
        <v>0</v>
      </c>
      <c r="AF163" s="19"/>
      <c r="AG163" s="19"/>
      <c r="AH163" s="19"/>
      <c r="AI163" s="19"/>
      <c r="AJ163" s="19"/>
      <c r="AK163" s="19">
        <v>4518</v>
      </c>
      <c r="AL163" s="19"/>
      <c r="AM163" s="19">
        <v>0</v>
      </c>
      <c r="AN163" s="19"/>
      <c r="AO163" s="26">
        <f>AK163+AE163+AA163</f>
        <v>79518</v>
      </c>
      <c r="AP163" s="19"/>
      <c r="AQ163" s="26">
        <f t="shared" si="28"/>
        <v>19339607</v>
      </c>
      <c r="AR163" s="26"/>
    </row>
    <row r="164" spans="1:44" hidden="1">
      <c r="A164" s="9" t="s">
        <v>654</v>
      </c>
      <c r="B164" s="9"/>
      <c r="C164" s="9" t="s">
        <v>40</v>
      </c>
      <c r="D164" s="9"/>
      <c r="E164" s="23">
        <v>47845</v>
      </c>
      <c r="F164" s="19"/>
      <c r="G164" s="19">
        <v>0</v>
      </c>
      <c r="H164" s="19"/>
      <c r="I164" s="19">
        <v>0</v>
      </c>
      <c r="J164" s="19"/>
      <c r="K164" s="19">
        <v>0</v>
      </c>
      <c r="L164" s="19"/>
      <c r="M164" s="19">
        <v>0</v>
      </c>
      <c r="N164" s="19"/>
      <c r="O164" s="19">
        <v>0</v>
      </c>
      <c r="P164" s="19"/>
      <c r="Q164" s="19">
        <v>0</v>
      </c>
      <c r="R164" s="19"/>
      <c r="S164" s="19">
        <v>0</v>
      </c>
      <c r="T164" s="19"/>
      <c r="U164" s="19">
        <v>0</v>
      </c>
      <c r="V164" s="19"/>
      <c r="W164" s="19">
        <v>0</v>
      </c>
      <c r="X164" s="19"/>
      <c r="Y164" s="26">
        <f t="shared" si="32"/>
        <v>0</v>
      </c>
      <c r="Z164" s="19"/>
      <c r="AA164" s="19">
        <v>0</v>
      </c>
      <c r="AB164" s="19"/>
      <c r="AC164" s="19">
        <v>0</v>
      </c>
      <c r="AD164" s="19"/>
      <c r="AE164" s="19">
        <v>0</v>
      </c>
      <c r="AF164" s="19"/>
      <c r="AG164" s="19"/>
      <c r="AH164" s="19"/>
      <c r="AI164" s="19"/>
      <c r="AJ164" s="19"/>
      <c r="AK164" s="19">
        <v>0</v>
      </c>
      <c r="AL164" s="19"/>
      <c r="AM164" s="19">
        <v>0</v>
      </c>
      <c r="AN164" s="19"/>
      <c r="AO164" s="26"/>
      <c r="AP164" s="19"/>
      <c r="AQ164" s="26">
        <f t="shared" si="28"/>
        <v>0</v>
      </c>
      <c r="AR164" s="26"/>
    </row>
    <row r="165" spans="1:44">
      <c r="A165" s="9" t="s">
        <v>246</v>
      </c>
      <c r="B165" s="9"/>
      <c r="C165" s="9" t="s">
        <v>111</v>
      </c>
      <c r="D165" s="9"/>
      <c r="E165" s="23">
        <v>43919</v>
      </c>
      <c r="F165" s="19"/>
      <c r="G165" s="19">
        <v>4023840</v>
      </c>
      <c r="H165" s="19"/>
      <c r="I165" s="19">
        <v>0</v>
      </c>
      <c r="J165" s="19"/>
      <c r="K165" s="19">
        <v>22516927</v>
      </c>
      <c r="L165" s="19"/>
      <c r="M165" s="19">
        <v>202717</v>
      </c>
      <c r="N165" s="19"/>
      <c r="O165" s="19">
        <f>825481+3035+286767</f>
        <v>1115283</v>
      </c>
      <c r="P165" s="19"/>
      <c r="Q165" s="19">
        <v>145020</v>
      </c>
      <c r="R165" s="19"/>
      <c r="S165" s="19">
        <v>0</v>
      </c>
      <c r="T165" s="19"/>
      <c r="U165" s="19">
        <v>21608</v>
      </c>
      <c r="V165" s="19"/>
      <c r="W165" s="19">
        <v>106861</v>
      </c>
      <c r="X165" s="19"/>
      <c r="Y165" s="26">
        <f t="shared" si="32"/>
        <v>28132256</v>
      </c>
      <c r="Z165" s="19"/>
      <c r="AA165" s="19">
        <v>481449</v>
      </c>
      <c r="AB165" s="19"/>
      <c r="AC165" s="19">
        <v>0</v>
      </c>
      <c r="AD165" s="19"/>
      <c r="AE165" s="19">
        <v>0</v>
      </c>
      <c r="AF165" s="19"/>
      <c r="AG165" s="19"/>
      <c r="AH165" s="19"/>
      <c r="AI165" s="19"/>
      <c r="AJ165" s="19"/>
      <c r="AK165" s="19">
        <v>210</v>
      </c>
      <c r="AL165" s="19"/>
      <c r="AM165" s="19">
        <v>0</v>
      </c>
      <c r="AN165" s="19"/>
      <c r="AO165" s="26">
        <f t="shared" ref="AO165:AO171" si="33">AK165+AE165+AA165</f>
        <v>481659</v>
      </c>
      <c r="AP165" s="19"/>
      <c r="AQ165" s="26">
        <f t="shared" si="28"/>
        <v>28613915</v>
      </c>
      <c r="AR165" s="26"/>
    </row>
    <row r="166" spans="1:44">
      <c r="A166" s="9" t="s">
        <v>440</v>
      </c>
      <c r="B166" s="9"/>
      <c r="C166" s="9" t="s">
        <v>51</v>
      </c>
      <c r="D166" s="9"/>
      <c r="E166" s="23">
        <v>48835</v>
      </c>
      <c r="F166" s="19"/>
      <c r="G166" s="19">
        <v>6780183</v>
      </c>
      <c r="H166" s="19"/>
      <c r="I166" s="19">
        <v>0</v>
      </c>
      <c r="J166" s="19"/>
      <c r="K166" s="19">
        <v>11407082</v>
      </c>
      <c r="L166" s="19"/>
      <c r="M166" s="19">
        <v>50079</v>
      </c>
      <c r="N166" s="19"/>
      <c r="O166" s="19">
        <f>1404626+9147+490294</f>
        <v>1904067</v>
      </c>
      <c r="P166" s="19"/>
      <c r="Q166" s="19">
        <v>188174</v>
      </c>
      <c r="R166" s="19"/>
      <c r="S166" s="19">
        <v>16620</v>
      </c>
      <c r="T166" s="19"/>
      <c r="U166" s="19">
        <v>82584</v>
      </c>
      <c r="V166" s="19"/>
      <c r="W166" s="19">
        <v>140553</v>
      </c>
      <c r="X166" s="19"/>
      <c r="Y166" s="26">
        <f t="shared" si="32"/>
        <v>20569342</v>
      </c>
      <c r="Z166" s="19"/>
      <c r="AA166" s="19">
        <v>0</v>
      </c>
      <c r="AB166" s="19"/>
      <c r="AC166" s="19">
        <v>0</v>
      </c>
      <c r="AD166" s="19"/>
      <c r="AE166" s="19">
        <v>0</v>
      </c>
      <c r="AF166" s="19"/>
      <c r="AG166" s="19"/>
      <c r="AH166" s="19"/>
      <c r="AI166" s="19"/>
      <c r="AJ166" s="19"/>
      <c r="AK166" s="19">
        <v>163016</v>
      </c>
      <c r="AL166" s="19"/>
      <c r="AM166" s="19">
        <v>0</v>
      </c>
      <c r="AN166" s="19"/>
      <c r="AO166" s="26">
        <f t="shared" si="33"/>
        <v>163016</v>
      </c>
      <c r="AP166" s="19"/>
      <c r="AQ166" s="26">
        <f t="shared" si="28"/>
        <v>20732358</v>
      </c>
      <c r="AR166" s="26"/>
    </row>
    <row r="167" spans="1:44">
      <c r="A167" s="9" t="s">
        <v>247</v>
      </c>
      <c r="B167" s="9"/>
      <c r="C167" s="9" t="s">
        <v>111</v>
      </c>
      <c r="D167" s="9"/>
      <c r="E167" s="23">
        <v>43927</v>
      </c>
      <c r="F167" s="19"/>
      <c r="G167" s="19">
        <v>2793565</v>
      </c>
      <c r="H167" s="19"/>
      <c r="I167" s="19">
        <v>0</v>
      </c>
      <c r="J167" s="19"/>
      <c r="K167" s="19">
        <v>8450833</v>
      </c>
      <c r="L167" s="19"/>
      <c r="M167" s="19">
        <v>3472</v>
      </c>
      <c r="N167" s="19"/>
      <c r="O167" s="19">
        <f>298731+324929+393</f>
        <v>624053</v>
      </c>
      <c r="P167" s="19"/>
      <c r="Q167" s="19">
        <v>161109</v>
      </c>
      <c r="R167" s="19"/>
      <c r="S167" s="19">
        <v>0</v>
      </c>
      <c r="T167" s="19"/>
      <c r="U167" s="19">
        <v>10587</v>
      </c>
      <c r="V167" s="19"/>
      <c r="W167" s="19">
        <v>55833</v>
      </c>
      <c r="X167" s="19"/>
      <c r="Y167" s="26">
        <f t="shared" si="32"/>
        <v>12099452</v>
      </c>
      <c r="Z167" s="19"/>
      <c r="AA167" s="19">
        <v>0</v>
      </c>
      <c r="AB167" s="19"/>
      <c r="AC167" s="19">
        <v>0</v>
      </c>
      <c r="AD167" s="19"/>
      <c r="AE167" s="19">
        <v>0</v>
      </c>
      <c r="AF167" s="19"/>
      <c r="AG167" s="19"/>
      <c r="AH167" s="19"/>
      <c r="AI167" s="19"/>
      <c r="AJ167" s="19"/>
      <c r="AK167" s="19">
        <v>0</v>
      </c>
      <c r="AL167" s="19"/>
      <c r="AM167" s="19">
        <v>0</v>
      </c>
      <c r="AN167" s="19"/>
      <c r="AO167" s="26">
        <f t="shared" si="33"/>
        <v>0</v>
      </c>
      <c r="AP167" s="19"/>
      <c r="AQ167" s="26">
        <f t="shared" si="28"/>
        <v>12099452</v>
      </c>
      <c r="AR167" s="26"/>
    </row>
    <row r="168" spans="1:44">
      <c r="A168" s="9" t="s">
        <v>217</v>
      </c>
      <c r="B168" s="9"/>
      <c r="C168" s="9" t="s">
        <v>77</v>
      </c>
      <c r="D168" s="9"/>
      <c r="E168" s="23">
        <v>46037</v>
      </c>
      <c r="F168" s="19"/>
      <c r="G168" s="19">
        <v>4513098</v>
      </c>
      <c r="H168" s="19"/>
      <c r="I168" s="19">
        <v>0</v>
      </c>
      <c r="J168" s="19"/>
      <c r="K168" s="19">
        <v>9281706</v>
      </c>
      <c r="L168" s="19"/>
      <c r="M168" s="19">
        <v>9078</v>
      </c>
      <c r="N168" s="19"/>
      <c r="O168" s="19">
        <f>768842+14637+240429</f>
        <v>1023908</v>
      </c>
      <c r="P168" s="19"/>
      <c r="Q168" s="19">
        <v>96610</v>
      </c>
      <c r="R168" s="19"/>
      <c r="S168" s="19">
        <v>78345</v>
      </c>
      <c r="T168" s="19"/>
      <c r="U168" s="19">
        <v>26431</v>
      </c>
      <c r="V168" s="19"/>
      <c r="W168" s="19">
        <v>85921</v>
      </c>
      <c r="X168" s="19"/>
      <c r="Y168" s="26">
        <f t="shared" si="32"/>
        <v>15115097</v>
      </c>
      <c r="Z168" s="19"/>
      <c r="AA168" s="19">
        <v>0</v>
      </c>
      <c r="AB168" s="19"/>
      <c r="AC168" s="19">
        <v>0</v>
      </c>
      <c r="AD168" s="19"/>
      <c r="AE168" s="19">
        <v>0</v>
      </c>
      <c r="AF168" s="19"/>
      <c r="AG168" s="19"/>
      <c r="AH168" s="19"/>
      <c r="AI168" s="19"/>
      <c r="AJ168" s="19"/>
      <c r="AK168" s="19">
        <f>8475+67640</f>
        <v>76115</v>
      </c>
      <c r="AL168" s="19"/>
      <c r="AM168" s="19">
        <v>0</v>
      </c>
      <c r="AN168" s="19"/>
      <c r="AO168" s="26">
        <f t="shared" si="33"/>
        <v>76115</v>
      </c>
      <c r="AP168" s="19"/>
      <c r="AQ168" s="26">
        <f t="shared" si="28"/>
        <v>15191212</v>
      </c>
      <c r="AR168" s="26"/>
    </row>
    <row r="169" spans="1:44">
      <c r="A169" s="9" t="s">
        <v>217</v>
      </c>
      <c r="B169" s="9"/>
      <c r="C169" s="9" t="s">
        <v>417</v>
      </c>
      <c r="D169" s="9"/>
      <c r="E169" s="23">
        <v>48512</v>
      </c>
      <c r="F169" s="19"/>
      <c r="G169" s="19">
        <v>1340720</v>
      </c>
      <c r="H169" s="19"/>
      <c r="I169" s="19">
        <v>0</v>
      </c>
      <c r="J169" s="19"/>
      <c r="K169" s="19">
        <v>6469459</v>
      </c>
      <c r="L169" s="19"/>
      <c r="M169" s="19">
        <v>6974</v>
      </c>
      <c r="N169" s="19"/>
      <c r="O169" s="19">
        <f>645664+27757+123331</f>
        <v>796752</v>
      </c>
      <c r="P169" s="19"/>
      <c r="Q169" s="19">
        <v>60878</v>
      </c>
      <c r="R169" s="19"/>
      <c r="S169" s="19">
        <v>0</v>
      </c>
      <c r="T169" s="19"/>
      <c r="U169" s="19">
        <v>31189</v>
      </c>
      <c r="V169" s="19"/>
      <c r="W169" s="19">
        <v>48768</v>
      </c>
      <c r="X169" s="19"/>
      <c r="Y169" s="26">
        <f t="shared" si="32"/>
        <v>8754740</v>
      </c>
      <c r="Z169" s="19"/>
      <c r="AA169" s="19">
        <v>50000</v>
      </c>
      <c r="AB169" s="19"/>
      <c r="AC169" s="19">
        <v>0</v>
      </c>
      <c r="AD169" s="19"/>
      <c r="AE169" s="19">
        <v>0</v>
      </c>
      <c r="AF169" s="19"/>
      <c r="AG169" s="19"/>
      <c r="AH169" s="19"/>
      <c r="AI169" s="19"/>
      <c r="AJ169" s="19"/>
      <c r="AK169" s="19">
        <v>201</v>
      </c>
      <c r="AL169" s="19"/>
      <c r="AM169" s="19">
        <v>0</v>
      </c>
      <c r="AN169" s="19"/>
      <c r="AO169" s="26">
        <f t="shared" si="33"/>
        <v>50201</v>
      </c>
      <c r="AP169" s="19"/>
      <c r="AQ169" s="26">
        <f t="shared" si="28"/>
        <v>8804941</v>
      </c>
      <c r="AR169" s="26"/>
    </row>
    <row r="170" spans="1:44" hidden="1">
      <c r="A170" s="9" t="s">
        <v>655</v>
      </c>
      <c r="B170" s="9"/>
      <c r="C170" s="9" t="s">
        <v>55</v>
      </c>
      <c r="D170" s="9"/>
      <c r="E170" s="23">
        <v>49122</v>
      </c>
      <c r="F170" s="19"/>
      <c r="G170" s="19">
        <v>0</v>
      </c>
      <c r="H170" s="19"/>
      <c r="I170" s="19">
        <v>0</v>
      </c>
      <c r="J170" s="19"/>
      <c r="K170" s="19">
        <v>0</v>
      </c>
      <c r="L170" s="19"/>
      <c r="M170" s="19">
        <v>0</v>
      </c>
      <c r="N170" s="19"/>
      <c r="O170" s="19">
        <v>0</v>
      </c>
      <c r="P170" s="19"/>
      <c r="Q170" s="19">
        <v>0</v>
      </c>
      <c r="R170" s="19"/>
      <c r="S170" s="19">
        <v>0</v>
      </c>
      <c r="T170" s="19"/>
      <c r="U170" s="19">
        <v>0</v>
      </c>
      <c r="V170" s="19"/>
      <c r="W170" s="19">
        <v>0</v>
      </c>
      <c r="X170" s="19"/>
      <c r="Y170" s="26">
        <f t="shared" si="32"/>
        <v>0</v>
      </c>
      <c r="Z170" s="19"/>
      <c r="AA170" s="19">
        <v>0</v>
      </c>
      <c r="AB170" s="19"/>
      <c r="AC170" s="19">
        <v>0</v>
      </c>
      <c r="AD170" s="19"/>
      <c r="AE170" s="19">
        <v>0</v>
      </c>
      <c r="AF170" s="19"/>
      <c r="AG170" s="19"/>
      <c r="AH170" s="19"/>
      <c r="AI170" s="19"/>
      <c r="AJ170" s="19"/>
      <c r="AK170" s="19">
        <v>0</v>
      </c>
      <c r="AL170" s="19"/>
      <c r="AM170" s="19">
        <v>0</v>
      </c>
      <c r="AN170" s="19"/>
      <c r="AO170" s="26">
        <f t="shared" si="33"/>
        <v>0</v>
      </c>
      <c r="AP170" s="19"/>
      <c r="AQ170" s="26">
        <f t="shared" si="28"/>
        <v>0</v>
      </c>
      <c r="AR170" s="26"/>
    </row>
    <row r="171" spans="1:44">
      <c r="A171" s="9" t="s">
        <v>550</v>
      </c>
      <c r="B171" s="9"/>
      <c r="C171" s="9" t="s">
        <v>72</v>
      </c>
      <c r="D171" s="9"/>
      <c r="E171" s="23">
        <v>50674</v>
      </c>
      <c r="F171" s="19"/>
      <c r="G171" s="19">
        <v>5676804</v>
      </c>
      <c r="H171" s="19"/>
      <c r="I171" s="19">
        <v>1902605</v>
      </c>
      <c r="J171" s="19"/>
      <c r="K171" s="19">
        <v>7591962</v>
      </c>
      <c r="L171" s="19"/>
      <c r="M171" s="19">
        <v>47306</v>
      </c>
      <c r="N171" s="19"/>
      <c r="O171" s="19">
        <f>440142+426568+10500</f>
        <v>877210</v>
      </c>
      <c r="P171" s="19"/>
      <c r="Q171" s="19">
        <v>346740</v>
      </c>
      <c r="R171" s="19"/>
      <c r="S171" s="19">
        <v>480000</v>
      </c>
      <c r="T171" s="19"/>
      <c r="U171" s="19">
        <v>40000</v>
      </c>
      <c r="V171" s="19"/>
      <c r="W171" s="19">
        <v>13872</v>
      </c>
      <c r="X171" s="19"/>
      <c r="Y171" s="26">
        <f t="shared" si="32"/>
        <v>16976499</v>
      </c>
      <c r="Z171" s="19"/>
      <c r="AA171" s="19">
        <v>4681</v>
      </c>
      <c r="AB171" s="19"/>
      <c r="AC171" s="19">
        <v>0</v>
      </c>
      <c r="AD171" s="19"/>
      <c r="AE171" s="19">
        <v>0</v>
      </c>
      <c r="AF171" s="19"/>
      <c r="AG171" s="19"/>
      <c r="AH171" s="19"/>
      <c r="AI171" s="19"/>
      <c r="AJ171" s="19"/>
      <c r="AK171" s="19">
        <v>0</v>
      </c>
      <c r="AL171" s="19"/>
      <c r="AM171" s="19">
        <v>0</v>
      </c>
      <c r="AN171" s="19"/>
      <c r="AO171" s="26">
        <f t="shared" si="33"/>
        <v>4681</v>
      </c>
      <c r="AP171" s="19"/>
      <c r="AQ171" s="26">
        <f t="shared" si="28"/>
        <v>16981180</v>
      </c>
      <c r="AR171" s="26"/>
    </row>
    <row r="172" spans="1:44" hidden="1">
      <c r="A172" s="8" t="s">
        <v>858</v>
      </c>
      <c r="B172" s="9"/>
      <c r="C172" s="9" t="s">
        <v>57</v>
      </c>
      <c r="D172" s="9"/>
      <c r="E172" s="23">
        <v>43935</v>
      </c>
      <c r="F172" s="19"/>
      <c r="G172" s="19">
        <v>0</v>
      </c>
      <c r="H172" s="19"/>
      <c r="I172" s="19">
        <v>0</v>
      </c>
      <c r="J172" s="19"/>
      <c r="K172" s="19">
        <v>0</v>
      </c>
      <c r="L172" s="19"/>
      <c r="M172" s="19">
        <v>0</v>
      </c>
      <c r="N172" s="19"/>
      <c r="O172" s="19">
        <v>0</v>
      </c>
      <c r="P172" s="19"/>
      <c r="Q172" s="19">
        <v>0</v>
      </c>
      <c r="R172" s="19"/>
      <c r="S172" s="19">
        <v>0</v>
      </c>
      <c r="T172" s="19"/>
      <c r="U172" s="19">
        <v>0</v>
      </c>
      <c r="V172" s="19"/>
      <c r="W172" s="19">
        <v>0</v>
      </c>
      <c r="X172" s="19"/>
      <c r="Y172" s="26">
        <f t="shared" si="32"/>
        <v>0</v>
      </c>
      <c r="Z172" s="19"/>
      <c r="AA172" s="19">
        <v>0</v>
      </c>
      <c r="AB172" s="19"/>
      <c r="AC172" s="19">
        <v>0</v>
      </c>
      <c r="AD172" s="19"/>
      <c r="AE172" s="19">
        <v>0</v>
      </c>
      <c r="AF172" s="19"/>
      <c r="AG172" s="19"/>
      <c r="AH172" s="19"/>
      <c r="AI172" s="19"/>
      <c r="AJ172" s="19"/>
      <c r="AK172" s="19">
        <v>0</v>
      </c>
      <c r="AL172" s="19"/>
      <c r="AM172" s="19">
        <v>0</v>
      </c>
      <c r="AN172" s="19"/>
      <c r="AO172" s="26">
        <f>SUM(AA172:AM172)</f>
        <v>0</v>
      </c>
      <c r="AP172" s="19"/>
      <c r="AQ172" s="26">
        <f t="shared" si="28"/>
        <v>0</v>
      </c>
      <c r="AR172" s="26"/>
    </row>
    <row r="173" spans="1:44" hidden="1">
      <c r="A173" s="9" t="s">
        <v>656</v>
      </c>
      <c r="B173" s="9"/>
      <c r="C173" s="9" t="s">
        <v>548</v>
      </c>
      <c r="D173" s="9"/>
      <c r="E173" s="23">
        <v>50617</v>
      </c>
      <c r="F173" s="19"/>
      <c r="G173" s="19">
        <v>0</v>
      </c>
      <c r="H173" s="19"/>
      <c r="I173" s="19">
        <v>0</v>
      </c>
      <c r="J173" s="19"/>
      <c r="K173" s="19">
        <v>0</v>
      </c>
      <c r="L173" s="19"/>
      <c r="M173" s="19">
        <v>0</v>
      </c>
      <c r="N173" s="19"/>
      <c r="O173" s="19">
        <v>0</v>
      </c>
      <c r="P173" s="19"/>
      <c r="Q173" s="19">
        <v>0</v>
      </c>
      <c r="R173" s="19"/>
      <c r="S173" s="19">
        <v>0</v>
      </c>
      <c r="T173" s="19"/>
      <c r="U173" s="19">
        <v>0</v>
      </c>
      <c r="V173" s="19"/>
      <c r="W173" s="19">
        <v>0</v>
      </c>
      <c r="X173" s="19"/>
      <c r="Y173" s="26">
        <f t="shared" si="32"/>
        <v>0</v>
      </c>
      <c r="Z173" s="19"/>
      <c r="AA173" s="19">
        <v>0</v>
      </c>
      <c r="AB173" s="19"/>
      <c r="AC173" s="19">
        <v>0</v>
      </c>
      <c r="AD173" s="19"/>
      <c r="AE173" s="19">
        <v>0</v>
      </c>
      <c r="AF173" s="19"/>
      <c r="AG173" s="19"/>
      <c r="AH173" s="19"/>
      <c r="AI173" s="19"/>
      <c r="AJ173" s="19"/>
      <c r="AK173" s="19">
        <v>0</v>
      </c>
      <c r="AL173" s="19"/>
      <c r="AM173" s="19">
        <v>0</v>
      </c>
      <c r="AN173" s="19"/>
      <c r="AO173" s="26">
        <f>AK173+AE173+AA173</f>
        <v>0</v>
      </c>
      <c r="AP173" s="19"/>
      <c r="AQ173" s="26">
        <f t="shared" si="28"/>
        <v>0</v>
      </c>
      <c r="AR173" s="26"/>
    </row>
    <row r="174" spans="1:44">
      <c r="A174" s="9" t="s">
        <v>657</v>
      </c>
      <c r="B174" s="9"/>
      <c r="C174" s="9" t="s">
        <v>220</v>
      </c>
      <c r="D174" s="9"/>
      <c r="E174" s="23">
        <v>46094</v>
      </c>
      <c r="F174" s="19"/>
      <c r="G174" s="19">
        <v>18448997</v>
      </c>
      <c r="H174" s="19"/>
      <c r="I174" s="19">
        <v>0</v>
      </c>
      <c r="J174" s="19"/>
      <c r="K174" s="19">
        <f>17060295+2658260</f>
        <v>19718555</v>
      </c>
      <c r="L174" s="19"/>
      <c r="M174" s="19">
        <f>15324-11890</f>
        <v>3434</v>
      </c>
      <c r="N174" s="19"/>
      <c r="O174" s="19">
        <f>686120+6766+749868+251732+4083</f>
        <v>1698569</v>
      </c>
      <c r="P174" s="19"/>
      <c r="Q174" s="19">
        <v>553755</v>
      </c>
      <c r="R174" s="19"/>
      <c r="S174" s="19">
        <v>0</v>
      </c>
      <c r="T174" s="19"/>
      <c r="U174" s="19">
        <v>93729</v>
      </c>
      <c r="V174" s="19"/>
      <c r="W174" s="19">
        <f>253733+13963</f>
        <v>267696</v>
      </c>
      <c r="X174" s="19"/>
      <c r="Y174" s="26">
        <f t="shared" si="32"/>
        <v>40784735</v>
      </c>
      <c r="Z174" s="19"/>
      <c r="AA174" s="19">
        <v>2475825</v>
      </c>
      <c r="AB174" s="19"/>
      <c r="AC174" s="19">
        <v>0</v>
      </c>
      <c r="AD174" s="19"/>
      <c r="AE174" s="19">
        <v>0</v>
      </c>
      <c r="AF174" s="19"/>
      <c r="AG174" s="19"/>
      <c r="AH174" s="19"/>
      <c r="AI174" s="19"/>
      <c r="AJ174" s="19"/>
      <c r="AK174" s="19">
        <f>10520+213700</f>
        <v>224220</v>
      </c>
      <c r="AL174" s="19"/>
      <c r="AM174" s="19">
        <v>0</v>
      </c>
      <c r="AN174" s="19"/>
      <c r="AO174" s="26">
        <f>AK174+AE174+AA174</f>
        <v>2700045</v>
      </c>
      <c r="AP174" s="19"/>
      <c r="AQ174" s="26">
        <f t="shared" si="28"/>
        <v>43484780</v>
      </c>
      <c r="AR174" s="26"/>
    </row>
    <row r="175" spans="1:44">
      <c r="A175" s="9" t="s">
        <v>360</v>
      </c>
      <c r="B175" s="9"/>
      <c r="C175" s="9" t="s">
        <v>24</v>
      </c>
      <c r="D175" s="9"/>
      <c r="E175" s="23">
        <v>46789</v>
      </c>
      <c r="F175" s="19"/>
      <c r="G175" s="19">
        <v>6195118</v>
      </c>
      <c r="H175" s="19"/>
      <c r="I175" s="19">
        <v>0</v>
      </c>
      <c r="J175" s="19"/>
      <c r="K175" s="19">
        <f>13131+7252810+903163</f>
        <v>8169104</v>
      </c>
      <c r="L175" s="19"/>
      <c r="M175" s="19">
        <v>12772</v>
      </c>
      <c r="N175" s="19"/>
      <c r="O175" s="19">
        <f>732946+301172+40794+711</f>
        <v>1075623</v>
      </c>
      <c r="P175" s="19"/>
      <c r="Q175" s="19">
        <v>375984</v>
      </c>
      <c r="R175" s="19"/>
      <c r="S175" s="19">
        <v>0</v>
      </c>
      <c r="T175" s="19"/>
      <c r="U175" s="19">
        <v>4347</v>
      </c>
      <c r="V175" s="19"/>
      <c r="W175" s="19">
        <v>39246</v>
      </c>
      <c r="X175" s="19"/>
      <c r="Y175" s="26">
        <f t="shared" ref="Y175" si="34">SUM(G175:W175)</f>
        <v>15872194</v>
      </c>
      <c r="Z175" s="19"/>
      <c r="AA175" s="19">
        <v>0</v>
      </c>
      <c r="AB175" s="19"/>
      <c r="AC175" s="19">
        <v>0</v>
      </c>
      <c r="AD175" s="19"/>
      <c r="AE175" s="19">
        <v>0</v>
      </c>
      <c r="AF175" s="19"/>
      <c r="AG175" s="19"/>
      <c r="AH175" s="19"/>
      <c r="AI175" s="19"/>
      <c r="AJ175" s="19"/>
      <c r="AK175" s="19">
        <v>0</v>
      </c>
      <c r="AL175" s="19"/>
      <c r="AM175" s="19">
        <v>0</v>
      </c>
      <c r="AN175" s="19"/>
      <c r="AO175" s="26">
        <f>AK175+AE175+AA175</f>
        <v>0</v>
      </c>
      <c r="AP175" s="19"/>
      <c r="AQ175" s="26">
        <f t="shared" ref="AQ175" si="35">Y175+AO175</f>
        <v>15872194</v>
      </c>
      <c r="AR175" s="26"/>
    </row>
    <row r="176" spans="1:44">
      <c r="A176" s="9" t="s">
        <v>360</v>
      </c>
      <c r="B176" s="9"/>
      <c r="C176" s="9" t="s">
        <v>39</v>
      </c>
      <c r="D176" s="9"/>
      <c r="E176" s="23">
        <v>47795</v>
      </c>
      <c r="F176" s="19"/>
      <c r="G176" s="19">
        <v>7804949</v>
      </c>
      <c r="H176" s="19"/>
      <c r="I176" s="19">
        <v>0</v>
      </c>
      <c r="J176" s="19"/>
      <c r="K176" s="19">
        <f>9178623+1683200</f>
        <v>10861823</v>
      </c>
      <c r="L176" s="19"/>
      <c r="M176" s="19">
        <v>250</v>
      </c>
      <c r="N176" s="19"/>
      <c r="O176" s="19">
        <f>755518+9914+247089+138345+205</f>
        <v>1151071</v>
      </c>
      <c r="P176" s="19"/>
      <c r="Q176" s="19">
        <v>96930</v>
      </c>
      <c r="R176" s="19"/>
      <c r="S176" s="19">
        <v>0</v>
      </c>
      <c r="T176" s="19"/>
      <c r="U176" s="19">
        <v>316135</v>
      </c>
      <c r="V176" s="19"/>
      <c r="W176" s="19">
        <f>954+435297+39348</f>
        <v>475599</v>
      </c>
      <c r="X176" s="19"/>
      <c r="Y176" s="26">
        <f t="shared" si="32"/>
        <v>20706757</v>
      </c>
      <c r="Z176" s="19"/>
      <c r="AA176" s="19">
        <v>0</v>
      </c>
      <c r="AB176" s="19"/>
      <c r="AC176" s="19">
        <v>0</v>
      </c>
      <c r="AD176" s="19"/>
      <c r="AE176" s="19">
        <v>0</v>
      </c>
      <c r="AF176" s="19"/>
      <c r="AG176" s="19"/>
      <c r="AH176" s="19"/>
      <c r="AI176" s="19"/>
      <c r="AJ176" s="19"/>
      <c r="AK176" s="19">
        <v>112947</v>
      </c>
      <c r="AL176" s="19"/>
      <c r="AM176" s="19">
        <v>0</v>
      </c>
      <c r="AN176" s="19"/>
      <c r="AO176" s="26">
        <f>AK176+AE176+AA176</f>
        <v>112947</v>
      </c>
      <c r="AP176" s="19"/>
      <c r="AQ176" s="26">
        <f t="shared" si="28"/>
        <v>20819704</v>
      </c>
      <c r="AR176" s="26"/>
    </row>
    <row r="177" spans="1:44" hidden="1">
      <c r="A177" s="9" t="s">
        <v>859</v>
      </c>
      <c r="B177" s="9"/>
      <c r="C177" s="9" t="s">
        <v>548</v>
      </c>
      <c r="D177" s="9"/>
      <c r="E177" s="23">
        <v>50625</v>
      </c>
      <c r="F177" s="19"/>
      <c r="G177" s="19">
        <v>0</v>
      </c>
      <c r="H177" s="19"/>
      <c r="I177" s="19">
        <v>0</v>
      </c>
      <c r="J177" s="19"/>
      <c r="K177" s="19">
        <v>0</v>
      </c>
      <c r="L177" s="19"/>
      <c r="M177" s="19">
        <v>0</v>
      </c>
      <c r="N177" s="19"/>
      <c r="O177" s="19">
        <v>0</v>
      </c>
      <c r="P177" s="19"/>
      <c r="Q177" s="19">
        <v>0</v>
      </c>
      <c r="R177" s="19"/>
      <c r="S177" s="19">
        <v>0</v>
      </c>
      <c r="T177" s="19"/>
      <c r="U177" s="19">
        <v>0</v>
      </c>
      <c r="V177" s="19"/>
      <c r="W177" s="19">
        <v>0</v>
      </c>
      <c r="X177" s="19"/>
      <c r="Y177" s="26">
        <f t="shared" si="32"/>
        <v>0</v>
      </c>
      <c r="Z177" s="19"/>
      <c r="AA177" s="19">
        <v>0</v>
      </c>
      <c r="AB177" s="19"/>
      <c r="AC177" s="19">
        <v>0</v>
      </c>
      <c r="AD177" s="19"/>
      <c r="AE177" s="19">
        <v>0</v>
      </c>
      <c r="AF177" s="19"/>
      <c r="AG177" s="19"/>
      <c r="AH177" s="19"/>
      <c r="AI177" s="19"/>
      <c r="AJ177" s="19"/>
      <c r="AK177" s="19">
        <v>0</v>
      </c>
      <c r="AL177" s="19"/>
      <c r="AM177" s="19">
        <v>0</v>
      </c>
      <c r="AN177" s="19"/>
      <c r="AO177" s="26">
        <f>AK177+AE177+AA177</f>
        <v>0</v>
      </c>
      <c r="AP177" s="19"/>
      <c r="AQ177" s="26">
        <f t="shared" si="28"/>
        <v>0</v>
      </c>
      <c r="AR177" s="26"/>
    </row>
    <row r="178" spans="1:44">
      <c r="A178" s="9" t="s">
        <v>672</v>
      </c>
      <c r="B178" s="9"/>
      <c r="C178" s="9" t="s">
        <v>46</v>
      </c>
      <c r="D178" s="9"/>
      <c r="E178" s="23">
        <v>48413</v>
      </c>
      <c r="F178" s="19"/>
      <c r="G178" s="19">
        <v>4429752</v>
      </c>
      <c r="H178" s="19"/>
      <c r="I178" s="19">
        <v>990544</v>
      </c>
      <c r="J178" s="19"/>
      <c r="K178" s="19">
        <v>11904272</v>
      </c>
      <c r="L178" s="19"/>
      <c r="M178" s="19">
        <v>60577</v>
      </c>
      <c r="N178" s="19"/>
      <c r="O178" s="19">
        <f>1029257+226010</f>
        <v>1255267</v>
      </c>
      <c r="P178" s="19"/>
      <c r="Q178" s="19">
        <v>123260</v>
      </c>
      <c r="R178" s="19"/>
      <c r="S178" s="19">
        <v>28000</v>
      </c>
      <c r="T178" s="19"/>
      <c r="U178" s="19">
        <v>20983</v>
      </c>
      <c r="V178" s="19"/>
      <c r="W178" s="19">
        <v>210864</v>
      </c>
      <c r="X178" s="19"/>
      <c r="Y178" s="26">
        <f t="shared" ref="Y178" si="36">SUM(G178:W178)</f>
        <v>19023519</v>
      </c>
      <c r="Z178" s="19"/>
      <c r="AA178" s="19">
        <v>434302</v>
      </c>
      <c r="AB178" s="19"/>
      <c r="AC178" s="19">
        <v>0</v>
      </c>
      <c r="AD178" s="19"/>
      <c r="AE178" s="19">
        <v>0</v>
      </c>
      <c r="AF178" s="19"/>
      <c r="AG178" s="19"/>
      <c r="AH178" s="19"/>
      <c r="AI178" s="19"/>
      <c r="AJ178" s="19"/>
      <c r="AK178" s="19">
        <v>42144</v>
      </c>
      <c r="AL178" s="19"/>
      <c r="AM178" s="19">
        <v>0</v>
      </c>
      <c r="AN178" s="19"/>
      <c r="AO178" s="26">
        <f>SUM(AA178:AM178)</f>
        <v>476446</v>
      </c>
      <c r="AP178" s="19"/>
      <c r="AQ178" s="26">
        <f t="shared" ref="AQ178" si="37">Y178+AO178</f>
        <v>19499965</v>
      </c>
      <c r="AR178" s="26"/>
    </row>
    <row r="179" spans="1:44" hidden="1">
      <c r="A179" s="9" t="s">
        <v>658</v>
      </c>
      <c r="B179" s="9"/>
      <c r="C179" s="9" t="s">
        <v>10</v>
      </c>
      <c r="D179" s="9"/>
      <c r="E179" s="23">
        <v>45773</v>
      </c>
      <c r="F179" s="19"/>
      <c r="G179" s="19">
        <v>0</v>
      </c>
      <c r="H179" s="19"/>
      <c r="I179" s="19">
        <v>0</v>
      </c>
      <c r="J179" s="19"/>
      <c r="K179" s="19">
        <v>0</v>
      </c>
      <c r="L179" s="19"/>
      <c r="M179" s="19">
        <v>0</v>
      </c>
      <c r="N179" s="19"/>
      <c r="O179" s="19">
        <v>0</v>
      </c>
      <c r="P179" s="19"/>
      <c r="Q179" s="19">
        <v>0</v>
      </c>
      <c r="R179" s="19"/>
      <c r="S179" s="19">
        <v>0</v>
      </c>
      <c r="T179" s="19"/>
      <c r="U179" s="19">
        <v>0</v>
      </c>
      <c r="V179" s="19"/>
      <c r="W179" s="19">
        <v>0</v>
      </c>
      <c r="X179" s="19"/>
      <c r="Y179" s="26">
        <f t="shared" si="32"/>
        <v>0</v>
      </c>
      <c r="Z179" s="19"/>
      <c r="AA179" s="19">
        <v>0</v>
      </c>
      <c r="AB179" s="19"/>
      <c r="AC179" s="19">
        <v>0</v>
      </c>
      <c r="AD179" s="19"/>
      <c r="AE179" s="19">
        <v>0</v>
      </c>
      <c r="AF179" s="19"/>
      <c r="AG179" s="19"/>
      <c r="AH179" s="19"/>
      <c r="AI179" s="19"/>
      <c r="AJ179" s="19"/>
      <c r="AK179" s="19">
        <v>0</v>
      </c>
      <c r="AL179" s="19"/>
      <c r="AM179" s="19">
        <v>0</v>
      </c>
      <c r="AN179" s="19"/>
      <c r="AO179" s="26"/>
      <c r="AP179" s="19"/>
      <c r="AQ179" s="26">
        <f t="shared" si="28"/>
        <v>0</v>
      </c>
      <c r="AR179" s="26"/>
    </row>
    <row r="180" spans="1:44" hidden="1">
      <c r="A180" s="9" t="s">
        <v>687</v>
      </c>
      <c r="B180" s="9"/>
      <c r="C180" s="9" t="s">
        <v>72</v>
      </c>
      <c r="D180" s="9"/>
      <c r="E180" s="23">
        <v>50682</v>
      </c>
      <c r="F180" s="19"/>
      <c r="G180" s="19">
        <v>0</v>
      </c>
      <c r="H180" s="19"/>
      <c r="I180" s="19">
        <v>0</v>
      </c>
      <c r="J180" s="19"/>
      <c r="K180" s="19">
        <v>0</v>
      </c>
      <c r="L180" s="19"/>
      <c r="M180" s="19">
        <v>0</v>
      </c>
      <c r="N180" s="19"/>
      <c r="O180" s="19">
        <v>0</v>
      </c>
      <c r="P180" s="19"/>
      <c r="Q180" s="19">
        <v>0</v>
      </c>
      <c r="R180" s="19"/>
      <c r="S180" s="19">
        <v>0</v>
      </c>
      <c r="T180" s="19"/>
      <c r="U180" s="19">
        <v>0</v>
      </c>
      <c r="V180" s="19"/>
      <c r="W180" s="19">
        <v>0</v>
      </c>
      <c r="X180" s="19"/>
      <c r="Y180" s="26">
        <f t="shared" ref="Y180" si="38">SUM(G180:W180)</f>
        <v>0</v>
      </c>
      <c r="Z180" s="19"/>
      <c r="AA180" s="19">
        <v>0</v>
      </c>
      <c r="AB180" s="19"/>
      <c r="AC180" s="19">
        <v>0</v>
      </c>
      <c r="AD180" s="19"/>
      <c r="AE180" s="19">
        <v>0</v>
      </c>
      <c r="AF180" s="19"/>
      <c r="AG180" s="19"/>
      <c r="AH180" s="19"/>
      <c r="AI180" s="19"/>
      <c r="AJ180" s="19"/>
      <c r="AK180" s="19">
        <v>0</v>
      </c>
      <c r="AL180" s="19"/>
      <c r="AM180" s="19">
        <v>0</v>
      </c>
      <c r="AN180" s="19"/>
      <c r="AO180" s="26">
        <f>SUM(AA180:AM180)</f>
        <v>0</v>
      </c>
      <c r="AP180" s="19"/>
      <c r="AQ180" s="26">
        <f t="shared" ref="AQ180:AQ243" si="39">Y180+AO180</f>
        <v>0</v>
      </c>
      <c r="AR180" s="26"/>
    </row>
    <row r="181" spans="1:44">
      <c r="A181" s="9" t="s">
        <v>381</v>
      </c>
      <c r="B181" s="9"/>
      <c r="C181" s="9" t="s">
        <v>44</v>
      </c>
      <c r="D181" s="9"/>
      <c r="E181" s="23">
        <v>43943</v>
      </c>
      <c r="F181" s="19"/>
      <c r="G181" s="19">
        <v>31833669</v>
      </c>
      <c r="H181" s="19"/>
      <c r="I181" s="19">
        <v>0</v>
      </c>
      <c r="J181" s="19"/>
      <c r="K181" s="19">
        <v>48446865</v>
      </c>
      <c r="L181" s="19"/>
      <c r="M181" s="19">
        <v>36203</v>
      </c>
      <c r="N181" s="19"/>
      <c r="O181" s="19">
        <f>1602354+24150</f>
        <v>1626504</v>
      </c>
      <c r="P181" s="19"/>
      <c r="Q181" s="19">
        <v>329864</v>
      </c>
      <c r="R181" s="19"/>
      <c r="S181" s="19">
        <v>0</v>
      </c>
      <c r="T181" s="19"/>
      <c r="U181" s="19">
        <v>327696</v>
      </c>
      <c r="V181" s="19"/>
      <c r="W181" s="19">
        <v>135266</v>
      </c>
      <c r="X181" s="19"/>
      <c r="Y181" s="26">
        <f t="shared" si="32"/>
        <v>82736067</v>
      </c>
      <c r="Z181" s="19"/>
      <c r="AA181" s="19">
        <v>1145619</v>
      </c>
      <c r="AB181" s="19"/>
      <c r="AC181" s="19">
        <v>0</v>
      </c>
      <c r="AD181" s="19"/>
      <c r="AE181" s="19">
        <v>0</v>
      </c>
      <c r="AF181" s="19"/>
      <c r="AG181" s="19"/>
      <c r="AH181" s="19"/>
      <c r="AI181" s="19"/>
      <c r="AJ181" s="19"/>
      <c r="AK181" s="19">
        <v>15324</v>
      </c>
      <c r="AL181" s="19"/>
      <c r="AM181" s="19">
        <v>0</v>
      </c>
      <c r="AN181" s="19"/>
      <c r="AO181" s="26">
        <f>AK181+AE181+AA181+AM181</f>
        <v>1160943</v>
      </c>
      <c r="AP181" s="19"/>
      <c r="AQ181" s="26">
        <f t="shared" si="39"/>
        <v>83897010</v>
      </c>
      <c r="AR181" s="26"/>
    </row>
    <row r="182" spans="1:44">
      <c r="A182" s="9" t="s">
        <v>265</v>
      </c>
      <c r="B182" s="9"/>
      <c r="C182" s="9" t="s">
        <v>20</v>
      </c>
      <c r="D182" s="9"/>
      <c r="E182" s="23">
        <v>43950</v>
      </c>
      <c r="F182" s="19"/>
      <c r="G182" s="19">
        <v>42972228</v>
      </c>
      <c r="H182" s="19"/>
      <c r="I182" s="19">
        <v>0</v>
      </c>
      <c r="J182" s="19"/>
      <c r="K182" s="19">
        <v>34447396</v>
      </c>
      <c r="L182" s="19"/>
      <c r="M182" s="19">
        <v>78912</v>
      </c>
      <c r="N182" s="19"/>
      <c r="O182" s="19">
        <f>102590+38616+37963+109008</f>
        <v>288177</v>
      </c>
      <c r="P182" s="19"/>
      <c r="Q182" s="19">
        <v>321935</v>
      </c>
      <c r="R182" s="19"/>
      <c r="S182" s="19">
        <v>0</v>
      </c>
      <c r="T182" s="19"/>
      <c r="U182" s="19">
        <v>0</v>
      </c>
      <c r="V182" s="19"/>
      <c r="W182" s="19">
        <v>592719</v>
      </c>
      <c r="X182" s="19"/>
      <c r="Y182" s="26">
        <f t="shared" si="32"/>
        <v>78701367</v>
      </c>
      <c r="Z182" s="19"/>
      <c r="AA182" s="19">
        <v>1338749</v>
      </c>
      <c r="AB182" s="19"/>
      <c r="AC182" s="19">
        <v>0</v>
      </c>
      <c r="AD182" s="19"/>
      <c r="AE182" s="19">
        <v>0</v>
      </c>
      <c r="AF182" s="19"/>
      <c r="AG182" s="19"/>
      <c r="AH182" s="19"/>
      <c r="AI182" s="19"/>
      <c r="AJ182" s="19"/>
      <c r="AK182" s="19">
        <v>103235</v>
      </c>
      <c r="AL182" s="19"/>
      <c r="AM182" s="19">
        <v>0</v>
      </c>
      <c r="AN182" s="19"/>
      <c r="AO182" s="26">
        <f t="shared" ref="AO182:AO204" si="40">AK182+AE182+AA182</f>
        <v>1441984</v>
      </c>
      <c r="AP182" s="19"/>
      <c r="AQ182" s="26">
        <f t="shared" si="39"/>
        <v>80143351</v>
      </c>
      <c r="AR182" s="26"/>
    </row>
    <row r="183" spans="1:44" hidden="1">
      <c r="A183" s="9" t="s">
        <v>614</v>
      </c>
      <c r="B183" s="9"/>
      <c r="C183" s="9" t="s">
        <v>28</v>
      </c>
      <c r="D183" s="9"/>
      <c r="E183" s="23">
        <v>47050</v>
      </c>
      <c r="F183" s="19"/>
      <c r="G183" s="19">
        <v>0</v>
      </c>
      <c r="H183" s="19"/>
      <c r="I183" s="19">
        <v>0</v>
      </c>
      <c r="J183" s="19"/>
      <c r="K183" s="19">
        <v>0</v>
      </c>
      <c r="L183" s="19"/>
      <c r="M183" s="19">
        <v>0</v>
      </c>
      <c r="N183" s="19"/>
      <c r="O183" s="19">
        <v>0</v>
      </c>
      <c r="P183" s="19"/>
      <c r="Q183" s="19">
        <v>0</v>
      </c>
      <c r="R183" s="19"/>
      <c r="S183" s="19">
        <v>0</v>
      </c>
      <c r="T183" s="19"/>
      <c r="U183" s="19">
        <v>0</v>
      </c>
      <c r="V183" s="19"/>
      <c r="W183" s="19">
        <v>0</v>
      </c>
      <c r="X183" s="19"/>
      <c r="Y183" s="26">
        <f t="shared" si="32"/>
        <v>0</v>
      </c>
      <c r="Z183" s="19"/>
      <c r="AA183" s="19">
        <v>0</v>
      </c>
      <c r="AB183" s="19"/>
      <c r="AC183" s="19">
        <v>0</v>
      </c>
      <c r="AD183" s="19"/>
      <c r="AE183" s="19">
        <v>0</v>
      </c>
      <c r="AF183" s="19"/>
      <c r="AG183" s="19"/>
      <c r="AH183" s="19"/>
      <c r="AI183" s="19"/>
      <c r="AJ183" s="19"/>
      <c r="AK183" s="19">
        <v>0</v>
      </c>
      <c r="AL183" s="19"/>
      <c r="AM183" s="19">
        <v>0</v>
      </c>
      <c r="AN183" s="19"/>
      <c r="AO183" s="26">
        <f t="shared" si="40"/>
        <v>0</v>
      </c>
      <c r="AP183" s="19"/>
      <c r="AQ183" s="26">
        <f t="shared" si="39"/>
        <v>0</v>
      </c>
      <c r="AR183" s="26"/>
    </row>
    <row r="184" spans="1:44">
      <c r="A184" s="9" t="s">
        <v>535</v>
      </c>
      <c r="B184" s="9"/>
      <c r="C184" s="9" t="s">
        <v>66</v>
      </c>
      <c r="D184" s="9"/>
      <c r="E184" s="23">
        <v>50328</v>
      </c>
      <c r="F184" s="19"/>
      <c r="G184" s="19">
        <v>6780705</v>
      </c>
      <c r="H184" s="19"/>
      <c r="I184" s="19">
        <v>1461954</v>
      </c>
      <c r="J184" s="19"/>
      <c r="K184" s="19">
        <f>20775+2996025+475831</f>
        <v>3492631</v>
      </c>
      <c r="L184" s="19"/>
      <c r="M184" s="19">
        <v>20604</v>
      </c>
      <c r="N184" s="19"/>
      <c r="O184" s="19">
        <f>379836+10197+230166+43640</f>
        <v>663839</v>
      </c>
      <c r="P184" s="19"/>
      <c r="Q184" s="19">
        <v>94164</v>
      </c>
      <c r="R184" s="19"/>
      <c r="S184" s="19">
        <v>0</v>
      </c>
      <c r="T184" s="19"/>
      <c r="U184" s="19">
        <v>15038</v>
      </c>
      <c r="V184" s="19"/>
      <c r="W184" s="19">
        <f>116107+8516</f>
        <v>124623</v>
      </c>
      <c r="X184" s="19"/>
      <c r="Y184" s="26">
        <f t="shared" si="32"/>
        <v>12653558</v>
      </c>
      <c r="Z184" s="19"/>
      <c r="AA184" s="19">
        <v>39789</v>
      </c>
      <c r="AB184" s="19"/>
      <c r="AC184" s="19">
        <v>0</v>
      </c>
      <c r="AD184" s="19"/>
      <c r="AE184" s="19">
        <f>1364687+8634994</f>
        <v>9999681</v>
      </c>
      <c r="AF184" s="19"/>
      <c r="AG184" s="19"/>
      <c r="AH184" s="19"/>
      <c r="AI184" s="19"/>
      <c r="AJ184" s="19"/>
      <c r="AK184" s="19">
        <v>0</v>
      </c>
      <c r="AL184" s="19"/>
      <c r="AM184" s="19">
        <v>0</v>
      </c>
      <c r="AN184" s="19"/>
      <c r="AO184" s="26">
        <f t="shared" si="40"/>
        <v>10039470</v>
      </c>
      <c r="AP184" s="19"/>
      <c r="AQ184" s="26">
        <f t="shared" si="39"/>
        <v>22693028</v>
      </c>
      <c r="AR184" s="26"/>
    </row>
    <row r="185" spans="1:44">
      <c r="A185" s="9" t="s">
        <v>621</v>
      </c>
      <c r="B185" s="9"/>
      <c r="C185" s="9" t="s">
        <v>113</v>
      </c>
      <c r="D185" s="9"/>
      <c r="E185" s="23">
        <v>43968</v>
      </c>
      <c r="F185" s="19"/>
      <c r="G185" s="19">
        <v>21580177</v>
      </c>
      <c r="H185" s="19"/>
      <c r="I185" s="19">
        <v>0</v>
      </c>
      <c r="J185" s="19"/>
      <c r="K185" s="19">
        <v>24005353</v>
      </c>
      <c r="L185" s="19"/>
      <c r="M185" s="19">
        <v>16106</v>
      </c>
      <c r="N185" s="19"/>
      <c r="O185" s="19">
        <f>657697+678268</f>
        <v>1335965</v>
      </c>
      <c r="P185" s="19"/>
      <c r="Q185" s="19">
        <v>246366</v>
      </c>
      <c r="R185" s="19"/>
      <c r="S185" s="19">
        <v>0</v>
      </c>
      <c r="T185" s="19"/>
      <c r="U185" s="19">
        <v>0</v>
      </c>
      <c r="V185" s="19"/>
      <c r="W185" s="19">
        <v>480576</v>
      </c>
      <c r="X185" s="19"/>
      <c r="Y185" s="26">
        <f t="shared" si="32"/>
        <v>47664543</v>
      </c>
      <c r="Z185" s="19"/>
      <c r="AA185" s="19">
        <v>0</v>
      </c>
      <c r="AB185" s="19"/>
      <c r="AC185" s="19">
        <v>0</v>
      </c>
      <c r="AD185" s="19"/>
      <c r="AE185" s="19">
        <v>0</v>
      </c>
      <c r="AF185" s="19"/>
      <c r="AG185" s="19"/>
      <c r="AH185" s="19"/>
      <c r="AI185" s="19"/>
      <c r="AJ185" s="19"/>
      <c r="AK185" s="19">
        <v>3400</v>
      </c>
      <c r="AL185" s="19"/>
      <c r="AM185" s="19">
        <v>0</v>
      </c>
      <c r="AN185" s="19"/>
      <c r="AO185" s="26">
        <f t="shared" si="40"/>
        <v>3400</v>
      </c>
      <c r="AP185" s="19"/>
      <c r="AQ185" s="26">
        <f t="shared" si="39"/>
        <v>47667943</v>
      </c>
      <c r="AR185" s="26"/>
    </row>
    <row r="186" spans="1:44">
      <c r="A186" s="9" t="s">
        <v>221</v>
      </c>
      <c r="B186" s="9"/>
      <c r="C186" s="9" t="s">
        <v>220</v>
      </c>
      <c r="D186" s="9"/>
      <c r="E186" s="23">
        <v>46102</v>
      </c>
      <c r="F186" s="19"/>
      <c r="G186" s="19">
        <v>48167855</v>
      </c>
      <c r="H186" s="19"/>
      <c r="I186" s="19">
        <v>0</v>
      </c>
      <c r="J186" s="19"/>
      <c r="K186" s="19">
        <v>37530344</v>
      </c>
      <c r="L186" s="19"/>
      <c r="M186" s="19">
        <v>12831</v>
      </c>
      <c r="N186" s="19"/>
      <c r="O186" s="19">
        <f>2487925+2525396</f>
        <v>5013321</v>
      </c>
      <c r="P186" s="19"/>
      <c r="Q186" s="19">
        <v>429727</v>
      </c>
      <c r="R186" s="19"/>
      <c r="S186" s="19">
        <v>1826757</v>
      </c>
      <c r="T186" s="19"/>
      <c r="U186" s="19">
        <v>0</v>
      </c>
      <c r="V186" s="19"/>
      <c r="W186" s="19">
        <v>553148</v>
      </c>
      <c r="X186" s="19"/>
      <c r="Y186" s="26">
        <f t="shared" si="32"/>
        <v>93533983</v>
      </c>
      <c r="Z186" s="19"/>
      <c r="AA186" s="19">
        <v>92899</v>
      </c>
      <c r="AB186" s="19"/>
      <c r="AC186" s="19">
        <v>0</v>
      </c>
      <c r="AD186" s="19"/>
      <c r="AE186" s="19">
        <v>0</v>
      </c>
      <c r="AF186" s="19"/>
      <c r="AG186" s="19"/>
      <c r="AH186" s="19"/>
      <c r="AI186" s="19"/>
      <c r="AJ186" s="19"/>
      <c r="AK186" s="19">
        <f>3126300+1329</f>
        <v>3127629</v>
      </c>
      <c r="AL186" s="19"/>
      <c r="AM186" s="19">
        <v>0</v>
      </c>
      <c r="AN186" s="19"/>
      <c r="AO186" s="26">
        <f t="shared" si="40"/>
        <v>3220528</v>
      </c>
      <c r="AP186" s="19"/>
      <c r="AQ186" s="26">
        <f t="shared" si="39"/>
        <v>96754511</v>
      </c>
      <c r="AR186" s="26"/>
    </row>
    <row r="187" spans="1:44">
      <c r="A187" s="9" t="s">
        <v>347</v>
      </c>
      <c r="B187" s="9"/>
      <c r="C187" s="9" t="s">
        <v>346</v>
      </c>
      <c r="D187" s="9"/>
      <c r="E187" s="23">
        <v>47621</v>
      </c>
      <c r="F187" s="19"/>
      <c r="G187" s="19">
        <v>1800739</v>
      </c>
      <c r="H187" s="19"/>
      <c r="I187" s="19">
        <v>0</v>
      </c>
      <c r="J187" s="19"/>
      <c r="K187" s="19">
        <v>6069663</v>
      </c>
      <c r="L187" s="19"/>
      <c r="M187" s="19">
        <v>10345</v>
      </c>
      <c r="N187" s="19"/>
      <c r="O187" s="19">
        <f>545966+1159</f>
        <v>547125</v>
      </c>
      <c r="P187" s="19"/>
      <c r="Q187" s="19">
        <v>96414</v>
      </c>
      <c r="R187" s="19"/>
      <c r="S187" s="19">
        <v>0</v>
      </c>
      <c r="T187" s="19"/>
      <c r="U187" s="19">
        <v>14754</v>
      </c>
      <c r="V187" s="19"/>
      <c r="W187" s="19">
        <f>149236+43098</f>
        <v>192334</v>
      </c>
      <c r="X187" s="19"/>
      <c r="Y187" s="26">
        <f t="shared" si="32"/>
        <v>8731374</v>
      </c>
      <c r="Z187" s="19"/>
      <c r="AA187" s="19">
        <v>0</v>
      </c>
      <c r="AB187" s="19"/>
      <c r="AC187" s="19">
        <v>0</v>
      </c>
      <c r="AD187" s="19"/>
      <c r="AE187" s="19">
        <v>0</v>
      </c>
      <c r="AF187" s="19"/>
      <c r="AG187" s="19"/>
      <c r="AH187" s="19"/>
      <c r="AI187" s="19"/>
      <c r="AJ187" s="19"/>
      <c r="AK187" s="19">
        <v>0</v>
      </c>
      <c r="AL187" s="19"/>
      <c r="AM187" s="19">
        <v>0</v>
      </c>
      <c r="AN187" s="19"/>
      <c r="AO187" s="26">
        <f t="shared" si="40"/>
        <v>0</v>
      </c>
      <c r="AP187" s="19"/>
      <c r="AQ187" s="26">
        <f t="shared" si="39"/>
        <v>8731374</v>
      </c>
      <c r="AR187" s="26"/>
    </row>
    <row r="188" spans="1:44">
      <c r="A188" s="9" t="s">
        <v>292</v>
      </c>
      <c r="B188" s="9"/>
      <c r="C188" s="9" t="s">
        <v>25</v>
      </c>
      <c r="D188" s="9"/>
      <c r="E188" s="23">
        <v>46870</v>
      </c>
      <c r="F188" s="19"/>
      <c r="G188" s="19">
        <v>5272305</v>
      </c>
      <c r="H188" s="19"/>
      <c r="I188" s="19">
        <v>4517560</v>
      </c>
      <c r="J188" s="19"/>
      <c r="K188" s="19">
        <f>12000+9819877+1226462</f>
        <v>11058339</v>
      </c>
      <c r="L188" s="19"/>
      <c r="M188" s="19">
        <v>28819</v>
      </c>
      <c r="N188" s="19"/>
      <c r="O188" s="19">
        <f>1483299+413640+48621+25989</f>
        <v>1971549</v>
      </c>
      <c r="P188" s="19"/>
      <c r="Q188" s="19">
        <v>293304</v>
      </c>
      <c r="R188" s="19"/>
      <c r="S188" s="19">
        <v>0</v>
      </c>
      <c r="T188" s="19"/>
      <c r="U188" s="19">
        <v>14111</v>
      </c>
      <c r="V188" s="19"/>
      <c r="W188" s="19">
        <v>62930</v>
      </c>
      <c r="X188" s="19"/>
      <c r="Y188" s="26">
        <f>SUM(G188:W188)</f>
        <v>23218917</v>
      </c>
      <c r="Z188" s="19"/>
      <c r="AA188" s="19">
        <v>2642584</v>
      </c>
      <c r="AB188" s="19"/>
      <c r="AC188" s="19">
        <v>0</v>
      </c>
      <c r="AD188" s="19"/>
      <c r="AE188" s="19">
        <f>1175133+7454553</f>
        <v>8629686</v>
      </c>
      <c r="AF188" s="19"/>
      <c r="AG188" s="19"/>
      <c r="AH188" s="19"/>
      <c r="AI188" s="19"/>
      <c r="AJ188" s="19"/>
      <c r="AK188" s="19">
        <v>902</v>
      </c>
      <c r="AL188" s="19"/>
      <c r="AM188" s="19">
        <v>0</v>
      </c>
      <c r="AN188" s="19"/>
      <c r="AO188" s="26">
        <f t="shared" si="40"/>
        <v>11273172</v>
      </c>
      <c r="AP188" s="19"/>
      <c r="AQ188" s="26">
        <f t="shared" si="39"/>
        <v>34492089</v>
      </c>
      <c r="AR188" s="26"/>
    </row>
    <row r="189" spans="1:44" s="24" customFormat="1">
      <c r="A189" s="51" t="s">
        <v>366</v>
      </c>
      <c r="B189" s="51"/>
      <c r="C189" s="51" t="s">
        <v>364</v>
      </c>
      <c r="D189" s="51"/>
      <c r="E189" s="23">
        <v>47936</v>
      </c>
      <c r="F189" s="66"/>
      <c r="G189" s="19">
        <v>3440459</v>
      </c>
      <c r="H189" s="19"/>
      <c r="I189" s="19">
        <v>0</v>
      </c>
      <c r="J189" s="19"/>
      <c r="K189" s="19">
        <v>10678180</v>
      </c>
      <c r="L189" s="19"/>
      <c r="M189" s="19">
        <v>16659</v>
      </c>
      <c r="N189" s="19"/>
      <c r="O189" s="19">
        <f>787695+206572</f>
        <v>994267</v>
      </c>
      <c r="P189" s="19"/>
      <c r="Q189" s="19">
        <v>180087</v>
      </c>
      <c r="R189" s="19"/>
      <c r="S189" s="19">
        <v>0</v>
      </c>
      <c r="T189" s="19"/>
      <c r="U189" s="19">
        <v>41195</v>
      </c>
      <c r="V189" s="19"/>
      <c r="W189" s="19">
        <v>55433</v>
      </c>
      <c r="X189" s="19"/>
      <c r="Y189" s="26">
        <f t="shared" si="32"/>
        <v>15406280</v>
      </c>
      <c r="Z189" s="19"/>
      <c r="AA189" s="19">
        <v>24620</v>
      </c>
      <c r="AB189" s="19"/>
      <c r="AC189" s="19">
        <v>0</v>
      </c>
      <c r="AD189" s="19"/>
      <c r="AE189" s="19">
        <v>945000</v>
      </c>
      <c r="AF189" s="19"/>
      <c r="AG189" s="19"/>
      <c r="AH189" s="19"/>
      <c r="AI189" s="19"/>
      <c r="AJ189" s="19"/>
      <c r="AK189" s="19">
        <v>19815</v>
      </c>
      <c r="AL189" s="19"/>
      <c r="AM189" s="19">
        <v>0</v>
      </c>
      <c r="AN189" s="19"/>
      <c r="AO189" s="26">
        <f>AK189+AE189+AA189+AM189</f>
        <v>989435</v>
      </c>
      <c r="AP189" s="19"/>
      <c r="AQ189" s="26">
        <f t="shared" si="39"/>
        <v>16395715</v>
      </c>
      <c r="AR189" s="67"/>
    </row>
    <row r="190" spans="1:44" hidden="1">
      <c r="A190" s="9" t="s">
        <v>615</v>
      </c>
      <c r="B190" s="9"/>
      <c r="C190" s="9" t="s">
        <v>61</v>
      </c>
      <c r="D190" s="9"/>
      <c r="E190" s="23">
        <v>49775</v>
      </c>
      <c r="F190" s="19"/>
      <c r="G190" s="19">
        <v>0</v>
      </c>
      <c r="H190" s="19"/>
      <c r="I190" s="19">
        <v>0</v>
      </c>
      <c r="J190" s="19"/>
      <c r="K190" s="19">
        <v>0</v>
      </c>
      <c r="L190" s="19"/>
      <c r="M190" s="19">
        <v>0</v>
      </c>
      <c r="N190" s="19"/>
      <c r="O190" s="19">
        <v>0</v>
      </c>
      <c r="P190" s="19"/>
      <c r="Q190" s="19">
        <v>0</v>
      </c>
      <c r="R190" s="19"/>
      <c r="S190" s="19">
        <v>0</v>
      </c>
      <c r="T190" s="19"/>
      <c r="U190" s="19">
        <v>0</v>
      </c>
      <c r="V190" s="19"/>
      <c r="W190" s="19">
        <v>0</v>
      </c>
      <c r="X190" s="19"/>
      <c r="Y190" s="26">
        <f t="shared" si="32"/>
        <v>0</v>
      </c>
      <c r="Z190" s="19"/>
      <c r="AA190" s="19">
        <v>0</v>
      </c>
      <c r="AB190" s="19"/>
      <c r="AC190" s="19">
        <v>0</v>
      </c>
      <c r="AD190" s="19"/>
      <c r="AE190" s="19">
        <v>0</v>
      </c>
      <c r="AF190" s="19"/>
      <c r="AG190" s="19"/>
      <c r="AH190" s="19"/>
      <c r="AI190" s="19"/>
      <c r="AJ190" s="19"/>
      <c r="AK190" s="19">
        <v>0</v>
      </c>
      <c r="AL190" s="19"/>
      <c r="AM190" s="19">
        <v>0</v>
      </c>
      <c r="AN190" s="19"/>
      <c r="AO190" s="26">
        <f t="shared" si="40"/>
        <v>0</v>
      </c>
      <c r="AP190" s="19"/>
      <c r="AQ190" s="26">
        <f t="shared" si="39"/>
        <v>0</v>
      </c>
      <c r="AR190" s="26"/>
    </row>
    <row r="191" spans="1:44">
      <c r="A191" s="9" t="s">
        <v>492</v>
      </c>
      <c r="B191" s="9"/>
      <c r="C191" s="9" t="s">
        <v>62</v>
      </c>
      <c r="D191" s="9"/>
      <c r="E191" s="23">
        <v>49841</v>
      </c>
      <c r="F191" s="19"/>
      <c r="G191" s="19">
        <v>5450619</v>
      </c>
      <c r="H191" s="19"/>
      <c r="I191" s="19">
        <v>0</v>
      </c>
      <c r="J191" s="19"/>
      <c r="K191" s="19">
        <f>8792758+1179269</f>
        <v>9972027</v>
      </c>
      <c r="L191" s="19"/>
      <c r="M191" s="19">
        <v>10582</v>
      </c>
      <c r="N191" s="19"/>
      <c r="O191" s="19">
        <f>638002+263028+44082</f>
        <v>945112</v>
      </c>
      <c r="P191" s="19"/>
      <c r="Q191" s="19">
        <v>208339</v>
      </c>
      <c r="R191" s="19"/>
      <c r="S191" s="19">
        <v>0</v>
      </c>
      <c r="T191" s="19"/>
      <c r="U191" s="19">
        <v>0</v>
      </c>
      <c r="V191" s="19"/>
      <c r="W191" s="19">
        <v>194976</v>
      </c>
      <c r="X191" s="19"/>
      <c r="Y191" s="26">
        <f t="shared" si="32"/>
        <v>16781655</v>
      </c>
      <c r="Z191" s="19"/>
      <c r="AA191" s="19">
        <v>0</v>
      </c>
      <c r="AB191" s="19"/>
      <c r="AC191" s="19">
        <v>0</v>
      </c>
      <c r="AD191" s="19"/>
      <c r="AE191" s="19">
        <v>0</v>
      </c>
      <c r="AF191" s="19"/>
      <c r="AG191" s="19"/>
      <c r="AH191" s="19"/>
      <c r="AI191" s="19"/>
      <c r="AJ191" s="19"/>
      <c r="AK191" s="19">
        <v>0</v>
      </c>
      <c r="AL191" s="19"/>
      <c r="AM191" s="19">
        <v>0</v>
      </c>
      <c r="AN191" s="19"/>
      <c r="AO191" s="26">
        <f t="shared" si="40"/>
        <v>0</v>
      </c>
      <c r="AP191" s="19"/>
      <c r="AQ191" s="26">
        <f t="shared" si="39"/>
        <v>16781655</v>
      </c>
      <c r="AR191" s="26"/>
    </row>
    <row r="192" spans="1:44" hidden="1">
      <c r="A192" s="8" t="s">
        <v>878</v>
      </c>
      <c r="B192" s="9"/>
      <c r="C192" s="9" t="s">
        <v>41</v>
      </c>
      <c r="D192" s="9"/>
      <c r="E192" s="23">
        <v>45369</v>
      </c>
      <c r="F192" s="19"/>
      <c r="G192" s="19">
        <v>0</v>
      </c>
      <c r="H192" s="19"/>
      <c r="I192" s="19">
        <v>0</v>
      </c>
      <c r="J192" s="19"/>
      <c r="K192" s="19">
        <v>0</v>
      </c>
      <c r="L192" s="19"/>
      <c r="M192" s="19">
        <v>0</v>
      </c>
      <c r="N192" s="19"/>
      <c r="O192" s="19">
        <v>0</v>
      </c>
      <c r="P192" s="19"/>
      <c r="Q192" s="19">
        <v>0</v>
      </c>
      <c r="R192" s="19"/>
      <c r="S192" s="19">
        <v>0</v>
      </c>
      <c r="T192" s="19"/>
      <c r="U192" s="19">
        <v>0</v>
      </c>
      <c r="V192" s="19"/>
      <c r="W192" s="19">
        <v>0</v>
      </c>
      <c r="X192" s="19"/>
      <c r="Y192" s="26">
        <f t="shared" si="32"/>
        <v>0</v>
      </c>
      <c r="Z192" s="19"/>
      <c r="AA192" s="19">
        <v>0</v>
      </c>
      <c r="AB192" s="19"/>
      <c r="AC192" s="19">
        <v>0</v>
      </c>
      <c r="AD192" s="19"/>
      <c r="AE192" s="19">
        <v>0</v>
      </c>
      <c r="AF192" s="19"/>
      <c r="AG192" s="19"/>
      <c r="AH192" s="19"/>
      <c r="AI192" s="19"/>
      <c r="AJ192" s="19"/>
      <c r="AK192" s="19">
        <v>0</v>
      </c>
      <c r="AL192" s="19"/>
      <c r="AM192" s="19">
        <v>0</v>
      </c>
      <c r="AN192" s="19"/>
      <c r="AO192" s="26">
        <f t="shared" si="40"/>
        <v>0</v>
      </c>
      <c r="AP192" s="19"/>
      <c r="AQ192" s="26">
        <f t="shared" si="39"/>
        <v>0</v>
      </c>
      <c r="AR192" s="26"/>
    </row>
    <row r="193" spans="1:44" s="24" customFormat="1">
      <c r="A193" s="51" t="s">
        <v>266</v>
      </c>
      <c r="B193" s="51"/>
      <c r="C193" s="51" t="s">
        <v>20</v>
      </c>
      <c r="D193" s="51"/>
      <c r="E193" s="51">
        <v>43976</v>
      </c>
      <c r="F193" s="66"/>
      <c r="G193" s="66">
        <v>17392923</v>
      </c>
      <c r="H193" s="66"/>
      <c r="I193" s="66">
        <v>0</v>
      </c>
      <c r="J193" s="66"/>
      <c r="K193" s="66">
        <f>15785+5227511+750919</f>
        <v>5994215</v>
      </c>
      <c r="L193" s="66"/>
      <c r="M193" s="66">
        <v>37413</v>
      </c>
      <c r="N193" s="66"/>
      <c r="O193" s="66">
        <f>306080+37262+76903+101970</f>
        <v>522215</v>
      </c>
      <c r="P193" s="66"/>
      <c r="Q193" s="66">
        <v>171383</v>
      </c>
      <c r="R193" s="66"/>
      <c r="S193" s="66">
        <v>0</v>
      </c>
      <c r="T193" s="66"/>
      <c r="U193" s="66">
        <v>11378</v>
      </c>
      <c r="V193" s="66"/>
      <c r="W193" s="66">
        <v>63981</v>
      </c>
      <c r="X193" s="66"/>
      <c r="Y193" s="67">
        <f t="shared" si="32"/>
        <v>24193508</v>
      </c>
      <c r="Z193" s="66"/>
      <c r="AA193" s="66">
        <v>1064010</v>
      </c>
      <c r="AB193" s="66"/>
      <c r="AC193" s="66">
        <v>0</v>
      </c>
      <c r="AD193" s="66"/>
      <c r="AE193" s="66">
        <f>2350698+16539980</f>
        <v>18890678</v>
      </c>
      <c r="AF193" s="66"/>
      <c r="AG193" s="66"/>
      <c r="AH193" s="66"/>
      <c r="AI193" s="66"/>
      <c r="AJ193" s="66"/>
      <c r="AK193" s="66">
        <v>0</v>
      </c>
      <c r="AL193" s="66"/>
      <c r="AM193" s="66">
        <v>0</v>
      </c>
      <c r="AN193" s="66"/>
      <c r="AO193" s="67">
        <f t="shared" si="40"/>
        <v>19954688</v>
      </c>
      <c r="AP193" s="66"/>
      <c r="AQ193" s="67">
        <f t="shared" si="39"/>
        <v>44148196</v>
      </c>
      <c r="AR193" s="67"/>
    </row>
    <row r="194" spans="1:44" hidden="1">
      <c r="A194" s="9" t="s">
        <v>739</v>
      </c>
      <c r="B194" s="9"/>
      <c r="C194" s="9" t="s">
        <v>28</v>
      </c>
      <c r="D194" s="9"/>
      <c r="E194" s="23">
        <v>47068</v>
      </c>
      <c r="F194" s="19"/>
      <c r="G194" s="19">
        <v>0</v>
      </c>
      <c r="H194" s="19"/>
      <c r="I194" s="19">
        <v>0</v>
      </c>
      <c r="J194" s="19"/>
      <c r="K194" s="19">
        <v>0</v>
      </c>
      <c r="L194" s="19"/>
      <c r="M194" s="19">
        <v>0</v>
      </c>
      <c r="N194" s="19"/>
      <c r="O194" s="19">
        <v>0</v>
      </c>
      <c r="P194" s="19"/>
      <c r="Q194" s="19">
        <v>0</v>
      </c>
      <c r="R194" s="19"/>
      <c r="S194" s="19">
        <v>0</v>
      </c>
      <c r="T194" s="19"/>
      <c r="U194" s="19">
        <v>0</v>
      </c>
      <c r="V194" s="19"/>
      <c r="W194" s="19">
        <v>0</v>
      </c>
      <c r="X194" s="19"/>
      <c r="Y194" s="26">
        <f t="shared" si="32"/>
        <v>0</v>
      </c>
      <c r="Z194" s="19"/>
      <c r="AA194" s="19">
        <v>0</v>
      </c>
      <c r="AB194" s="19"/>
      <c r="AC194" s="19">
        <v>0</v>
      </c>
      <c r="AD194" s="19"/>
      <c r="AE194" s="19">
        <v>0</v>
      </c>
      <c r="AF194" s="19"/>
      <c r="AG194" s="19"/>
      <c r="AH194" s="19"/>
      <c r="AI194" s="19"/>
      <c r="AJ194" s="19"/>
      <c r="AK194" s="19">
        <v>0</v>
      </c>
      <c r="AL194" s="19"/>
      <c r="AM194" s="19">
        <v>0</v>
      </c>
      <c r="AN194" s="19"/>
      <c r="AO194" s="26">
        <f t="shared" si="40"/>
        <v>0</v>
      </c>
      <c r="AP194" s="19"/>
      <c r="AQ194" s="26">
        <f t="shared" si="39"/>
        <v>0</v>
      </c>
      <c r="AR194" s="26"/>
    </row>
    <row r="195" spans="1:44">
      <c r="A195" s="9" t="s">
        <v>218</v>
      </c>
      <c r="B195" s="9"/>
      <c r="C195" s="9" t="s">
        <v>77</v>
      </c>
      <c r="D195" s="9"/>
      <c r="E195" s="23">
        <v>46045</v>
      </c>
      <c r="F195" s="19"/>
      <c r="G195" s="19">
        <v>2399522</v>
      </c>
      <c r="H195" s="19"/>
      <c r="I195" s="19">
        <v>0</v>
      </c>
      <c r="J195" s="19"/>
      <c r="K195" s="19">
        <v>5514506</v>
      </c>
      <c r="L195" s="19"/>
      <c r="M195" s="19">
        <v>37034</v>
      </c>
      <c r="N195" s="19"/>
      <c r="O195" s="19">
        <f>1062321+179474</f>
        <v>1241795</v>
      </c>
      <c r="P195" s="19"/>
      <c r="Q195" s="19">
        <v>53102</v>
      </c>
      <c r="R195" s="19"/>
      <c r="S195" s="19">
        <v>0</v>
      </c>
      <c r="T195" s="19"/>
      <c r="U195" s="19">
        <v>19771</v>
      </c>
      <c r="V195" s="19"/>
      <c r="W195" s="19">
        <v>80603</v>
      </c>
      <c r="X195" s="19"/>
      <c r="Y195" s="26">
        <f t="shared" si="32"/>
        <v>9346333</v>
      </c>
      <c r="Z195" s="19"/>
      <c r="AA195" s="19">
        <v>64756</v>
      </c>
      <c r="AB195" s="19"/>
      <c r="AC195" s="19">
        <v>0</v>
      </c>
      <c r="AD195" s="19"/>
      <c r="AE195" s="19">
        <v>0</v>
      </c>
      <c r="AF195" s="19"/>
      <c r="AG195" s="19"/>
      <c r="AH195" s="19"/>
      <c r="AI195" s="19"/>
      <c r="AJ195" s="19"/>
      <c r="AK195" s="19">
        <v>0</v>
      </c>
      <c r="AL195" s="19"/>
      <c r="AM195" s="19">
        <v>-339971</v>
      </c>
      <c r="AN195" s="19"/>
      <c r="AO195" s="26">
        <f>AK195+AE195+AA195</f>
        <v>64756</v>
      </c>
      <c r="AP195" s="19"/>
      <c r="AQ195" s="26">
        <f>Y195+AO195+AM195</f>
        <v>9071118</v>
      </c>
      <c r="AR195" s="26"/>
    </row>
    <row r="196" spans="1:44">
      <c r="A196" s="9" t="s">
        <v>737</v>
      </c>
      <c r="B196" s="9"/>
      <c r="C196" s="9" t="s">
        <v>13</v>
      </c>
      <c r="D196" s="9"/>
      <c r="E196" s="23">
        <v>45914</v>
      </c>
      <c r="F196" s="19"/>
      <c r="G196" s="19">
        <v>3132633</v>
      </c>
      <c r="H196" s="19"/>
      <c r="I196" s="19">
        <v>0</v>
      </c>
      <c r="J196" s="19"/>
      <c r="K196" s="19">
        <v>9950846</v>
      </c>
      <c r="L196" s="19"/>
      <c r="M196" s="19">
        <v>4555</v>
      </c>
      <c r="N196" s="19"/>
      <c r="O196" s="19">
        <f>554956+160+159085</f>
        <v>714201</v>
      </c>
      <c r="P196" s="19"/>
      <c r="Q196" s="19">
        <v>79810</v>
      </c>
      <c r="R196" s="19"/>
      <c r="S196" s="19">
        <v>0</v>
      </c>
      <c r="T196" s="19"/>
      <c r="U196" s="19">
        <v>58719</v>
      </c>
      <c r="V196" s="19"/>
      <c r="W196" s="19">
        <v>119710</v>
      </c>
      <c r="X196" s="19"/>
      <c r="Y196" s="26">
        <f t="shared" si="32"/>
        <v>14060474</v>
      </c>
      <c r="Z196" s="19"/>
      <c r="AA196" s="19">
        <v>4854</v>
      </c>
      <c r="AB196" s="19"/>
      <c r="AC196" s="19">
        <v>0</v>
      </c>
      <c r="AD196" s="19"/>
      <c r="AE196" s="19">
        <v>0</v>
      </c>
      <c r="AF196" s="19"/>
      <c r="AG196" s="19"/>
      <c r="AH196" s="19"/>
      <c r="AI196" s="19"/>
      <c r="AJ196" s="19"/>
      <c r="AK196" s="19">
        <v>0</v>
      </c>
      <c r="AL196" s="19"/>
      <c r="AM196" s="19">
        <v>0</v>
      </c>
      <c r="AN196" s="19"/>
      <c r="AO196" s="26">
        <f t="shared" si="40"/>
        <v>4854</v>
      </c>
      <c r="AP196" s="19"/>
      <c r="AQ196" s="26">
        <f t="shared" si="39"/>
        <v>14065328</v>
      </c>
      <c r="AR196" s="26"/>
    </row>
    <row r="197" spans="1:44" s="19" customFormat="1">
      <c r="A197" s="9" t="s">
        <v>237</v>
      </c>
      <c r="B197" s="9"/>
      <c r="C197" s="9" t="s">
        <v>112</v>
      </c>
      <c r="D197" s="9"/>
      <c r="E197" s="23">
        <v>46334</v>
      </c>
      <c r="G197" s="19">
        <v>1946059</v>
      </c>
      <c r="I197" s="19">
        <v>0</v>
      </c>
      <c r="K197" s="19">
        <v>8143708</v>
      </c>
      <c r="M197" s="19">
        <v>16110</v>
      </c>
      <c r="O197" s="19">
        <f>537631+174923</f>
        <v>712554</v>
      </c>
      <c r="Q197" s="19">
        <v>0</v>
      </c>
      <c r="S197" s="19">
        <v>0</v>
      </c>
      <c r="U197" s="19">
        <v>0</v>
      </c>
      <c r="W197" s="19">
        <v>219645</v>
      </c>
      <c r="Y197" s="26">
        <f t="shared" si="32"/>
        <v>11038076</v>
      </c>
      <c r="AA197" s="19">
        <v>51509</v>
      </c>
      <c r="AC197" s="19">
        <v>0</v>
      </c>
      <c r="AE197" s="19">
        <v>0</v>
      </c>
      <c r="AK197" s="19">
        <v>0</v>
      </c>
      <c r="AM197" s="19">
        <v>0</v>
      </c>
      <c r="AO197" s="26">
        <f t="shared" si="40"/>
        <v>51509</v>
      </c>
      <c r="AQ197" s="26">
        <f t="shared" si="39"/>
        <v>11089585</v>
      </c>
      <c r="AR197" s="26"/>
    </row>
    <row r="198" spans="1:44">
      <c r="A198" s="9" t="s">
        <v>714</v>
      </c>
      <c r="B198" s="9"/>
      <c r="C198" s="9" t="s">
        <v>56</v>
      </c>
      <c r="D198" s="9"/>
      <c r="E198" s="23">
        <v>49197</v>
      </c>
      <c r="F198" s="19"/>
      <c r="G198" s="19">
        <v>9692334</v>
      </c>
      <c r="H198" s="19"/>
      <c r="I198" s="19">
        <v>0</v>
      </c>
      <c r="J198" s="19"/>
      <c r="K198" s="19">
        <f>7993942+1073470</f>
        <v>9067412</v>
      </c>
      <c r="L198" s="19"/>
      <c r="M198" s="19">
        <v>3054</v>
      </c>
      <c r="N198" s="19"/>
      <c r="O198" s="19">
        <f>1061067+360754+134775+101758</f>
        <v>1658354</v>
      </c>
      <c r="P198" s="19"/>
      <c r="Q198" s="19">
        <v>67530</v>
      </c>
      <c r="R198" s="19"/>
      <c r="S198" s="19">
        <v>213864</v>
      </c>
      <c r="T198" s="19"/>
      <c r="U198" s="19">
        <v>2092</v>
      </c>
      <c r="V198" s="19"/>
      <c r="W198" s="19">
        <f>6742+94537</f>
        <v>101279</v>
      </c>
      <c r="X198" s="19"/>
      <c r="Y198" s="26">
        <f t="shared" si="32"/>
        <v>20805919</v>
      </c>
      <c r="Z198" s="19"/>
      <c r="AA198" s="19">
        <v>0</v>
      </c>
      <c r="AB198" s="19"/>
      <c r="AC198" s="19">
        <v>0</v>
      </c>
      <c r="AD198" s="19"/>
      <c r="AE198" s="19">
        <f>8770000+1224204</f>
        <v>9994204</v>
      </c>
      <c r="AF198" s="19"/>
      <c r="AG198" s="19"/>
      <c r="AH198" s="19"/>
      <c r="AI198" s="19"/>
      <c r="AJ198" s="19"/>
      <c r="AK198" s="19">
        <v>0</v>
      </c>
      <c r="AL198" s="19"/>
      <c r="AM198" s="19">
        <v>0</v>
      </c>
      <c r="AN198" s="19"/>
      <c r="AO198" s="26">
        <f t="shared" si="40"/>
        <v>9994204</v>
      </c>
      <c r="AP198" s="19"/>
      <c r="AQ198" s="26">
        <f t="shared" si="39"/>
        <v>30800123</v>
      </c>
      <c r="AR198" s="26"/>
    </row>
    <row r="199" spans="1:44">
      <c r="A199" s="9" t="s">
        <v>335</v>
      </c>
      <c r="B199" s="9"/>
      <c r="C199" s="9" t="s">
        <v>33</v>
      </c>
      <c r="D199" s="9"/>
      <c r="E199" s="23">
        <v>43984</v>
      </c>
      <c r="F199" s="19"/>
      <c r="G199" s="19">
        <v>29016594</v>
      </c>
      <c r="H199" s="19"/>
      <c r="I199" s="19">
        <v>0</v>
      </c>
      <c r="J199" s="19"/>
      <c r="K199" s="19">
        <f>28028512+5649228</f>
        <v>33677740</v>
      </c>
      <c r="L199" s="19"/>
      <c r="M199" s="19">
        <f>797745-812351</f>
        <v>-14606</v>
      </c>
      <c r="N199" s="19"/>
      <c r="O199" s="19">
        <f>2584716+520556+367008+270014</f>
        <v>3742294</v>
      </c>
      <c r="P199" s="19"/>
      <c r="Q199" s="19">
        <v>484423</v>
      </c>
      <c r="R199" s="19"/>
      <c r="S199" s="19">
        <v>202827</v>
      </c>
      <c r="T199" s="19"/>
      <c r="U199" s="19">
        <v>494554</v>
      </c>
      <c r="V199" s="19"/>
      <c r="W199" s="19">
        <f>58219+756389</f>
        <v>814608</v>
      </c>
      <c r="X199" s="19"/>
      <c r="Y199" s="26">
        <f t="shared" si="32"/>
        <v>68418434</v>
      </c>
      <c r="Z199" s="19"/>
      <c r="AA199" s="19">
        <v>150624</v>
      </c>
      <c r="AB199" s="19"/>
      <c r="AC199" s="19">
        <v>0</v>
      </c>
      <c r="AD199" s="19"/>
      <c r="AE199" s="19">
        <v>0</v>
      </c>
      <c r="AF199" s="19"/>
      <c r="AG199" s="19"/>
      <c r="AH199" s="19"/>
      <c r="AI199" s="19"/>
      <c r="AJ199" s="19"/>
      <c r="AK199" s="19">
        <v>92972</v>
      </c>
      <c r="AL199" s="19"/>
      <c r="AM199" s="19">
        <v>0</v>
      </c>
      <c r="AN199" s="19"/>
      <c r="AO199" s="26">
        <f t="shared" si="40"/>
        <v>243596</v>
      </c>
      <c r="AP199" s="19"/>
      <c r="AQ199" s="26">
        <f t="shared" si="39"/>
        <v>68662030</v>
      </c>
      <c r="AR199" s="26"/>
    </row>
    <row r="200" spans="1:44">
      <c r="A200" s="9" t="s">
        <v>320</v>
      </c>
      <c r="B200" s="9"/>
      <c r="C200" s="9" t="s">
        <v>32</v>
      </c>
      <c r="D200" s="9"/>
      <c r="E200" s="23">
        <v>47332</v>
      </c>
      <c r="F200" s="19"/>
      <c r="G200" s="19">
        <v>10400661</v>
      </c>
      <c r="H200" s="19"/>
      <c r="I200" s="19">
        <v>0</v>
      </c>
      <c r="J200" s="19"/>
      <c r="K200" s="19">
        <v>9844361</v>
      </c>
      <c r="L200" s="19"/>
      <c r="M200" s="19">
        <v>14507</v>
      </c>
      <c r="N200" s="19"/>
      <c r="O200" s="19">
        <f>445747+54581</f>
        <v>500328</v>
      </c>
      <c r="P200" s="19"/>
      <c r="Q200" s="19">
        <v>106056</v>
      </c>
      <c r="R200" s="19"/>
      <c r="S200" s="19">
        <v>204262</v>
      </c>
      <c r="T200" s="19"/>
      <c r="U200" s="19">
        <v>0</v>
      </c>
      <c r="V200" s="19"/>
      <c r="W200" s="19">
        <v>313524</v>
      </c>
      <c r="X200" s="19"/>
      <c r="Y200" s="26">
        <f t="shared" si="32"/>
        <v>21383699</v>
      </c>
      <c r="Z200" s="19"/>
      <c r="AA200" s="19">
        <v>2000</v>
      </c>
      <c r="AB200" s="19"/>
      <c r="AC200" s="19">
        <v>0</v>
      </c>
      <c r="AD200" s="19"/>
      <c r="AE200" s="19">
        <v>0</v>
      </c>
      <c r="AF200" s="19"/>
      <c r="AG200" s="19"/>
      <c r="AH200" s="19"/>
      <c r="AI200" s="19"/>
      <c r="AJ200" s="19"/>
      <c r="AK200" s="19">
        <f>6210000+2467</f>
        <v>6212467</v>
      </c>
      <c r="AL200" s="19"/>
      <c r="AM200" s="19">
        <v>0</v>
      </c>
      <c r="AN200" s="19"/>
      <c r="AO200" s="26">
        <f t="shared" si="40"/>
        <v>6214467</v>
      </c>
      <c r="AP200" s="19"/>
      <c r="AQ200" s="26">
        <f t="shared" si="39"/>
        <v>27598166</v>
      </c>
      <c r="AR200" s="26"/>
    </row>
    <row r="201" spans="1:44">
      <c r="A201" s="9" t="s">
        <v>382</v>
      </c>
      <c r="B201" s="9"/>
      <c r="C201" s="9" t="s">
        <v>44</v>
      </c>
      <c r="D201" s="9"/>
      <c r="E201" s="23">
        <v>48157</v>
      </c>
      <c r="F201" s="19"/>
      <c r="G201" s="19">
        <v>8231280</v>
      </c>
      <c r="H201" s="19"/>
      <c r="I201" s="19">
        <v>0</v>
      </c>
      <c r="J201" s="19"/>
      <c r="K201" s="19">
        <f>8312211+927253</f>
        <v>9239464</v>
      </c>
      <c r="L201" s="19"/>
      <c r="M201" s="19">
        <f>15223-29540</f>
        <v>-14317</v>
      </c>
      <c r="N201" s="19"/>
      <c r="O201" s="19">
        <f>1483019+11067+359542+72488+7632</f>
        <v>1933748</v>
      </c>
      <c r="P201" s="19"/>
      <c r="Q201" s="19">
        <v>230702</v>
      </c>
      <c r="R201" s="19"/>
      <c r="S201" s="19">
        <v>0</v>
      </c>
      <c r="T201" s="19"/>
      <c r="U201" s="19">
        <v>4493</v>
      </c>
      <c r="V201" s="19"/>
      <c r="W201" s="19">
        <f>4650+143184</f>
        <v>147834</v>
      </c>
      <c r="X201" s="19"/>
      <c r="Y201" s="26">
        <f t="shared" si="32"/>
        <v>19773204</v>
      </c>
      <c r="Z201" s="19"/>
      <c r="AA201" s="19">
        <v>8000</v>
      </c>
      <c r="AB201" s="19"/>
      <c r="AC201" s="19">
        <v>0</v>
      </c>
      <c r="AD201" s="19"/>
      <c r="AE201" s="19">
        <v>0</v>
      </c>
      <c r="AF201" s="19"/>
      <c r="AG201" s="19"/>
      <c r="AH201" s="19"/>
      <c r="AI201" s="19"/>
      <c r="AJ201" s="19"/>
      <c r="AK201" s="19">
        <v>0</v>
      </c>
      <c r="AL201" s="19"/>
      <c r="AM201" s="19">
        <v>0</v>
      </c>
      <c r="AN201" s="19"/>
      <c r="AO201" s="26">
        <f>SUM(AA201:AM201)</f>
        <v>8000</v>
      </c>
      <c r="AP201" s="19"/>
      <c r="AQ201" s="26">
        <f t="shared" si="39"/>
        <v>19781204</v>
      </c>
      <c r="AR201" s="26"/>
    </row>
    <row r="202" spans="1:44">
      <c r="A202" s="9" t="s">
        <v>321</v>
      </c>
      <c r="B202" s="9"/>
      <c r="C202" s="9" t="s">
        <v>32</v>
      </c>
      <c r="D202" s="9"/>
      <c r="E202" s="23">
        <v>47340</v>
      </c>
      <c r="F202" s="19"/>
      <c r="G202" s="19">
        <v>42895556</v>
      </c>
      <c r="H202" s="19"/>
      <c r="I202" s="19">
        <v>0</v>
      </c>
      <c r="J202" s="19"/>
      <c r="K202" s="19">
        <v>26311994</v>
      </c>
      <c r="L202" s="19"/>
      <c r="M202" s="19">
        <v>41716</v>
      </c>
      <c r="N202" s="19"/>
      <c r="O202" s="19">
        <f>1321553+1699202</f>
        <v>3020755</v>
      </c>
      <c r="P202" s="19"/>
      <c r="Q202" s="19">
        <v>0</v>
      </c>
      <c r="R202" s="19"/>
      <c r="S202" s="19">
        <v>6807379</v>
      </c>
      <c r="T202" s="19"/>
      <c r="U202" s="19">
        <v>0</v>
      </c>
      <c r="V202" s="19"/>
      <c r="W202" s="19">
        <v>2096922</v>
      </c>
      <c r="X202" s="19"/>
      <c r="Y202" s="26">
        <f t="shared" si="32"/>
        <v>81174322</v>
      </c>
      <c r="Z202" s="19"/>
      <c r="AA202" s="19">
        <v>884685</v>
      </c>
      <c r="AB202" s="19"/>
      <c r="AC202" s="19">
        <v>0</v>
      </c>
      <c r="AD202" s="19"/>
      <c r="AE202" s="19">
        <v>0</v>
      </c>
      <c r="AF202" s="19"/>
      <c r="AG202" s="19"/>
      <c r="AH202" s="19"/>
      <c r="AI202" s="19"/>
      <c r="AJ202" s="19"/>
      <c r="AK202" s="19">
        <v>0</v>
      </c>
      <c r="AL202" s="19"/>
      <c r="AM202" s="19">
        <v>0</v>
      </c>
      <c r="AN202" s="19"/>
      <c r="AO202" s="26">
        <f t="shared" si="40"/>
        <v>884685</v>
      </c>
      <c r="AP202" s="19"/>
      <c r="AQ202" s="26">
        <f t="shared" si="39"/>
        <v>82059007</v>
      </c>
      <c r="AR202" s="26"/>
    </row>
    <row r="203" spans="1:44" hidden="1">
      <c r="A203" s="9" t="s">
        <v>611</v>
      </c>
      <c r="B203" s="9"/>
      <c r="C203" s="9" t="s">
        <v>70</v>
      </c>
      <c r="D203" s="9"/>
      <c r="E203" s="23">
        <v>50484</v>
      </c>
      <c r="F203" s="19"/>
      <c r="G203" s="19">
        <v>0</v>
      </c>
      <c r="H203" s="19"/>
      <c r="I203" s="19">
        <v>0</v>
      </c>
      <c r="J203" s="19"/>
      <c r="K203" s="19">
        <v>0</v>
      </c>
      <c r="L203" s="19"/>
      <c r="M203" s="19">
        <v>0</v>
      </c>
      <c r="N203" s="19"/>
      <c r="O203" s="19">
        <v>0</v>
      </c>
      <c r="P203" s="19"/>
      <c r="Q203" s="19">
        <v>0</v>
      </c>
      <c r="R203" s="19"/>
      <c r="S203" s="19">
        <v>0</v>
      </c>
      <c r="T203" s="19"/>
      <c r="U203" s="19">
        <v>0</v>
      </c>
      <c r="V203" s="19"/>
      <c r="W203" s="19">
        <v>0</v>
      </c>
      <c r="X203" s="19"/>
      <c r="Y203" s="26">
        <f t="shared" si="32"/>
        <v>0</v>
      </c>
      <c r="Z203" s="19"/>
      <c r="AA203" s="19">
        <v>0</v>
      </c>
      <c r="AB203" s="19"/>
      <c r="AC203" s="19">
        <v>0</v>
      </c>
      <c r="AD203" s="19"/>
      <c r="AE203" s="19">
        <v>0</v>
      </c>
      <c r="AF203" s="19"/>
      <c r="AG203" s="19"/>
      <c r="AH203" s="19"/>
      <c r="AI203" s="19"/>
      <c r="AJ203" s="19"/>
      <c r="AK203" s="19">
        <v>0</v>
      </c>
      <c r="AL203" s="19"/>
      <c r="AM203" s="19">
        <v>0</v>
      </c>
      <c r="AN203" s="19"/>
      <c r="AO203" s="26">
        <f t="shared" si="40"/>
        <v>0</v>
      </c>
      <c r="AP203" s="19"/>
      <c r="AQ203" s="26">
        <f t="shared" si="39"/>
        <v>0</v>
      </c>
      <c r="AR203" s="26"/>
    </row>
    <row r="204" spans="1:44">
      <c r="A204" s="9" t="s">
        <v>486</v>
      </c>
      <c r="B204" s="9"/>
      <c r="C204" s="9" t="s">
        <v>61</v>
      </c>
      <c r="D204" s="9"/>
      <c r="E204" s="23">
        <v>49783</v>
      </c>
      <c r="F204" s="19"/>
      <c r="G204" s="19">
        <v>2520287</v>
      </c>
      <c r="H204" s="19"/>
      <c r="I204" s="19">
        <v>1672508</v>
      </c>
      <c r="J204" s="19"/>
      <c r="K204" s="19">
        <v>4165777</v>
      </c>
      <c r="L204" s="19"/>
      <c r="M204" s="19">
        <v>29337</v>
      </c>
      <c r="N204" s="19"/>
      <c r="O204" s="19">
        <f>109050+243115</f>
        <v>352165</v>
      </c>
      <c r="P204" s="19"/>
      <c r="Q204" s="19">
        <v>207869</v>
      </c>
      <c r="R204" s="19"/>
      <c r="S204" s="19">
        <v>0</v>
      </c>
      <c r="T204" s="19"/>
      <c r="U204" s="19">
        <v>70408</v>
      </c>
      <c r="V204" s="19"/>
      <c r="W204" s="19">
        <v>117632</v>
      </c>
      <c r="X204" s="19"/>
      <c r="Y204" s="26">
        <f t="shared" si="32"/>
        <v>9135983</v>
      </c>
      <c r="Z204" s="19"/>
      <c r="AA204" s="19">
        <v>111203</v>
      </c>
      <c r="AB204" s="19"/>
      <c r="AC204" s="19">
        <v>0</v>
      </c>
      <c r="AD204" s="19"/>
      <c r="AE204" s="19">
        <v>715000</v>
      </c>
      <c r="AF204" s="19"/>
      <c r="AG204" s="19"/>
      <c r="AH204" s="19"/>
      <c r="AI204" s="19"/>
      <c r="AJ204" s="19"/>
      <c r="AK204" s="19">
        <v>0</v>
      </c>
      <c r="AL204" s="19"/>
      <c r="AM204" s="19">
        <v>0</v>
      </c>
      <c r="AN204" s="19"/>
      <c r="AO204" s="26">
        <f t="shared" si="40"/>
        <v>826203</v>
      </c>
      <c r="AP204" s="19"/>
      <c r="AQ204" s="26">
        <f t="shared" si="39"/>
        <v>9962186</v>
      </c>
      <c r="AR204" s="26"/>
    </row>
    <row r="205" spans="1:44" hidden="1">
      <c r="A205" s="9" t="s">
        <v>758</v>
      </c>
      <c r="B205" s="9"/>
      <c r="C205" s="9" t="s">
        <v>419</v>
      </c>
      <c r="D205" s="9"/>
      <c r="E205" s="23">
        <v>48595</v>
      </c>
      <c r="F205" s="19"/>
      <c r="G205" s="19">
        <v>0</v>
      </c>
      <c r="H205" s="19"/>
      <c r="I205" s="19">
        <v>0</v>
      </c>
      <c r="J205" s="19"/>
      <c r="K205" s="19">
        <v>0</v>
      </c>
      <c r="L205" s="19"/>
      <c r="M205" s="19">
        <v>0</v>
      </c>
      <c r="N205" s="19"/>
      <c r="O205" s="19">
        <v>0</v>
      </c>
      <c r="P205" s="19"/>
      <c r="Q205" s="19">
        <v>0</v>
      </c>
      <c r="R205" s="19"/>
      <c r="S205" s="19">
        <v>0</v>
      </c>
      <c r="T205" s="19"/>
      <c r="U205" s="19">
        <v>0</v>
      </c>
      <c r="V205" s="19"/>
      <c r="W205" s="19">
        <v>0</v>
      </c>
      <c r="X205" s="19"/>
      <c r="Y205" s="26">
        <f t="shared" si="32"/>
        <v>0</v>
      </c>
      <c r="Z205" s="19"/>
      <c r="AA205" s="19">
        <v>0</v>
      </c>
      <c r="AB205" s="19"/>
      <c r="AC205" s="19">
        <v>0</v>
      </c>
      <c r="AD205" s="19"/>
      <c r="AE205" s="19">
        <v>0</v>
      </c>
      <c r="AF205" s="19"/>
      <c r="AG205" s="19"/>
      <c r="AH205" s="19"/>
      <c r="AI205" s="19"/>
      <c r="AJ205" s="19"/>
      <c r="AK205" s="19">
        <v>0</v>
      </c>
      <c r="AL205" s="19"/>
      <c r="AM205" s="19">
        <v>0</v>
      </c>
      <c r="AN205" s="19"/>
      <c r="AO205" s="26"/>
      <c r="AP205" s="19"/>
      <c r="AQ205" s="26">
        <f t="shared" si="39"/>
        <v>0</v>
      </c>
      <c r="AR205" s="26"/>
    </row>
    <row r="206" spans="1:44" hidden="1">
      <c r="A206" s="9" t="s">
        <v>741</v>
      </c>
      <c r="B206" s="9"/>
      <c r="C206" s="9" t="s">
        <v>60</v>
      </c>
      <c r="D206" s="9"/>
      <c r="E206" s="23">
        <v>43992</v>
      </c>
      <c r="F206" s="19"/>
      <c r="G206" s="19">
        <v>0</v>
      </c>
      <c r="H206" s="19"/>
      <c r="I206" s="19">
        <v>0</v>
      </c>
      <c r="J206" s="19"/>
      <c r="K206" s="19">
        <v>0</v>
      </c>
      <c r="L206" s="19"/>
      <c r="M206" s="19">
        <v>0</v>
      </c>
      <c r="N206" s="19"/>
      <c r="O206" s="19">
        <v>0</v>
      </c>
      <c r="P206" s="19"/>
      <c r="Q206" s="19">
        <v>0</v>
      </c>
      <c r="R206" s="19"/>
      <c r="S206" s="19">
        <v>0</v>
      </c>
      <c r="T206" s="19"/>
      <c r="U206" s="19">
        <v>0</v>
      </c>
      <c r="V206" s="19"/>
      <c r="W206" s="19">
        <v>0</v>
      </c>
      <c r="X206" s="19"/>
      <c r="Y206" s="26">
        <f t="shared" si="32"/>
        <v>0</v>
      </c>
      <c r="Z206" s="19"/>
      <c r="AA206" s="19">
        <v>0</v>
      </c>
      <c r="AB206" s="19"/>
      <c r="AC206" s="19">
        <v>0</v>
      </c>
      <c r="AD206" s="19"/>
      <c r="AE206" s="19">
        <v>0</v>
      </c>
      <c r="AF206" s="19"/>
      <c r="AG206" s="19"/>
      <c r="AH206" s="19"/>
      <c r="AI206" s="19"/>
      <c r="AJ206" s="19"/>
      <c r="AK206" s="19">
        <v>0</v>
      </c>
      <c r="AL206" s="19"/>
      <c r="AM206" s="19">
        <v>0</v>
      </c>
      <c r="AN206" s="19"/>
      <c r="AO206" s="26">
        <f t="shared" ref="AO206:AO237" si="41">AK206+AE206+AA206</f>
        <v>0</v>
      </c>
      <c r="AP206" s="19"/>
      <c r="AQ206" s="26">
        <f t="shared" si="39"/>
        <v>0</v>
      </c>
      <c r="AR206" s="26"/>
    </row>
    <row r="207" spans="1:44">
      <c r="A207" s="9" t="s">
        <v>540</v>
      </c>
      <c r="B207" s="9"/>
      <c r="C207" s="9" t="s">
        <v>69</v>
      </c>
      <c r="D207" s="9"/>
      <c r="E207" s="23">
        <v>44008</v>
      </c>
      <c r="F207" s="19"/>
      <c r="G207" s="19">
        <v>12809021</v>
      </c>
      <c r="H207" s="19"/>
      <c r="I207" s="19">
        <v>0</v>
      </c>
      <c r="J207" s="19"/>
      <c r="K207" s="19">
        <v>16790806</v>
      </c>
      <c r="L207" s="19"/>
      <c r="M207" s="19">
        <v>4449</v>
      </c>
      <c r="N207" s="19"/>
      <c r="O207" s="19">
        <f>1854222+436062+68686</f>
        <v>2358970</v>
      </c>
      <c r="P207" s="19"/>
      <c r="Q207" s="19">
        <v>195459</v>
      </c>
      <c r="R207" s="19"/>
      <c r="S207" s="19">
        <v>96470</v>
      </c>
      <c r="T207" s="19"/>
      <c r="U207" s="19">
        <v>144718</v>
      </c>
      <c r="V207" s="19"/>
      <c r="W207" s="19">
        <v>149657</v>
      </c>
      <c r="X207" s="19"/>
      <c r="Y207" s="26">
        <f t="shared" si="32"/>
        <v>32549550</v>
      </c>
      <c r="Z207" s="19"/>
      <c r="AA207" s="19">
        <v>0</v>
      </c>
      <c r="AB207" s="19"/>
      <c r="AC207" s="19">
        <v>0</v>
      </c>
      <c r="AD207" s="19"/>
      <c r="AE207" s="19">
        <v>0</v>
      </c>
      <c r="AF207" s="19"/>
      <c r="AG207" s="19"/>
      <c r="AH207" s="19"/>
      <c r="AI207" s="19"/>
      <c r="AJ207" s="19"/>
      <c r="AK207" s="19">
        <f>2902+18725</f>
        <v>21627</v>
      </c>
      <c r="AL207" s="19"/>
      <c r="AM207" s="19">
        <v>0</v>
      </c>
      <c r="AN207" s="19"/>
      <c r="AO207" s="26">
        <f>SUM(AA207:AM207)</f>
        <v>21627</v>
      </c>
      <c r="AP207" s="19"/>
      <c r="AQ207" s="26">
        <f t="shared" si="39"/>
        <v>32571177</v>
      </c>
      <c r="AR207" s="26"/>
    </row>
    <row r="208" spans="1:44">
      <c r="A208" s="9" t="s">
        <v>441</v>
      </c>
      <c r="B208" s="9"/>
      <c r="C208" s="9" t="s">
        <v>51</v>
      </c>
      <c r="D208" s="9"/>
      <c r="E208" s="23">
        <v>48843</v>
      </c>
      <c r="F208" s="19"/>
      <c r="G208" s="19">
        <v>7543574</v>
      </c>
      <c r="H208" s="19"/>
      <c r="I208" s="19">
        <v>0</v>
      </c>
      <c r="J208" s="19"/>
      <c r="K208" s="19">
        <v>16051453</v>
      </c>
      <c r="L208" s="19"/>
      <c r="M208" s="19">
        <v>188534</v>
      </c>
      <c r="N208" s="19"/>
      <c r="O208" s="19">
        <f>1316292+386810</f>
        <v>1703102</v>
      </c>
      <c r="P208" s="19"/>
      <c r="Q208" s="19">
        <v>212243</v>
      </c>
      <c r="R208" s="19"/>
      <c r="S208" s="19">
        <v>1613</v>
      </c>
      <c r="T208" s="19"/>
      <c r="U208" s="19">
        <v>160380</v>
      </c>
      <c r="V208" s="19"/>
      <c r="W208" s="19">
        <v>46332</v>
      </c>
      <c r="X208" s="19"/>
      <c r="Y208" s="26">
        <f t="shared" si="32"/>
        <v>25907231</v>
      </c>
      <c r="Z208" s="19"/>
      <c r="AA208" s="19">
        <v>1575000</v>
      </c>
      <c r="AB208" s="19"/>
      <c r="AC208" s="19">
        <v>0</v>
      </c>
      <c r="AD208" s="19"/>
      <c r="AE208" s="19">
        <f>2060000+304984+129580</f>
        <v>2494564</v>
      </c>
      <c r="AF208" s="19"/>
      <c r="AG208" s="19"/>
      <c r="AH208" s="19"/>
      <c r="AI208" s="19"/>
      <c r="AJ208" s="19"/>
      <c r="AK208" s="19">
        <v>0</v>
      </c>
      <c r="AL208" s="19"/>
      <c r="AM208" s="19">
        <v>0</v>
      </c>
      <c r="AN208" s="19"/>
      <c r="AO208" s="26">
        <f t="shared" si="41"/>
        <v>4069564</v>
      </c>
      <c r="AP208" s="19"/>
      <c r="AQ208" s="26">
        <f t="shared" si="39"/>
        <v>29976795</v>
      </c>
      <c r="AR208" s="26"/>
    </row>
    <row r="209" spans="1:44" hidden="1">
      <c r="A209" s="9" t="s">
        <v>610</v>
      </c>
      <c r="B209" s="9"/>
      <c r="C209" s="9" t="s">
        <v>21</v>
      </c>
      <c r="D209" s="9"/>
      <c r="E209" s="23">
        <v>46649</v>
      </c>
      <c r="F209" s="19"/>
      <c r="G209" s="19">
        <v>0</v>
      </c>
      <c r="H209" s="19"/>
      <c r="I209" s="19">
        <v>0</v>
      </c>
      <c r="J209" s="19"/>
      <c r="K209" s="19">
        <v>0</v>
      </c>
      <c r="L209" s="19"/>
      <c r="M209" s="19">
        <v>0</v>
      </c>
      <c r="N209" s="19"/>
      <c r="O209" s="19">
        <v>0</v>
      </c>
      <c r="P209" s="19"/>
      <c r="Q209" s="19">
        <v>0</v>
      </c>
      <c r="R209" s="19"/>
      <c r="S209" s="19">
        <v>0</v>
      </c>
      <c r="T209" s="19"/>
      <c r="U209" s="19">
        <v>0</v>
      </c>
      <c r="V209" s="19"/>
      <c r="W209" s="19">
        <v>0</v>
      </c>
      <c r="X209" s="19"/>
      <c r="Y209" s="26">
        <f t="shared" si="32"/>
        <v>0</v>
      </c>
      <c r="Z209" s="19"/>
      <c r="AA209" s="19">
        <v>0</v>
      </c>
      <c r="AB209" s="19"/>
      <c r="AC209" s="19">
        <v>0</v>
      </c>
      <c r="AD209" s="19"/>
      <c r="AE209" s="19">
        <v>0</v>
      </c>
      <c r="AF209" s="19"/>
      <c r="AG209" s="19"/>
      <c r="AH209" s="19"/>
      <c r="AI209" s="19"/>
      <c r="AJ209" s="19"/>
      <c r="AK209" s="19">
        <v>0</v>
      </c>
      <c r="AL209" s="19"/>
      <c r="AM209" s="19">
        <v>0</v>
      </c>
      <c r="AN209" s="19"/>
      <c r="AO209" s="26">
        <f t="shared" si="41"/>
        <v>0</v>
      </c>
      <c r="AP209" s="19"/>
      <c r="AQ209" s="26">
        <f t="shared" si="39"/>
        <v>0</v>
      </c>
      <c r="AR209" s="26"/>
    </row>
    <row r="210" spans="1:44" hidden="1">
      <c r="A210" s="9" t="s">
        <v>659</v>
      </c>
      <c r="B210" s="9"/>
      <c r="C210" s="9" t="s">
        <v>40</v>
      </c>
      <c r="D210" s="9"/>
      <c r="E210" s="23">
        <v>47852</v>
      </c>
      <c r="F210" s="19"/>
      <c r="G210" s="19">
        <v>0</v>
      </c>
      <c r="H210" s="19"/>
      <c r="I210" s="19">
        <v>0</v>
      </c>
      <c r="J210" s="19"/>
      <c r="K210" s="19">
        <v>0</v>
      </c>
      <c r="L210" s="19"/>
      <c r="M210" s="19">
        <v>0</v>
      </c>
      <c r="N210" s="19"/>
      <c r="O210" s="19">
        <v>0</v>
      </c>
      <c r="P210" s="19"/>
      <c r="Q210" s="19">
        <v>0</v>
      </c>
      <c r="R210" s="19"/>
      <c r="S210" s="19">
        <v>0</v>
      </c>
      <c r="T210" s="19"/>
      <c r="U210" s="19">
        <v>0</v>
      </c>
      <c r="V210" s="19"/>
      <c r="W210" s="19">
        <v>0</v>
      </c>
      <c r="X210" s="19"/>
      <c r="Y210" s="26">
        <f t="shared" si="32"/>
        <v>0</v>
      </c>
      <c r="Z210" s="19"/>
      <c r="AA210" s="19">
        <v>0</v>
      </c>
      <c r="AB210" s="19"/>
      <c r="AC210" s="19">
        <v>0</v>
      </c>
      <c r="AD210" s="19"/>
      <c r="AE210" s="19">
        <v>0</v>
      </c>
      <c r="AF210" s="19"/>
      <c r="AG210" s="19"/>
      <c r="AH210" s="19"/>
      <c r="AI210" s="19"/>
      <c r="AJ210" s="19"/>
      <c r="AK210" s="19">
        <v>0</v>
      </c>
      <c r="AL210" s="19"/>
      <c r="AM210" s="19">
        <v>0</v>
      </c>
      <c r="AN210" s="19"/>
      <c r="AO210" s="26">
        <f t="shared" si="41"/>
        <v>0</v>
      </c>
      <c r="AP210" s="19"/>
      <c r="AQ210" s="26">
        <f t="shared" si="39"/>
        <v>0</v>
      </c>
      <c r="AR210" s="26"/>
    </row>
    <row r="211" spans="1:44">
      <c r="A211" s="9" t="s">
        <v>639</v>
      </c>
      <c r="B211" s="9"/>
      <c r="C211" s="9" t="s">
        <v>79</v>
      </c>
      <c r="D211" s="9"/>
      <c r="E211" s="23">
        <v>44016</v>
      </c>
      <c r="F211" s="19"/>
      <c r="G211" s="19">
        <v>12103243</v>
      </c>
      <c r="H211" s="19"/>
      <c r="I211" s="19">
        <v>7209225</v>
      </c>
      <c r="J211" s="19"/>
      <c r="K211" s="19">
        <v>21153566</v>
      </c>
      <c r="L211" s="19"/>
      <c r="M211" s="19">
        <v>32739</v>
      </c>
      <c r="N211" s="19"/>
      <c r="O211" s="19">
        <f>783493+537817+25176</f>
        <v>1346486</v>
      </c>
      <c r="P211" s="19"/>
      <c r="Q211" s="19">
        <v>386083</v>
      </c>
      <c r="R211" s="19"/>
      <c r="S211" s="19">
        <v>712520</v>
      </c>
      <c r="T211" s="19"/>
      <c r="U211" s="19">
        <v>58069</v>
      </c>
      <c r="V211" s="19"/>
      <c r="W211" s="19">
        <v>184424</v>
      </c>
      <c r="X211" s="19"/>
      <c r="Y211" s="26">
        <f t="shared" si="32"/>
        <v>43186355</v>
      </c>
      <c r="Z211" s="19"/>
      <c r="AA211" s="19">
        <v>3853</v>
      </c>
      <c r="AB211" s="19"/>
      <c r="AC211" s="19">
        <v>0</v>
      </c>
      <c r="AD211" s="19"/>
      <c r="AE211" s="19">
        <v>0</v>
      </c>
      <c r="AF211" s="19"/>
      <c r="AG211" s="19"/>
      <c r="AH211" s="19"/>
      <c r="AI211" s="19"/>
      <c r="AJ211" s="19"/>
      <c r="AK211" s="19">
        <v>3051</v>
      </c>
      <c r="AL211" s="19"/>
      <c r="AM211" s="19">
        <v>0</v>
      </c>
      <c r="AN211" s="19"/>
      <c r="AO211" s="26">
        <f>SUM(AA211:AM211)</f>
        <v>6904</v>
      </c>
      <c r="AP211" s="19"/>
      <c r="AQ211" s="26">
        <f t="shared" si="39"/>
        <v>43193259</v>
      </c>
      <c r="AR211" s="26"/>
    </row>
    <row r="212" spans="1:44">
      <c r="A212" s="9" t="s">
        <v>544</v>
      </c>
      <c r="B212" s="9"/>
      <c r="C212" s="9" t="s">
        <v>70</v>
      </c>
      <c r="D212" s="9"/>
      <c r="E212" s="23">
        <v>50492</v>
      </c>
      <c r="F212" s="19"/>
      <c r="G212" s="19">
        <v>1406197</v>
      </c>
      <c r="H212" s="19"/>
      <c r="I212" s="19">
        <v>0</v>
      </c>
      <c r="J212" s="19"/>
      <c r="K212" s="19">
        <f>5485643+831985</f>
        <v>6317628</v>
      </c>
      <c r="L212" s="19"/>
      <c r="M212" s="19">
        <v>5221</v>
      </c>
      <c r="N212" s="19"/>
      <c r="O212" s="19">
        <f>102237+95749+11139</f>
        <v>209125</v>
      </c>
      <c r="P212" s="19"/>
      <c r="Q212" s="19">
        <v>52668</v>
      </c>
      <c r="R212" s="19"/>
      <c r="S212" s="19">
        <v>45025</v>
      </c>
      <c r="T212" s="19"/>
      <c r="U212" s="19">
        <v>17973</v>
      </c>
      <c r="V212" s="19"/>
      <c r="W212" s="19">
        <v>93126</v>
      </c>
      <c r="X212" s="19"/>
      <c r="Y212" s="26">
        <f t="shared" si="32"/>
        <v>8146963</v>
      </c>
      <c r="Z212" s="19"/>
      <c r="AA212" s="19">
        <v>58385</v>
      </c>
      <c r="AB212" s="19"/>
      <c r="AC212" s="19">
        <v>0</v>
      </c>
      <c r="AD212" s="19"/>
      <c r="AE212" s="19">
        <v>0</v>
      </c>
      <c r="AF212" s="19"/>
      <c r="AG212" s="19"/>
      <c r="AH212" s="19"/>
      <c r="AI212" s="19"/>
      <c r="AJ212" s="19"/>
      <c r="AK212" s="19">
        <v>173894</v>
      </c>
      <c r="AL212" s="19"/>
      <c r="AM212" s="19">
        <v>0</v>
      </c>
      <c r="AN212" s="19"/>
      <c r="AO212" s="26">
        <f t="shared" si="41"/>
        <v>232279</v>
      </c>
      <c r="AP212" s="19"/>
      <c r="AQ212" s="26">
        <f t="shared" si="39"/>
        <v>8379242</v>
      </c>
      <c r="AR212" s="26"/>
    </row>
    <row r="213" spans="1:44">
      <c r="A213" s="9" t="s">
        <v>636</v>
      </c>
      <c r="B213" s="9"/>
      <c r="C213" s="9" t="s">
        <v>27</v>
      </c>
      <c r="D213" s="9"/>
      <c r="E213" s="23">
        <v>46961</v>
      </c>
      <c r="F213" s="19"/>
      <c r="G213" s="19">
        <v>50509779</v>
      </c>
      <c r="H213" s="19"/>
      <c r="I213" s="19">
        <v>0</v>
      </c>
      <c r="J213" s="19"/>
      <c r="K213" s="19">
        <v>24800878</v>
      </c>
      <c r="L213" s="19"/>
      <c r="M213" s="19">
        <v>24142</v>
      </c>
      <c r="N213" s="19"/>
      <c r="O213" s="19">
        <v>2408371</v>
      </c>
      <c r="P213" s="19"/>
      <c r="Q213" s="19">
        <v>0</v>
      </c>
      <c r="R213" s="19"/>
      <c r="S213" s="19">
        <v>6113186</v>
      </c>
      <c r="T213" s="19"/>
      <c r="U213" s="19">
        <v>0</v>
      </c>
      <c r="V213" s="19"/>
      <c r="W213" s="19">
        <v>2261785</v>
      </c>
      <c r="X213" s="19"/>
      <c r="Y213" s="26">
        <f t="shared" si="32"/>
        <v>86118141</v>
      </c>
      <c r="Z213" s="19"/>
      <c r="AA213" s="19">
        <v>1554187</v>
      </c>
      <c r="AB213" s="19"/>
      <c r="AC213" s="19">
        <v>0</v>
      </c>
      <c r="AD213" s="19"/>
      <c r="AE213" s="19">
        <v>11134067</v>
      </c>
      <c r="AF213" s="19"/>
      <c r="AG213" s="19"/>
      <c r="AH213" s="19"/>
      <c r="AI213" s="19"/>
      <c r="AJ213" s="19"/>
      <c r="AK213" s="19">
        <v>0</v>
      </c>
      <c r="AL213" s="19"/>
      <c r="AM213" s="19">
        <v>0</v>
      </c>
      <c r="AN213" s="19"/>
      <c r="AO213" s="26">
        <f t="shared" si="41"/>
        <v>12688254</v>
      </c>
      <c r="AP213" s="19"/>
      <c r="AQ213" s="26">
        <f t="shared" si="39"/>
        <v>98806395</v>
      </c>
      <c r="AR213" s="26"/>
    </row>
    <row r="214" spans="1:44">
      <c r="A214" s="9" t="s">
        <v>257</v>
      </c>
      <c r="B214" s="9"/>
      <c r="C214" s="9" t="s">
        <v>110</v>
      </c>
      <c r="D214" s="9"/>
      <c r="E214" s="23">
        <v>44024</v>
      </c>
      <c r="F214" s="19"/>
      <c r="G214" s="19">
        <v>5267157</v>
      </c>
      <c r="H214" s="19"/>
      <c r="I214" s="19">
        <v>0</v>
      </c>
      <c r="J214" s="19"/>
      <c r="K214" s="19">
        <v>13257239</v>
      </c>
      <c r="L214" s="19"/>
      <c r="M214" s="19">
        <v>5757</v>
      </c>
      <c r="N214" s="19"/>
      <c r="O214" s="19">
        <v>856232</v>
      </c>
      <c r="P214" s="19"/>
      <c r="Q214" s="19">
        <v>150560</v>
      </c>
      <c r="R214" s="19"/>
      <c r="S214" s="19">
        <v>36757</v>
      </c>
      <c r="T214" s="19"/>
      <c r="U214" s="19">
        <v>20388</v>
      </c>
      <c r="V214" s="19"/>
      <c r="W214" s="19">
        <v>222114</v>
      </c>
      <c r="X214" s="19"/>
      <c r="Y214" s="26">
        <f t="shared" si="32"/>
        <v>19816204</v>
      </c>
      <c r="Z214" s="19"/>
      <c r="AA214" s="19">
        <v>41406</v>
      </c>
      <c r="AB214" s="19"/>
      <c r="AC214" s="19">
        <v>0</v>
      </c>
      <c r="AD214" s="19"/>
      <c r="AE214" s="19">
        <v>9670586</v>
      </c>
      <c r="AF214" s="19"/>
      <c r="AG214" s="19"/>
      <c r="AH214" s="19"/>
      <c r="AI214" s="19"/>
      <c r="AJ214" s="19"/>
      <c r="AK214" s="19">
        <v>4000</v>
      </c>
      <c r="AL214" s="19"/>
      <c r="AM214" s="19">
        <v>0</v>
      </c>
      <c r="AN214" s="19"/>
      <c r="AO214" s="26">
        <f>SUM(AA214:AM214)</f>
        <v>9715992</v>
      </c>
      <c r="AP214" s="19"/>
      <c r="AQ214" s="26">
        <f t="shared" si="39"/>
        <v>29532196</v>
      </c>
      <c r="AR214" s="26"/>
    </row>
    <row r="215" spans="1:44">
      <c r="A215" s="9" t="s">
        <v>637</v>
      </c>
      <c r="B215" s="9"/>
      <c r="C215" s="9" t="s">
        <v>29</v>
      </c>
      <c r="D215" s="9"/>
      <c r="E215" s="23">
        <v>65680</v>
      </c>
      <c r="F215" s="19"/>
      <c r="G215" s="19">
        <v>12573259</v>
      </c>
      <c r="H215" s="19"/>
      <c r="I215" s="19">
        <v>0</v>
      </c>
      <c r="J215" s="19"/>
      <c r="K215" s="19">
        <v>15209974</v>
      </c>
      <c r="L215" s="19"/>
      <c r="M215" s="19">
        <v>209419</v>
      </c>
      <c r="N215" s="19"/>
      <c r="O215" s="19">
        <v>1190001</v>
      </c>
      <c r="P215" s="19"/>
      <c r="Q215" s="19">
        <v>201659</v>
      </c>
      <c r="R215" s="19"/>
      <c r="S215" s="19">
        <v>0</v>
      </c>
      <c r="T215" s="19"/>
      <c r="U215" s="19">
        <v>0</v>
      </c>
      <c r="V215" s="19"/>
      <c r="W215" s="19">
        <v>379667</v>
      </c>
      <c r="X215" s="19"/>
      <c r="Y215" s="26">
        <f t="shared" si="32"/>
        <v>29763979</v>
      </c>
      <c r="Z215" s="19"/>
      <c r="AA215" s="19">
        <v>0</v>
      </c>
      <c r="AB215" s="19"/>
      <c r="AC215" s="19">
        <v>0</v>
      </c>
      <c r="AD215" s="19"/>
      <c r="AE215" s="19">
        <v>15942</v>
      </c>
      <c r="AF215" s="19"/>
      <c r="AG215" s="19"/>
      <c r="AH215" s="19"/>
      <c r="AI215" s="19"/>
      <c r="AJ215" s="19"/>
      <c r="AK215" s="19">
        <v>4000</v>
      </c>
      <c r="AL215" s="19"/>
      <c r="AM215" s="19">
        <v>0</v>
      </c>
      <c r="AN215" s="19"/>
      <c r="AO215" s="26">
        <f t="shared" si="41"/>
        <v>19942</v>
      </c>
      <c r="AP215" s="19"/>
      <c r="AQ215" s="26">
        <f t="shared" si="39"/>
        <v>29783921</v>
      </c>
      <c r="AR215" s="26"/>
    </row>
    <row r="216" spans="1:44">
      <c r="A216" s="9" t="s">
        <v>311</v>
      </c>
      <c r="B216" s="9"/>
      <c r="C216" s="9" t="s">
        <v>29</v>
      </c>
      <c r="D216" s="9"/>
      <c r="E216" s="23">
        <v>44032</v>
      </c>
      <c r="F216" s="19"/>
      <c r="G216" s="19">
        <v>6475399</v>
      </c>
      <c r="H216" s="19"/>
      <c r="I216" s="19">
        <v>0</v>
      </c>
      <c r="J216" s="19"/>
      <c r="K216" s="19">
        <v>15875615</v>
      </c>
      <c r="L216" s="19"/>
      <c r="M216" s="19">
        <v>41060</v>
      </c>
      <c r="N216" s="19"/>
      <c r="O216" s="19">
        <v>1618635</v>
      </c>
      <c r="P216" s="19"/>
      <c r="Q216" s="19">
        <v>204393</v>
      </c>
      <c r="R216" s="19"/>
      <c r="S216" s="19">
        <v>0</v>
      </c>
      <c r="T216" s="19"/>
      <c r="U216" s="19">
        <v>142324</v>
      </c>
      <c r="V216" s="19"/>
      <c r="W216" s="19">
        <v>212957</v>
      </c>
      <c r="X216" s="19"/>
      <c r="Y216" s="26">
        <f t="shared" si="32"/>
        <v>24570383</v>
      </c>
      <c r="Z216" s="19"/>
      <c r="AA216" s="19">
        <v>44</v>
      </c>
      <c r="AB216" s="19"/>
      <c r="AC216" s="19">
        <v>0</v>
      </c>
      <c r="AD216" s="19"/>
      <c r="AE216" s="19">
        <v>19977634</v>
      </c>
      <c r="AF216" s="19"/>
      <c r="AG216" s="19"/>
      <c r="AH216" s="19"/>
      <c r="AI216" s="19"/>
      <c r="AJ216" s="19"/>
      <c r="AK216" s="19">
        <v>41069</v>
      </c>
      <c r="AL216" s="19"/>
      <c r="AM216" s="19">
        <v>0</v>
      </c>
      <c r="AN216" s="19"/>
      <c r="AO216" s="26">
        <f t="shared" si="41"/>
        <v>20018747</v>
      </c>
      <c r="AP216" s="19"/>
      <c r="AQ216" s="26">
        <f t="shared" si="39"/>
        <v>44589130</v>
      </c>
      <c r="AR216" s="26"/>
    </row>
    <row r="217" spans="1:44">
      <c r="A217" s="9" t="s">
        <v>531</v>
      </c>
      <c r="B217" s="9"/>
      <c r="C217" s="9" t="s">
        <v>65</v>
      </c>
      <c r="D217" s="9"/>
      <c r="E217" s="23">
        <v>50278</v>
      </c>
      <c r="F217" s="19"/>
      <c r="G217" s="19">
        <v>5381954</v>
      </c>
      <c r="H217" s="19"/>
      <c r="I217" s="19">
        <v>0</v>
      </c>
      <c r="J217" s="19"/>
      <c r="K217" s="19">
        <v>5651948</v>
      </c>
      <c r="L217" s="19"/>
      <c r="M217" s="19">
        <v>4121</v>
      </c>
      <c r="N217" s="19"/>
      <c r="O217" s="19">
        <v>942327</v>
      </c>
      <c r="P217" s="19"/>
      <c r="Q217" s="19">
        <v>142691</v>
      </c>
      <c r="R217" s="19"/>
      <c r="S217" s="19">
        <v>0</v>
      </c>
      <c r="T217" s="19"/>
      <c r="U217" s="19">
        <v>32340</v>
      </c>
      <c r="V217" s="19"/>
      <c r="W217" s="19">
        <v>28863</v>
      </c>
      <c r="X217" s="19"/>
      <c r="Y217" s="26">
        <f t="shared" si="32"/>
        <v>12184244</v>
      </c>
      <c r="Z217" s="19"/>
      <c r="AA217" s="19">
        <v>20000</v>
      </c>
      <c r="AB217" s="19"/>
      <c r="AC217" s="19">
        <v>0</v>
      </c>
      <c r="AD217" s="19"/>
      <c r="AE217" s="19">
        <v>0</v>
      </c>
      <c r="AF217" s="19"/>
      <c r="AG217" s="19"/>
      <c r="AH217" s="19"/>
      <c r="AI217" s="19"/>
      <c r="AJ217" s="19"/>
      <c r="AK217" s="19">
        <v>0</v>
      </c>
      <c r="AL217" s="19"/>
      <c r="AM217" s="19">
        <v>0</v>
      </c>
      <c r="AN217" s="19"/>
      <c r="AO217" s="26">
        <f t="shared" si="41"/>
        <v>20000</v>
      </c>
      <c r="AP217" s="19"/>
      <c r="AQ217" s="26">
        <f t="shared" si="39"/>
        <v>12204244</v>
      </c>
      <c r="AR217" s="26"/>
    </row>
    <row r="218" spans="1:44">
      <c r="A218" s="9" t="s">
        <v>673</v>
      </c>
      <c r="B218" s="9"/>
      <c r="C218" s="9" t="s">
        <v>20</v>
      </c>
      <c r="D218" s="9"/>
      <c r="E218" s="23">
        <v>44040</v>
      </c>
      <c r="F218" s="19"/>
      <c r="G218" s="19">
        <v>16987428</v>
      </c>
      <c r="H218" s="19"/>
      <c r="I218" s="19">
        <v>0</v>
      </c>
      <c r="J218" s="19"/>
      <c r="K218" s="19">
        <v>26329471</v>
      </c>
      <c r="L218" s="19"/>
      <c r="M218" s="19">
        <v>152477</v>
      </c>
      <c r="N218" s="19"/>
      <c r="O218" s="19">
        <v>760791</v>
      </c>
      <c r="P218" s="19"/>
      <c r="Q218" s="19">
        <v>117070</v>
      </c>
      <c r="R218" s="19"/>
      <c r="S218" s="19">
        <v>356411</v>
      </c>
      <c r="T218" s="19"/>
      <c r="U218" s="19">
        <v>21681</v>
      </c>
      <c r="V218" s="19"/>
      <c r="W218" s="19">
        <v>166379</v>
      </c>
      <c r="X218" s="19"/>
      <c r="Y218" s="26">
        <f t="shared" si="32"/>
        <v>44891708</v>
      </c>
      <c r="Z218" s="19"/>
      <c r="AA218" s="19">
        <v>1401460</v>
      </c>
      <c r="AB218" s="19"/>
      <c r="AC218" s="19">
        <v>0</v>
      </c>
      <c r="AD218" s="19"/>
      <c r="AE218" s="19">
        <v>7511433</v>
      </c>
      <c r="AF218" s="19"/>
      <c r="AG218" s="19"/>
      <c r="AH218" s="19"/>
      <c r="AI218" s="19"/>
      <c r="AJ218" s="19"/>
      <c r="AK218" s="19">
        <v>0</v>
      </c>
      <c r="AL218" s="19"/>
      <c r="AM218" s="19">
        <v>0</v>
      </c>
      <c r="AN218" s="19"/>
      <c r="AO218" s="26">
        <f t="shared" si="41"/>
        <v>8912893</v>
      </c>
      <c r="AP218" s="19"/>
      <c r="AQ218" s="26">
        <f t="shared" si="39"/>
        <v>53804601</v>
      </c>
      <c r="AR218" s="26"/>
    </row>
    <row r="219" spans="1:44">
      <c r="A219" s="9" t="s">
        <v>638</v>
      </c>
      <c r="B219" s="9"/>
      <c r="C219" s="9" t="s">
        <v>12</v>
      </c>
      <c r="D219" s="9"/>
      <c r="E219" s="23">
        <v>44057</v>
      </c>
      <c r="F219" s="19"/>
      <c r="G219" s="19">
        <v>5930152</v>
      </c>
      <c r="H219" s="19"/>
      <c r="I219" s="19">
        <v>0</v>
      </c>
      <c r="J219" s="19"/>
      <c r="K219" s="19">
        <v>15861574</v>
      </c>
      <c r="L219" s="19"/>
      <c r="M219" s="19">
        <v>24272</v>
      </c>
      <c r="N219" s="19"/>
      <c r="O219" s="19">
        <f>1727506+340918+474</f>
        <v>2068898</v>
      </c>
      <c r="P219" s="19"/>
      <c r="Q219" s="19">
        <v>191797</v>
      </c>
      <c r="R219" s="19"/>
      <c r="S219" s="19">
        <v>114696</v>
      </c>
      <c r="T219" s="19"/>
      <c r="U219" s="19">
        <v>31615</v>
      </c>
      <c r="V219" s="19"/>
      <c r="W219" s="19">
        <v>1665733</v>
      </c>
      <c r="X219" s="19"/>
      <c r="Y219" s="26">
        <f t="shared" si="32"/>
        <v>25888737</v>
      </c>
      <c r="Z219" s="19"/>
      <c r="AA219" s="19">
        <v>63397</v>
      </c>
      <c r="AB219" s="19"/>
      <c r="AC219" s="19">
        <v>0</v>
      </c>
      <c r="AD219" s="19"/>
      <c r="AE219" s="19">
        <v>0</v>
      </c>
      <c r="AF219" s="19"/>
      <c r="AG219" s="19"/>
      <c r="AH219" s="19"/>
      <c r="AI219" s="19"/>
      <c r="AJ219" s="19"/>
      <c r="AK219" s="19">
        <v>228952</v>
      </c>
      <c r="AL219" s="19"/>
      <c r="AM219" s="19">
        <v>0</v>
      </c>
      <c r="AN219" s="19"/>
      <c r="AO219" s="26">
        <f t="shared" si="41"/>
        <v>292349</v>
      </c>
      <c r="AP219" s="19"/>
      <c r="AQ219" s="26">
        <f t="shared" si="39"/>
        <v>26181086</v>
      </c>
      <c r="AR219" s="26"/>
    </row>
    <row r="220" spans="1:44" hidden="1">
      <c r="A220" s="9" t="s">
        <v>826</v>
      </c>
      <c r="B220" s="9"/>
      <c r="C220" s="9" t="s">
        <v>53</v>
      </c>
      <c r="D220" s="9"/>
      <c r="E220" s="23">
        <v>48942</v>
      </c>
      <c r="F220" s="19"/>
      <c r="G220" s="19">
        <v>0</v>
      </c>
      <c r="H220" s="19"/>
      <c r="I220" s="19">
        <v>0</v>
      </c>
      <c r="J220" s="19"/>
      <c r="K220" s="19">
        <v>0</v>
      </c>
      <c r="L220" s="19"/>
      <c r="M220" s="19">
        <v>0</v>
      </c>
      <c r="N220" s="19"/>
      <c r="O220" s="19">
        <v>0</v>
      </c>
      <c r="P220" s="19"/>
      <c r="Q220" s="19">
        <v>0</v>
      </c>
      <c r="R220" s="19"/>
      <c r="S220" s="19">
        <v>0</v>
      </c>
      <c r="T220" s="19"/>
      <c r="U220" s="19">
        <v>0</v>
      </c>
      <c r="V220" s="19"/>
      <c r="W220" s="19">
        <v>0</v>
      </c>
      <c r="X220" s="19"/>
      <c r="Y220" s="26">
        <f t="shared" si="32"/>
        <v>0</v>
      </c>
      <c r="Z220" s="19"/>
      <c r="AA220" s="19">
        <v>0</v>
      </c>
      <c r="AB220" s="19"/>
      <c r="AC220" s="19">
        <v>0</v>
      </c>
      <c r="AD220" s="19"/>
      <c r="AE220" s="19">
        <v>0</v>
      </c>
      <c r="AF220" s="19"/>
      <c r="AG220" s="19"/>
      <c r="AH220" s="19"/>
      <c r="AI220" s="19"/>
      <c r="AJ220" s="19"/>
      <c r="AK220" s="19">
        <v>0</v>
      </c>
      <c r="AL220" s="19"/>
      <c r="AM220" s="19">
        <v>0</v>
      </c>
      <c r="AN220" s="19"/>
      <c r="AO220" s="26">
        <f t="shared" si="41"/>
        <v>0</v>
      </c>
      <c r="AP220" s="19"/>
      <c r="AQ220" s="26">
        <f t="shared" si="39"/>
        <v>0</v>
      </c>
      <c r="AR220" s="26"/>
    </row>
    <row r="221" spans="1:44" hidden="1">
      <c r="A221" s="9" t="s">
        <v>660</v>
      </c>
      <c r="B221" s="9"/>
      <c r="C221" s="9" t="s">
        <v>77</v>
      </c>
      <c r="D221" s="9"/>
      <c r="E221" s="23">
        <v>45377</v>
      </c>
      <c r="F221" s="19"/>
      <c r="G221" s="19">
        <v>0</v>
      </c>
      <c r="H221" s="19"/>
      <c r="I221" s="19">
        <v>0</v>
      </c>
      <c r="J221" s="19"/>
      <c r="K221" s="19">
        <v>0</v>
      </c>
      <c r="L221" s="19"/>
      <c r="M221" s="19">
        <v>0</v>
      </c>
      <c r="N221" s="19"/>
      <c r="O221" s="19">
        <v>0</v>
      </c>
      <c r="P221" s="19"/>
      <c r="Q221" s="19">
        <v>0</v>
      </c>
      <c r="R221" s="19"/>
      <c r="S221" s="19">
        <v>0</v>
      </c>
      <c r="T221" s="19"/>
      <c r="U221" s="19">
        <v>0</v>
      </c>
      <c r="V221" s="19"/>
      <c r="W221" s="19">
        <v>0</v>
      </c>
      <c r="X221" s="19"/>
      <c r="Y221" s="26">
        <f t="shared" si="32"/>
        <v>0</v>
      </c>
      <c r="Z221" s="19"/>
      <c r="AA221" s="19">
        <v>0</v>
      </c>
      <c r="AB221" s="19"/>
      <c r="AC221" s="19">
        <v>0</v>
      </c>
      <c r="AD221" s="19"/>
      <c r="AE221" s="19">
        <v>0</v>
      </c>
      <c r="AF221" s="19"/>
      <c r="AG221" s="19"/>
      <c r="AH221" s="19"/>
      <c r="AI221" s="19"/>
      <c r="AJ221" s="19"/>
      <c r="AK221" s="19">
        <v>0</v>
      </c>
      <c r="AL221" s="19"/>
      <c r="AM221" s="19">
        <v>0</v>
      </c>
      <c r="AN221" s="19"/>
      <c r="AO221" s="26">
        <f t="shared" si="41"/>
        <v>0</v>
      </c>
      <c r="AP221" s="19"/>
      <c r="AQ221" s="26">
        <f t="shared" si="39"/>
        <v>0</v>
      </c>
      <c r="AR221" s="26"/>
    </row>
    <row r="222" spans="1:44">
      <c r="A222" s="9" t="s">
        <v>742</v>
      </c>
      <c r="B222" s="9"/>
      <c r="C222" s="9" t="s">
        <v>79</v>
      </c>
      <c r="D222" s="9"/>
      <c r="E222" s="23">
        <v>45385</v>
      </c>
      <c r="F222" s="19"/>
      <c r="G222" s="19">
        <v>2477728</v>
      </c>
      <c r="H222" s="19"/>
      <c r="I222" s="19">
        <v>0</v>
      </c>
      <c r="J222" s="19"/>
      <c r="K222" s="19">
        <f>6049403+583798</f>
        <v>6633201</v>
      </c>
      <c r="L222" s="19"/>
      <c r="M222" s="19">
        <v>3759</v>
      </c>
      <c r="N222" s="19"/>
      <c r="O222" s="19">
        <f>415506+275182+43048</f>
        <v>733736</v>
      </c>
      <c r="P222" s="19"/>
      <c r="Q222" s="19">
        <v>70191</v>
      </c>
      <c r="R222" s="19"/>
      <c r="S222" s="19">
        <v>0</v>
      </c>
      <c r="T222" s="19"/>
      <c r="U222" s="19">
        <v>29560</v>
      </c>
      <c r="V222" s="19"/>
      <c r="W222" s="19">
        <v>11748</v>
      </c>
      <c r="X222" s="19"/>
      <c r="Y222" s="26">
        <f t="shared" si="32"/>
        <v>9959923</v>
      </c>
      <c r="Z222" s="19"/>
      <c r="AA222" s="19">
        <v>0</v>
      </c>
      <c r="AB222" s="19"/>
      <c r="AC222" s="19">
        <v>0</v>
      </c>
      <c r="AD222" s="19"/>
      <c r="AE222" s="19">
        <v>0</v>
      </c>
      <c r="AF222" s="19"/>
      <c r="AG222" s="19"/>
      <c r="AH222" s="19"/>
      <c r="AI222" s="19"/>
      <c r="AJ222" s="19"/>
      <c r="AK222" s="19">
        <v>0</v>
      </c>
      <c r="AL222" s="19"/>
      <c r="AM222" s="19">
        <v>0</v>
      </c>
      <c r="AN222" s="19"/>
      <c r="AO222" s="26">
        <f t="shared" si="41"/>
        <v>0</v>
      </c>
      <c r="AP222" s="19"/>
      <c r="AQ222" s="26">
        <f t="shared" si="39"/>
        <v>9959923</v>
      </c>
      <c r="AR222" s="26"/>
    </row>
    <row r="223" spans="1:44">
      <c r="A223" s="9" t="s">
        <v>517</v>
      </c>
      <c r="B223" s="9"/>
      <c r="C223" s="9" t="s">
        <v>64</v>
      </c>
      <c r="D223" s="9"/>
      <c r="E223" s="23">
        <v>44065</v>
      </c>
      <c r="F223" s="19"/>
      <c r="G223" s="19">
        <v>4721994</v>
      </c>
      <c r="H223" s="19"/>
      <c r="I223" s="19">
        <v>0</v>
      </c>
      <c r="J223" s="19"/>
      <c r="K223" s="19">
        <f>9397308+1619927</f>
        <v>11017235</v>
      </c>
      <c r="L223" s="19"/>
      <c r="M223" s="19">
        <v>30211</v>
      </c>
      <c r="N223" s="19"/>
      <c r="O223" s="19">
        <f>597217+28645+159324+689+7050+16327</f>
        <v>809252</v>
      </c>
      <c r="P223" s="19"/>
      <c r="Q223" s="19">
        <v>126973</v>
      </c>
      <c r="R223" s="19"/>
      <c r="S223" s="19">
        <v>372787</v>
      </c>
      <c r="T223" s="19"/>
      <c r="U223" s="19">
        <v>6520</v>
      </c>
      <c r="V223" s="19"/>
      <c r="W223" s="19">
        <v>82947</v>
      </c>
      <c r="X223" s="19"/>
      <c r="Y223" s="26">
        <f t="shared" si="32"/>
        <v>17167919</v>
      </c>
      <c r="Z223" s="19"/>
      <c r="AA223" s="19">
        <v>93280</v>
      </c>
      <c r="AB223" s="19"/>
      <c r="AC223" s="19">
        <v>0</v>
      </c>
      <c r="AD223" s="19"/>
      <c r="AE223" s="19">
        <v>0</v>
      </c>
      <c r="AF223" s="19"/>
      <c r="AG223" s="19"/>
      <c r="AH223" s="19"/>
      <c r="AI223" s="19"/>
      <c r="AJ223" s="19"/>
      <c r="AK223" s="19">
        <v>0</v>
      </c>
      <c r="AL223" s="19"/>
      <c r="AM223" s="19">
        <v>0</v>
      </c>
      <c r="AN223" s="19"/>
      <c r="AO223" s="26">
        <f t="shared" si="41"/>
        <v>93280</v>
      </c>
      <c r="AP223" s="19"/>
      <c r="AQ223" s="26">
        <f t="shared" si="39"/>
        <v>17261199</v>
      </c>
      <c r="AR223" s="26"/>
    </row>
    <row r="224" spans="1:44" hidden="1">
      <c r="A224" s="9" t="s">
        <v>784</v>
      </c>
      <c r="B224" s="9"/>
      <c r="C224" s="9" t="s">
        <v>28</v>
      </c>
      <c r="D224" s="9"/>
      <c r="E224" s="23">
        <v>47068</v>
      </c>
      <c r="F224" s="19"/>
      <c r="G224" s="19">
        <v>0</v>
      </c>
      <c r="H224" s="19"/>
      <c r="I224" s="19">
        <v>0</v>
      </c>
      <c r="J224" s="19"/>
      <c r="K224" s="19">
        <v>0</v>
      </c>
      <c r="L224" s="19"/>
      <c r="M224" s="19">
        <v>0</v>
      </c>
      <c r="N224" s="19"/>
      <c r="O224" s="19">
        <v>0</v>
      </c>
      <c r="P224" s="19"/>
      <c r="Q224" s="19">
        <v>0</v>
      </c>
      <c r="R224" s="19"/>
      <c r="S224" s="19">
        <v>0</v>
      </c>
      <c r="T224" s="19"/>
      <c r="U224" s="19">
        <v>0</v>
      </c>
      <c r="V224" s="19"/>
      <c r="W224" s="19">
        <v>0</v>
      </c>
      <c r="X224" s="19"/>
      <c r="Y224" s="26">
        <f t="shared" si="32"/>
        <v>0</v>
      </c>
      <c r="Z224" s="19"/>
      <c r="AA224" s="19">
        <v>0</v>
      </c>
      <c r="AB224" s="19"/>
      <c r="AC224" s="19">
        <v>0</v>
      </c>
      <c r="AD224" s="19"/>
      <c r="AE224" s="19">
        <v>0</v>
      </c>
      <c r="AF224" s="19"/>
      <c r="AG224" s="19"/>
      <c r="AH224" s="19"/>
      <c r="AI224" s="19"/>
      <c r="AJ224" s="19"/>
      <c r="AK224" s="19">
        <v>0</v>
      </c>
      <c r="AL224" s="19"/>
      <c r="AM224" s="19">
        <v>0</v>
      </c>
      <c r="AN224" s="19"/>
      <c r="AO224" s="26">
        <f t="shared" si="41"/>
        <v>0</v>
      </c>
      <c r="AP224" s="19"/>
      <c r="AQ224" s="26">
        <f t="shared" si="39"/>
        <v>0</v>
      </c>
      <c r="AR224" s="26"/>
    </row>
    <row r="225" spans="1:44">
      <c r="A225" s="9" t="s">
        <v>238</v>
      </c>
      <c r="B225" s="9"/>
      <c r="C225" s="9" t="s">
        <v>112</v>
      </c>
      <c r="D225" s="9"/>
      <c r="E225" s="23">
        <v>46342</v>
      </c>
      <c r="F225" s="19"/>
      <c r="G225" s="19">
        <v>6367221</v>
      </c>
      <c r="H225" s="19"/>
      <c r="I225" s="19">
        <v>2989195</v>
      </c>
      <c r="J225" s="19"/>
      <c r="K225" s="19">
        <v>15699072</v>
      </c>
      <c r="L225" s="19"/>
      <c r="M225" s="19">
        <v>0</v>
      </c>
      <c r="N225" s="19"/>
      <c r="O225" s="19">
        <f>1852045+19560+388560</f>
        <v>2260165</v>
      </c>
      <c r="P225" s="19"/>
      <c r="Q225" s="19">
        <v>324087</v>
      </c>
      <c r="R225" s="19"/>
      <c r="S225" s="19">
        <v>88723</v>
      </c>
      <c r="T225" s="19"/>
      <c r="U225" s="19">
        <v>4242</v>
      </c>
      <c r="V225" s="19"/>
      <c r="W225" s="19">
        <v>382389</v>
      </c>
      <c r="X225" s="19"/>
      <c r="Y225" s="26">
        <f t="shared" si="32"/>
        <v>28115094</v>
      </c>
      <c r="Z225" s="19"/>
      <c r="AA225" s="19">
        <v>50844</v>
      </c>
      <c r="AB225" s="19"/>
      <c r="AC225" s="19">
        <v>0</v>
      </c>
      <c r="AD225" s="19"/>
      <c r="AE225" s="19">
        <v>0</v>
      </c>
      <c r="AF225" s="19"/>
      <c r="AG225" s="19"/>
      <c r="AH225" s="19"/>
      <c r="AI225" s="19"/>
      <c r="AJ225" s="19"/>
      <c r="AK225" s="19">
        <v>0</v>
      </c>
      <c r="AL225" s="19"/>
      <c r="AM225" s="19">
        <v>0</v>
      </c>
      <c r="AN225" s="19"/>
      <c r="AO225" s="26">
        <f t="shared" si="41"/>
        <v>50844</v>
      </c>
      <c r="AP225" s="19"/>
      <c r="AQ225" s="26">
        <f t="shared" si="39"/>
        <v>28165938</v>
      </c>
      <c r="AR225" s="26"/>
    </row>
    <row r="226" spans="1:44" hidden="1">
      <c r="A226" s="9" t="s">
        <v>785</v>
      </c>
      <c r="B226" s="9"/>
      <c r="C226" s="9" t="s">
        <v>227</v>
      </c>
      <c r="D226" s="9"/>
      <c r="E226" s="23">
        <v>46193</v>
      </c>
      <c r="F226" s="19"/>
      <c r="G226" s="19">
        <v>0</v>
      </c>
      <c r="H226" s="19"/>
      <c r="I226" s="19">
        <v>0</v>
      </c>
      <c r="J226" s="19"/>
      <c r="K226" s="19">
        <v>0</v>
      </c>
      <c r="L226" s="19"/>
      <c r="M226" s="19">
        <v>0</v>
      </c>
      <c r="N226" s="19"/>
      <c r="O226" s="19">
        <v>0</v>
      </c>
      <c r="P226" s="19"/>
      <c r="Q226" s="19">
        <v>0</v>
      </c>
      <c r="R226" s="19"/>
      <c r="S226" s="19">
        <v>0</v>
      </c>
      <c r="T226" s="19"/>
      <c r="U226" s="19">
        <v>0</v>
      </c>
      <c r="V226" s="19"/>
      <c r="W226" s="19">
        <v>0</v>
      </c>
      <c r="X226" s="19"/>
      <c r="Y226" s="26">
        <f t="shared" ref="Y226:Y293" si="42">SUM(G226:W226)</f>
        <v>0</v>
      </c>
      <c r="Z226" s="19"/>
      <c r="AA226" s="19">
        <v>0</v>
      </c>
      <c r="AB226" s="19"/>
      <c r="AC226" s="19">
        <v>0</v>
      </c>
      <c r="AD226" s="19"/>
      <c r="AE226" s="19">
        <v>0</v>
      </c>
      <c r="AF226" s="19"/>
      <c r="AG226" s="19"/>
      <c r="AH226" s="19"/>
      <c r="AI226" s="19"/>
      <c r="AJ226" s="19"/>
      <c r="AK226" s="19">
        <v>0</v>
      </c>
      <c r="AL226" s="19"/>
      <c r="AM226" s="19">
        <v>0</v>
      </c>
      <c r="AN226" s="19"/>
      <c r="AO226" s="26">
        <f t="shared" si="41"/>
        <v>0</v>
      </c>
      <c r="AP226" s="19"/>
      <c r="AQ226" s="26">
        <f t="shared" si="39"/>
        <v>0</v>
      </c>
      <c r="AR226" s="26"/>
    </row>
    <row r="227" spans="1:44">
      <c r="A227" s="9" t="s">
        <v>207</v>
      </c>
      <c r="B227" s="9"/>
      <c r="C227" s="9" t="s">
        <v>12</v>
      </c>
      <c r="D227" s="9"/>
      <c r="E227" s="23">
        <v>45864</v>
      </c>
      <c r="F227" s="19"/>
      <c r="G227" s="19">
        <v>3182209</v>
      </c>
      <c r="H227" s="19"/>
      <c r="I227" s="19">
        <v>0</v>
      </c>
      <c r="J227" s="19"/>
      <c r="K227" s="19">
        <v>7796735</v>
      </c>
      <c r="L227" s="19"/>
      <c r="M227" s="19">
        <v>29801</v>
      </c>
      <c r="N227" s="19"/>
      <c r="O227" s="19">
        <f>623037+162067+29734</f>
        <v>814838</v>
      </c>
      <c r="P227" s="19"/>
      <c r="Q227" s="19">
        <v>144858</v>
      </c>
      <c r="R227" s="19"/>
      <c r="S227" s="19">
        <v>0</v>
      </c>
      <c r="T227" s="19"/>
      <c r="U227" s="19">
        <v>3219</v>
      </c>
      <c r="V227" s="19"/>
      <c r="W227" s="19">
        <v>82086</v>
      </c>
      <c r="X227" s="19"/>
      <c r="Y227" s="26">
        <f t="shared" si="42"/>
        <v>12053746</v>
      </c>
      <c r="Z227" s="19"/>
      <c r="AA227" s="19">
        <v>4000</v>
      </c>
      <c r="AB227" s="19"/>
      <c r="AC227" s="19">
        <v>0</v>
      </c>
      <c r="AD227" s="19"/>
      <c r="AE227" s="19">
        <v>0</v>
      </c>
      <c r="AF227" s="19"/>
      <c r="AG227" s="19"/>
      <c r="AH227" s="19"/>
      <c r="AI227" s="19"/>
      <c r="AJ227" s="19"/>
      <c r="AK227" s="19">
        <v>0</v>
      </c>
      <c r="AL227" s="19"/>
      <c r="AM227" s="19">
        <v>0</v>
      </c>
      <c r="AN227" s="19"/>
      <c r="AO227" s="26">
        <f t="shared" si="41"/>
        <v>4000</v>
      </c>
      <c r="AP227" s="19"/>
      <c r="AQ227" s="26">
        <f t="shared" si="39"/>
        <v>12057746</v>
      </c>
      <c r="AR227" s="26"/>
    </row>
    <row r="228" spans="1:44">
      <c r="A228" s="9" t="s">
        <v>301</v>
      </c>
      <c r="B228" s="9"/>
      <c r="C228" s="9" t="s">
        <v>27</v>
      </c>
      <c r="D228" s="9"/>
      <c r="E228" s="23">
        <v>44073</v>
      </c>
      <c r="F228" s="19"/>
      <c r="G228" s="19">
        <v>11351434</v>
      </c>
      <c r="H228" s="19"/>
      <c r="I228" s="19">
        <v>0</v>
      </c>
      <c r="J228" s="19"/>
      <c r="K228" s="19">
        <f>3662103+448937</f>
        <v>4111040</v>
      </c>
      <c r="L228" s="19"/>
      <c r="M228" s="19">
        <v>15408</v>
      </c>
      <c r="N228" s="19"/>
      <c r="O228" s="19">
        <v>261485</v>
      </c>
      <c r="P228" s="19"/>
      <c r="Q228" s="19">
        <v>0</v>
      </c>
      <c r="R228" s="19"/>
      <c r="S228" s="19">
        <v>1228321</v>
      </c>
      <c r="T228" s="19"/>
      <c r="U228" s="19">
        <v>0</v>
      </c>
      <c r="V228" s="19"/>
      <c r="W228" s="19">
        <v>618097</v>
      </c>
      <c r="X228" s="19"/>
      <c r="Y228" s="26">
        <f t="shared" si="42"/>
        <v>17585785</v>
      </c>
      <c r="Z228" s="19"/>
      <c r="AA228" s="19">
        <v>20830</v>
      </c>
      <c r="AB228" s="19"/>
      <c r="AC228" s="19">
        <v>0</v>
      </c>
      <c r="AD228" s="19"/>
      <c r="AE228" s="19">
        <v>193203</v>
      </c>
      <c r="AF228" s="19"/>
      <c r="AG228" s="19"/>
      <c r="AH228" s="19"/>
      <c r="AI228" s="19"/>
      <c r="AJ228" s="19"/>
      <c r="AK228" s="19">
        <v>0</v>
      </c>
      <c r="AL228" s="19"/>
      <c r="AM228" s="19">
        <v>0</v>
      </c>
      <c r="AN228" s="19"/>
      <c r="AO228" s="26">
        <f t="shared" si="41"/>
        <v>214033</v>
      </c>
      <c r="AP228" s="19"/>
      <c r="AQ228" s="26">
        <f t="shared" si="39"/>
        <v>17799818</v>
      </c>
      <c r="AR228" s="26"/>
    </row>
    <row r="229" spans="1:44">
      <c r="A229" s="9" t="s">
        <v>661</v>
      </c>
      <c r="B229" s="9"/>
      <c r="C229" s="9" t="s">
        <v>42</v>
      </c>
      <c r="D229" s="9"/>
      <c r="E229" s="23">
        <v>45393</v>
      </c>
      <c r="F229" s="19"/>
      <c r="G229" s="19">
        <v>18453072</v>
      </c>
      <c r="H229" s="19"/>
      <c r="I229" s="19">
        <v>0</v>
      </c>
      <c r="J229" s="19"/>
      <c r="K229" s="19">
        <v>8417303</v>
      </c>
      <c r="L229" s="19"/>
      <c r="M229" s="19">
        <v>22492</v>
      </c>
      <c r="N229" s="19"/>
      <c r="O229" s="19">
        <f>642063+159038</f>
        <v>801101</v>
      </c>
      <c r="P229" s="19"/>
      <c r="Q229" s="19">
        <v>453514</v>
      </c>
      <c r="R229" s="19"/>
      <c r="S229" s="19">
        <v>305329</v>
      </c>
      <c r="T229" s="19"/>
      <c r="U229" s="19">
        <v>82721</v>
      </c>
      <c r="V229" s="19"/>
      <c r="W229" s="19">
        <v>130990</v>
      </c>
      <c r="X229" s="19"/>
      <c r="Y229" s="26">
        <f t="shared" si="42"/>
        <v>28666522</v>
      </c>
      <c r="Z229" s="19"/>
      <c r="AA229" s="19">
        <v>0</v>
      </c>
      <c r="AB229" s="19"/>
      <c r="AC229" s="19">
        <v>0</v>
      </c>
      <c r="AD229" s="19"/>
      <c r="AE229" s="19">
        <v>0</v>
      </c>
      <c r="AF229" s="19"/>
      <c r="AG229" s="19"/>
      <c r="AH229" s="19"/>
      <c r="AI229" s="19"/>
      <c r="AJ229" s="19"/>
      <c r="AK229" s="19">
        <v>5846</v>
      </c>
      <c r="AL229" s="19"/>
      <c r="AM229" s="19">
        <v>0</v>
      </c>
      <c r="AN229" s="19"/>
      <c r="AO229" s="26">
        <f t="shared" si="41"/>
        <v>5846</v>
      </c>
      <c r="AP229" s="19"/>
      <c r="AQ229" s="26">
        <f t="shared" si="39"/>
        <v>28672368</v>
      </c>
      <c r="AR229" s="26"/>
    </row>
    <row r="230" spans="1:44">
      <c r="A230" s="9" t="s">
        <v>478</v>
      </c>
      <c r="B230" s="9"/>
      <c r="C230" s="9" t="s">
        <v>59</v>
      </c>
      <c r="D230" s="9"/>
      <c r="E230" s="23">
        <v>49619</v>
      </c>
      <c r="F230" s="19"/>
      <c r="G230" s="19">
        <v>1561204</v>
      </c>
      <c r="H230" s="19"/>
      <c r="I230" s="19">
        <v>0</v>
      </c>
      <c r="J230" s="19"/>
      <c r="K230" s="19">
        <v>5109886</v>
      </c>
      <c r="L230" s="19"/>
      <c r="M230" s="19">
        <v>219</v>
      </c>
      <c r="N230" s="19"/>
      <c r="O230" s="19">
        <f>431370+12075+46336</f>
        <v>489781</v>
      </c>
      <c r="P230" s="19"/>
      <c r="Q230" s="19">
        <v>81166</v>
      </c>
      <c r="R230" s="19"/>
      <c r="S230" s="19">
        <v>105216</v>
      </c>
      <c r="T230" s="19"/>
      <c r="U230" s="19">
        <v>9118</v>
      </c>
      <c r="V230" s="19"/>
      <c r="W230" s="19">
        <v>229584</v>
      </c>
      <c r="X230" s="19"/>
      <c r="Y230" s="26">
        <f t="shared" si="42"/>
        <v>7586174</v>
      </c>
      <c r="Z230" s="19"/>
      <c r="AA230" s="19">
        <v>0</v>
      </c>
      <c r="AB230" s="19"/>
      <c r="AC230" s="19">
        <v>0</v>
      </c>
      <c r="AD230" s="19"/>
      <c r="AE230" s="19">
        <v>0</v>
      </c>
      <c r="AF230" s="19"/>
      <c r="AG230" s="19"/>
      <c r="AH230" s="19"/>
      <c r="AI230" s="19"/>
      <c r="AJ230" s="19"/>
      <c r="AK230" s="19">
        <v>0</v>
      </c>
      <c r="AL230" s="19"/>
      <c r="AM230" s="19">
        <v>0</v>
      </c>
      <c r="AN230" s="19"/>
      <c r="AO230" s="26">
        <f t="shared" si="41"/>
        <v>0</v>
      </c>
      <c r="AP230" s="19"/>
      <c r="AQ230" s="26">
        <f t="shared" si="39"/>
        <v>7586174</v>
      </c>
      <c r="AR230" s="26"/>
    </row>
    <row r="231" spans="1:44">
      <c r="A231" s="9" t="s">
        <v>478</v>
      </c>
      <c r="B231" s="9"/>
      <c r="C231" s="9" t="s">
        <v>63</v>
      </c>
      <c r="D231" s="9"/>
      <c r="E231" s="23">
        <v>50013</v>
      </c>
      <c r="F231" s="19"/>
      <c r="G231" s="19">
        <v>23700371</v>
      </c>
      <c r="H231" s="19"/>
      <c r="I231" s="19">
        <v>0</v>
      </c>
      <c r="J231" s="19"/>
      <c r="K231" s="19">
        <v>15959244</v>
      </c>
      <c r="L231" s="19"/>
      <c r="M231" s="19">
        <v>6866</v>
      </c>
      <c r="N231" s="19"/>
      <c r="O231" s="19">
        <f>1039296+28123+694933</f>
        <v>1762352</v>
      </c>
      <c r="P231" s="19"/>
      <c r="Q231" s="19">
        <v>672056</v>
      </c>
      <c r="R231" s="19"/>
      <c r="S231" s="19">
        <v>0</v>
      </c>
      <c r="T231" s="19"/>
      <c r="U231" s="19">
        <v>17000</v>
      </c>
      <c r="V231" s="19"/>
      <c r="W231" s="19">
        <v>200177</v>
      </c>
      <c r="X231" s="19"/>
      <c r="Y231" s="26">
        <f t="shared" si="42"/>
        <v>42318066</v>
      </c>
      <c r="Z231" s="19"/>
      <c r="AA231" s="19">
        <v>55000</v>
      </c>
      <c r="AB231" s="19"/>
      <c r="AC231" s="19">
        <v>0</v>
      </c>
      <c r="AD231" s="19"/>
      <c r="AE231" s="19">
        <v>0</v>
      </c>
      <c r="AF231" s="19"/>
      <c r="AG231" s="19"/>
      <c r="AH231" s="19"/>
      <c r="AI231" s="19"/>
      <c r="AJ231" s="19"/>
      <c r="AK231" s="19">
        <f>9281+594887</f>
        <v>604168</v>
      </c>
      <c r="AL231" s="19"/>
      <c r="AM231" s="19">
        <v>0</v>
      </c>
      <c r="AN231" s="19"/>
      <c r="AO231" s="26">
        <f t="shared" si="41"/>
        <v>659168</v>
      </c>
      <c r="AP231" s="19"/>
      <c r="AQ231" s="26">
        <f t="shared" si="39"/>
        <v>42977234</v>
      </c>
      <c r="AR231" s="26"/>
    </row>
    <row r="232" spans="1:44" hidden="1">
      <c r="A232" s="8" t="s">
        <v>845</v>
      </c>
      <c r="B232" s="9"/>
      <c r="C232" s="9" t="s">
        <v>71</v>
      </c>
      <c r="D232" s="9"/>
      <c r="E232" s="23">
        <v>50559</v>
      </c>
      <c r="F232" s="19"/>
      <c r="G232" s="19">
        <v>0</v>
      </c>
      <c r="H232" s="19"/>
      <c r="I232" s="19">
        <v>0</v>
      </c>
      <c r="J232" s="19"/>
      <c r="K232" s="19">
        <v>0</v>
      </c>
      <c r="L232" s="19"/>
      <c r="M232" s="19">
        <v>0</v>
      </c>
      <c r="N232" s="19"/>
      <c r="O232" s="19">
        <v>0</v>
      </c>
      <c r="P232" s="19"/>
      <c r="Q232" s="19">
        <v>0</v>
      </c>
      <c r="R232" s="19"/>
      <c r="S232" s="19">
        <v>0</v>
      </c>
      <c r="T232" s="19"/>
      <c r="U232" s="19">
        <v>0</v>
      </c>
      <c r="V232" s="19"/>
      <c r="W232" s="19">
        <v>0</v>
      </c>
      <c r="X232" s="19"/>
      <c r="Y232" s="26">
        <f t="shared" si="42"/>
        <v>0</v>
      </c>
      <c r="Z232" s="19"/>
      <c r="AA232" s="19">
        <v>0</v>
      </c>
      <c r="AB232" s="19"/>
      <c r="AC232" s="19">
        <v>0</v>
      </c>
      <c r="AD232" s="19"/>
      <c r="AE232" s="19">
        <v>0</v>
      </c>
      <c r="AF232" s="19"/>
      <c r="AG232" s="19"/>
      <c r="AH232" s="19"/>
      <c r="AI232" s="19"/>
      <c r="AJ232" s="19"/>
      <c r="AK232" s="19">
        <v>0</v>
      </c>
      <c r="AL232" s="19"/>
      <c r="AM232" s="19">
        <v>0</v>
      </c>
      <c r="AN232" s="19"/>
      <c r="AO232" s="26">
        <f t="shared" si="41"/>
        <v>0</v>
      </c>
      <c r="AP232" s="19"/>
      <c r="AQ232" s="26">
        <f t="shared" si="39"/>
        <v>0</v>
      </c>
      <c r="AR232" s="26"/>
    </row>
    <row r="233" spans="1:44">
      <c r="A233" s="9" t="s">
        <v>316</v>
      </c>
      <c r="B233" s="9"/>
      <c r="C233" s="9" t="s">
        <v>113</v>
      </c>
      <c r="D233" s="9"/>
      <c r="E233" s="23">
        <v>47266</v>
      </c>
      <c r="F233" s="19"/>
      <c r="G233" s="19">
        <v>4304919</v>
      </c>
      <c r="H233" s="19"/>
      <c r="I233" s="19">
        <v>1741863</v>
      </c>
      <c r="J233" s="19"/>
      <c r="K233" s="19">
        <v>6927475</v>
      </c>
      <c r="L233" s="19"/>
      <c r="M233" s="19">
        <v>27131</v>
      </c>
      <c r="N233" s="19"/>
      <c r="O233" s="19">
        <f>1044668+189365+6402</f>
        <v>1240435</v>
      </c>
      <c r="P233" s="19"/>
      <c r="Q233" s="19">
        <v>181819</v>
      </c>
      <c r="R233" s="19"/>
      <c r="S233" s="19">
        <v>0</v>
      </c>
      <c r="T233" s="19"/>
      <c r="U233" s="19">
        <v>35606</v>
      </c>
      <c r="V233" s="19"/>
      <c r="W233" s="19">
        <v>42421</v>
      </c>
      <c r="X233" s="19"/>
      <c r="Y233" s="26">
        <f t="shared" si="42"/>
        <v>14501669</v>
      </c>
      <c r="Z233" s="19"/>
      <c r="AA233" s="19">
        <v>148980</v>
      </c>
      <c r="AB233" s="19"/>
      <c r="AC233" s="19">
        <v>0</v>
      </c>
      <c r="AD233" s="19"/>
      <c r="AE233" s="19">
        <v>0</v>
      </c>
      <c r="AF233" s="19"/>
      <c r="AG233" s="19"/>
      <c r="AH233" s="19"/>
      <c r="AI233" s="19"/>
      <c r="AJ233" s="19"/>
      <c r="AK233" s="19">
        <f>3017+2039</f>
        <v>5056</v>
      </c>
      <c r="AL233" s="19"/>
      <c r="AM233" s="19">
        <v>0</v>
      </c>
      <c r="AN233" s="19"/>
      <c r="AO233" s="26">
        <f t="shared" si="41"/>
        <v>154036</v>
      </c>
      <c r="AP233" s="19"/>
      <c r="AQ233" s="26">
        <f t="shared" si="39"/>
        <v>14655705</v>
      </c>
      <c r="AR233" s="26"/>
    </row>
    <row r="234" spans="1:44">
      <c r="A234" s="9" t="s">
        <v>754</v>
      </c>
      <c r="B234" s="9"/>
      <c r="C234" s="9" t="s">
        <v>346</v>
      </c>
      <c r="D234" s="9"/>
      <c r="E234" s="23">
        <v>45401</v>
      </c>
      <c r="F234" s="19"/>
      <c r="G234" s="19">
        <v>3472907</v>
      </c>
      <c r="H234" s="19"/>
      <c r="I234" s="19">
        <v>1826116</v>
      </c>
      <c r="J234" s="19"/>
      <c r="K234" s="19">
        <v>14635621</v>
      </c>
      <c r="L234" s="19"/>
      <c r="M234" s="19">
        <v>21218</v>
      </c>
      <c r="N234" s="19"/>
      <c r="O234" s="19">
        <f>500569+1967+197611</f>
        <v>700147</v>
      </c>
      <c r="P234" s="19"/>
      <c r="Q234" s="19">
        <v>121852</v>
      </c>
      <c r="R234" s="19"/>
      <c r="S234" s="19">
        <v>0</v>
      </c>
      <c r="T234" s="19"/>
      <c r="U234" s="19">
        <v>75493</v>
      </c>
      <c r="V234" s="19"/>
      <c r="W234" s="19">
        <v>295077</v>
      </c>
      <c r="X234" s="19"/>
      <c r="Y234" s="26">
        <f t="shared" si="42"/>
        <v>21148431</v>
      </c>
      <c r="Z234" s="19"/>
      <c r="AA234" s="19">
        <v>290000</v>
      </c>
      <c r="AB234" s="19"/>
      <c r="AC234" s="19">
        <v>0</v>
      </c>
      <c r="AD234" s="19"/>
      <c r="AE234" s="19">
        <v>0</v>
      </c>
      <c r="AF234" s="19"/>
      <c r="AG234" s="19"/>
      <c r="AH234" s="19"/>
      <c r="AI234" s="19"/>
      <c r="AJ234" s="19"/>
      <c r="AK234" s="19">
        <v>0</v>
      </c>
      <c r="AL234" s="19"/>
      <c r="AM234" s="19">
        <v>0</v>
      </c>
      <c r="AN234" s="19"/>
      <c r="AO234" s="26">
        <f t="shared" si="41"/>
        <v>290000</v>
      </c>
      <c r="AP234" s="19"/>
      <c r="AQ234" s="26">
        <f t="shared" si="39"/>
        <v>21438431</v>
      </c>
      <c r="AR234" s="26"/>
    </row>
    <row r="235" spans="1:44">
      <c r="A235" s="9" t="s">
        <v>230</v>
      </c>
      <c r="B235" s="9"/>
      <c r="C235" s="9" t="s">
        <v>17</v>
      </c>
      <c r="D235" s="9"/>
      <c r="E235" s="23">
        <v>46235</v>
      </c>
      <c r="F235" s="19"/>
      <c r="G235" s="19">
        <v>6992348</v>
      </c>
      <c r="H235" s="19"/>
      <c r="I235" s="19">
        <v>0</v>
      </c>
      <c r="J235" s="19"/>
      <c r="K235" s="19">
        <f>7434408+1094860</f>
        <v>8529268</v>
      </c>
      <c r="L235" s="19"/>
      <c r="M235" s="19">
        <f>9992-7589</f>
        <v>2403</v>
      </c>
      <c r="N235" s="19"/>
      <c r="O235" s="19">
        <f>698524+301038+95947+6330</f>
        <v>1101839</v>
      </c>
      <c r="P235" s="19"/>
      <c r="Q235" s="19">
        <v>302462</v>
      </c>
      <c r="R235" s="19"/>
      <c r="S235" s="19">
        <v>0</v>
      </c>
      <c r="T235" s="19"/>
      <c r="U235" s="19">
        <v>19892</v>
      </c>
      <c r="V235" s="19"/>
      <c r="W235" s="19">
        <f>44295+15838</f>
        <v>60133</v>
      </c>
      <c r="X235" s="19"/>
      <c r="Y235" s="26">
        <f t="shared" si="42"/>
        <v>17008345</v>
      </c>
      <c r="Z235" s="19"/>
      <c r="AA235" s="19">
        <v>0</v>
      </c>
      <c r="AB235" s="19"/>
      <c r="AC235" s="19">
        <v>0</v>
      </c>
      <c r="AD235" s="19"/>
      <c r="AE235" s="19">
        <v>0</v>
      </c>
      <c r="AF235" s="19"/>
      <c r="AG235" s="19"/>
      <c r="AH235" s="19"/>
      <c r="AI235" s="19"/>
      <c r="AJ235" s="19"/>
      <c r="AK235" s="19">
        <v>11532</v>
      </c>
      <c r="AL235" s="19"/>
      <c r="AM235" s="19">
        <v>0</v>
      </c>
      <c r="AN235" s="19"/>
      <c r="AO235" s="26">
        <f t="shared" si="41"/>
        <v>11532</v>
      </c>
      <c r="AP235" s="19"/>
      <c r="AQ235" s="26">
        <f t="shared" si="39"/>
        <v>17019877</v>
      </c>
      <c r="AR235" s="26"/>
    </row>
    <row r="236" spans="1:44">
      <c r="A236" s="9" t="s">
        <v>280</v>
      </c>
      <c r="B236" s="9"/>
      <c r="C236" s="9" t="s">
        <v>21</v>
      </c>
      <c r="D236" s="9"/>
      <c r="E236" s="23">
        <v>44099</v>
      </c>
      <c r="F236" s="19"/>
      <c r="G236" s="19">
        <v>9808848</v>
      </c>
      <c r="H236" s="19"/>
      <c r="I236" s="19">
        <v>2017210</v>
      </c>
      <c r="J236" s="19"/>
      <c r="K236" s="19">
        <v>16692910</v>
      </c>
      <c r="L236" s="19"/>
      <c r="M236" s="19">
        <v>14744</v>
      </c>
      <c r="N236" s="19"/>
      <c r="O236" s="19">
        <f>581686+337129+18029</f>
        <v>936844</v>
      </c>
      <c r="P236" s="19"/>
      <c r="Q236" s="19">
        <v>329369</v>
      </c>
      <c r="R236" s="19"/>
      <c r="S236" s="19">
        <v>41751</v>
      </c>
      <c r="T236" s="19"/>
      <c r="U236" s="19">
        <v>139758</v>
      </c>
      <c r="V236" s="19"/>
      <c r="W236" s="19">
        <v>60117</v>
      </c>
      <c r="X236" s="19"/>
      <c r="Y236" s="26">
        <f t="shared" si="42"/>
        <v>30041551</v>
      </c>
      <c r="Z236" s="19"/>
      <c r="AA236" s="19">
        <v>272277</v>
      </c>
      <c r="AB236" s="19"/>
      <c r="AC236" s="19">
        <v>0</v>
      </c>
      <c r="AD236" s="19"/>
      <c r="AE236" s="19">
        <v>0</v>
      </c>
      <c r="AF236" s="19"/>
      <c r="AG236" s="19"/>
      <c r="AH236" s="19"/>
      <c r="AI236" s="19"/>
      <c r="AJ236" s="19"/>
      <c r="AK236" s="19">
        <v>0</v>
      </c>
      <c r="AL236" s="19"/>
      <c r="AM236" s="19">
        <v>0</v>
      </c>
      <c r="AN236" s="19"/>
      <c r="AO236" s="26">
        <f t="shared" si="41"/>
        <v>272277</v>
      </c>
      <c r="AP236" s="19"/>
      <c r="AQ236" s="26">
        <f t="shared" si="39"/>
        <v>30313828</v>
      </c>
      <c r="AR236" s="26"/>
    </row>
    <row r="237" spans="1:44">
      <c r="A237" s="9" t="s">
        <v>302</v>
      </c>
      <c r="B237" s="9"/>
      <c r="C237" s="9" t="s">
        <v>27</v>
      </c>
      <c r="D237" s="9"/>
      <c r="E237" s="23">
        <v>46979</v>
      </c>
      <c r="F237" s="19"/>
      <c r="G237" s="19">
        <v>24731785</v>
      </c>
      <c r="H237" s="19"/>
      <c r="I237" s="19">
        <v>0</v>
      </c>
      <c r="J237" s="19"/>
      <c r="K237" s="19">
        <v>39207246</v>
      </c>
      <c r="L237" s="19"/>
      <c r="M237" s="19">
        <v>3366</v>
      </c>
      <c r="N237" s="19"/>
      <c r="O237" s="19">
        <f>1028787+1203808</f>
        <v>2232595</v>
      </c>
      <c r="P237" s="19"/>
      <c r="Q237" s="19">
        <v>281718</v>
      </c>
      <c r="R237" s="19"/>
      <c r="S237" s="19">
        <v>2224644</v>
      </c>
      <c r="T237" s="19"/>
      <c r="U237" s="19">
        <v>51305</v>
      </c>
      <c r="V237" s="19"/>
      <c r="W237" s="19">
        <v>625126</v>
      </c>
      <c r="X237" s="19"/>
      <c r="Y237" s="26">
        <f t="shared" si="42"/>
        <v>69357785</v>
      </c>
      <c r="Z237" s="19"/>
      <c r="AA237" s="19">
        <v>0</v>
      </c>
      <c r="AB237" s="19"/>
      <c r="AC237" s="19">
        <v>0</v>
      </c>
      <c r="AD237" s="19"/>
      <c r="AE237" s="19">
        <v>0</v>
      </c>
      <c r="AF237" s="19"/>
      <c r="AG237" s="19"/>
      <c r="AH237" s="19"/>
      <c r="AI237" s="19"/>
      <c r="AJ237" s="19"/>
      <c r="AK237" s="19">
        <v>1022</v>
      </c>
      <c r="AL237" s="19"/>
      <c r="AM237" s="19">
        <v>0</v>
      </c>
      <c r="AN237" s="19"/>
      <c r="AO237" s="26">
        <f t="shared" si="41"/>
        <v>1022</v>
      </c>
      <c r="AP237" s="19"/>
      <c r="AQ237" s="26">
        <f t="shared" si="39"/>
        <v>69358807</v>
      </c>
      <c r="AR237" s="26"/>
    </row>
    <row r="238" spans="1:44" hidden="1">
      <c r="A238" s="8" t="s">
        <v>846</v>
      </c>
      <c r="B238" s="9"/>
      <c r="C238" s="9" t="s">
        <v>220</v>
      </c>
      <c r="D238" s="9"/>
      <c r="E238" s="23">
        <v>44107</v>
      </c>
      <c r="F238" s="19"/>
      <c r="G238" s="19">
        <v>0</v>
      </c>
      <c r="H238" s="19"/>
      <c r="I238" s="19">
        <v>0</v>
      </c>
      <c r="J238" s="19"/>
      <c r="K238" s="19">
        <v>0</v>
      </c>
      <c r="L238" s="19"/>
      <c r="M238" s="19">
        <v>0</v>
      </c>
      <c r="N238" s="19"/>
      <c r="O238" s="19">
        <v>0</v>
      </c>
      <c r="P238" s="19"/>
      <c r="Q238" s="19">
        <v>0</v>
      </c>
      <c r="R238" s="19"/>
      <c r="S238" s="19">
        <v>0</v>
      </c>
      <c r="T238" s="19"/>
      <c r="U238" s="19">
        <v>0</v>
      </c>
      <c r="V238" s="19"/>
      <c r="W238" s="19">
        <v>0</v>
      </c>
      <c r="X238" s="19"/>
      <c r="Y238" s="26">
        <f t="shared" si="42"/>
        <v>0</v>
      </c>
      <c r="Z238" s="19"/>
      <c r="AA238" s="19">
        <v>0</v>
      </c>
      <c r="AB238" s="19"/>
      <c r="AC238" s="19">
        <v>0</v>
      </c>
      <c r="AD238" s="19"/>
      <c r="AE238" s="19">
        <v>0</v>
      </c>
      <c r="AF238" s="19"/>
      <c r="AG238" s="19"/>
      <c r="AH238" s="19"/>
      <c r="AI238" s="19"/>
      <c r="AJ238" s="19"/>
      <c r="AK238" s="19">
        <v>0</v>
      </c>
      <c r="AL238" s="19"/>
      <c r="AM238" s="19">
        <v>0</v>
      </c>
      <c r="AN238" s="19"/>
      <c r="AO238" s="26">
        <f t="shared" ref="AO238:AO260" si="43">AK238+AE238+AA238</f>
        <v>0</v>
      </c>
      <c r="AP238" s="19"/>
      <c r="AQ238" s="26">
        <f t="shared" si="39"/>
        <v>0</v>
      </c>
      <c r="AR238" s="26"/>
    </row>
    <row r="239" spans="1:44">
      <c r="A239" s="8" t="s">
        <v>796</v>
      </c>
      <c r="B239" s="9"/>
      <c r="C239" s="9" t="s">
        <v>27</v>
      </c>
      <c r="D239" s="9"/>
      <c r="E239" s="23">
        <v>46953</v>
      </c>
      <c r="F239" s="19"/>
      <c r="G239" s="19">
        <v>5995515</v>
      </c>
      <c r="H239" s="19"/>
      <c r="I239" s="19">
        <v>0</v>
      </c>
      <c r="J239" s="19"/>
      <c r="K239" s="19">
        <v>21242905</v>
      </c>
      <c r="L239" s="19"/>
      <c r="M239" s="19">
        <v>11024</v>
      </c>
      <c r="N239" s="19"/>
      <c r="O239" s="19">
        <f>349912+17779</f>
        <v>367691</v>
      </c>
      <c r="P239" s="19"/>
      <c r="Q239" s="19">
        <v>491274</v>
      </c>
      <c r="R239" s="19"/>
      <c r="S239" s="19">
        <v>1492084</v>
      </c>
      <c r="T239" s="19"/>
      <c r="U239" s="19">
        <v>0</v>
      </c>
      <c r="V239" s="19"/>
      <c r="W239" s="19">
        <v>217623</v>
      </c>
      <c r="X239" s="19"/>
      <c r="Y239" s="26">
        <f t="shared" si="42"/>
        <v>29818116</v>
      </c>
      <c r="Z239" s="19"/>
      <c r="AA239" s="19">
        <v>66052</v>
      </c>
      <c r="AB239" s="19"/>
      <c r="AC239" s="19">
        <v>0</v>
      </c>
      <c r="AD239" s="19"/>
      <c r="AE239" s="19">
        <f>88564+8014566+1366500</f>
        <v>9469630</v>
      </c>
      <c r="AF239" s="19"/>
      <c r="AG239" s="19"/>
      <c r="AH239" s="19"/>
      <c r="AI239" s="19"/>
      <c r="AJ239" s="19"/>
      <c r="AK239" s="19">
        <v>0</v>
      </c>
      <c r="AL239" s="19"/>
      <c r="AM239" s="19">
        <v>0</v>
      </c>
      <c r="AN239" s="19"/>
      <c r="AO239" s="26">
        <f t="shared" si="43"/>
        <v>9535682</v>
      </c>
      <c r="AP239" s="19"/>
      <c r="AQ239" s="26">
        <f t="shared" si="39"/>
        <v>39353798</v>
      </c>
      <c r="AR239" s="26"/>
    </row>
    <row r="240" spans="1:44" ht="12" hidden="1" customHeight="1">
      <c r="A240" s="8" t="s">
        <v>338</v>
      </c>
      <c r="B240" s="9"/>
      <c r="C240" s="9" t="s">
        <v>337</v>
      </c>
      <c r="D240" s="9"/>
      <c r="E240" s="23">
        <v>47498</v>
      </c>
      <c r="F240" s="19"/>
      <c r="G240" s="19">
        <v>0</v>
      </c>
      <c r="H240" s="19"/>
      <c r="I240" s="19">
        <v>0</v>
      </c>
      <c r="J240" s="19"/>
      <c r="K240" s="19">
        <v>0</v>
      </c>
      <c r="L240" s="19"/>
      <c r="M240" s="19">
        <v>0</v>
      </c>
      <c r="N240" s="19"/>
      <c r="O240" s="19">
        <v>0</v>
      </c>
      <c r="P240" s="19"/>
      <c r="Q240" s="19">
        <v>0</v>
      </c>
      <c r="R240" s="19"/>
      <c r="S240" s="19">
        <v>0</v>
      </c>
      <c r="T240" s="19"/>
      <c r="U240" s="19">
        <v>0</v>
      </c>
      <c r="V240" s="19"/>
      <c r="W240" s="19">
        <v>0</v>
      </c>
      <c r="X240" s="19"/>
      <c r="Y240" s="26">
        <f t="shared" si="42"/>
        <v>0</v>
      </c>
      <c r="Z240" s="19"/>
      <c r="AA240" s="19">
        <v>0</v>
      </c>
      <c r="AB240" s="19"/>
      <c r="AC240" s="19">
        <v>0</v>
      </c>
      <c r="AD240" s="19"/>
      <c r="AE240" s="19">
        <v>0</v>
      </c>
      <c r="AF240" s="19"/>
      <c r="AG240" s="19"/>
      <c r="AH240" s="19"/>
      <c r="AI240" s="19"/>
      <c r="AJ240" s="19"/>
      <c r="AK240" s="19">
        <v>0</v>
      </c>
      <c r="AL240" s="19"/>
      <c r="AM240" s="19">
        <v>0</v>
      </c>
      <c r="AN240" s="19"/>
      <c r="AO240" s="26">
        <f t="shared" si="43"/>
        <v>0</v>
      </c>
      <c r="AP240" s="19"/>
      <c r="AQ240" s="26">
        <f t="shared" si="39"/>
        <v>0</v>
      </c>
      <c r="AR240" s="26"/>
    </row>
    <row r="241" spans="1:44">
      <c r="A241" s="8" t="s">
        <v>487</v>
      </c>
      <c r="B241" s="9"/>
      <c r="C241" s="9" t="s">
        <v>61</v>
      </c>
      <c r="D241" s="9"/>
      <c r="E241" s="23">
        <v>49791</v>
      </c>
      <c r="F241" s="19"/>
      <c r="G241" s="19">
        <v>2445959</v>
      </c>
      <c r="H241" s="19"/>
      <c r="I241" s="19">
        <v>732500</v>
      </c>
      <c r="J241" s="19"/>
      <c r="K241" s="19">
        <v>4957968</v>
      </c>
      <c r="L241" s="19"/>
      <c r="M241" s="19">
        <v>8514</v>
      </c>
      <c r="N241" s="19"/>
      <c r="O241" s="19">
        <f>1008925+119763</f>
        <v>1128688</v>
      </c>
      <c r="P241" s="19"/>
      <c r="Q241" s="19">
        <v>59322</v>
      </c>
      <c r="R241" s="19"/>
      <c r="S241" s="19">
        <v>0</v>
      </c>
      <c r="T241" s="19"/>
      <c r="U241" s="19">
        <v>3233</v>
      </c>
      <c r="V241" s="19"/>
      <c r="W241" s="19">
        <v>59169</v>
      </c>
      <c r="X241" s="19"/>
      <c r="Y241" s="26">
        <f t="shared" si="42"/>
        <v>9395353</v>
      </c>
      <c r="Z241" s="19"/>
      <c r="AA241" s="19">
        <v>0</v>
      </c>
      <c r="AB241" s="19"/>
      <c r="AC241" s="19">
        <v>0</v>
      </c>
      <c r="AD241" s="19"/>
      <c r="AE241" s="19">
        <v>0</v>
      </c>
      <c r="AF241" s="19"/>
      <c r="AG241" s="19"/>
      <c r="AH241" s="19"/>
      <c r="AI241" s="19"/>
      <c r="AJ241" s="19"/>
      <c r="AK241" s="19">
        <v>0</v>
      </c>
      <c r="AL241" s="19"/>
      <c r="AM241" s="19">
        <v>0</v>
      </c>
      <c r="AN241" s="19"/>
      <c r="AO241" s="26">
        <f t="shared" si="43"/>
        <v>0</v>
      </c>
      <c r="AP241" s="19"/>
      <c r="AQ241" s="26">
        <f t="shared" si="39"/>
        <v>9395353</v>
      </c>
      <c r="AR241" s="26"/>
    </row>
    <row r="242" spans="1:44" hidden="1">
      <c r="A242" s="8" t="s">
        <v>847</v>
      </c>
      <c r="B242" s="9"/>
      <c r="C242" s="9" t="s">
        <v>341</v>
      </c>
      <c r="D242" s="9"/>
      <c r="E242" s="23">
        <v>45245</v>
      </c>
      <c r="F242" s="19"/>
      <c r="G242" s="19">
        <v>0</v>
      </c>
      <c r="H242" s="19"/>
      <c r="I242" s="19">
        <v>0</v>
      </c>
      <c r="J242" s="19"/>
      <c r="K242" s="19">
        <v>0</v>
      </c>
      <c r="L242" s="19"/>
      <c r="M242" s="19">
        <v>0</v>
      </c>
      <c r="N242" s="19"/>
      <c r="O242" s="19">
        <v>0</v>
      </c>
      <c r="P242" s="19"/>
      <c r="Q242" s="19">
        <v>0</v>
      </c>
      <c r="R242" s="19"/>
      <c r="S242" s="19">
        <v>0</v>
      </c>
      <c r="T242" s="19"/>
      <c r="U242" s="19">
        <v>0</v>
      </c>
      <c r="V242" s="19"/>
      <c r="W242" s="19">
        <v>0</v>
      </c>
      <c r="X242" s="19"/>
      <c r="Y242" s="26">
        <f t="shared" si="42"/>
        <v>0</v>
      </c>
      <c r="Z242" s="19"/>
      <c r="AA242" s="19">
        <v>0</v>
      </c>
      <c r="AB242" s="19"/>
      <c r="AC242" s="19">
        <v>0</v>
      </c>
      <c r="AD242" s="19"/>
      <c r="AE242" s="19">
        <v>0</v>
      </c>
      <c r="AF242" s="19"/>
      <c r="AG242" s="19"/>
      <c r="AH242" s="19"/>
      <c r="AI242" s="19"/>
      <c r="AJ242" s="19"/>
      <c r="AK242" s="19">
        <v>0</v>
      </c>
      <c r="AL242" s="19"/>
      <c r="AM242" s="19">
        <v>0</v>
      </c>
      <c r="AN242" s="19"/>
      <c r="AO242" s="26">
        <f t="shared" si="43"/>
        <v>0</v>
      </c>
      <c r="AP242" s="19"/>
      <c r="AQ242" s="26">
        <f t="shared" si="39"/>
        <v>0</v>
      </c>
      <c r="AR242" s="26"/>
    </row>
    <row r="243" spans="1:44">
      <c r="A243" s="9" t="s">
        <v>371</v>
      </c>
      <c r="B243" s="9"/>
      <c r="C243" s="9" t="s">
        <v>42</v>
      </c>
      <c r="D243" s="9"/>
      <c r="E243" s="23">
        <v>44115</v>
      </c>
      <c r="F243" s="19"/>
      <c r="G243" s="19">
        <v>8082155</v>
      </c>
      <c r="H243" s="19"/>
      <c r="I243" s="19">
        <v>0</v>
      </c>
      <c r="J243" s="19"/>
      <c r="K243" s="19">
        <f>6048971+920119</f>
        <v>6969090</v>
      </c>
      <c r="L243" s="19"/>
      <c r="M243" s="19">
        <v>7807</v>
      </c>
      <c r="N243" s="19"/>
      <c r="O243" s="19">
        <f>78449+76887</f>
        <v>155336</v>
      </c>
      <c r="P243" s="19"/>
      <c r="Q243" s="19">
        <v>102999</v>
      </c>
      <c r="R243" s="19"/>
      <c r="S243" s="19">
        <v>0</v>
      </c>
      <c r="T243" s="19"/>
      <c r="U243" s="19">
        <v>0</v>
      </c>
      <c r="V243" s="19"/>
      <c r="W243" s="19">
        <f>220566+585749</f>
        <v>806315</v>
      </c>
      <c r="X243" s="19"/>
      <c r="Y243" s="26">
        <f t="shared" si="42"/>
        <v>16123702</v>
      </c>
      <c r="Z243" s="19"/>
      <c r="AA243" s="19">
        <v>0</v>
      </c>
      <c r="AB243" s="19"/>
      <c r="AC243" s="19">
        <v>0</v>
      </c>
      <c r="AD243" s="19"/>
      <c r="AE243" s="19">
        <v>0</v>
      </c>
      <c r="AF243" s="19"/>
      <c r="AG243" s="19"/>
      <c r="AH243" s="19"/>
      <c r="AI243" s="19"/>
      <c r="AJ243" s="19"/>
      <c r="AK243" s="19">
        <v>74450</v>
      </c>
      <c r="AL243" s="19"/>
      <c r="AM243" s="19">
        <v>0</v>
      </c>
      <c r="AN243" s="19"/>
      <c r="AO243" s="26">
        <f t="shared" si="43"/>
        <v>74450</v>
      </c>
      <c r="AP243" s="19"/>
      <c r="AQ243" s="26">
        <f t="shared" si="39"/>
        <v>16198152</v>
      </c>
      <c r="AR243" s="26"/>
    </row>
    <row r="244" spans="1:44" hidden="1">
      <c r="A244" s="9" t="s">
        <v>662</v>
      </c>
      <c r="B244" s="9"/>
      <c r="C244" s="9" t="s">
        <v>22</v>
      </c>
      <c r="D244" s="9"/>
      <c r="E244" s="23">
        <v>45419</v>
      </c>
      <c r="F244" s="19"/>
      <c r="G244" s="19">
        <v>0</v>
      </c>
      <c r="H244" s="19"/>
      <c r="I244" s="19">
        <v>0</v>
      </c>
      <c r="J244" s="19"/>
      <c r="K244" s="19">
        <v>0</v>
      </c>
      <c r="L244" s="19"/>
      <c r="M244" s="19">
        <v>0</v>
      </c>
      <c r="N244" s="19"/>
      <c r="O244" s="19">
        <v>0</v>
      </c>
      <c r="P244" s="19"/>
      <c r="Q244" s="19">
        <v>0</v>
      </c>
      <c r="R244" s="19"/>
      <c r="S244" s="19">
        <v>0</v>
      </c>
      <c r="T244" s="19"/>
      <c r="U244" s="19">
        <v>0</v>
      </c>
      <c r="V244" s="19"/>
      <c r="W244" s="19">
        <v>0</v>
      </c>
      <c r="X244" s="19"/>
      <c r="Y244" s="26">
        <f t="shared" si="42"/>
        <v>0</v>
      </c>
      <c r="Z244" s="19"/>
      <c r="AA244" s="19">
        <v>0</v>
      </c>
      <c r="AB244" s="19"/>
      <c r="AC244" s="19">
        <v>0</v>
      </c>
      <c r="AD244" s="19"/>
      <c r="AE244" s="19">
        <v>0</v>
      </c>
      <c r="AF244" s="19"/>
      <c r="AG244" s="19"/>
      <c r="AH244" s="19"/>
      <c r="AI244" s="19"/>
      <c r="AJ244" s="19"/>
      <c r="AK244" s="19">
        <v>0</v>
      </c>
      <c r="AL244" s="19"/>
      <c r="AM244" s="19">
        <v>0</v>
      </c>
      <c r="AN244" s="19"/>
      <c r="AO244" s="26">
        <f t="shared" si="43"/>
        <v>0</v>
      </c>
      <c r="AP244" s="19"/>
      <c r="AQ244" s="26">
        <f t="shared" ref="AQ244:AQ295" si="44">Y244+AO244</f>
        <v>0</v>
      </c>
      <c r="AR244" s="26"/>
    </row>
    <row r="245" spans="1:44">
      <c r="A245" s="9" t="s">
        <v>414</v>
      </c>
      <c r="B245" s="9"/>
      <c r="C245" s="9" t="s">
        <v>47</v>
      </c>
      <c r="D245" s="9"/>
      <c r="E245" s="23">
        <v>48496</v>
      </c>
      <c r="F245" s="19"/>
      <c r="G245" s="19">
        <v>22761358</v>
      </c>
      <c r="H245" s="19"/>
      <c r="I245" s="19">
        <v>0</v>
      </c>
      <c r="J245" s="19"/>
      <c r="K245" s="19">
        <v>10002051</v>
      </c>
      <c r="L245" s="19"/>
      <c r="M245" s="19">
        <v>57720</v>
      </c>
      <c r="N245" s="19"/>
      <c r="O245" s="19">
        <f>807807+932408+44846</f>
        <v>1785061</v>
      </c>
      <c r="P245" s="19"/>
      <c r="Q245" s="19">
        <v>601065</v>
      </c>
      <c r="R245" s="19"/>
      <c r="S245" s="19">
        <v>0</v>
      </c>
      <c r="T245" s="19"/>
      <c r="U245" s="19">
        <v>12614</v>
      </c>
      <c r="V245" s="19"/>
      <c r="W245" s="19">
        <v>57379</v>
      </c>
      <c r="X245" s="19"/>
      <c r="Y245" s="26">
        <f t="shared" si="42"/>
        <v>35277248</v>
      </c>
      <c r="Z245" s="19"/>
      <c r="AA245" s="19">
        <v>0</v>
      </c>
      <c r="AB245" s="19"/>
      <c r="AC245" s="19">
        <v>0</v>
      </c>
      <c r="AD245" s="19"/>
      <c r="AE245" s="19">
        <v>0</v>
      </c>
      <c r="AF245" s="19"/>
      <c r="AG245" s="19"/>
      <c r="AH245" s="19"/>
      <c r="AI245" s="19"/>
      <c r="AJ245" s="19"/>
      <c r="AK245" s="19">
        <v>0</v>
      </c>
      <c r="AL245" s="19"/>
      <c r="AM245" s="19">
        <v>0</v>
      </c>
      <c r="AN245" s="19"/>
      <c r="AO245" s="26">
        <f t="shared" si="43"/>
        <v>0</v>
      </c>
      <c r="AP245" s="19"/>
      <c r="AQ245" s="26">
        <f t="shared" si="44"/>
        <v>35277248</v>
      </c>
      <c r="AR245" s="26"/>
    </row>
    <row r="246" spans="1:44">
      <c r="A246" s="9" t="s">
        <v>414</v>
      </c>
      <c r="B246" s="9"/>
      <c r="C246" s="9" t="s">
        <v>78</v>
      </c>
      <c r="D246" s="9"/>
      <c r="E246" s="23">
        <v>48801</v>
      </c>
      <c r="F246" s="19"/>
      <c r="G246" s="19">
        <v>4506022</v>
      </c>
      <c r="H246" s="19"/>
      <c r="I246" s="19">
        <v>1005411</v>
      </c>
      <c r="J246" s="19"/>
      <c r="K246" s="19">
        <v>11095789</v>
      </c>
      <c r="L246" s="19"/>
      <c r="M246" s="19">
        <v>20796</v>
      </c>
      <c r="N246" s="19"/>
      <c r="O246" s="19">
        <f>377962+347131</f>
        <v>725093</v>
      </c>
      <c r="P246" s="19"/>
      <c r="Q246" s="19">
        <v>132951</v>
      </c>
      <c r="R246" s="19"/>
      <c r="S246" s="19">
        <v>0</v>
      </c>
      <c r="T246" s="19"/>
      <c r="U246" s="19">
        <v>1028</v>
      </c>
      <c r="V246" s="19"/>
      <c r="W246" s="19">
        <v>412233</v>
      </c>
      <c r="X246" s="19"/>
      <c r="Y246" s="26">
        <f t="shared" si="42"/>
        <v>17899323</v>
      </c>
      <c r="Z246" s="19"/>
      <c r="AA246" s="19">
        <v>0</v>
      </c>
      <c r="AB246" s="19"/>
      <c r="AC246" s="19">
        <v>0</v>
      </c>
      <c r="AD246" s="19"/>
      <c r="AE246" s="19">
        <v>0</v>
      </c>
      <c r="AF246" s="19"/>
      <c r="AG246" s="19"/>
      <c r="AH246" s="19"/>
      <c r="AI246" s="19"/>
      <c r="AJ246" s="19"/>
      <c r="AK246" s="19">
        <v>6160</v>
      </c>
      <c r="AL246" s="19"/>
      <c r="AM246" s="19">
        <v>0</v>
      </c>
      <c r="AN246" s="19"/>
      <c r="AO246" s="26">
        <f t="shared" si="43"/>
        <v>6160</v>
      </c>
      <c r="AP246" s="19"/>
      <c r="AQ246" s="26">
        <f t="shared" si="44"/>
        <v>17905483</v>
      </c>
      <c r="AR246" s="26"/>
    </row>
    <row r="247" spans="1:44">
      <c r="A247" s="9" t="s">
        <v>303</v>
      </c>
      <c r="B247" s="9"/>
      <c r="C247" s="9" t="s">
        <v>27</v>
      </c>
      <c r="D247" s="9"/>
      <c r="E247" s="23">
        <v>47019</v>
      </c>
      <c r="F247" s="19"/>
      <c r="G247" s="19">
        <v>119645337</v>
      </c>
      <c r="H247" s="19"/>
      <c r="I247" s="19">
        <v>0</v>
      </c>
      <c r="J247" s="19"/>
      <c r="K247" s="19">
        <f>56489713+7164610</f>
        <v>63654323</v>
      </c>
      <c r="L247" s="19"/>
      <c r="M247" s="19">
        <v>180793</v>
      </c>
      <c r="N247" s="19"/>
      <c r="O247" s="19">
        <f>3225320+1101860</f>
        <v>4327180</v>
      </c>
      <c r="P247" s="19"/>
      <c r="Q247" s="19">
        <v>715050</v>
      </c>
      <c r="R247" s="19"/>
      <c r="S247" s="19">
        <v>0</v>
      </c>
      <c r="T247" s="19"/>
      <c r="U247" s="19">
        <v>0</v>
      </c>
      <c r="V247" s="19"/>
      <c r="W247" s="19">
        <f>339874+3364205+3208563</f>
        <v>6912642</v>
      </c>
      <c r="X247" s="19"/>
      <c r="Y247" s="26">
        <f t="shared" si="42"/>
        <v>195435325</v>
      </c>
      <c r="Z247" s="19"/>
      <c r="AA247" s="19">
        <v>332252</v>
      </c>
      <c r="AB247" s="19"/>
      <c r="AC247" s="19">
        <v>0</v>
      </c>
      <c r="AD247" s="19"/>
      <c r="AE247" s="19">
        <f>66424912+11666702</f>
        <v>78091614</v>
      </c>
      <c r="AF247" s="19"/>
      <c r="AG247" s="19"/>
      <c r="AH247" s="19"/>
      <c r="AI247" s="19"/>
      <c r="AJ247" s="19"/>
      <c r="AK247" s="19">
        <f>306776+21000</f>
        <v>327776</v>
      </c>
      <c r="AL247" s="19"/>
      <c r="AM247" s="19">
        <v>0</v>
      </c>
      <c r="AN247" s="19"/>
      <c r="AO247" s="26">
        <f>AK247+AE247+AA247+AM247</f>
        <v>78751642</v>
      </c>
      <c r="AP247" s="19"/>
      <c r="AQ247" s="26">
        <f t="shared" si="44"/>
        <v>274186967</v>
      </c>
      <c r="AR247" s="26"/>
    </row>
    <row r="248" spans="1:44">
      <c r="A248" s="9" t="s">
        <v>348</v>
      </c>
      <c r="B248" s="9"/>
      <c r="C248" s="9" t="s">
        <v>346</v>
      </c>
      <c r="D248" s="9"/>
      <c r="E248" s="23">
        <v>44123</v>
      </c>
      <c r="F248" s="19"/>
      <c r="G248" s="19">
        <v>6331516</v>
      </c>
      <c r="H248" s="19"/>
      <c r="I248" s="19">
        <v>2352161</v>
      </c>
      <c r="J248" s="19"/>
      <c r="K248" s="19">
        <v>16168297</v>
      </c>
      <c r="L248" s="19"/>
      <c r="M248" s="19">
        <v>51638</v>
      </c>
      <c r="N248" s="19"/>
      <c r="O248" s="19">
        <f>1330923+8427+333809</f>
        <v>1673159</v>
      </c>
      <c r="P248" s="19"/>
      <c r="Q248" s="19">
        <v>168113</v>
      </c>
      <c r="R248" s="19"/>
      <c r="S248" s="19">
        <v>0</v>
      </c>
      <c r="T248" s="19"/>
      <c r="U248" s="19">
        <v>153881</v>
      </c>
      <c r="V248" s="19"/>
      <c r="W248" s="19">
        <v>196704</v>
      </c>
      <c r="X248" s="19"/>
      <c r="Y248" s="26">
        <f t="shared" si="42"/>
        <v>27095469</v>
      </c>
      <c r="Z248" s="19"/>
      <c r="AA248" s="19">
        <v>359958</v>
      </c>
      <c r="AB248" s="19"/>
      <c r="AC248" s="19">
        <v>0</v>
      </c>
      <c r="AD248" s="19"/>
      <c r="AE248" s="19">
        <v>0</v>
      </c>
      <c r="AF248" s="19"/>
      <c r="AG248" s="19"/>
      <c r="AH248" s="19"/>
      <c r="AI248" s="19"/>
      <c r="AJ248" s="19"/>
      <c r="AK248" s="19">
        <v>1519</v>
      </c>
      <c r="AL248" s="19"/>
      <c r="AM248" s="19">
        <v>0</v>
      </c>
      <c r="AN248" s="19"/>
      <c r="AO248" s="26">
        <f t="shared" si="43"/>
        <v>361477</v>
      </c>
      <c r="AP248" s="19"/>
      <c r="AQ248" s="26">
        <f t="shared" si="44"/>
        <v>27456946</v>
      </c>
      <c r="AR248" s="26"/>
    </row>
    <row r="249" spans="1:44">
      <c r="A249" s="9" t="s">
        <v>203</v>
      </c>
      <c r="B249" s="9"/>
      <c r="C249" s="9" t="s">
        <v>11</v>
      </c>
      <c r="D249" s="9"/>
      <c r="E249" s="23">
        <v>45823</v>
      </c>
      <c r="F249" s="19"/>
      <c r="G249" s="19">
        <v>4636025</v>
      </c>
      <c r="H249" s="19"/>
      <c r="I249" s="19">
        <v>0</v>
      </c>
      <c r="J249" s="19"/>
      <c r="K249" s="19">
        <f>6300+4311203+587783</f>
        <v>4905286</v>
      </c>
      <c r="L249" s="19"/>
      <c r="M249" s="19">
        <v>1714</v>
      </c>
      <c r="N249" s="19"/>
      <c r="O249" s="19">
        <f>336877+207980+85741+1466</f>
        <v>632064</v>
      </c>
      <c r="P249" s="19"/>
      <c r="Q249" s="19">
        <v>140303</v>
      </c>
      <c r="R249" s="19"/>
      <c r="S249" s="19">
        <v>0</v>
      </c>
      <c r="T249" s="19"/>
      <c r="U249" s="19">
        <v>9756</v>
      </c>
      <c r="V249" s="19"/>
      <c r="W249" s="19">
        <v>67332</v>
      </c>
      <c r="X249" s="19"/>
      <c r="Y249" s="26">
        <f t="shared" si="42"/>
        <v>10392480</v>
      </c>
      <c r="Z249" s="19"/>
      <c r="AA249" s="19">
        <v>71429</v>
      </c>
      <c r="AB249" s="19"/>
      <c r="AC249" s="19">
        <v>0</v>
      </c>
      <c r="AD249" s="19"/>
      <c r="AE249" s="19">
        <v>0</v>
      </c>
      <c r="AF249" s="19"/>
      <c r="AG249" s="19"/>
      <c r="AH249" s="19"/>
      <c r="AI249" s="19"/>
      <c r="AJ249" s="19"/>
      <c r="AK249" s="19">
        <v>0</v>
      </c>
      <c r="AL249" s="19"/>
      <c r="AM249" s="19">
        <v>0</v>
      </c>
      <c r="AN249" s="19"/>
      <c r="AO249" s="26">
        <f t="shared" si="43"/>
        <v>71429</v>
      </c>
      <c r="AP249" s="19"/>
      <c r="AQ249" s="26">
        <f t="shared" si="44"/>
        <v>10463909</v>
      </c>
      <c r="AR249" s="26"/>
    </row>
    <row r="250" spans="1:44">
      <c r="A250" s="9" t="s">
        <v>342</v>
      </c>
      <c r="B250" s="9"/>
      <c r="C250" s="9" t="s">
        <v>34</v>
      </c>
      <c r="D250" s="9"/>
      <c r="E250" s="23">
        <v>47571</v>
      </c>
      <c r="F250" s="19"/>
      <c r="G250" s="19">
        <v>1512861</v>
      </c>
      <c r="H250" s="19"/>
      <c r="I250" s="19">
        <v>727953</v>
      </c>
      <c r="J250" s="19"/>
      <c r="K250" s="19">
        <v>3238515</v>
      </c>
      <c r="L250" s="19"/>
      <c r="M250" s="19">
        <v>10187</v>
      </c>
      <c r="N250" s="19"/>
      <c r="O250" s="19">
        <f>411279+194268</f>
        <v>605547</v>
      </c>
      <c r="P250" s="19"/>
      <c r="Q250" s="19">
        <v>78859</v>
      </c>
      <c r="R250" s="19"/>
      <c r="S250" s="19">
        <v>0</v>
      </c>
      <c r="T250" s="19"/>
      <c r="U250" s="19">
        <v>3500</v>
      </c>
      <c r="V250" s="19"/>
      <c r="W250" s="19">
        <v>48049</v>
      </c>
      <c r="X250" s="19"/>
      <c r="Y250" s="26">
        <f t="shared" si="42"/>
        <v>6225471</v>
      </c>
      <c r="Z250" s="19"/>
      <c r="AA250" s="19">
        <v>20742</v>
      </c>
      <c r="AB250" s="19"/>
      <c r="AC250" s="19">
        <v>0</v>
      </c>
      <c r="AD250" s="19"/>
      <c r="AE250" s="19">
        <v>0</v>
      </c>
      <c r="AF250" s="19"/>
      <c r="AG250" s="19"/>
      <c r="AH250" s="19"/>
      <c r="AI250" s="19"/>
      <c r="AJ250" s="19"/>
      <c r="AK250" s="19">
        <v>0</v>
      </c>
      <c r="AL250" s="19"/>
      <c r="AM250" s="19">
        <v>0</v>
      </c>
      <c r="AN250" s="19"/>
      <c r="AO250" s="26">
        <f t="shared" si="43"/>
        <v>20742</v>
      </c>
      <c r="AP250" s="19"/>
      <c r="AQ250" s="26">
        <f t="shared" si="44"/>
        <v>6246213</v>
      </c>
      <c r="AR250" s="26"/>
    </row>
    <row r="251" spans="1:44" hidden="1">
      <c r="A251" s="8" t="s">
        <v>879</v>
      </c>
      <c r="B251" s="8"/>
      <c r="C251" s="8" t="s">
        <v>60</v>
      </c>
      <c r="D251" s="8"/>
      <c r="E251" s="23">
        <v>49700</v>
      </c>
      <c r="F251" s="19"/>
      <c r="G251" s="19">
        <v>0</v>
      </c>
      <c r="H251" s="19"/>
      <c r="I251" s="19">
        <v>0</v>
      </c>
      <c r="J251" s="19"/>
      <c r="K251" s="19">
        <v>0</v>
      </c>
      <c r="L251" s="19"/>
      <c r="M251" s="19">
        <v>0</v>
      </c>
      <c r="N251" s="19"/>
      <c r="O251" s="19">
        <v>0</v>
      </c>
      <c r="P251" s="19"/>
      <c r="Q251" s="19">
        <v>0</v>
      </c>
      <c r="R251" s="19"/>
      <c r="S251" s="19">
        <v>0</v>
      </c>
      <c r="T251" s="19"/>
      <c r="U251" s="19">
        <v>0</v>
      </c>
      <c r="V251" s="19"/>
      <c r="W251" s="19">
        <v>0</v>
      </c>
      <c r="X251" s="19"/>
      <c r="Y251" s="26">
        <f t="shared" ref="Y251" si="45">SUM(G251:W251)</f>
        <v>0</v>
      </c>
      <c r="Z251" s="19"/>
      <c r="AA251" s="19">
        <v>0</v>
      </c>
      <c r="AB251" s="19"/>
      <c r="AC251" s="19">
        <v>0</v>
      </c>
      <c r="AD251" s="19"/>
      <c r="AE251" s="19">
        <v>0</v>
      </c>
      <c r="AF251" s="19"/>
      <c r="AG251" s="19"/>
      <c r="AH251" s="19"/>
      <c r="AI251" s="19"/>
      <c r="AJ251" s="19"/>
      <c r="AK251" s="19">
        <v>0</v>
      </c>
      <c r="AL251" s="19"/>
      <c r="AM251" s="19">
        <v>0</v>
      </c>
      <c r="AN251" s="19"/>
      <c r="AO251" s="26"/>
      <c r="AP251" s="19"/>
      <c r="AQ251" s="26">
        <f t="shared" ref="AQ251" si="46">Y251+AO251</f>
        <v>0</v>
      </c>
      <c r="AR251" s="26"/>
    </row>
    <row r="252" spans="1:44">
      <c r="A252" s="9" t="s">
        <v>518</v>
      </c>
      <c r="B252" s="9"/>
      <c r="C252" s="9" t="s">
        <v>64</v>
      </c>
      <c r="D252" s="9"/>
      <c r="E252" s="23">
        <v>50161</v>
      </c>
      <c r="F252" s="19"/>
      <c r="G252" s="19">
        <v>16001166</v>
      </c>
      <c r="H252" s="19"/>
      <c r="I252" s="19">
        <v>0</v>
      </c>
      <c r="J252" s="19"/>
      <c r="K252" s="19">
        <f>10240827+1753314</f>
        <v>11994141</v>
      </c>
      <c r="L252" s="19"/>
      <c r="M252" s="19">
        <v>28177</v>
      </c>
      <c r="N252" s="19"/>
      <c r="O252" s="19">
        <f>1492775+19179+330082+97562+2882</f>
        <v>1942480</v>
      </c>
      <c r="P252" s="19"/>
      <c r="Q252" s="19">
        <v>309714</v>
      </c>
      <c r="R252" s="19"/>
      <c r="S252" s="19">
        <v>0</v>
      </c>
      <c r="T252" s="19"/>
      <c r="U252" s="19">
        <v>42119</v>
      </c>
      <c r="V252" s="19"/>
      <c r="W252" s="19">
        <v>150202</v>
      </c>
      <c r="X252" s="19"/>
      <c r="Y252" s="26">
        <f t="shared" si="42"/>
        <v>30467999</v>
      </c>
      <c r="Z252" s="19"/>
      <c r="AA252" s="19">
        <v>0</v>
      </c>
      <c r="AB252" s="19"/>
      <c r="AC252" s="19">
        <v>0</v>
      </c>
      <c r="AD252" s="19"/>
      <c r="AE252" s="19">
        <v>0</v>
      </c>
      <c r="AF252" s="19"/>
      <c r="AG252" s="19"/>
      <c r="AH252" s="19"/>
      <c r="AI252" s="19"/>
      <c r="AJ252" s="19"/>
      <c r="AK252" s="19">
        <v>0</v>
      </c>
      <c r="AL252" s="19"/>
      <c r="AM252" s="19">
        <v>0</v>
      </c>
      <c r="AN252" s="19"/>
      <c r="AO252" s="26">
        <f t="shared" si="43"/>
        <v>0</v>
      </c>
      <c r="AP252" s="19"/>
      <c r="AQ252" s="26">
        <f t="shared" si="44"/>
        <v>30467999</v>
      </c>
      <c r="AR252" s="26"/>
    </row>
    <row r="253" spans="1:44">
      <c r="A253" s="9" t="s">
        <v>755</v>
      </c>
      <c r="B253" s="9"/>
      <c r="C253" s="9" t="s">
        <v>64</v>
      </c>
      <c r="D253" s="9"/>
      <c r="E253" s="23">
        <v>45427</v>
      </c>
      <c r="F253" s="19"/>
      <c r="G253" s="19">
        <v>6860025</v>
      </c>
      <c r="H253" s="19"/>
      <c r="I253" s="19">
        <v>0</v>
      </c>
      <c r="J253" s="19"/>
      <c r="K253" s="19">
        <v>12022819</v>
      </c>
      <c r="L253" s="19"/>
      <c r="M253" s="19">
        <v>30011</v>
      </c>
      <c r="N253" s="19"/>
      <c r="O253" s="19">
        <f>347118+1180222+69800</f>
        <v>1597140</v>
      </c>
      <c r="P253" s="19"/>
      <c r="Q253" s="19">
        <v>137077</v>
      </c>
      <c r="R253" s="19"/>
      <c r="S253" s="19">
        <v>0</v>
      </c>
      <c r="T253" s="19"/>
      <c r="U253" s="19">
        <v>52792</v>
      </c>
      <c r="V253" s="19"/>
      <c r="W253" s="19">
        <v>457616</v>
      </c>
      <c r="X253" s="19"/>
      <c r="Y253" s="26">
        <f t="shared" si="42"/>
        <v>21157480</v>
      </c>
      <c r="Z253" s="19"/>
      <c r="AA253" s="19">
        <v>362705</v>
      </c>
      <c r="AB253" s="19"/>
      <c r="AC253" s="19">
        <v>0</v>
      </c>
      <c r="AD253" s="19"/>
      <c r="AE253" s="19">
        <f>8134991+1715509</f>
        <v>9850500</v>
      </c>
      <c r="AF253" s="19"/>
      <c r="AG253" s="19"/>
      <c r="AH253" s="19"/>
      <c r="AI253" s="19"/>
      <c r="AJ253" s="19"/>
      <c r="AK253" s="19">
        <v>0</v>
      </c>
      <c r="AL253" s="19"/>
      <c r="AM253" s="19">
        <v>0</v>
      </c>
      <c r="AN253" s="19"/>
      <c r="AO253" s="26">
        <f t="shared" si="43"/>
        <v>10213205</v>
      </c>
      <c r="AP253" s="19"/>
      <c r="AQ253" s="26">
        <f t="shared" si="44"/>
        <v>31370685</v>
      </c>
      <c r="AR253" s="26"/>
    </row>
    <row r="254" spans="1:44" ht="12.6" customHeight="1">
      <c r="A254" s="9" t="s">
        <v>427</v>
      </c>
      <c r="B254" s="9"/>
      <c r="C254" s="9" t="s">
        <v>50</v>
      </c>
      <c r="D254" s="9"/>
      <c r="E254" s="23">
        <v>48751</v>
      </c>
      <c r="F254" s="19"/>
      <c r="G254" s="19">
        <v>30662941</v>
      </c>
      <c r="H254" s="19"/>
      <c r="I254" s="19">
        <v>0</v>
      </c>
      <c r="J254" s="19"/>
      <c r="K254" s="19">
        <f>32221551+4600757</f>
        <v>36822308</v>
      </c>
      <c r="L254" s="19"/>
      <c r="M254" s="19">
        <v>63442</v>
      </c>
      <c r="N254" s="19"/>
      <c r="O254" s="19">
        <f>408074+135797</f>
        <v>543871</v>
      </c>
      <c r="P254" s="19"/>
      <c r="Q254" s="19">
        <v>711324</v>
      </c>
      <c r="R254" s="19"/>
      <c r="S254" s="19">
        <v>0</v>
      </c>
      <c r="T254" s="19"/>
      <c r="U254" s="19">
        <v>0</v>
      </c>
      <c r="V254" s="19"/>
      <c r="W254" s="19">
        <f>932931+153756+755989</f>
        <v>1842676</v>
      </c>
      <c r="X254" s="19"/>
      <c r="Y254" s="26">
        <f t="shared" si="42"/>
        <v>70646562</v>
      </c>
      <c r="Z254" s="19"/>
      <c r="AA254" s="19">
        <v>0</v>
      </c>
      <c r="AB254" s="19"/>
      <c r="AC254" s="19">
        <v>0</v>
      </c>
      <c r="AD254" s="19"/>
      <c r="AE254" s="19">
        <v>0</v>
      </c>
      <c r="AF254" s="19"/>
      <c r="AG254" s="19"/>
      <c r="AH254" s="19"/>
      <c r="AI254" s="19"/>
      <c r="AJ254" s="19"/>
      <c r="AK254" s="19">
        <v>9360</v>
      </c>
      <c r="AL254" s="19"/>
      <c r="AM254" s="19">
        <v>0</v>
      </c>
      <c r="AN254" s="19"/>
      <c r="AO254" s="26">
        <f t="shared" si="43"/>
        <v>9360</v>
      </c>
      <c r="AP254" s="19"/>
      <c r="AQ254" s="26">
        <f t="shared" si="44"/>
        <v>70655922</v>
      </c>
      <c r="AR254" s="26"/>
    </row>
    <row r="255" spans="1:44">
      <c r="A255" s="9" t="s">
        <v>505</v>
      </c>
      <c r="B255" s="9"/>
      <c r="C255" s="9" t="s">
        <v>63</v>
      </c>
      <c r="D255" s="9"/>
      <c r="E255" s="23">
        <v>50021</v>
      </c>
      <c r="F255" s="19"/>
      <c r="G255" s="19">
        <v>42122419</v>
      </c>
      <c r="H255" s="19"/>
      <c r="I255" s="19">
        <v>0</v>
      </c>
      <c r="J255" s="19"/>
      <c r="K255" s="19">
        <f>1278479+20078720+1856419</f>
        <v>23213618</v>
      </c>
      <c r="L255" s="19"/>
      <c r="M255" s="19">
        <v>51472</v>
      </c>
      <c r="N255" s="19"/>
      <c r="O255" s="19">
        <f>703700+1279995+346101</f>
        <v>2329796</v>
      </c>
      <c r="P255" s="19"/>
      <c r="Q255" s="19">
        <v>769849</v>
      </c>
      <c r="R255" s="19"/>
      <c r="S255" s="19">
        <v>349063</v>
      </c>
      <c r="T255" s="19"/>
      <c r="U255" s="19">
        <v>0</v>
      </c>
      <c r="V255" s="19"/>
      <c r="W255" s="19">
        <v>452473</v>
      </c>
      <c r="X255" s="19"/>
      <c r="Y255" s="26">
        <f t="shared" si="42"/>
        <v>69288690</v>
      </c>
      <c r="Z255" s="19"/>
      <c r="AA255" s="19">
        <v>1006000</v>
      </c>
      <c r="AB255" s="19"/>
      <c r="AC255" s="19">
        <v>0</v>
      </c>
      <c r="AD255" s="19"/>
      <c r="AE255" s="19">
        <f>64451+18725000</f>
        <v>18789451</v>
      </c>
      <c r="AF255" s="19"/>
      <c r="AG255" s="19"/>
      <c r="AH255" s="19"/>
      <c r="AI255" s="19"/>
      <c r="AJ255" s="19"/>
      <c r="AK255" s="19">
        <v>20674</v>
      </c>
      <c r="AL255" s="19"/>
      <c r="AM255" s="19">
        <v>0</v>
      </c>
      <c r="AN255" s="19"/>
      <c r="AO255" s="26">
        <f t="shared" si="43"/>
        <v>19816125</v>
      </c>
      <c r="AP255" s="19"/>
      <c r="AQ255" s="26">
        <f t="shared" si="44"/>
        <v>89104815</v>
      </c>
      <c r="AR255" s="26"/>
    </row>
    <row r="256" spans="1:44">
      <c r="A256" s="9" t="s">
        <v>471</v>
      </c>
      <c r="B256" s="9"/>
      <c r="C256" s="9" t="s">
        <v>58</v>
      </c>
      <c r="D256" s="9"/>
      <c r="E256" s="23">
        <v>49502</v>
      </c>
      <c r="F256" s="19"/>
      <c r="G256" s="19">
        <v>1220977</v>
      </c>
      <c r="H256" s="19"/>
      <c r="I256" s="19">
        <v>0</v>
      </c>
      <c r="J256" s="19"/>
      <c r="K256" s="19">
        <v>10489162</v>
      </c>
      <c r="L256" s="19"/>
      <c r="M256" s="19">
        <v>2528</v>
      </c>
      <c r="N256" s="19"/>
      <c r="O256" s="19">
        <f>1034069+8910+158804</f>
        <v>1201783</v>
      </c>
      <c r="P256" s="19"/>
      <c r="Q256" s="19">
        <v>103654</v>
      </c>
      <c r="R256" s="19"/>
      <c r="S256" s="19">
        <v>0</v>
      </c>
      <c r="T256" s="19"/>
      <c r="U256" s="19">
        <v>28793</v>
      </c>
      <c r="V256" s="19"/>
      <c r="W256" s="19">
        <v>20168</v>
      </c>
      <c r="X256" s="19"/>
      <c r="Y256" s="26">
        <f t="shared" si="42"/>
        <v>13067065</v>
      </c>
      <c r="Z256" s="19"/>
      <c r="AA256" s="19">
        <v>0</v>
      </c>
      <c r="AB256" s="19"/>
      <c r="AC256" s="19">
        <v>0</v>
      </c>
      <c r="AD256" s="19"/>
      <c r="AE256" s="19">
        <v>588770</v>
      </c>
      <c r="AF256" s="19"/>
      <c r="AG256" s="19"/>
      <c r="AH256" s="19"/>
      <c r="AI256" s="19"/>
      <c r="AJ256" s="19"/>
      <c r="AK256" s="19">
        <v>23732</v>
      </c>
      <c r="AL256" s="19"/>
      <c r="AM256" s="19">
        <v>0</v>
      </c>
      <c r="AN256" s="19"/>
      <c r="AO256" s="26">
        <f t="shared" si="43"/>
        <v>612502</v>
      </c>
      <c r="AP256" s="19"/>
      <c r="AQ256" s="26">
        <f t="shared" si="44"/>
        <v>13679567</v>
      </c>
      <c r="AR256" s="26"/>
    </row>
    <row r="257" spans="1:44">
      <c r="A257" s="9" t="s">
        <v>284</v>
      </c>
      <c r="B257" s="9"/>
      <c r="C257" s="9" t="s">
        <v>24</v>
      </c>
      <c r="D257" s="9"/>
      <c r="E257" s="23">
        <v>44131</v>
      </c>
      <c r="F257" s="19"/>
      <c r="G257" s="19">
        <v>10201800</v>
      </c>
      <c r="H257" s="19"/>
      <c r="I257" s="19">
        <v>0</v>
      </c>
      <c r="J257" s="19"/>
      <c r="K257" s="19">
        <f>4950509+769817</f>
        <v>5720326</v>
      </c>
      <c r="L257" s="19"/>
      <c r="M257" s="19">
        <v>28325</v>
      </c>
      <c r="N257" s="19"/>
      <c r="O257" s="19">
        <f>586460+315459+61948+54412</f>
        <v>1018279</v>
      </c>
      <c r="P257" s="19"/>
      <c r="Q257" s="19">
        <v>287312</v>
      </c>
      <c r="R257" s="19"/>
      <c r="S257" s="19">
        <v>129156</v>
      </c>
      <c r="T257" s="19"/>
      <c r="U257" s="19">
        <v>45661</v>
      </c>
      <c r="V257" s="19"/>
      <c r="W257" s="19">
        <v>264184</v>
      </c>
      <c r="X257" s="19"/>
      <c r="Y257" s="26">
        <f t="shared" si="42"/>
        <v>17695043</v>
      </c>
      <c r="Z257" s="19"/>
      <c r="AA257" s="19">
        <v>0</v>
      </c>
      <c r="AB257" s="19"/>
      <c r="AC257" s="19">
        <v>0</v>
      </c>
      <c r="AD257" s="19"/>
      <c r="AE257" s="19">
        <v>0</v>
      </c>
      <c r="AF257" s="19"/>
      <c r="AG257" s="19"/>
      <c r="AH257" s="19"/>
      <c r="AI257" s="19"/>
      <c r="AJ257" s="19"/>
      <c r="AK257" s="19">
        <v>0</v>
      </c>
      <c r="AL257" s="19"/>
      <c r="AM257" s="19">
        <v>0</v>
      </c>
      <c r="AN257" s="19"/>
      <c r="AO257" s="26">
        <f t="shared" si="43"/>
        <v>0</v>
      </c>
      <c r="AP257" s="19"/>
      <c r="AQ257" s="26">
        <f t="shared" si="44"/>
        <v>17695043</v>
      </c>
      <c r="AR257" s="26"/>
    </row>
    <row r="258" spans="1:44">
      <c r="A258" s="9" t="s">
        <v>267</v>
      </c>
      <c r="B258" s="9"/>
      <c r="C258" s="9" t="s">
        <v>20</v>
      </c>
      <c r="D258" s="9"/>
      <c r="E258" s="23">
        <v>46565</v>
      </c>
      <c r="F258" s="19"/>
      <c r="G258" s="19">
        <v>16600762</v>
      </c>
      <c r="H258" s="19"/>
      <c r="I258" s="19">
        <v>0</v>
      </c>
      <c r="J258" s="19"/>
      <c r="K258" s="19">
        <v>2963981</v>
      </c>
      <c r="L258" s="19"/>
      <c r="M258" s="19">
        <v>17499</v>
      </c>
      <c r="N258" s="19"/>
      <c r="O258" s="19">
        <f>159267+55648+182878</f>
        <v>397793</v>
      </c>
      <c r="P258" s="19"/>
      <c r="Q258" s="19">
        <v>134209</v>
      </c>
      <c r="R258" s="19"/>
      <c r="S258" s="19">
        <v>62500</v>
      </c>
      <c r="T258" s="19"/>
      <c r="U258" s="19">
        <v>363</v>
      </c>
      <c r="V258" s="19"/>
      <c r="W258" s="19">
        <v>70234</v>
      </c>
      <c r="X258" s="19"/>
      <c r="Y258" s="26">
        <f t="shared" si="42"/>
        <v>20247341</v>
      </c>
      <c r="Z258" s="19"/>
      <c r="AA258" s="19">
        <v>152470</v>
      </c>
      <c r="AB258" s="19"/>
      <c r="AC258" s="19">
        <v>0</v>
      </c>
      <c r="AD258" s="19"/>
      <c r="AE258" s="19">
        <v>0</v>
      </c>
      <c r="AF258" s="19"/>
      <c r="AG258" s="19"/>
      <c r="AH258" s="19"/>
      <c r="AI258" s="19"/>
      <c r="AJ258" s="19"/>
      <c r="AK258" s="19">
        <v>0</v>
      </c>
      <c r="AL258" s="19"/>
      <c r="AM258" s="19">
        <v>0</v>
      </c>
      <c r="AN258" s="19"/>
      <c r="AO258" s="26">
        <f t="shared" si="43"/>
        <v>152470</v>
      </c>
      <c r="AP258" s="19"/>
      <c r="AQ258" s="26">
        <f t="shared" si="44"/>
        <v>20399811</v>
      </c>
      <c r="AR258" s="26"/>
    </row>
    <row r="259" spans="1:44" ht="13.15" customHeight="1">
      <c r="A259" s="9" t="s">
        <v>361</v>
      </c>
      <c r="B259" s="9"/>
      <c r="C259" s="9" t="s">
        <v>39</v>
      </c>
      <c r="D259" s="9"/>
      <c r="E259" s="23">
        <v>47803</v>
      </c>
      <c r="F259" s="19"/>
      <c r="G259" s="19">
        <v>8180964</v>
      </c>
      <c r="H259" s="19"/>
      <c r="I259" s="19">
        <v>0</v>
      </c>
      <c r="J259" s="19"/>
      <c r="K259" s="19">
        <v>12337730</v>
      </c>
      <c r="L259" s="19"/>
      <c r="M259" s="19">
        <v>4194</v>
      </c>
      <c r="N259" s="19"/>
      <c r="O259" s="19">
        <f>214299+1990921+28794</f>
        <v>2234014</v>
      </c>
      <c r="P259" s="19"/>
      <c r="Q259" s="19">
        <v>189039</v>
      </c>
      <c r="R259" s="19"/>
      <c r="S259" s="19">
        <v>0</v>
      </c>
      <c r="T259" s="19"/>
      <c r="U259" s="19">
        <v>40685</v>
      </c>
      <c r="V259" s="19"/>
      <c r="W259" s="19">
        <v>10206</v>
      </c>
      <c r="X259" s="19"/>
      <c r="Y259" s="26">
        <f t="shared" si="42"/>
        <v>22996832</v>
      </c>
      <c r="Z259" s="19"/>
      <c r="AA259" s="19">
        <v>16584</v>
      </c>
      <c r="AB259" s="19"/>
      <c r="AC259" s="19">
        <v>0</v>
      </c>
      <c r="AD259" s="19"/>
      <c r="AE259" s="19">
        <f>656591+67670</f>
        <v>724261</v>
      </c>
      <c r="AF259" s="19"/>
      <c r="AG259" s="19"/>
      <c r="AH259" s="19"/>
      <c r="AI259" s="19"/>
      <c r="AJ259" s="19"/>
      <c r="AK259" s="19">
        <v>35473</v>
      </c>
      <c r="AL259" s="19"/>
      <c r="AM259" s="19">
        <v>0</v>
      </c>
      <c r="AN259" s="19"/>
      <c r="AO259" s="26">
        <f t="shared" si="43"/>
        <v>776318</v>
      </c>
      <c r="AP259" s="19"/>
      <c r="AQ259" s="26">
        <f t="shared" si="44"/>
        <v>23773150</v>
      </c>
      <c r="AR259" s="26"/>
    </row>
    <row r="260" spans="1:44">
      <c r="A260" s="9" t="s">
        <v>756</v>
      </c>
      <c r="B260" s="9"/>
      <c r="C260" s="9" t="s">
        <v>32</v>
      </c>
      <c r="D260" s="9"/>
      <c r="E260" s="23">
        <v>45435</v>
      </c>
      <c r="F260" s="19"/>
      <c r="G260" s="19">
        <v>27506059</v>
      </c>
      <c r="H260" s="19"/>
      <c r="I260" s="19">
        <v>0</v>
      </c>
      <c r="J260" s="19"/>
      <c r="K260" s="19">
        <f>5539154+847872</f>
        <v>6387026</v>
      </c>
      <c r="L260" s="19"/>
      <c r="M260" s="19">
        <v>615770</v>
      </c>
      <c r="N260" s="19"/>
      <c r="O260" s="19">
        <f>57185+529216+9940</f>
        <v>596341</v>
      </c>
      <c r="P260" s="19"/>
      <c r="Q260" s="19">
        <v>208748</v>
      </c>
      <c r="R260" s="19"/>
      <c r="S260" s="19">
        <v>3814254</v>
      </c>
      <c r="T260" s="19"/>
      <c r="U260" s="19">
        <v>196</v>
      </c>
      <c r="V260" s="19"/>
      <c r="W260" s="19">
        <v>424565</v>
      </c>
      <c r="X260" s="19"/>
      <c r="Y260" s="26">
        <f t="shared" si="42"/>
        <v>39552959</v>
      </c>
      <c r="Z260" s="19"/>
      <c r="AA260" s="19">
        <v>0</v>
      </c>
      <c r="AB260" s="19"/>
      <c r="AC260" s="19">
        <v>0</v>
      </c>
      <c r="AD260" s="19"/>
      <c r="AE260" s="19">
        <v>0</v>
      </c>
      <c r="AF260" s="19"/>
      <c r="AG260" s="19"/>
      <c r="AH260" s="19"/>
      <c r="AI260" s="19"/>
      <c r="AJ260" s="19"/>
      <c r="AK260" s="19">
        <v>0</v>
      </c>
      <c r="AL260" s="19"/>
      <c r="AM260" s="19">
        <v>0</v>
      </c>
      <c r="AN260" s="19"/>
      <c r="AO260" s="26">
        <f t="shared" si="43"/>
        <v>0</v>
      </c>
      <c r="AP260" s="19"/>
      <c r="AQ260" s="26">
        <f t="shared" si="44"/>
        <v>39552959</v>
      </c>
      <c r="AR260" s="26"/>
    </row>
    <row r="261" spans="1:44" hidden="1">
      <c r="A261" s="9" t="s">
        <v>789</v>
      </c>
      <c r="B261" s="9"/>
      <c r="C261" s="9" t="s">
        <v>43</v>
      </c>
      <c r="D261" s="9"/>
      <c r="E261" s="23">
        <v>48082</v>
      </c>
      <c r="F261" s="19"/>
      <c r="G261" s="19">
        <v>0</v>
      </c>
      <c r="H261" s="19"/>
      <c r="I261" s="19">
        <v>0</v>
      </c>
      <c r="J261" s="19"/>
      <c r="K261" s="19">
        <v>0</v>
      </c>
      <c r="L261" s="19"/>
      <c r="M261" s="19">
        <v>0</v>
      </c>
      <c r="N261" s="19"/>
      <c r="O261" s="19">
        <v>0</v>
      </c>
      <c r="P261" s="19"/>
      <c r="Q261" s="19">
        <v>0</v>
      </c>
      <c r="R261" s="19"/>
      <c r="S261" s="19">
        <v>0</v>
      </c>
      <c r="T261" s="19"/>
      <c r="U261" s="19">
        <v>0</v>
      </c>
      <c r="V261" s="19"/>
      <c r="W261" s="19">
        <v>0</v>
      </c>
      <c r="X261" s="19"/>
      <c r="Y261" s="26">
        <f t="shared" si="42"/>
        <v>0</v>
      </c>
      <c r="Z261" s="19"/>
      <c r="AA261" s="19">
        <v>0</v>
      </c>
      <c r="AB261" s="19"/>
      <c r="AC261" s="19">
        <v>0</v>
      </c>
      <c r="AD261" s="19"/>
      <c r="AE261" s="19">
        <v>0</v>
      </c>
      <c r="AF261" s="19"/>
      <c r="AG261" s="19"/>
      <c r="AH261" s="19"/>
      <c r="AI261" s="19"/>
      <c r="AJ261" s="19"/>
      <c r="AK261" s="19">
        <v>0</v>
      </c>
      <c r="AL261" s="19"/>
      <c r="AM261" s="19">
        <v>0</v>
      </c>
      <c r="AN261" s="19"/>
      <c r="AO261" s="26"/>
      <c r="AP261" s="19"/>
      <c r="AQ261" s="26">
        <f t="shared" si="44"/>
        <v>0</v>
      </c>
      <c r="AR261" s="26"/>
    </row>
    <row r="262" spans="1:44">
      <c r="A262" s="9" t="s">
        <v>532</v>
      </c>
      <c r="B262" s="9"/>
      <c r="C262" s="9" t="s">
        <v>65</v>
      </c>
      <c r="D262" s="9"/>
      <c r="E262" s="23">
        <v>50286</v>
      </c>
      <c r="F262" s="19"/>
      <c r="G262" s="19">
        <v>4866044</v>
      </c>
      <c r="H262" s="19"/>
      <c r="I262" s="19">
        <v>0</v>
      </c>
      <c r="J262" s="19"/>
      <c r="K262" s="19">
        <v>11197350</v>
      </c>
      <c r="L262" s="19"/>
      <c r="M262" s="19">
        <v>9997</v>
      </c>
      <c r="N262" s="19"/>
      <c r="O262" s="19">
        <f>1694365+1615+376837</f>
        <v>2072817</v>
      </c>
      <c r="P262" s="19"/>
      <c r="Q262" s="19">
        <v>201069</v>
      </c>
      <c r="R262" s="19"/>
      <c r="S262" s="19">
        <v>0</v>
      </c>
      <c r="T262" s="19"/>
      <c r="U262" s="19">
        <v>78090</v>
      </c>
      <c r="V262" s="19"/>
      <c r="W262" s="19">
        <v>50982</v>
      </c>
      <c r="X262" s="19"/>
      <c r="Y262" s="26">
        <f t="shared" si="42"/>
        <v>18476349</v>
      </c>
      <c r="Z262" s="19"/>
      <c r="AA262" s="19">
        <v>0</v>
      </c>
      <c r="AB262" s="19"/>
      <c r="AC262" s="19">
        <v>0</v>
      </c>
      <c r="AD262" s="19"/>
      <c r="AE262" s="19">
        <v>0</v>
      </c>
      <c r="AF262" s="19"/>
      <c r="AG262" s="19"/>
      <c r="AH262" s="19"/>
      <c r="AI262" s="19"/>
      <c r="AJ262" s="19"/>
      <c r="AK262" s="19">
        <v>870</v>
      </c>
      <c r="AL262" s="19"/>
      <c r="AM262" s="19">
        <v>0</v>
      </c>
      <c r="AN262" s="19"/>
      <c r="AO262" s="26">
        <f t="shared" ref="AO262:AO271" si="47">AK262+AE262+AA262</f>
        <v>870</v>
      </c>
      <c r="AP262" s="19"/>
      <c r="AQ262" s="26">
        <f t="shared" si="44"/>
        <v>18477219</v>
      </c>
      <c r="AR262" s="26"/>
    </row>
    <row r="263" spans="1:44">
      <c r="A263" s="9" t="s">
        <v>367</v>
      </c>
      <c r="B263" s="9"/>
      <c r="C263" s="9" t="s">
        <v>364</v>
      </c>
      <c r="D263" s="9"/>
      <c r="E263" s="23">
        <v>44149</v>
      </c>
      <c r="F263" s="19"/>
      <c r="G263" s="19">
        <v>3366431</v>
      </c>
      <c r="H263" s="19"/>
      <c r="I263" s="19">
        <v>0</v>
      </c>
      <c r="J263" s="19"/>
      <c r="K263" s="19">
        <v>11393785</v>
      </c>
      <c r="L263" s="19"/>
      <c r="M263" s="19">
        <v>9418</v>
      </c>
      <c r="N263" s="19"/>
      <c r="O263" s="19">
        <f>1338146+28500+117697</f>
        <v>1484343</v>
      </c>
      <c r="P263" s="19"/>
      <c r="Q263" s="19">
        <v>351618</v>
      </c>
      <c r="R263" s="19"/>
      <c r="S263" s="19">
        <v>0</v>
      </c>
      <c r="T263" s="19"/>
      <c r="U263" s="19">
        <v>3317</v>
      </c>
      <c r="V263" s="19"/>
      <c r="W263" s="19">
        <v>298210</v>
      </c>
      <c r="X263" s="19"/>
      <c r="Y263" s="26">
        <f t="shared" si="42"/>
        <v>16907122</v>
      </c>
      <c r="Z263" s="19"/>
      <c r="AA263" s="19">
        <v>0</v>
      </c>
      <c r="AB263" s="19"/>
      <c r="AC263" s="19">
        <v>0</v>
      </c>
      <c r="AD263" s="19"/>
      <c r="AE263" s="19">
        <f>8240000+1714116</f>
        <v>9954116</v>
      </c>
      <c r="AF263" s="19"/>
      <c r="AG263" s="19"/>
      <c r="AH263" s="19"/>
      <c r="AI263" s="19"/>
      <c r="AJ263" s="19"/>
      <c r="AK263" s="19">
        <v>0</v>
      </c>
      <c r="AL263" s="19"/>
      <c r="AM263" s="19">
        <v>0</v>
      </c>
      <c r="AN263" s="19"/>
      <c r="AO263" s="26">
        <f t="shared" si="47"/>
        <v>9954116</v>
      </c>
      <c r="AP263" s="19"/>
      <c r="AQ263" s="26">
        <f t="shared" si="44"/>
        <v>26861238</v>
      </c>
      <c r="AR263" s="26"/>
    </row>
    <row r="264" spans="1:44" hidden="1">
      <c r="A264" s="9" t="s">
        <v>663</v>
      </c>
      <c r="B264" s="9"/>
      <c r="C264" s="9" t="s">
        <v>61</v>
      </c>
      <c r="D264" s="9"/>
      <c r="E264" s="23">
        <v>49809</v>
      </c>
      <c r="F264" s="19"/>
      <c r="G264" s="19">
        <v>0</v>
      </c>
      <c r="H264" s="19"/>
      <c r="I264" s="19">
        <v>0</v>
      </c>
      <c r="J264" s="19"/>
      <c r="K264" s="19">
        <v>0</v>
      </c>
      <c r="L264" s="19"/>
      <c r="M264" s="19">
        <v>0</v>
      </c>
      <c r="N264" s="19"/>
      <c r="O264" s="19">
        <v>0</v>
      </c>
      <c r="P264" s="19"/>
      <c r="Q264" s="19">
        <v>0</v>
      </c>
      <c r="R264" s="19"/>
      <c r="S264" s="19">
        <v>0</v>
      </c>
      <c r="T264" s="19"/>
      <c r="U264" s="19">
        <v>0</v>
      </c>
      <c r="V264" s="19"/>
      <c r="W264" s="19">
        <v>0</v>
      </c>
      <c r="X264" s="19"/>
      <c r="Y264" s="26">
        <f t="shared" si="42"/>
        <v>0</v>
      </c>
      <c r="Z264" s="19"/>
      <c r="AA264" s="19">
        <v>0</v>
      </c>
      <c r="AB264" s="19"/>
      <c r="AC264" s="19">
        <v>0</v>
      </c>
      <c r="AD264" s="19"/>
      <c r="AE264" s="19">
        <v>0</v>
      </c>
      <c r="AF264" s="19"/>
      <c r="AG264" s="19"/>
      <c r="AH264" s="19"/>
      <c r="AI264" s="19"/>
      <c r="AJ264" s="19"/>
      <c r="AK264" s="19">
        <v>0</v>
      </c>
      <c r="AL264" s="19"/>
      <c r="AM264" s="19">
        <v>0</v>
      </c>
      <c r="AN264" s="19"/>
      <c r="AO264" s="26">
        <f t="shared" si="47"/>
        <v>0</v>
      </c>
      <c r="AP264" s="19"/>
      <c r="AQ264" s="26">
        <f t="shared" si="44"/>
        <v>0</v>
      </c>
      <c r="AR264" s="26"/>
    </row>
    <row r="265" spans="1:44" hidden="1">
      <c r="A265" s="9" t="s">
        <v>674</v>
      </c>
      <c r="B265" s="9"/>
      <c r="C265" s="9" t="s">
        <v>38</v>
      </c>
      <c r="D265" s="9"/>
      <c r="E265" s="23">
        <v>44156</v>
      </c>
      <c r="F265" s="19"/>
      <c r="G265" s="19">
        <v>0</v>
      </c>
      <c r="H265" s="19"/>
      <c r="I265" s="19">
        <v>0</v>
      </c>
      <c r="J265" s="19"/>
      <c r="K265" s="19">
        <v>0</v>
      </c>
      <c r="L265" s="19"/>
      <c r="M265" s="19">
        <v>0</v>
      </c>
      <c r="N265" s="19"/>
      <c r="O265" s="19">
        <v>0</v>
      </c>
      <c r="P265" s="19"/>
      <c r="Q265" s="19">
        <v>0</v>
      </c>
      <c r="R265" s="19"/>
      <c r="S265" s="19">
        <v>0</v>
      </c>
      <c r="T265" s="19"/>
      <c r="U265" s="19">
        <v>0</v>
      </c>
      <c r="V265" s="19"/>
      <c r="W265" s="19">
        <v>0</v>
      </c>
      <c r="X265" s="19"/>
      <c r="Y265" s="26">
        <f>SUM(G265:W265)</f>
        <v>0</v>
      </c>
      <c r="Z265" s="19"/>
      <c r="AA265" s="19">
        <v>0</v>
      </c>
      <c r="AB265" s="19"/>
      <c r="AC265" s="19">
        <v>0</v>
      </c>
      <c r="AD265" s="19"/>
      <c r="AE265" s="19">
        <v>0</v>
      </c>
      <c r="AF265" s="19"/>
      <c r="AG265" s="19"/>
      <c r="AH265" s="19"/>
      <c r="AI265" s="19"/>
      <c r="AJ265" s="19"/>
      <c r="AK265" s="19">
        <v>0</v>
      </c>
      <c r="AL265" s="19"/>
      <c r="AM265" s="19">
        <v>0</v>
      </c>
      <c r="AN265" s="19"/>
      <c r="AO265" s="26">
        <f t="shared" si="47"/>
        <v>0</v>
      </c>
      <c r="AP265" s="19"/>
      <c r="AQ265" s="26">
        <f t="shared" si="44"/>
        <v>0</v>
      </c>
      <c r="AR265" s="26"/>
    </row>
    <row r="266" spans="1:44">
      <c r="A266" s="9" t="s">
        <v>493</v>
      </c>
      <c r="B266" s="9"/>
      <c r="C266" s="9" t="s">
        <v>62</v>
      </c>
      <c r="D266" s="9"/>
      <c r="E266" s="23">
        <v>49858</v>
      </c>
      <c r="F266" s="19"/>
      <c r="G266" s="19">
        <v>41003597</v>
      </c>
      <c r="H266" s="19"/>
      <c r="I266" s="19">
        <v>0</v>
      </c>
      <c r="J266" s="19"/>
      <c r="K266" s="19">
        <f>30116+12947895+2407486</f>
        <v>15385497</v>
      </c>
      <c r="L266" s="19"/>
      <c r="M266" s="19">
        <v>5137</v>
      </c>
      <c r="N266" s="19"/>
      <c r="O266" s="19">
        <f>615040+9582+1237741+231819+18670</f>
        <v>2112852</v>
      </c>
      <c r="P266" s="19"/>
      <c r="Q266" s="19">
        <v>803081</v>
      </c>
      <c r="R266" s="19"/>
      <c r="S266" s="19">
        <v>100239</v>
      </c>
      <c r="T266" s="19"/>
      <c r="U266" s="19">
        <v>250451</v>
      </c>
      <c r="V266" s="19"/>
      <c r="W266" s="19">
        <f>117794+255873</f>
        <v>373667</v>
      </c>
      <c r="X266" s="19"/>
      <c r="Y266" s="26">
        <f t="shared" si="42"/>
        <v>60034521</v>
      </c>
      <c r="Z266" s="19"/>
      <c r="AA266" s="19">
        <v>11415</v>
      </c>
      <c r="AB266" s="19"/>
      <c r="AC266" s="19">
        <v>0</v>
      </c>
      <c r="AD266" s="19"/>
      <c r="AE266" s="19">
        <v>0</v>
      </c>
      <c r="AF266" s="19"/>
      <c r="AG266" s="19"/>
      <c r="AH266" s="19"/>
      <c r="AI266" s="19"/>
      <c r="AJ266" s="19"/>
      <c r="AK266" s="19">
        <v>22869</v>
      </c>
      <c r="AL266" s="19"/>
      <c r="AM266" s="19">
        <v>0</v>
      </c>
      <c r="AN266" s="19"/>
      <c r="AO266" s="26">
        <f t="shared" si="47"/>
        <v>34284</v>
      </c>
      <c r="AP266" s="19"/>
      <c r="AQ266" s="26">
        <f t="shared" si="44"/>
        <v>60068805</v>
      </c>
      <c r="AR266" s="26"/>
    </row>
    <row r="267" spans="1:44">
      <c r="A267" s="9" t="s">
        <v>401</v>
      </c>
      <c r="B267" s="9"/>
      <c r="C267" s="9" t="s">
        <v>45</v>
      </c>
      <c r="D267" s="9"/>
      <c r="E267" s="23">
        <v>48322</v>
      </c>
      <c r="F267" s="19"/>
      <c r="G267" s="19">
        <v>5535760</v>
      </c>
      <c r="H267" s="19"/>
      <c r="I267" s="19">
        <v>0</v>
      </c>
      <c r="J267" s="19"/>
      <c r="K267" s="19">
        <f>35640+3343062+776760</f>
        <v>4155462</v>
      </c>
      <c r="L267" s="19"/>
      <c r="M267" s="19">
        <v>544</v>
      </c>
      <c r="N267" s="19"/>
      <c r="O267" s="19">
        <f>605902+190516+10800</f>
        <v>807218</v>
      </c>
      <c r="P267" s="19"/>
      <c r="Q267" s="19">
        <v>66207</v>
      </c>
      <c r="R267" s="19"/>
      <c r="S267" s="19">
        <v>0</v>
      </c>
      <c r="T267" s="19"/>
      <c r="U267" s="19">
        <v>29581</v>
      </c>
      <c r="V267" s="19"/>
      <c r="W267" s="19">
        <v>79020</v>
      </c>
      <c r="X267" s="19"/>
      <c r="Y267" s="26">
        <f t="shared" si="42"/>
        <v>10673792</v>
      </c>
      <c r="Z267" s="19"/>
      <c r="AA267" s="19">
        <v>71429</v>
      </c>
      <c r="AB267" s="19"/>
      <c r="AC267" s="19">
        <v>0</v>
      </c>
      <c r="AD267" s="19"/>
      <c r="AE267" s="19">
        <v>0</v>
      </c>
      <c r="AF267" s="19"/>
      <c r="AG267" s="19"/>
      <c r="AH267" s="19"/>
      <c r="AI267" s="19"/>
      <c r="AJ267" s="19"/>
      <c r="AK267" s="19">
        <v>0</v>
      </c>
      <c r="AL267" s="19"/>
      <c r="AM267" s="19">
        <v>0</v>
      </c>
      <c r="AN267" s="19"/>
      <c r="AO267" s="26">
        <f t="shared" si="47"/>
        <v>71429</v>
      </c>
      <c r="AP267" s="19"/>
      <c r="AQ267" s="26">
        <f t="shared" si="44"/>
        <v>10745221</v>
      </c>
      <c r="AR267" s="26"/>
    </row>
    <row r="268" spans="1:44">
      <c r="A268" s="9" t="s">
        <v>457</v>
      </c>
      <c r="B268" s="9"/>
      <c r="C268" s="9" t="s">
        <v>56</v>
      </c>
      <c r="D268" s="9"/>
      <c r="E268" s="23">
        <v>49205</v>
      </c>
      <c r="F268" s="19"/>
      <c r="G268" s="19">
        <v>4527424</v>
      </c>
      <c r="H268" s="19"/>
      <c r="I268" s="19">
        <v>0</v>
      </c>
      <c r="J268" s="19"/>
      <c r="K268" s="19">
        <f>5250+6304686+961796</f>
        <v>7271732</v>
      </c>
      <c r="L268" s="19"/>
      <c r="M268" s="19">
        <v>13254</v>
      </c>
      <c r="N268" s="19"/>
      <c r="O268" s="19">
        <f>1294177+5561+278704+18521</f>
        <v>1596963</v>
      </c>
      <c r="P268" s="19"/>
      <c r="Q268" s="19">
        <v>143207</v>
      </c>
      <c r="R268" s="19"/>
      <c r="S268" s="19">
        <v>0</v>
      </c>
      <c r="T268" s="19"/>
      <c r="U268" s="19">
        <v>0</v>
      </c>
      <c r="V268" s="19"/>
      <c r="W268" s="19">
        <v>108063</v>
      </c>
      <c r="X268" s="19"/>
      <c r="Y268" s="26">
        <f t="shared" si="42"/>
        <v>13660643</v>
      </c>
      <c r="Z268" s="19"/>
      <c r="AA268" s="19">
        <v>3740</v>
      </c>
      <c r="AB268" s="19"/>
      <c r="AC268" s="19">
        <v>0</v>
      </c>
      <c r="AD268" s="19"/>
      <c r="AE268" s="19">
        <v>0</v>
      </c>
      <c r="AF268" s="19"/>
      <c r="AG268" s="19"/>
      <c r="AH268" s="19"/>
      <c r="AI268" s="19"/>
      <c r="AJ268" s="19"/>
      <c r="AK268" s="19">
        <v>2791</v>
      </c>
      <c r="AL268" s="19"/>
      <c r="AM268" s="19">
        <v>0</v>
      </c>
      <c r="AN268" s="19"/>
      <c r="AO268" s="26">
        <f t="shared" si="47"/>
        <v>6531</v>
      </c>
      <c r="AP268" s="19"/>
      <c r="AQ268" s="26">
        <f t="shared" si="44"/>
        <v>13667174</v>
      </c>
      <c r="AR268" s="26"/>
    </row>
    <row r="269" spans="1:44">
      <c r="A269" s="9" t="s">
        <v>208</v>
      </c>
      <c r="B269" s="9"/>
      <c r="C269" s="9" t="s">
        <v>12</v>
      </c>
      <c r="D269" s="9"/>
      <c r="E269" s="23">
        <v>45872</v>
      </c>
      <c r="F269" s="19"/>
      <c r="G269" s="19">
        <v>4529869</v>
      </c>
      <c r="H269" s="19"/>
      <c r="I269" s="19">
        <v>0</v>
      </c>
      <c r="J269" s="19"/>
      <c r="K269" s="19">
        <v>9827268</v>
      </c>
      <c r="L269" s="19"/>
      <c r="M269" s="19">
        <v>9477</v>
      </c>
      <c r="N269" s="19"/>
      <c r="O269" s="19">
        <f>1089340+217184</f>
        <v>1306524</v>
      </c>
      <c r="P269" s="19"/>
      <c r="Q269" s="19">
        <v>143107</v>
      </c>
      <c r="R269" s="19"/>
      <c r="S269" s="19">
        <v>0</v>
      </c>
      <c r="T269" s="19"/>
      <c r="U269" s="19">
        <v>3386</v>
      </c>
      <c r="V269" s="19"/>
      <c r="W269" s="19">
        <v>328959</v>
      </c>
      <c r="X269" s="19"/>
      <c r="Y269" s="26">
        <f t="shared" si="42"/>
        <v>16148590</v>
      </c>
      <c r="Z269" s="19"/>
      <c r="AA269" s="19">
        <v>50789</v>
      </c>
      <c r="AB269" s="19"/>
      <c r="AC269" s="19">
        <v>0</v>
      </c>
      <c r="AD269" s="19"/>
      <c r="AE269" s="19">
        <f>2431799+16470000</f>
        <v>18901799</v>
      </c>
      <c r="AF269" s="19"/>
      <c r="AG269" s="19"/>
      <c r="AH269" s="19"/>
      <c r="AI269" s="19"/>
      <c r="AJ269" s="19"/>
      <c r="AK269" s="19">
        <f>300000+3091015</f>
        <v>3391015</v>
      </c>
      <c r="AL269" s="19"/>
      <c r="AM269" s="19">
        <v>0</v>
      </c>
      <c r="AN269" s="19"/>
      <c r="AO269" s="26">
        <f t="shared" si="47"/>
        <v>22343603</v>
      </c>
      <c r="AP269" s="19"/>
      <c r="AQ269" s="26">
        <f t="shared" si="44"/>
        <v>38492193</v>
      </c>
      <c r="AR269" s="26"/>
    </row>
    <row r="270" spans="1:44">
      <c r="A270" s="9" t="s">
        <v>394</v>
      </c>
      <c r="B270" s="9"/>
      <c r="C270" s="9" t="s">
        <v>395</v>
      </c>
      <c r="D270" s="9"/>
      <c r="E270" s="23">
        <v>48256</v>
      </c>
      <c r="F270" s="19"/>
      <c r="G270" s="19">
        <v>5508873</v>
      </c>
      <c r="H270" s="19"/>
      <c r="I270" s="19">
        <v>859268</v>
      </c>
      <c r="J270" s="19"/>
      <c r="K270" s="19">
        <f>4741199+913624</f>
        <v>5654823</v>
      </c>
      <c r="L270" s="19"/>
      <c r="M270" s="19">
        <v>8203</v>
      </c>
      <c r="N270" s="19"/>
      <c r="O270" s="19">
        <f>845971+293381+26904+2970</f>
        <v>1169226</v>
      </c>
      <c r="P270" s="19"/>
      <c r="Q270" s="19">
        <v>236207</v>
      </c>
      <c r="R270" s="19"/>
      <c r="S270" s="19">
        <v>960395</v>
      </c>
      <c r="T270" s="19"/>
      <c r="U270" s="19">
        <v>74174</v>
      </c>
      <c r="V270" s="19"/>
      <c r="W270" s="19">
        <v>29744</v>
      </c>
      <c r="X270" s="19"/>
      <c r="Y270" s="26">
        <f t="shared" si="42"/>
        <v>14500913</v>
      </c>
      <c r="Z270" s="19"/>
      <c r="AA270" s="19">
        <v>287293</v>
      </c>
      <c r="AB270" s="19"/>
      <c r="AC270" s="19">
        <v>0</v>
      </c>
      <c r="AD270" s="19"/>
      <c r="AE270" s="19">
        <f>1317815+10989986+300000</f>
        <v>12607801</v>
      </c>
      <c r="AF270" s="19"/>
      <c r="AG270" s="19"/>
      <c r="AH270" s="19"/>
      <c r="AI270" s="19"/>
      <c r="AJ270" s="19"/>
      <c r="AK270" s="19">
        <v>111961</v>
      </c>
      <c r="AL270" s="19"/>
      <c r="AM270" s="19">
        <v>0</v>
      </c>
      <c r="AN270" s="19"/>
      <c r="AO270" s="26">
        <f t="shared" si="47"/>
        <v>13007055</v>
      </c>
      <c r="AP270" s="19"/>
      <c r="AQ270" s="26">
        <f t="shared" si="44"/>
        <v>27507968</v>
      </c>
      <c r="AR270" s="26"/>
    </row>
    <row r="271" spans="1:44">
      <c r="A271" s="9" t="s">
        <v>675</v>
      </c>
      <c r="B271" s="9"/>
      <c r="C271" s="9" t="s">
        <v>50</v>
      </c>
      <c r="D271" s="9"/>
      <c r="E271" s="23">
        <v>48686</v>
      </c>
      <c r="F271" s="19"/>
      <c r="G271" s="19">
        <v>2726414</v>
      </c>
      <c r="H271" s="19"/>
      <c r="I271" s="19">
        <v>0</v>
      </c>
      <c r="J271" s="19"/>
      <c r="K271" s="19">
        <f>4407829+829725</f>
        <v>5237554</v>
      </c>
      <c r="L271" s="19"/>
      <c r="M271" s="19">
        <v>2543</v>
      </c>
      <c r="N271" s="19"/>
      <c r="O271" s="19">
        <f>453314+5089</f>
        <v>458403</v>
      </c>
      <c r="P271" s="19"/>
      <c r="Q271" s="19">
        <v>21881</v>
      </c>
      <c r="R271" s="19"/>
      <c r="S271" s="19">
        <v>6929</v>
      </c>
      <c r="T271" s="19"/>
      <c r="U271" s="19">
        <v>2702</v>
      </c>
      <c r="V271" s="19"/>
      <c r="W271" s="19">
        <v>1885</v>
      </c>
      <c r="X271" s="19"/>
      <c r="Y271" s="26">
        <f t="shared" si="42"/>
        <v>8458311</v>
      </c>
      <c r="Z271" s="19"/>
      <c r="AA271" s="19">
        <v>20000</v>
      </c>
      <c r="AB271" s="19"/>
      <c r="AC271" s="19">
        <v>0</v>
      </c>
      <c r="AD271" s="19"/>
      <c r="AE271" s="19">
        <v>0</v>
      </c>
      <c r="AF271" s="19"/>
      <c r="AG271" s="19"/>
      <c r="AH271" s="19"/>
      <c r="AI271" s="19"/>
      <c r="AJ271" s="19"/>
      <c r="AK271" s="19">
        <v>0</v>
      </c>
      <c r="AL271" s="19"/>
      <c r="AM271" s="19">
        <v>0</v>
      </c>
      <c r="AN271" s="19"/>
      <c r="AO271" s="26">
        <f t="shared" si="47"/>
        <v>20000</v>
      </c>
      <c r="AP271" s="19"/>
      <c r="AQ271" s="26">
        <f t="shared" si="44"/>
        <v>8478311</v>
      </c>
      <c r="AR271" s="26"/>
    </row>
    <row r="272" spans="1:44" hidden="1">
      <c r="A272" s="9" t="s">
        <v>860</v>
      </c>
      <c r="B272" s="9"/>
      <c r="C272" s="9" t="s">
        <v>464</v>
      </c>
      <c r="D272" s="9"/>
      <c r="E272" s="23">
        <v>49338</v>
      </c>
      <c r="F272" s="19"/>
      <c r="G272" s="19">
        <v>0</v>
      </c>
      <c r="H272" s="19"/>
      <c r="I272" s="19">
        <v>0</v>
      </c>
      <c r="J272" s="19"/>
      <c r="K272" s="19">
        <v>0</v>
      </c>
      <c r="L272" s="19"/>
      <c r="M272" s="19">
        <v>0</v>
      </c>
      <c r="N272" s="19"/>
      <c r="O272" s="19">
        <v>0</v>
      </c>
      <c r="P272" s="19"/>
      <c r="Q272" s="19">
        <v>0</v>
      </c>
      <c r="R272" s="19"/>
      <c r="S272" s="19">
        <v>0</v>
      </c>
      <c r="T272" s="19"/>
      <c r="U272" s="19">
        <v>0</v>
      </c>
      <c r="V272" s="19"/>
      <c r="W272" s="19">
        <v>0</v>
      </c>
      <c r="X272" s="19"/>
      <c r="Y272" s="26">
        <f t="shared" si="42"/>
        <v>0</v>
      </c>
      <c r="Z272" s="19"/>
      <c r="AA272" s="19">
        <v>0</v>
      </c>
      <c r="AB272" s="19"/>
      <c r="AC272" s="19">
        <v>0</v>
      </c>
      <c r="AD272" s="19"/>
      <c r="AE272" s="19">
        <v>0</v>
      </c>
      <c r="AF272" s="19"/>
      <c r="AG272" s="19"/>
      <c r="AH272" s="19"/>
      <c r="AI272" s="19"/>
      <c r="AJ272" s="19"/>
      <c r="AK272" s="19">
        <v>0</v>
      </c>
      <c r="AL272" s="19"/>
      <c r="AM272" s="19">
        <v>0</v>
      </c>
      <c r="AN272" s="19"/>
      <c r="AO272" s="26"/>
      <c r="AP272" s="19"/>
      <c r="AQ272" s="26">
        <f t="shared" si="44"/>
        <v>0</v>
      </c>
      <c r="AR272" s="26"/>
    </row>
    <row r="273" spans="1:44">
      <c r="A273" s="9" t="s">
        <v>372</v>
      </c>
      <c r="B273" s="9"/>
      <c r="C273" s="9" t="s">
        <v>42</v>
      </c>
      <c r="D273" s="9"/>
      <c r="E273" s="23">
        <v>47985</v>
      </c>
      <c r="F273" s="19"/>
      <c r="G273" s="19">
        <v>6476204</v>
      </c>
      <c r="H273" s="19"/>
      <c r="I273" s="19">
        <v>2414931</v>
      </c>
      <c r="J273" s="19"/>
      <c r="K273" s="19">
        <f>4933+5526351+677843</f>
        <v>6209127</v>
      </c>
      <c r="L273" s="19"/>
      <c r="M273" s="19">
        <v>13081</v>
      </c>
      <c r="N273" s="19"/>
      <c r="O273" s="19">
        <f>536854+78785+233230+83905+1980</f>
        <v>934754</v>
      </c>
      <c r="P273" s="19"/>
      <c r="Q273" s="19">
        <v>176738</v>
      </c>
      <c r="R273" s="19"/>
      <c r="S273" s="19">
        <v>0</v>
      </c>
      <c r="T273" s="19"/>
      <c r="U273" s="19">
        <v>12542</v>
      </c>
      <c r="V273" s="19"/>
      <c r="W273" s="19">
        <v>141711</v>
      </c>
      <c r="X273" s="19"/>
      <c r="Y273" s="26">
        <f t="shared" si="42"/>
        <v>16379088</v>
      </c>
      <c r="Z273" s="19"/>
      <c r="AA273" s="19">
        <v>124171</v>
      </c>
      <c r="AB273" s="19"/>
      <c r="AC273" s="19">
        <v>0</v>
      </c>
      <c r="AD273" s="19"/>
      <c r="AE273" s="19">
        <v>0</v>
      </c>
      <c r="AF273" s="19"/>
      <c r="AG273" s="19"/>
      <c r="AH273" s="19"/>
      <c r="AI273" s="19"/>
      <c r="AJ273" s="19"/>
      <c r="AK273" s="19">
        <v>42656</v>
      </c>
      <c r="AL273" s="19"/>
      <c r="AM273" s="19">
        <v>0</v>
      </c>
      <c r="AN273" s="19"/>
      <c r="AO273" s="26">
        <f t="shared" ref="AO273:AO295" si="48">AK273+AE273+AA273</f>
        <v>166827</v>
      </c>
      <c r="AP273" s="19"/>
      <c r="AQ273" s="26">
        <f t="shared" si="44"/>
        <v>16545915</v>
      </c>
      <c r="AR273" s="26"/>
    </row>
    <row r="274" spans="1:44">
      <c r="A274" s="9" t="s">
        <v>396</v>
      </c>
      <c r="B274" s="9"/>
      <c r="C274" s="9" t="s">
        <v>395</v>
      </c>
      <c r="D274" s="9"/>
      <c r="E274" s="23">
        <v>48264</v>
      </c>
      <c r="F274" s="19"/>
      <c r="G274" s="19">
        <v>7951553</v>
      </c>
      <c r="H274" s="19"/>
      <c r="I274" s="19">
        <v>2123316</v>
      </c>
      <c r="J274" s="19"/>
      <c r="K274" s="19">
        <f>8319779+1093903</f>
        <v>9413682</v>
      </c>
      <c r="L274" s="19"/>
      <c r="M274" s="19">
        <v>9839</v>
      </c>
      <c r="N274" s="19"/>
      <c r="O274" s="19">
        <f>824768+435986+104212+3797</f>
        <v>1368763</v>
      </c>
      <c r="P274" s="19"/>
      <c r="Q274" s="19">
        <v>384586</v>
      </c>
      <c r="R274" s="19"/>
      <c r="S274" s="19">
        <v>0</v>
      </c>
      <c r="T274" s="19"/>
      <c r="U274" s="19">
        <v>0</v>
      </c>
      <c r="V274" s="19"/>
      <c r="W274" s="19">
        <v>58967</v>
      </c>
      <c r="X274" s="19"/>
      <c r="Y274" s="26">
        <f t="shared" si="42"/>
        <v>21310706</v>
      </c>
      <c r="Z274" s="19"/>
      <c r="AA274" s="19">
        <v>1694221</v>
      </c>
      <c r="AB274" s="19"/>
      <c r="AC274" s="19">
        <v>0</v>
      </c>
      <c r="AD274" s="19"/>
      <c r="AE274" s="19">
        <v>0</v>
      </c>
      <c r="AF274" s="19"/>
      <c r="AG274" s="19"/>
      <c r="AH274" s="19"/>
      <c r="AI274" s="19"/>
      <c r="AJ274" s="19"/>
      <c r="AK274" s="19">
        <v>261000</v>
      </c>
      <c r="AL274" s="19"/>
      <c r="AM274" s="19">
        <v>0</v>
      </c>
      <c r="AN274" s="19"/>
      <c r="AO274" s="26">
        <f t="shared" si="48"/>
        <v>1955221</v>
      </c>
      <c r="AP274" s="19"/>
      <c r="AQ274" s="26">
        <f t="shared" si="44"/>
        <v>23265927</v>
      </c>
      <c r="AR274" s="26"/>
    </row>
    <row r="275" spans="1:44">
      <c r="A275" s="9" t="s">
        <v>519</v>
      </c>
      <c r="B275" s="9"/>
      <c r="C275" s="9" t="s">
        <v>64</v>
      </c>
      <c r="D275" s="9"/>
      <c r="E275" s="23">
        <v>50179</v>
      </c>
      <c r="F275" s="19"/>
      <c r="G275" s="19">
        <v>3455087</v>
      </c>
      <c r="H275" s="19"/>
      <c r="I275" s="19">
        <v>0</v>
      </c>
      <c r="J275" s="19"/>
      <c r="K275" s="19">
        <v>5099499</v>
      </c>
      <c r="L275" s="19"/>
      <c r="M275" s="19">
        <v>5809</v>
      </c>
      <c r="N275" s="19"/>
      <c r="O275" s="19">
        <f>266473+13423</f>
        <v>279896</v>
      </c>
      <c r="P275" s="19"/>
      <c r="Q275" s="19">
        <v>45923</v>
      </c>
      <c r="R275" s="19"/>
      <c r="S275" s="19">
        <v>0</v>
      </c>
      <c r="T275" s="19"/>
      <c r="U275" s="19">
        <v>10563</v>
      </c>
      <c r="V275" s="19"/>
      <c r="W275" s="19">
        <v>63</v>
      </c>
      <c r="X275" s="19"/>
      <c r="Y275" s="26">
        <f t="shared" si="42"/>
        <v>8896840</v>
      </c>
      <c r="Z275" s="19"/>
      <c r="AA275" s="19">
        <v>88379</v>
      </c>
      <c r="AB275" s="19"/>
      <c r="AC275" s="19">
        <v>0</v>
      </c>
      <c r="AD275" s="19"/>
      <c r="AE275" s="19">
        <v>0</v>
      </c>
      <c r="AF275" s="19"/>
      <c r="AG275" s="19"/>
      <c r="AH275" s="19"/>
      <c r="AI275" s="19"/>
      <c r="AJ275" s="19"/>
      <c r="AK275" s="19">
        <v>2500</v>
      </c>
      <c r="AL275" s="19"/>
      <c r="AM275" s="19">
        <v>0</v>
      </c>
      <c r="AN275" s="19"/>
      <c r="AO275" s="26">
        <f t="shared" si="48"/>
        <v>90879</v>
      </c>
      <c r="AP275" s="19"/>
      <c r="AQ275" s="26">
        <f t="shared" si="44"/>
        <v>8987719</v>
      </c>
      <c r="AR275" s="26"/>
    </row>
    <row r="276" spans="1:44" hidden="1">
      <c r="A276" s="8" t="s">
        <v>861</v>
      </c>
      <c r="B276" s="8"/>
      <c r="C276" s="8" t="s">
        <v>464</v>
      </c>
      <c r="D276" s="9"/>
      <c r="E276" s="23">
        <v>49346</v>
      </c>
      <c r="F276" s="19"/>
      <c r="G276" s="19">
        <v>0</v>
      </c>
      <c r="H276" s="19"/>
      <c r="I276" s="19">
        <v>0</v>
      </c>
      <c r="J276" s="19"/>
      <c r="K276" s="19">
        <v>0</v>
      </c>
      <c r="L276" s="19"/>
      <c r="M276" s="19">
        <v>0</v>
      </c>
      <c r="N276" s="19"/>
      <c r="O276" s="19">
        <v>0</v>
      </c>
      <c r="P276" s="19"/>
      <c r="Q276" s="19">
        <v>0</v>
      </c>
      <c r="R276" s="19"/>
      <c r="S276" s="19">
        <v>0</v>
      </c>
      <c r="T276" s="19"/>
      <c r="U276" s="19">
        <v>0</v>
      </c>
      <c r="V276" s="19"/>
      <c r="W276" s="19">
        <v>0</v>
      </c>
      <c r="X276" s="19"/>
      <c r="Y276" s="26">
        <f t="shared" ref="Y276" si="49">SUM(G276:W276)</f>
        <v>0</v>
      </c>
      <c r="Z276" s="19"/>
      <c r="AA276" s="19">
        <v>0</v>
      </c>
      <c r="AB276" s="19"/>
      <c r="AC276" s="19">
        <v>0</v>
      </c>
      <c r="AD276" s="19"/>
      <c r="AE276" s="19">
        <v>0</v>
      </c>
      <c r="AF276" s="19"/>
      <c r="AG276" s="19"/>
      <c r="AH276" s="19"/>
      <c r="AI276" s="19"/>
      <c r="AJ276" s="19"/>
      <c r="AK276" s="19">
        <v>0</v>
      </c>
      <c r="AL276" s="19"/>
      <c r="AM276" s="19">
        <v>0</v>
      </c>
      <c r="AN276" s="19"/>
      <c r="AO276" s="26">
        <f t="shared" ref="AO276" si="50">AK276+AE276+AA276</f>
        <v>0</v>
      </c>
      <c r="AP276" s="19"/>
      <c r="AQ276" s="26">
        <f t="shared" ref="AQ276" si="51">Y276+AO276</f>
        <v>0</v>
      </c>
      <c r="AR276" s="26"/>
    </row>
    <row r="277" spans="1:44">
      <c r="A277" s="9" t="s">
        <v>285</v>
      </c>
      <c r="B277" s="9"/>
      <c r="C277" s="9" t="s">
        <v>24</v>
      </c>
      <c r="D277" s="9"/>
      <c r="E277" s="23">
        <v>46797</v>
      </c>
      <c r="F277" s="19"/>
      <c r="G277" s="19">
        <v>461804</v>
      </c>
      <c r="H277" s="19"/>
      <c r="I277" s="19">
        <v>0</v>
      </c>
      <c r="J277" s="19"/>
      <c r="K277" s="19">
        <f>70827+31375</f>
        <v>102202</v>
      </c>
      <c r="L277" s="19"/>
      <c r="M277" s="19">
        <v>2976</v>
      </c>
      <c r="N277" s="19"/>
      <c r="O277" s="19">
        <v>1</v>
      </c>
      <c r="P277" s="19"/>
      <c r="Q277" s="19">
        <v>0</v>
      </c>
      <c r="R277" s="19"/>
      <c r="S277" s="19">
        <v>0</v>
      </c>
      <c r="T277" s="19"/>
      <c r="U277" s="19">
        <v>0</v>
      </c>
      <c r="V277" s="19"/>
      <c r="W277" s="19">
        <v>834</v>
      </c>
      <c r="X277" s="19"/>
      <c r="Y277" s="26">
        <f t="shared" si="42"/>
        <v>567817</v>
      </c>
      <c r="Z277" s="19"/>
      <c r="AA277" s="19">
        <v>0</v>
      </c>
      <c r="AB277" s="19"/>
      <c r="AC277" s="19">
        <v>0</v>
      </c>
      <c r="AD277" s="19"/>
      <c r="AE277" s="19">
        <v>0</v>
      </c>
      <c r="AF277" s="19"/>
      <c r="AG277" s="19"/>
      <c r="AH277" s="19"/>
      <c r="AI277" s="19"/>
      <c r="AJ277" s="19"/>
      <c r="AK277" s="19">
        <v>0</v>
      </c>
      <c r="AL277" s="19"/>
      <c r="AM277" s="19">
        <v>0</v>
      </c>
      <c r="AN277" s="19"/>
      <c r="AO277" s="26">
        <f t="shared" si="48"/>
        <v>0</v>
      </c>
      <c r="AP277" s="19"/>
      <c r="AQ277" s="26">
        <f t="shared" si="44"/>
        <v>567817</v>
      </c>
      <c r="AR277" s="26"/>
    </row>
    <row r="278" spans="1:44">
      <c r="A278" s="9" t="s">
        <v>312</v>
      </c>
      <c r="B278" s="9"/>
      <c r="C278" s="9" t="s">
        <v>30</v>
      </c>
      <c r="D278" s="9"/>
      <c r="E278" s="23">
        <v>47191</v>
      </c>
      <c r="F278" s="19"/>
      <c r="G278" s="19">
        <v>27392647</v>
      </c>
      <c r="H278" s="19"/>
      <c r="I278" s="19">
        <v>0</v>
      </c>
      <c r="J278" s="19"/>
      <c r="K278" s="19">
        <v>11016060</v>
      </c>
      <c r="L278" s="19"/>
      <c r="M278" s="19">
        <v>16605</v>
      </c>
      <c r="N278" s="19"/>
      <c r="O278" s="19">
        <v>26281</v>
      </c>
      <c r="P278" s="19"/>
      <c r="Q278" s="19">
        <v>637226</v>
      </c>
      <c r="R278" s="19"/>
      <c r="S278" s="19">
        <v>0</v>
      </c>
      <c r="T278" s="19"/>
      <c r="U278" s="19">
        <v>0</v>
      </c>
      <c r="V278" s="19"/>
      <c r="W278" s="19">
        <v>172654</v>
      </c>
      <c r="X278" s="19"/>
      <c r="Y278" s="26">
        <f t="shared" si="42"/>
        <v>39261473</v>
      </c>
      <c r="Z278" s="19"/>
      <c r="AA278" s="19">
        <v>102770</v>
      </c>
      <c r="AB278" s="19"/>
      <c r="AC278" s="19">
        <v>0</v>
      </c>
      <c r="AD278" s="19"/>
      <c r="AE278" s="19">
        <f>2680000+57727</f>
        <v>2737727</v>
      </c>
      <c r="AF278" s="19"/>
      <c r="AG278" s="19"/>
      <c r="AH278" s="19"/>
      <c r="AI278" s="19"/>
      <c r="AJ278" s="19"/>
      <c r="AK278" s="19">
        <v>425000</v>
      </c>
      <c r="AL278" s="19"/>
      <c r="AM278" s="19">
        <v>0</v>
      </c>
      <c r="AN278" s="19"/>
      <c r="AO278" s="26">
        <f t="shared" si="48"/>
        <v>3265497</v>
      </c>
      <c r="AP278" s="19"/>
      <c r="AQ278" s="26">
        <f t="shared" si="44"/>
        <v>42526970</v>
      </c>
      <c r="AR278" s="26"/>
    </row>
    <row r="279" spans="1:44">
      <c r="A279" s="9" t="s">
        <v>458</v>
      </c>
      <c r="B279" s="9"/>
      <c r="C279" s="9" t="s">
        <v>56</v>
      </c>
      <c r="D279" s="9"/>
      <c r="E279" s="23">
        <v>44164</v>
      </c>
      <c r="F279" s="19"/>
      <c r="G279" s="19">
        <v>22475967</v>
      </c>
      <c r="H279" s="19"/>
      <c r="I279" s="19">
        <v>0</v>
      </c>
      <c r="J279" s="19"/>
      <c r="K279" s="19">
        <v>19672164</v>
      </c>
      <c r="L279" s="19"/>
      <c r="M279" s="19">
        <v>23965</v>
      </c>
      <c r="N279" s="19"/>
      <c r="O279" s="19">
        <f>3243202+507440+176782</f>
        <v>3927424</v>
      </c>
      <c r="P279" s="19"/>
      <c r="Q279" s="19">
        <v>324501</v>
      </c>
      <c r="R279" s="19"/>
      <c r="S279" s="19">
        <v>0</v>
      </c>
      <c r="T279" s="19"/>
      <c r="U279" s="19">
        <v>121627</v>
      </c>
      <c r="V279" s="19"/>
      <c r="W279" s="19">
        <v>171001</v>
      </c>
      <c r="X279" s="19"/>
      <c r="Y279" s="26">
        <f t="shared" si="42"/>
        <v>46716649</v>
      </c>
      <c r="Z279" s="19"/>
      <c r="AA279" s="19">
        <v>0</v>
      </c>
      <c r="AB279" s="19"/>
      <c r="AC279" s="19">
        <v>0</v>
      </c>
      <c r="AD279" s="19"/>
      <c r="AE279" s="19">
        <f>16420000+1790431</f>
        <v>18210431</v>
      </c>
      <c r="AF279" s="19"/>
      <c r="AG279" s="19"/>
      <c r="AH279" s="19"/>
      <c r="AI279" s="19"/>
      <c r="AJ279" s="19"/>
      <c r="AK279" s="19">
        <v>0</v>
      </c>
      <c r="AL279" s="19"/>
      <c r="AM279" s="19">
        <v>0</v>
      </c>
      <c r="AN279" s="19"/>
      <c r="AO279" s="26">
        <f t="shared" si="48"/>
        <v>18210431</v>
      </c>
      <c r="AP279" s="19"/>
      <c r="AQ279" s="26">
        <f t="shared" si="44"/>
        <v>64927080</v>
      </c>
      <c r="AR279" s="26"/>
    </row>
    <row r="280" spans="1:44" hidden="1">
      <c r="A280" s="9" t="s">
        <v>902</v>
      </c>
      <c r="B280" s="9"/>
      <c r="C280" s="9" t="s">
        <v>337</v>
      </c>
      <c r="D280" s="9"/>
      <c r="E280" s="23">
        <v>44172</v>
      </c>
      <c r="F280" s="19"/>
      <c r="G280" s="19">
        <v>0</v>
      </c>
      <c r="H280" s="19"/>
      <c r="I280" s="19">
        <v>0</v>
      </c>
      <c r="J280" s="19"/>
      <c r="K280" s="19">
        <v>0</v>
      </c>
      <c r="L280" s="19"/>
      <c r="M280" s="19">
        <v>0</v>
      </c>
      <c r="N280" s="19"/>
      <c r="O280" s="19">
        <v>0</v>
      </c>
      <c r="P280" s="19"/>
      <c r="Q280" s="19">
        <v>0</v>
      </c>
      <c r="R280" s="19"/>
      <c r="S280" s="19">
        <v>0</v>
      </c>
      <c r="T280" s="19"/>
      <c r="U280" s="19">
        <v>0</v>
      </c>
      <c r="V280" s="19"/>
      <c r="W280" s="19">
        <v>0</v>
      </c>
      <c r="X280" s="19"/>
      <c r="Y280" s="26">
        <f t="shared" si="42"/>
        <v>0</v>
      </c>
      <c r="Z280" s="19"/>
      <c r="AA280" s="19">
        <v>0</v>
      </c>
      <c r="AB280" s="19"/>
      <c r="AC280" s="19">
        <v>0</v>
      </c>
      <c r="AD280" s="19"/>
      <c r="AE280" s="19">
        <v>0</v>
      </c>
      <c r="AF280" s="19"/>
      <c r="AG280" s="19"/>
      <c r="AH280" s="19"/>
      <c r="AI280" s="19"/>
      <c r="AJ280" s="19"/>
      <c r="AK280" s="19">
        <v>0</v>
      </c>
      <c r="AL280" s="19"/>
      <c r="AM280" s="19">
        <v>0</v>
      </c>
      <c r="AN280" s="19"/>
      <c r="AO280" s="26">
        <f t="shared" si="48"/>
        <v>0</v>
      </c>
      <c r="AP280" s="19"/>
      <c r="AQ280" s="26">
        <f t="shared" si="44"/>
        <v>0</v>
      </c>
      <c r="AR280" s="26"/>
    </row>
    <row r="281" spans="1:44" s="24" customFormat="1">
      <c r="A281" s="51" t="s">
        <v>428</v>
      </c>
      <c r="B281" s="51"/>
      <c r="C281" s="51" t="s">
        <v>50</v>
      </c>
      <c r="D281" s="51"/>
      <c r="E281" s="23">
        <v>44180</v>
      </c>
      <c r="F281" s="66"/>
      <c r="G281" s="19">
        <v>58566436</v>
      </c>
      <c r="H281" s="19"/>
      <c r="I281" s="19">
        <v>0</v>
      </c>
      <c r="J281" s="19"/>
      <c r="K281" s="19">
        <f>27056252+5439707</f>
        <v>32495959</v>
      </c>
      <c r="L281" s="19"/>
      <c r="M281" s="19">
        <f>82560-140157</f>
        <v>-57597</v>
      </c>
      <c r="N281" s="19"/>
      <c r="O281" s="19">
        <f>1291273+42356+1487003+158212+136758</f>
        <v>3115602</v>
      </c>
      <c r="P281" s="19"/>
      <c r="Q281" s="19">
        <v>698243</v>
      </c>
      <c r="R281" s="19"/>
      <c r="S281" s="19">
        <v>582655</v>
      </c>
      <c r="T281" s="19"/>
      <c r="U281" s="19">
        <v>90545</v>
      </c>
      <c r="V281" s="19"/>
      <c r="W281" s="19">
        <f>473511+562405</f>
        <v>1035916</v>
      </c>
      <c r="X281" s="19"/>
      <c r="Y281" s="26">
        <f t="shared" si="42"/>
        <v>96527759</v>
      </c>
      <c r="Z281" s="19"/>
      <c r="AA281" s="19">
        <v>13500</v>
      </c>
      <c r="AB281" s="19"/>
      <c r="AC281" s="19">
        <v>0</v>
      </c>
      <c r="AD281" s="19"/>
      <c r="AE281" s="19">
        <f>14979940+1223592</f>
        <v>16203532</v>
      </c>
      <c r="AF281" s="19"/>
      <c r="AG281" s="19"/>
      <c r="AH281" s="19"/>
      <c r="AI281" s="19"/>
      <c r="AJ281" s="19"/>
      <c r="AK281" s="19">
        <v>6000</v>
      </c>
      <c r="AL281" s="19"/>
      <c r="AM281" s="19">
        <v>0</v>
      </c>
      <c r="AN281" s="19"/>
      <c r="AO281" s="26">
        <f t="shared" si="48"/>
        <v>16223032</v>
      </c>
      <c r="AP281" s="19"/>
      <c r="AQ281" s="26">
        <f t="shared" si="44"/>
        <v>112750791</v>
      </c>
      <c r="AR281" s="67"/>
    </row>
    <row r="282" spans="1:44">
      <c r="A282" s="9" t="s">
        <v>632</v>
      </c>
      <c r="B282" s="9"/>
      <c r="C282" s="9" t="s">
        <v>44</v>
      </c>
      <c r="D282" s="9"/>
      <c r="E282" s="23">
        <v>48165</v>
      </c>
      <c r="F282" s="19"/>
      <c r="G282" s="19">
        <v>6439549</v>
      </c>
      <c r="H282" s="19"/>
      <c r="I282" s="19">
        <v>0</v>
      </c>
      <c r="J282" s="19"/>
      <c r="K282" s="19">
        <f>10072+13622903+1315723</f>
        <v>14948698</v>
      </c>
      <c r="L282" s="19"/>
      <c r="M282" s="19">
        <f>37462-35232</f>
        <v>2230</v>
      </c>
      <c r="N282" s="19"/>
      <c r="O282" s="19">
        <f>1131481+304063+76865+5222</f>
        <v>1517631</v>
      </c>
      <c r="P282" s="19"/>
      <c r="Q282" s="19">
        <v>89061</v>
      </c>
      <c r="R282" s="19"/>
      <c r="S282" s="19">
        <v>0</v>
      </c>
      <c r="T282" s="19"/>
      <c r="U282" s="19">
        <v>164791</v>
      </c>
      <c r="V282" s="19"/>
      <c r="W282" s="19">
        <f>4437+375655</f>
        <v>380092</v>
      </c>
      <c r="X282" s="19"/>
      <c r="Y282" s="26">
        <f t="shared" si="42"/>
        <v>23542052</v>
      </c>
      <c r="Z282" s="19"/>
      <c r="AA282" s="19">
        <v>28100</v>
      </c>
      <c r="AB282" s="19"/>
      <c r="AC282" s="19">
        <v>0</v>
      </c>
      <c r="AD282" s="19"/>
      <c r="AE282" s="19">
        <f>4339094+408233</f>
        <v>4747327</v>
      </c>
      <c r="AF282" s="19"/>
      <c r="AG282" s="19"/>
      <c r="AH282" s="19"/>
      <c r="AI282" s="19"/>
      <c r="AJ282" s="19"/>
      <c r="AK282" s="19">
        <v>0</v>
      </c>
      <c r="AL282" s="19"/>
      <c r="AM282" s="19">
        <v>0</v>
      </c>
      <c r="AN282" s="19"/>
      <c r="AO282" s="26">
        <f t="shared" si="48"/>
        <v>4775427</v>
      </c>
      <c r="AP282" s="19"/>
      <c r="AQ282" s="26">
        <f t="shared" si="44"/>
        <v>28317479</v>
      </c>
      <c r="AR282" s="26"/>
    </row>
    <row r="283" spans="1:44" s="24" customFormat="1">
      <c r="A283" s="51" t="s">
        <v>715</v>
      </c>
      <c r="B283" s="51"/>
      <c r="C283" s="51" t="s">
        <v>69</v>
      </c>
      <c r="D283" s="51"/>
      <c r="E283" s="51">
        <v>50435</v>
      </c>
      <c r="F283" s="66"/>
      <c r="G283" s="66">
        <v>29694838</v>
      </c>
      <c r="H283" s="66"/>
      <c r="I283" s="66">
        <v>0</v>
      </c>
      <c r="J283" s="66"/>
      <c r="K283" s="66">
        <v>14862441</v>
      </c>
      <c r="L283" s="66"/>
      <c r="M283" s="66">
        <v>9581</v>
      </c>
      <c r="N283" s="66"/>
      <c r="O283" s="66">
        <f>922492+137401+21122</f>
        <v>1081015</v>
      </c>
      <c r="P283" s="66"/>
      <c r="Q283" s="66">
        <v>162364</v>
      </c>
      <c r="R283" s="66"/>
      <c r="S283" s="66">
        <v>2437326</v>
      </c>
      <c r="T283" s="66"/>
      <c r="U283" s="66">
        <v>238347</v>
      </c>
      <c r="V283" s="66"/>
      <c r="W283" s="66">
        <v>331529</v>
      </c>
      <c r="X283" s="66"/>
      <c r="Y283" s="67">
        <f t="shared" si="42"/>
        <v>48817441</v>
      </c>
      <c r="Z283" s="66"/>
      <c r="AA283" s="66">
        <v>0</v>
      </c>
      <c r="AB283" s="66"/>
      <c r="AC283" s="66">
        <v>0</v>
      </c>
      <c r="AD283" s="66"/>
      <c r="AE283" s="66">
        <f>40785000+7062884</f>
        <v>47847884</v>
      </c>
      <c r="AF283" s="66"/>
      <c r="AG283" s="66"/>
      <c r="AH283" s="66"/>
      <c r="AI283" s="66"/>
      <c r="AJ283" s="66"/>
      <c r="AK283" s="66">
        <v>0</v>
      </c>
      <c r="AL283" s="66"/>
      <c r="AM283" s="66">
        <v>0</v>
      </c>
      <c r="AN283" s="66"/>
      <c r="AO283" s="67">
        <f t="shared" si="48"/>
        <v>47847884</v>
      </c>
      <c r="AP283" s="66"/>
      <c r="AQ283" s="67">
        <f t="shared" si="44"/>
        <v>96665325</v>
      </c>
      <c r="AR283" s="67"/>
    </row>
    <row r="284" spans="1:44">
      <c r="A284" s="9" t="s">
        <v>903</v>
      </c>
      <c r="B284" s="9"/>
      <c r="C284" s="9" t="s">
        <v>41</v>
      </c>
      <c r="D284" s="9"/>
      <c r="E284" s="23">
        <v>47878</v>
      </c>
      <c r="F284" s="19"/>
      <c r="G284" s="19">
        <v>12035785</v>
      </c>
      <c r="H284" s="19"/>
      <c r="I284" s="19">
        <v>0</v>
      </c>
      <c r="J284" s="19"/>
      <c r="K284" s="19">
        <v>3071073</v>
      </c>
      <c r="L284" s="19"/>
      <c r="M284" s="19">
        <v>2293</v>
      </c>
      <c r="N284" s="19"/>
      <c r="O284" s="19">
        <v>317496</v>
      </c>
      <c r="P284" s="19"/>
      <c r="Q284" s="19">
        <v>300470</v>
      </c>
      <c r="R284" s="19"/>
      <c r="S284" s="19">
        <v>0</v>
      </c>
      <c r="T284" s="19"/>
      <c r="U284" s="19">
        <v>114621</v>
      </c>
      <c r="V284" s="19"/>
      <c r="W284" s="19">
        <v>132815</v>
      </c>
      <c r="X284" s="19"/>
      <c r="Y284" s="26">
        <v>15974553</v>
      </c>
      <c r="Z284" s="19"/>
      <c r="AA284" s="19">
        <v>57703</v>
      </c>
      <c r="AB284" s="19"/>
      <c r="AC284" s="19">
        <v>0</v>
      </c>
      <c r="AD284" s="19"/>
      <c r="AE284" s="19">
        <v>9838988</v>
      </c>
      <c r="AF284" s="19"/>
      <c r="AG284" s="19"/>
      <c r="AH284" s="19"/>
      <c r="AI284" s="19"/>
      <c r="AJ284" s="19"/>
      <c r="AK284" s="19">
        <v>0</v>
      </c>
      <c r="AL284" s="19"/>
      <c r="AM284" s="19">
        <v>0</v>
      </c>
      <c r="AN284" s="19"/>
      <c r="AO284" s="26">
        <v>9896691</v>
      </c>
      <c r="AP284" s="19"/>
      <c r="AQ284" s="26">
        <v>25871244</v>
      </c>
      <c r="AR284" s="26"/>
    </row>
    <row r="285" spans="1:44">
      <c r="A285" s="9" t="s">
        <v>520</v>
      </c>
      <c r="B285" s="9"/>
      <c r="C285" s="9" t="s">
        <v>64</v>
      </c>
      <c r="D285" s="9"/>
      <c r="E285" s="23">
        <v>50245</v>
      </c>
      <c r="F285" s="19"/>
      <c r="G285" s="19">
        <v>3142631</v>
      </c>
      <c r="H285" s="19"/>
      <c r="I285" s="19">
        <v>0</v>
      </c>
      <c r="J285" s="19"/>
      <c r="K285" s="19">
        <v>9388103</v>
      </c>
      <c r="L285" s="19"/>
      <c r="M285" s="19">
        <v>9428</v>
      </c>
      <c r="N285" s="19"/>
      <c r="O285" s="19">
        <v>1527182</v>
      </c>
      <c r="P285" s="19"/>
      <c r="Q285" s="19">
        <v>168742</v>
      </c>
      <c r="R285" s="19"/>
      <c r="S285" s="19">
        <v>0</v>
      </c>
      <c r="T285" s="19"/>
      <c r="U285" s="19">
        <v>35622</v>
      </c>
      <c r="V285" s="19"/>
      <c r="W285" s="19">
        <v>114395</v>
      </c>
      <c r="X285" s="19"/>
      <c r="Y285" s="26">
        <v>14386103</v>
      </c>
      <c r="Z285" s="19"/>
      <c r="AA285" s="19">
        <v>0</v>
      </c>
      <c r="AB285" s="19"/>
      <c r="AC285" s="19">
        <v>0</v>
      </c>
      <c r="AD285" s="19"/>
      <c r="AE285" s="19">
        <v>0</v>
      </c>
      <c r="AF285" s="19"/>
      <c r="AG285" s="19"/>
      <c r="AH285" s="19"/>
      <c r="AI285" s="19"/>
      <c r="AJ285" s="19"/>
      <c r="AK285" s="19">
        <v>9000</v>
      </c>
      <c r="AL285" s="19"/>
      <c r="AM285" s="19">
        <v>0</v>
      </c>
      <c r="AN285" s="19"/>
      <c r="AO285" s="26">
        <v>9000</v>
      </c>
      <c r="AP285" s="19"/>
      <c r="AQ285" s="26">
        <v>14395103</v>
      </c>
      <c r="AR285" s="26"/>
    </row>
    <row r="286" spans="1:44">
      <c r="A286" s="9" t="s">
        <v>494</v>
      </c>
      <c r="B286" s="9"/>
      <c r="C286" s="9" t="s">
        <v>62</v>
      </c>
      <c r="D286" s="9"/>
      <c r="E286" s="23">
        <v>49866</v>
      </c>
      <c r="F286" s="19"/>
      <c r="G286" s="19">
        <v>14074332</v>
      </c>
      <c r="H286" s="19"/>
      <c r="I286" s="19">
        <v>0</v>
      </c>
      <c r="J286" s="19"/>
      <c r="K286" s="19">
        <v>17247326</v>
      </c>
      <c r="L286" s="19"/>
      <c r="M286" s="19">
        <v>12049</v>
      </c>
      <c r="N286" s="19"/>
      <c r="O286" s="19">
        <v>365894</v>
      </c>
      <c r="P286" s="19"/>
      <c r="Q286" s="19">
        <v>356625</v>
      </c>
      <c r="R286" s="19"/>
      <c r="S286" s="19">
        <v>0</v>
      </c>
      <c r="T286" s="19"/>
      <c r="U286" s="19">
        <v>53260</v>
      </c>
      <c r="V286" s="19"/>
      <c r="W286" s="19">
        <v>100334</v>
      </c>
      <c r="X286" s="19"/>
      <c r="Y286" s="26">
        <v>32209820</v>
      </c>
      <c r="Z286" s="19"/>
      <c r="AA286" s="19">
        <v>4070</v>
      </c>
      <c r="AB286" s="19"/>
      <c r="AC286" s="19">
        <v>0</v>
      </c>
      <c r="AD286" s="19"/>
      <c r="AE286" s="19">
        <v>3890000</v>
      </c>
      <c r="AF286" s="19"/>
      <c r="AG286" s="19"/>
      <c r="AH286" s="19"/>
      <c r="AI286" s="19"/>
      <c r="AJ286" s="19"/>
      <c r="AK286" s="19">
        <v>0</v>
      </c>
      <c r="AL286" s="19"/>
      <c r="AM286" s="19">
        <v>0</v>
      </c>
      <c r="AN286" s="19"/>
      <c r="AO286" s="26">
        <v>3894070</v>
      </c>
      <c r="AP286" s="19"/>
      <c r="AQ286" s="26">
        <v>36103890</v>
      </c>
      <c r="AR286" s="26"/>
    </row>
    <row r="287" spans="1:44" hidden="1">
      <c r="A287" s="9" t="s">
        <v>790</v>
      </c>
      <c r="B287" s="9"/>
      <c r="C287" s="9" t="s">
        <v>72</v>
      </c>
      <c r="D287" s="9"/>
      <c r="E287" s="23">
        <v>50690</v>
      </c>
      <c r="F287" s="19"/>
      <c r="G287" s="19">
        <v>0</v>
      </c>
      <c r="H287" s="19"/>
      <c r="I287" s="19">
        <v>0</v>
      </c>
      <c r="J287" s="19"/>
      <c r="K287" s="19">
        <v>0</v>
      </c>
      <c r="L287" s="19"/>
      <c r="M287" s="19">
        <v>0</v>
      </c>
      <c r="N287" s="19"/>
      <c r="O287" s="19">
        <v>0</v>
      </c>
      <c r="P287" s="19"/>
      <c r="Q287" s="19">
        <v>0</v>
      </c>
      <c r="R287" s="19"/>
      <c r="S287" s="19">
        <v>0</v>
      </c>
      <c r="T287" s="19"/>
      <c r="U287" s="19">
        <v>0</v>
      </c>
      <c r="V287" s="19"/>
      <c r="W287" s="19">
        <v>0</v>
      </c>
      <c r="X287" s="19"/>
      <c r="Y287" s="26">
        <f t="shared" si="42"/>
        <v>0</v>
      </c>
      <c r="Z287" s="19"/>
      <c r="AA287" s="19">
        <v>0</v>
      </c>
      <c r="AB287" s="19"/>
      <c r="AC287" s="19">
        <v>0</v>
      </c>
      <c r="AD287" s="19"/>
      <c r="AE287" s="19">
        <v>0</v>
      </c>
      <c r="AF287" s="19"/>
      <c r="AG287" s="19"/>
      <c r="AH287" s="19"/>
      <c r="AI287" s="19"/>
      <c r="AJ287" s="19"/>
      <c r="AK287" s="19">
        <v>0</v>
      </c>
      <c r="AL287" s="19"/>
      <c r="AM287" s="19">
        <v>0</v>
      </c>
      <c r="AN287" s="19"/>
      <c r="AO287" s="26">
        <f t="shared" si="48"/>
        <v>0</v>
      </c>
      <c r="AP287" s="19"/>
      <c r="AQ287" s="26">
        <f t="shared" si="44"/>
        <v>0</v>
      </c>
      <c r="AR287" s="26"/>
    </row>
    <row r="288" spans="1:44">
      <c r="A288" s="9" t="s">
        <v>521</v>
      </c>
      <c r="B288" s="9"/>
      <c r="C288" s="9" t="s">
        <v>64</v>
      </c>
      <c r="D288" s="9"/>
      <c r="E288" s="23">
        <v>50187</v>
      </c>
      <c r="F288" s="19"/>
      <c r="G288" s="19">
        <v>8486192</v>
      </c>
      <c r="H288" s="19"/>
      <c r="I288" s="19">
        <v>0</v>
      </c>
      <c r="J288" s="19"/>
      <c r="K288" s="19">
        <v>8956224</v>
      </c>
      <c r="L288" s="19"/>
      <c r="M288" s="19">
        <v>6913</v>
      </c>
      <c r="N288" s="19"/>
      <c r="O288" s="19">
        <f>712256+314486+13223</f>
        <v>1039965</v>
      </c>
      <c r="P288" s="19"/>
      <c r="Q288" s="19">
        <v>180273</v>
      </c>
      <c r="R288" s="19"/>
      <c r="S288" s="19">
        <v>0</v>
      </c>
      <c r="T288" s="19"/>
      <c r="U288" s="19">
        <v>21034</v>
      </c>
      <c r="V288" s="19"/>
      <c r="W288" s="19">
        <v>11088</v>
      </c>
      <c r="X288" s="19"/>
      <c r="Y288" s="26">
        <f t="shared" si="42"/>
        <v>18701689</v>
      </c>
      <c r="Z288" s="19"/>
      <c r="AA288" s="19">
        <v>216</v>
      </c>
      <c r="AB288" s="19"/>
      <c r="AC288" s="19">
        <v>0</v>
      </c>
      <c r="AD288" s="19"/>
      <c r="AE288" s="19">
        <v>0</v>
      </c>
      <c r="AF288" s="19"/>
      <c r="AG288" s="19"/>
      <c r="AH288" s="19"/>
      <c r="AI288" s="19"/>
      <c r="AJ288" s="19"/>
      <c r="AK288" s="19">
        <v>0</v>
      </c>
      <c r="AL288" s="19"/>
      <c r="AM288" s="19">
        <v>0</v>
      </c>
      <c r="AN288" s="19"/>
      <c r="AO288" s="26">
        <f t="shared" si="48"/>
        <v>216</v>
      </c>
      <c r="AP288" s="19"/>
      <c r="AQ288" s="26">
        <f t="shared" si="44"/>
        <v>18701905</v>
      </c>
      <c r="AR288" s="26"/>
    </row>
    <row r="289" spans="1:44">
      <c r="A289" s="9" t="s">
        <v>268</v>
      </c>
      <c r="B289" s="9"/>
      <c r="C289" s="9" t="s">
        <v>20</v>
      </c>
      <c r="D289" s="9"/>
      <c r="E289" s="23">
        <v>44198</v>
      </c>
      <c r="F289" s="19"/>
      <c r="G289" s="19">
        <v>47692690</v>
      </c>
      <c r="H289" s="19"/>
      <c r="I289" s="19">
        <v>0</v>
      </c>
      <c r="J289" s="19"/>
      <c r="K289" s="19">
        <f>15025+25460374+4601704</f>
        <v>30077103</v>
      </c>
      <c r="L289" s="19"/>
      <c r="M289" s="19">
        <v>43953</v>
      </c>
      <c r="N289" s="19"/>
      <c r="O289" s="19">
        <f>2853751+164959+305712+1263247</f>
        <v>4587669</v>
      </c>
      <c r="P289" s="19"/>
      <c r="Q289" s="19">
        <v>1105404</v>
      </c>
      <c r="R289" s="19"/>
      <c r="S289" s="19">
        <v>64381</v>
      </c>
      <c r="T289" s="19"/>
      <c r="U289" s="19">
        <v>49941</v>
      </c>
      <c r="V289" s="19"/>
      <c r="W289" s="19">
        <v>170070</v>
      </c>
      <c r="X289" s="19"/>
      <c r="Y289" s="26">
        <f t="shared" si="42"/>
        <v>83791211</v>
      </c>
      <c r="Z289" s="19"/>
      <c r="AA289" s="19">
        <v>20000</v>
      </c>
      <c r="AB289" s="19"/>
      <c r="AC289" s="19">
        <v>0</v>
      </c>
      <c r="AD289" s="19"/>
      <c r="AE289" s="19">
        <f>584994+7770000</f>
        <v>8354994</v>
      </c>
      <c r="AF289" s="19"/>
      <c r="AG289" s="19"/>
      <c r="AH289" s="19"/>
      <c r="AI289" s="19"/>
      <c r="AJ289" s="19"/>
      <c r="AK289" s="19">
        <v>0</v>
      </c>
      <c r="AL289" s="19"/>
      <c r="AM289" s="19">
        <v>0</v>
      </c>
      <c r="AN289" s="19"/>
      <c r="AO289" s="26">
        <f t="shared" si="48"/>
        <v>8374994</v>
      </c>
      <c r="AP289" s="19"/>
      <c r="AQ289" s="26">
        <f t="shared" si="44"/>
        <v>92166205</v>
      </c>
      <c r="AR289" s="26"/>
    </row>
    <row r="290" spans="1:44">
      <c r="A290" s="9" t="s">
        <v>625</v>
      </c>
      <c r="B290" s="9"/>
      <c r="C290" s="9" t="s">
        <v>42</v>
      </c>
      <c r="D290" s="9"/>
      <c r="E290" s="23">
        <v>47993</v>
      </c>
      <c r="F290" s="19"/>
      <c r="G290" s="19">
        <v>13248007</v>
      </c>
      <c r="H290" s="19"/>
      <c r="I290" s="19">
        <v>0</v>
      </c>
      <c r="J290" s="19"/>
      <c r="K290" s="19">
        <f>11426+8251872+869840</f>
        <v>9133138</v>
      </c>
      <c r="L290" s="19"/>
      <c r="M290" s="19">
        <v>22055</v>
      </c>
      <c r="N290" s="19"/>
      <c r="O290" s="19">
        <f>408398+49154</f>
        <v>457552</v>
      </c>
      <c r="P290" s="19"/>
      <c r="Q290" s="19">
        <v>138859</v>
      </c>
      <c r="R290" s="19"/>
      <c r="S290" s="19">
        <v>0</v>
      </c>
      <c r="T290" s="19"/>
      <c r="U290" s="19">
        <v>0</v>
      </c>
      <c r="V290" s="19"/>
      <c r="W290" s="19">
        <v>252566</v>
      </c>
      <c r="X290" s="19"/>
      <c r="Y290" s="26">
        <f t="shared" si="42"/>
        <v>23252177</v>
      </c>
      <c r="Z290" s="19"/>
      <c r="AA290" s="19">
        <v>0</v>
      </c>
      <c r="AB290" s="19"/>
      <c r="AC290" s="19">
        <v>0</v>
      </c>
      <c r="AD290" s="19"/>
      <c r="AE290" s="19">
        <v>917707</v>
      </c>
      <c r="AF290" s="19"/>
      <c r="AG290" s="19"/>
      <c r="AH290" s="19"/>
      <c r="AI290" s="19"/>
      <c r="AJ290" s="19"/>
      <c r="AK290" s="19">
        <f>6039+115438</f>
        <v>121477</v>
      </c>
      <c r="AL290" s="19"/>
      <c r="AM290" s="19">
        <v>0</v>
      </c>
      <c r="AN290" s="19"/>
      <c r="AO290" s="26">
        <f t="shared" si="48"/>
        <v>1039184</v>
      </c>
      <c r="AP290" s="19"/>
      <c r="AQ290" s="26">
        <f t="shared" si="44"/>
        <v>24291361</v>
      </c>
      <c r="AR290" s="26"/>
    </row>
    <row r="291" spans="1:44">
      <c r="A291" s="9" t="s">
        <v>222</v>
      </c>
      <c r="B291" s="9"/>
      <c r="C291" s="9" t="s">
        <v>220</v>
      </c>
      <c r="D291" s="9"/>
      <c r="E291" s="23">
        <v>46110</v>
      </c>
      <c r="F291" s="19"/>
      <c r="G291" s="19">
        <v>91108735</v>
      </c>
      <c r="H291" s="19"/>
      <c r="I291" s="19">
        <v>0</v>
      </c>
      <c r="J291" s="19"/>
      <c r="K291" s="19">
        <v>63839537</v>
      </c>
      <c r="L291" s="19"/>
      <c r="M291" s="19">
        <v>112598</v>
      </c>
      <c r="N291" s="19"/>
      <c r="O291" s="19">
        <f>2205304+3897716</f>
        <v>6103020</v>
      </c>
      <c r="P291" s="19"/>
      <c r="Q291" s="19">
        <v>2774238</v>
      </c>
      <c r="R291" s="19"/>
      <c r="S291" s="19">
        <v>12790111</v>
      </c>
      <c r="T291" s="19"/>
      <c r="U291" s="19">
        <v>0</v>
      </c>
      <c r="V291" s="19"/>
      <c r="W291" s="19">
        <v>590855</v>
      </c>
      <c r="X291" s="19"/>
      <c r="Y291" s="26">
        <f t="shared" si="42"/>
        <v>177319094</v>
      </c>
      <c r="Z291" s="19"/>
      <c r="AA291" s="19">
        <v>427002</v>
      </c>
      <c r="AB291" s="19"/>
      <c r="AC291" s="19">
        <v>0</v>
      </c>
      <c r="AD291" s="19"/>
      <c r="AE291" s="19">
        <f>44835000+7731368</f>
        <v>52566368</v>
      </c>
      <c r="AF291" s="19"/>
      <c r="AG291" s="19"/>
      <c r="AH291" s="19"/>
      <c r="AI291" s="19"/>
      <c r="AJ291" s="19"/>
      <c r="AK291" s="19">
        <v>14976</v>
      </c>
      <c r="AL291" s="19"/>
      <c r="AM291" s="19">
        <v>0</v>
      </c>
      <c r="AN291" s="19"/>
      <c r="AO291" s="26">
        <f t="shared" si="48"/>
        <v>53008346</v>
      </c>
      <c r="AP291" s="19"/>
      <c r="AQ291" s="26">
        <f t="shared" si="44"/>
        <v>230327440</v>
      </c>
      <c r="AR291" s="26"/>
    </row>
    <row r="292" spans="1:44" hidden="1">
      <c r="A292" s="9" t="s">
        <v>791</v>
      </c>
      <c r="B292" s="9"/>
      <c r="C292" s="9" t="s">
        <v>79</v>
      </c>
      <c r="D292" s="9"/>
      <c r="E292" s="23">
        <v>49569</v>
      </c>
      <c r="F292" s="19"/>
      <c r="G292" s="19">
        <v>0</v>
      </c>
      <c r="H292" s="19"/>
      <c r="I292" s="19">
        <v>0</v>
      </c>
      <c r="J292" s="19"/>
      <c r="K292" s="19">
        <v>0</v>
      </c>
      <c r="L292" s="19"/>
      <c r="M292" s="19">
        <v>0</v>
      </c>
      <c r="N292" s="19"/>
      <c r="O292" s="19">
        <v>0</v>
      </c>
      <c r="P292" s="19"/>
      <c r="Q292" s="19">
        <v>0</v>
      </c>
      <c r="R292" s="19"/>
      <c r="S292" s="19">
        <v>0</v>
      </c>
      <c r="T292" s="19"/>
      <c r="U292" s="19">
        <v>0</v>
      </c>
      <c r="V292" s="19"/>
      <c r="W292" s="19">
        <v>0</v>
      </c>
      <c r="X292" s="19"/>
      <c r="Y292" s="26">
        <f t="shared" si="42"/>
        <v>0</v>
      </c>
      <c r="Z292" s="19"/>
      <c r="AA292" s="19">
        <v>0</v>
      </c>
      <c r="AB292" s="19"/>
      <c r="AC292" s="19">
        <v>0</v>
      </c>
      <c r="AD292" s="19"/>
      <c r="AE292" s="19">
        <v>0</v>
      </c>
      <c r="AF292" s="19"/>
      <c r="AG292" s="19"/>
      <c r="AH292" s="19"/>
      <c r="AI292" s="19"/>
      <c r="AJ292" s="19"/>
      <c r="AK292" s="19">
        <v>0</v>
      </c>
      <c r="AL292" s="19"/>
      <c r="AM292" s="19">
        <v>0</v>
      </c>
      <c r="AN292" s="19"/>
      <c r="AO292" s="26">
        <f t="shared" si="48"/>
        <v>0</v>
      </c>
      <c r="AP292" s="19"/>
      <c r="AQ292" s="26">
        <f t="shared" si="44"/>
        <v>0</v>
      </c>
      <c r="AR292" s="26"/>
    </row>
    <row r="293" spans="1:44">
      <c r="A293" s="9" t="s">
        <v>293</v>
      </c>
      <c r="B293" s="9"/>
      <c r="C293" s="9" t="s">
        <v>25</v>
      </c>
      <c r="D293" s="9"/>
      <c r="E293" s="23">
        <v>44206</v>
      </c>
      <c r="F293" s="19"/>
      <c r="G293" s="19">
        <v>22154415</v>
      </c>
      <c r="H293" s="19"/>
      <c r="I293" s="19">
        <v>10468860</v>
      </c>
      <c r="J293" s="19"/>
      <c r="K293" s="19">
        <v>37282526</v>
      </c>
      <c r="L293" s="19"/>
      <c r="M293" s="19">
        <v>162021</v>
      </c>
      <c r="N293" s="19"/>
      <c r="O293" s="19">
        <f>1168376+652895+133272</f>
        <v>1954543</v>
      </c>
      <c r="P293" s="19"/>
      <c r="Q293" s="19">
        <v>576384</v>
      </c>
      <c r="R293" s="19"/>
      <c r="S293" s="19">
        <v>122423</v>
      </c>
      <c r="T293" s="19"/>
      <c r="U293" s="19">
        <v>77331</v>
      </c>
      <c r="V293" s="19"/>
      <c r="W293" s="19">
        <v>281799</v>
      </c>
      <c r="X293" s="19"/>
      <c r="Y293" s="26">
        <f t="shared" si="42"/>
        <v>73080302</v>
      </c>
      <c r="Z293" s="19"/>
      <c r="AA293" s="19">
        <v>52683081</v>
      </c>
      <c r="AB293" s="19"/>
      <c r="AC293" s="19">
        <v>0</v>
      </c>
      <c r="AD293" s="19"/>
      <c r="AE293" s="19">
        <f>60410000+2000000+3567951</f>
        <v>65977951</v>
      </c>
      <c r="AF293" s="19"/>
      <c r="AG293" s="19"/>
      <c r="AH293" s="19"/>
      <c r="AI293" s="19"/>
      <c r="AJ293" s="19"/>
      <c r="AK293" s="19">
        <f>1036010+39418</f>
        <v>1075428</v>
      </c>
      <c r="AL293" s="19"/>
      <c r="AM293" s="19">
        <v>0</v>
      </c>
      <c r="AN293" s="19"/>
      <c r="AO293" s="26">
        <f t="shared" si="48"/>
        <v>119736460</v>
      </c>
      <c r="AP293" s="19"/>
      <c r="AQ293" s="26">
        <f t="shared" si="44"/>
        <v>192816762</v>
      </c>
      <c r="AR293" s="26"/>
    </row>
    <row r="294" spans="1:44" hidden="1">
      <c r="A294" s="9" t="s">
        <v>723</v>
      </c>
      <c r="B294" s="9"/>
      <c r="C294" s="9" t="s">
        <v>69</v>
      </c>
      <c r="D294" s="9"/>
      <c r="E294" s="23">
        <v>44214</v>
      </c>
      <c r="F294" s="19"/>
      <c r="G294" s="19">
        <v>0</v>
      </c>
      <c r="H294" s="19"/>
      <c r="I294" s="19">
        <v>0</v>
      </c>
      <c r="J294" s="19"/>
      <c r="K294" s="19">
        <v>0</v>
      </c>
      <c r="L294" s="19"/>
      <c r="M294" s="19">
        <v>0</v>
      </c>
      <c r="N294" s="19"/>
      <c r="O294" s="19">
        <v>0</v>
      </c>
      <c r="P294" s="19"/>
      <c r="Q294" s="19">
        <v>0</v>
      </c>
      <c r="R294" s="19"/>
      <c r="S294" s="19">
        <v>0</v>
      </c>
      <c r="T294" s="19"/>
      <c r="U294" s="19">
        <v>0</v>
      </c>
      <c r="V294" s="19"/>
      <c r="W294" s="19">
        <v>0</v>
      </c>
      <c r="X294" s="19"/>
      <c r="Y294" s="26">
        <f t="shared" ref="Y294:Y363" si="52">SUM(G294:W294)</f>
        <v>0</v>
      </c>
      <c r="Z294" s="19"/>
      <c r="AA294" s="19">
        <v>0</v>
      </c>
      <c r="AB294" s="19"/>
      <c r="AC294" s="19">
        <v>0</v>
      </c>
      <c r="AD294" s="19"/>
      <c r="AE294" s="19">
        <v>0</v>
      </c>
      <c r="AF294" s="19"/>
      <c r="AG294" s="19"/>
      <c r="AH294" s="19"/>
      <c r="AI294" s="19"/>
      <c r="AJ294" s="19"/>
      <c r="AK294" s="19">
        <v>0</v>
      </c>
      <c r="AL294" s="19"/>
      <c r="AM294" s="19">
        <v>0</v>
      </c>
      <c r="AN294" s="19"/>
      <c r="AO294" s="26">
        <f t="shared" si="48"/>
        <v>0</v>
      </c>
      <c r="AP294" s="19"/>
      <c r="AQ294" s="26">
        <f t="shared" si="44"/>
        <v>0</v>
      </c>
      <c r="AR294" s="26"/>
    </row>
    <row r="295" spans="1:44">
      <c r="A295" s="9" t="s">
        <v>313</v>
      </c>
      <c r="B295" s="9"/>
      <c r="C295" s="9" t="s">
        <v>30</v>
      </c>
      <c r="D295" s="9"/>
      <c r="E295" s="23">
        <v>47209</v>
      </c>
      <c r="F295" s="19"/>
      <c r="G295" s="19">
        <v>1830987</v>
      </c>
      <c r="H295" s="19"/>
      <c r="I295" s="19">
        <v>987260</v>
      </c>
      <c r="J295" s="19"/>
      <c r="K295" s="19">
        <v>2851704</v>
      </c>
      <c r="L295" s="19"/>
      <c r="M295" s="19">
        <v>464</v>
      </c>
      <c r="N295" s="19"/>
      <c r="O295" s="19">
        <f>260716+75349+20300</f>
        <v>356365</v>
      </c>
      <c r="P295" s="19"/>
      <c r="Q295" s="19">
        <v>63351</v>
      </c>
      <c r="R295" s="19"/>
      <c r="S295" s="19">
        <v>0</v>
      </c>
      <c r="T295" s="19"/>
      <c r="U295" s="19">
        <v>5088</v>
      </c>
      <c r="V295" s="19"/>
      <c r="W295" s="19">
        <v>23735</v>
      </c>
      <c r="X295" s="19"/>
      <c r="Y295" s="26">
        <f t="shared" si="52"/>
        <v>6118954</v>
      </c>
      <c r="Z295" s="19"/>
      <c r="AA295" s="19">
        <v>45324</v>
      </c>
      <c r="AB295" s="19"/>
      <c r="AC295" s="19">
        <v>0</v>
      </c>
      <c r="AD295" s="19"/>
      <c r="AE295" s="19">
        <v>0</v>
      </c>
      <c r="AF295" s="19"/>
      <c r="AG295" s="19"/>
      <c r="AH295" s="19"/>
      <c r="AI295" s="19"/>
      <c r="AJ295" s="19"/>
      <c r="AK295" s="19">
        <v>0</v>
      </c>
      <c r="AL295" s="19"/>
      <c r="AM295" s="19">
        <v>0</v>
      </c>
      <c r="AN295" s="19"/>
      <c r="AO295" s="26">
        <f t="shared" si="48"/>
        <v>45324</v>
      </c>
      <c r="AP295" s="19"/>
      <c r="AQ295" s="26">
        <f t="shared" si="44"/>
        <v>6164278</v>
      </c>
      <c r="AR295" s="26"/>
    </row>
    <row r="296" spans="1:44" hidden="1">
      <c r="A296" s="9" t="s">
        <v>757</v>
      </c>
      <c r="B296" s="9"/>
      <c r="C296" s="9" t="s">
        <v>111</v>
      </c>
      <c r="D296" s="9"/>
      <c r="E296" s="23">
        <v>45443</v>
      </c>
      <c r="F296" s="19"/>
      <c r="G296" s="19">
        <v>0</v>
      </c>
      <c r="H296" s="19"/>
      <c r="I296" s="19">
        <v>0</v>
      </c>
      <c r="J296" s="19"/>
      <c r="K296" s="19">
        <v>0</v>
      </c>
      <c r="L296" s="19"/>
      <c r="M296" s="19">
        <v>0</v>
      </c>
      <c r="N296" s="19"/>
      <c r="O296" s="19">
        <v>0</v>
      </c>
      <c r="P296" s="19"/>
      <c r="Q296" s="19">
        <v>0</v>
      </c>
      <c r="R296" s="19"/>
      <c r="S296" s="19">
        <v>0</v>
      </c>
      <c r="T296" s="19"/>
      <c r="U296" s="19">
        <v>0</v>
      </c>
      <c r="V296" s="19"/>
      <c r="W296" s="19">
        <v>0</v>
      </c>
      <c r="X296" s="19"/>
      <c r="Y296" s="26"/>
      <c r="Z296" s="19"/>
      <c r="AA296" s="19">
        <v>0</v>
      </c>
      <c r="AB296" s="19"/>
      <c r="AC296" s="19">
        <v>0</v>
      </c>
      <c r="AD296" s="19"/>
      <c r="AE296" s="19">
        <v>0</v>
      </c>
      <c r="AF296" s="19"/>
      <c r="AG296" s="19"/>
      <c r="AH296" s="19"/>
      <c r="AI296" s="19"/>
      <c r="AJ296" s="19"/>
      <c r="AK296" s="19">
        <v>0</v>
      </c>
      <c r="AL296" s="19"/>
      <c r="AM296" s="19">
        <v>0</v>
      </c>
      <c r="AN296" s="19"/>
      <c r="AO296" s="26"/>
      <c r="AP296" s="19"/>
      <c r="AQ296" s="26"/>
      <c r="AR296" s="26"/>
    </row>
    <row r="297" spans="1:44" hidden="1">
      <c r="A297" s="9" t="s">
        <v>676</v>
      </c>
      <c r="B297" s="9"/>
      <c r="C297" s="9" t="s">
        <v>464</v>
      </c>
      <c r="D297" s="9"/>
      <c r="E297" s="23">
        <v>49353</v>
      </c>
      <c r="F297" s="19"/>
      <c r="G297" s="19">
        <v>0</v>
      </c>
      <c r="H297" s="19"/>
      <c r="I297" s="19">
        <v>0</v>
      </c>
      <c r="J297" s="19"/>
      <c r="K297" s="19">
        <v>0</v>
      </c>
      <c r="L297" s="19"/>
      <c r="M297" s="19">
        <v>0</v>
      </c>
      <c r="N297" s="19"/>
      <c r="O297" s="19">
        <v>0</v>
      </c>
      <c r="P297" s="19"/>
      <c r="Q297" s="19">
        <v>0</v>
      </c>
      <c r="R297" s="19"/>
      <c r="S297" s="19">
        <v>0</v>
      </c>
      <c r="T297" s="19"/>
      <c r="U297" s="19">
        <v>0</v>
      </c>
      <c r="V297" s="19"/>
      <c r="W297" s="19">
        <v>0</v>
      </c>
      <c r="X297" s="19"/>
      <c r="Y297" s="26">
        <f t="shared" si="52"/>
        <v>0</v>
      </c>
      <c r="Z297" s="19"/>
      <c r="AA297" s="19">
        <v>0</v>
      </c>
      <c r="AB297" s="19"/>
      <c r="AC297" s="19">
        <v>0</v>
      </c>
      <c r="AD297" s="19"/>
      <c r="AE297" s="19">
        <v>0</v>
      </c>
      <c r="AF297" s="19"/>
      <c r="AG297" s="19"/>
      <c r="AH297" s="19"/>
      <c r="AI297" s="19"/>
      <c r="AJ297" s="19"/>
      <c r="AK297" s="19">
        <v>0</v>
      </c>
      <c r="AL297" s="19"/>
      <c r="AM297" s="19">
        <v>0</v>
      </c>
      <c r="AN297" s="19"/>
      <c r="AO297" s="26">
        <f t="shared" ref="AO297:AO323" si="53">AK297+AE297+AA297</f>
        <v>0</v>
      </c>
      <c r="AP297" s="19"/>
      <c r="AQ297" s="26">
        <f t="shared" ref="AQ297:AQ329" si="54">Y297+AO297</f>
        <v>0</v>
      </c>
      <c r="AR297" s="26"/>
    </row>
    <row r="298" spans="1:44" hidden="1">
      <c r="A298" s="9" t="s">
        <v>792</v>
      </c>
      <c r="B298" s="9"/>
      <c r="C298" s="9" t="s">
        <v>109</v>
      </c>
      <c r="D298" s="9"/>
      <c r="E298" s="23">
        <v>49437</v>
      </c>
      <c r="F298" s="19"/>
      <c r="G298" s="19">
        <v>0</v>
      </c>
      <c r="H298" s="19"/>
      <c r="I298" s="19">
        <v>0</v>
      </c>
      <c r="J298" s="19"/>
      <c r="K298" s="19">
        <v>0</v>
      </c>
      <c r="L298" s="19"/>
      <c r="M298" s="19">
        <v>0</v>
      </c>
      <c r="N298" s="19"/>
      <c r="O298" s="19">
        <v>0</v>
      </c>
      <c r="P298" s="19"/>
      <c r="Q298" s="19">
        <v>0</v>
      </c>
      <c r="R298" s="19"/>
      <c r="S298" s="19">
        <v>0</v>
      </c>
      <c r="T298" s="19"/>
      <c r="U298" s="19">
        <v>0</v>
      </c>
      <c r="V298" s="19"/>
      <c r="W298" s="19">
        <v>0</v>
      </c>
      <c r="X298" s="19"/>
      <c r="Y298" s="26">
        <f t="shared" si="52"/>
        <v>0</v>
      </c>
      <c r="Z298" s="19"/>
      <c r="AA298" s="19">
        <v>0</v>
      </c>
      <c r="AB298" s="19"/>
      <c r="AC298" s="19">
        <v>0</v>
      </c>
      <c r="AD298" s="19"/>
      <c r="AE298" s="19">
        <v>0</v>
      </c>
      <c r="AF298" s="19"/>
      <c r="AG298" s="19"/>
      <c r="AH298" s="19"/>
      <c r="AI298" s="19"/>
      <c r="AJ298" s="19"/>
      <c r="AK298" s="19">
        <v>0</v>
      </c>
      <c r="AL298" s="19"/>
      <c r="AM298" s="19">
        <v>0</v>
      </c>
      <c r="AN298" s="19"/>
      <c r="AO298" s="26">
        <f t="shared" si="53"/>
        <v>0</v>
      </c>
      <c r="AP298" s="19"/>
      <c r="AQ298" s="26">
        <f t="shared" si="54"/>
        <v>0</v>
      </c>
      <c r="AR298" s="26"/>
    </row>
    <row r="299" spans="1:44">
      <c r="A299" s="9" t="s">
        <v>793</v>
      </c>
      <c r="B299" s="9"/>
      <c r="C299" s="9" t="s">
        <v>33</v>
      </c>
      <c r="D299" s="9"/>
      <c r="E299" s="23">
        <v>47449</v>
      </c>
      <c r="F299" s="19"/>
      <c r="G299" s="19">
        <v>4789841</v>
      </c>
      <c r="H299" s="19"/>
      <c r="I299" s="19">
        <v>1601280</v>
      </c>
      <c r="J299" s="19"/>
      <c r="K299" s="19">
        <v>6392414</v>
      </c>
      <c r="L299" s="19"/>
      <c r="M299" s="19">
        <v>5853</v>
      </c>
      <c r="N299" s="19"/>
      <c r="O299" s="19">
        <f>1544914+292714</f>
        <v>1837628</v>
      </c>
      <c r="P299" s="19"/>
      <c r="Q299" s="19">
        <v>105776</v>
      </c>
      <c r="R299" s="19"/>
      <c r="S299" s="19">
        <v>13790</v>
      </c>
      <c r="T299" s="19"/>
      <c r="U299" s="19">
        <v>18562</v>
      </c>
      <c r="V299" s="19"/>
      <c r="W299" s="19">
        <v>153002</v>
      </c>
      <c r="X299" s="19"/>
      <c r="Y299" s="26">
        <f>SUM(G299:W299)</f>
        <v>14918146</v>
      </c>
      <c r="Z299" s="19"/>
      <c r="AA299" s="19">
        <v>644852</v>
      </c>
      <c r="AB299" s="19"/>
      <c r="AC299" s="19">
        <v>0</v>
      </c>
      <c r="AD299" s="19"/>
      <c r="AE299" s="19">
        <v>0</v>
      </c>
      <c r="AF299" s="19"/>
      <c r="AG299" s="19"/>
      <c r="AH299" s="19"/>
      <c r="AI299" s="19"/>
      <c r="AJ299" s="19"/>
      <c r="AK299" s="19">
        <v>0</v>
      </c>
      <c r="AL299" s="19"/>
      <c r="AM299" s="19">
        <v>0</v>
      </c>
      <c r="AN299" s="19"/>
      <c r="AO299" s="26">
        <f>AK299+AE299+AA299</f>
        <v>644852</v>
      </c>
      <c r="AP299" s="19"/>
      <c r="AQ299" s="26">
        <f>Y299+AO299</f>
        <v>15562998</v>
      </c>
      <c r="AR299" s="26"/>
    </row>
    <row r="300" spans="1:44">
      <c r="A300" s="9" t="s">
        <v>343</v>
      </c>
      <c r="B300" s="9"/>
      <c r="C300" s="9" t="s">
        <v>34</v>
      </c>
      <c r="D300" s="9"/>
      <c r="E300" s="23">
        <v>47589</v>
      </c>
      <c r="F300" s="19"/>
      <c r="G300" s="19">
        <v>2721307</v>
      </c>
      <c r="H300" s="19"/>
      <c r="I300" s="19">
        <v>2251349</v>
      </c>
      <c r="J300" s="19"/>
      <c r="K300" s="19">
        <v>6443969</v>
      </c>
      <c r="L300" s="19"/>
      <c r="M300" s="19">
        <v>19893</v>
      </c>
      <c r="N300" s="19"/>
      <c r="O300" s="19">
        <f>1215492+59025+235904</f>
        <v>1510421</v>
      </c>
      <c r="P300" s="19"/>
      <c r="Q300" s="19">
        <v>159460</v>
      </c>
      <c r="R300" s="19"/>
      <c r="S300" s="19">
        <v>0</v>
      </c>
      <c r="T300" s="19"/>
      <c r="U300" s="19">
        <v>86589</v>
      </c>
      <c r="V300" s="19"/>
      <c r="W300" s="19">
        <v>24182</v>
      </c>
      <c r="X300" s="19"/>
      <c r="Y300" s="26">
        <f t="shared" si="52"/>
        <v>13217170</v>
      </c>
      <c r="Z300" s="19"/>
      <c r="AA300" s="19">
        <v>0</v>
      </c>
      <c r="AB300" s="19"/>
      <c r="AC300" s="19">
        <v>0</v>
      </c>
      <c r="AD300" s="19"/>
      <c r="AE300" s="19">
        <v>0</v>
      </c>
      <c r="AF300" s="19"/>
      <c r="AG300" s="19"/>
      <c r="AH300" s="19"/>
      <c r="AI300" s="19"/>
      <c r="AJ300" s="19"/>
      <c r="AK300" s="19">
        <f>5476+171480</f>
        <v>176956</v>
      </c>
      <c r="AL300" s="19"/>
      <c r="AM300" s="19">
        <v>0</v>
      </c>
      <c r="AN300" s="19"/>
      <c r="AO300" s="26">
        <f t="shared" si="53"/>
        <v>176956</v>
      </c>
      <c r="AP300" s="19"/>
      <c r="AQ300" s="26">
        <f t="shared" si="54"/>
        <v>13394126</v>
      </c>
      <c r="AR300" s="26"/>
    </row>
    <row r="301" spans="1:44">
      <c r="A301" s="9" t="s">
        <v>522</v>
      </c>
      <c r="B301" s="9"/>
      <c r="C301" s="9" t="s">
        <v>64</v>
      </c>
      <c r="D301" s="9"/>
      <c r="E301" s="23">
        <v>50195</v>
      </c>
      <c r="F301" s="19"/>
      <c r="G301" s="19">
        <v>8426398</v>
      </c>
      <c r="H301" s="19"/>
      <c r="I301" s="19">
        <v>0</v>
      </c>
      <c r="J301" s="19"/>
      <c r="K301" s="19">
        <v>8187631</v>
      </c>
      <c r="L301" s="19"/>
      <c r="M301" s="19">
        <v>8960</v>
      </c>
      <c r="N301" s="19"/>
      <c r="O301" s="19">
        <f>839917+122188+62336</f>
        <v>1024441</v>
      </c>
      <c r="P301" s="19"/>
      <c r="Q301" s="19">
        <v>89561</v>
      </c>
      <c r="R301" s="19"/>
      <c r="S301" s="19">
        <v>0</v>
      </c>
      <c r="T301" s="19"/>
      <c r="U301" s="19">
        <v>2154</v>
      </c>
      <c r="V301" s="19"/>
      <c r="W301" s="19">
        <v>276750</v>
      </c>
      <c r="X301" s="19"/>
      <c r="Y301" s="26">
        <f t="shared" si="52"/>
        <v>18015895</v>
      </c>
      <c r="Z301" s="19"/>
      <c r="AA301" s="19">
        <v>0</v>
      </c>
      <c r="AB301" s="19"/>
      <c r="AC301" s="19">
        <v>0</v>
      </c>
      <c r="AD301" s="19"/>
      <c r="AE301" s="19">
        <v>0</v>
      </c>
      <c r="AF301" s="19"/>
      <c r="AG301" s="19"/>
      <c r="AH301" s="19"/>
      <c r="AI301" s="19"/>
      <c r="AJ301" s="19"/>
      <c r="AK301" s="19">
        <v>9496</v>
      </c>
      <c r="AL301" s="19"/>
      <c r="AM301" s="19">
        <v>0</v>
      </c>
      <c r="AN301" s="19"/>
      <c r="AO301" s="26">
        <f t="shared" si="53"/>
        <v>9496</v>
      </c>
      <c r="AP301" s="19"/>
      <c r="AQ301" s="26">
        <f t="shared" si="54"/>
        <v>18025391</v>
      </c>
      <c r="AR301" s="26"/>
    </row>
    <row r="302" spans="1:44">
      <c r="A302" s="9" t="s">
        <v>738</v>
      </c>
      <c r="B302" s="9"/>
      <c r="C302" s="9" t="s">
        <v>25</v>
      </c>
      <c r="D302" s="9"/>
      <c r="E302" s="23">
        <v>46888</v>
      </c>
      <c r="F302" s="19"/>
      <c r="G302" s="19">
        <v>4274806</v>
      </c>
      <c r="H302" s="19"/>
      <c r="I302" s="19">
        <v>2792498</v>
      </c>
      <c r="J302" s="19"/>
      <c r="K302" s="19">
        <v>7136782</v>
      </c>
      <c r="L302" s="19"/>
      <c r="M302" s="19">
        <v>47077</v>
      </c>
      <c r="N302" s="19"/>
      <c r="O302" s="19">
        <f>445971+279022</f>
        <v>724993</v>
      </c>
      <c r="P302" s="19"/>
      <c r="Q302" s="19">
        <v>295640</v>
      </c>
      <c r="R302" s="19"/>
      <c r="S302" s="19">
        <v>0</v>
      </c>
      <c r="T302" s="19"/>
      <c r="U302" s="19">
        <v>57937</v>
      </c>
      <c r="V302" s="19"/>
      <c r="W302" s="19">
        <v>135647</v>
      </c>
      <c r="X302" s="19"/>
      <c r="Y302" s="26">
        <f t="shared" si="52"/>
        <v>15465380</v>
      </c>
      <c r="Z302" s="19"/>
      <c r="AA302" s="19">
        <v>0</v>
      </c>
      <c r="AB302" s="19"/>
      <c r="AC302" s="19">
        <v>0</v>
      </c>
      <c r="AD302" s="19"/>
      <c r="AE302" s="19">
        <v>0</v>
      </c>
      <c r="AF302" s="19"/>
      <c r="AG302" s="19"/>
      <c r="AH302" s="19"/>
      <c r="AI302" s="19"/>
      <c r="AJ302" s="19"/>
      <c r="AK302" s="19">
        <f>7291+8749</f>
        <v>16040</v>
      </c>
      <c r="AL302" s="19"/>
      <c r="AM302" s="19">
        <v>0</v>
      </c>
      <c r="AN302" s="19"/>
      <c r="AO302" s="26">
        <f t="shared" si="53"/>
        <v>16040</v>
      </c>
      <c r="AP302" s="19"/>
      <c r="AQ302" s="26">
        <f t="shared" si="54"/>
        <v>15481420</v>
      </c>
      <c r="AR302" s="26"/>
    </row>
    <row r="303" spans="1:44">
      <c r="A303" s="9" t="s">
        <v>904</v>
      </c>
      <c r="B303" s="9"/>
      <c r="C303" s="9" t="s">
        <v>42</v>
      </c>
      <c r="D303" s="9"/>
      <c r="E303" s="23">
        <v>48009</v>
      </c>
      <c r="F303" s="19"/>
      <c r="G303" s="19">
        <v>18117284</v>
      </c>
      <c r="H303" s="19"/>
      <c r="I303" s="19">
        <v>0</v>
      </c>
      <c r="J303" s="19"/>
      <c r="K303" s="19">
        <v>12987173</v>
      </c>
      <c r="L303" s="19"/>
      <c r="M303" s="19">
        <v>14909</v>
      </c>
      <c r="N303" s="19"/>
      <c r="O303" s="19">
        <f>381903+15134+539434</f>
        <v>936471</v>
      </c>
      <c r="P303" s="19"/>
      <c r="Q303" s="19">
        <v>244413</v>
      </c>
      <c r="R303" s="19"/>
      <c r="S303" s="19">
        <v>1865165</v>
      </c>
      <c r="T303" s="19"/>
      <c r="U303" s="19">
        <v>25481</v>
      </c>
      <c r="V303" s="19"/>
      <c r="W303" s="19">
        <v>79034</v>
      </c>
      <c r="X303" s="19"/>
      <c r="Y303" s="26">
        <f t="shared" si="52"/>
        <v>34269930</v>
      </c>
      <c r="Z303" s="19"/>
      <c r="AA303" s="19">
        <v>108900</v>
      </c>
      <c r="AB303" s="19"/>
      <c r="AC303" s="19">
        <v>0</v>
      </c>
      <c r="AD303" s="19"/>
      <c r="AE303" s="19">
        <f>15719980+1743298</f>
        <v>17463278</v>
      </c>
      <c r="AF303" s="19"/>
      <c r="AG303" s="19"/>
      <c r="AH303" s="19"/>
      <c r="AI303" s="19"/>
      <c r="AJ303" s="19"/>
      <c r="AK303" s="19">
        <f>11024+8943+450370</f>
        <v>470337</v>
      </c>
      <c r="AL303" s="19"/>
      <c r="AM303" s="19">
        <v>0</v>
      </c>
      <c r="AN303" s="19"/>
      <c r="AO303" s="26">
        <f t="shared" si="53"/>
        <v>18042515</v>
      </c>
      <c r="AP303" s="19"/>
      <c r="AQ303" s="26">
        <f t="shared" si="54"/>
        <v>52312445</v>
      </c>
      <c r="AR303" s="26"/>
    </row>
    <row r="304" spans="1:44">
      <c r="A304" s="9" t="s">
        <v>373</v>
      </c>
      <c r="B304" s="9"/>
      <c r="C304" s="9" t="s">
        <v>42</v>
      </c>
      <c r="D304" s="9"/>
      <c r="E304" s="23">
        <v>48017</v>
      </c>
      <c r="F304" s="19"/>
      <c r="G304" s="19">
        <v>4804682</v>
      </c>
      <c r="H304" s="19"/>
      <c r="I304" s="19">
        <v>2107677</v>
      </c>
      <c r="J304" s="19"/>
      <c r="K304" s="19">
        <v>10839304</v>
      </c>
      <c r="L304" s="19"/>
      <c r="M304" s="19">
        <v>12594</v>
      </c>
      <c r="N304" s="19"/>
      <c r="O304" s="19">
        <f>1252105+428384</f>
        <v>1680489</v>
      </c>
      <c r="P304" s="19"/>
      <c r="Q304" s="19">
        <v>347998</v>
      </c>
      <c r="R304" s="19"/>
      <c r="S304" s="19">
        <v>43653</v>
      </c>
      <c r="T304" s="19"/>
      <c r="U304" s="19">
        <v>320256</v>
      </c>
      <c r="V304" s="19"/>
      <c r="W304" s="19">
        <v>226414</v>
      </c>
      <c r="X304" s="19"/>
      <c r="Y304" s="26">
        <f t="shared" si="52"/>
        <v>20383067</v>
      </c>
      <c r="Z304" s="19"/>
      <c r="AA304" s="19">
        <v>288529</v>
      </c>
      <c r="AB304" s="19"/>
      <c r="AC304" s="19">
        <v>0</v>
      </c>
      <c r="AD304" s="19"/>
      <c r="AE304" s="19">
        <v>1885000</v>
      </c>
      <c r="AF304" s="19"/>
      <c r="AG304" s="19"/>
      <c r="AH304" s="19"/>
      <c r="AI304" s="19"/>
      <c r="AJ304" s="19"/>
      <c r="AK304" s="19">
        <f>6105+839663+51338</f>
        <v>897106</v>
      </c>
      <c r="AL304" s="19"/>
      <c r="AM304" s="19">
        <v>0</v>
      </c>
      <c r="AN304" s="19"/>
      <c r="AO304" s="26">
        <f t="shared" si="53"/>
        <v>3070635</v>
      </c>
      <c r="AP304" s="19"/>
      <c r="AQ304" s="26">
        <f t="shared" si="54"/>
        <v>23453702</v>
      </c>
      <c r="AR304" s="26"/>
    </row>
    <row r="305" spans="1:44" hidden="1">
      <c r="A305" s="9" t="s">
        <v>677</v>
      </c>
      <c r="B305" s="9"/>
      <c r="C305" s="9" t="s">
        <v>10</v>
      </c>
      <c r="D305" s="9"/>
      <c r="E305" s="23">
        <v>44222</v>
      </c>
      <c r="F305" s="19"/>
      <c r="G305" s="19">
        <v>0</v>
      </c>
      <c r="H305" s="19"/>
      <c r="I305" s="19">
        <v>0</v>
      </c>
      <c r="J305" s="19"/>
      <c r="K305" s="19">
        <v>0</v>
      </c>
      <c r="L305" s="19"/>
      <c r="M305" s="19">
        <v>0</v>
      </c>
      <c r="N305" s="19"/>
      <c r="O305" s="19">
        <v>0</v>
      </c>
      <c r="P305" s="19"/>
      <c r="Q305" s="19">
        <v>0</v>
      </c>
      <c r="R305" s="19"/>
      <c r="S305" s="19">
        <v>0</v>
      </c>
      <c r="T305" s="19"/>
      <c r="U305" s="19">
        <v>0</v>
      </c>
      <c r="V305" s="19"/>
      <c r="W305" s="19">
        <v>0</v>
      </c>
      <c r="X305" s="19"/>
      <c r="Y305" s="26">
        <f t="shared" si="52"/>
        <v>0</v>
      </c>
      <c r="Z305" s="19"/>
      <c r="AA305" s="19">
        <v>0</v>
      </c>
      <c r="AB305" s="19"/>
      <c r="AC305" s="19">
        <v>0</v>
      </c>
      <c r="AD305" s="19"/>
      <c r="AE305" s="19">
        <v>0</v>
      </c>
      <c r="AF305" s="19"/>
      <c r="AG305" s="19"/>
      <c r="AH305" s="19"/>
      <c r="AI305" s="19"/>
      <c r="AJ305" s="19"/>
      <c r="AK305" s="19">
        <v>0</v>
      </c>
      <c r="AL305" s="19"/>
      <c r="AM305" s="19">
        <v>0</v>
      </c>
      <c r="AN305" s="19"/>
      <c r="AO305" s="26">
        <f t="shared" si="53"/>
        <v>0</v>
      </c>
      <c r="AP305" s="19"/>
      <c r="AQ305" s="26">
        <f t="shared" si="54"/>
        <v>0</v>
      </c>
      <c r="AR305" s="26"/>
    </row>
    <row r="306" spans="1:44">
      <c r="A306" s="9" t="s">
        <v>537</v>
      </c>
      <c r="B306" s="9"/>
      <c r="C306" s="9" t="s">
        <v>67</v>
      </c>
      <c r="D306" s="9"/>
      <c r="E306" s="23">
        <v>50369</v>
      </c>
      <c r="F306" s="19"/>
      <c r="G306" s="19">
        <v>3295567</v>
      </c>
      <c r="H306" s="19"/>
      <c r="I306" s="19">
        <v>0</v>
      </c>
      <c r="J306" s="19"/>
      <c r="K306" s="19">
        <f>4541113+481263</f>
        <v>5022376</v>
      </c>
      <c r="L306" s="19"/>
      <c r="M306" s="19">
        <v>32336</v>
      </c>
      <c r="N306" s="19"/>
      <c r="O306" s="19">
        <f>1856379+179822+33949+2917</f>
        <v>2073067</v>
      </c>
      <c r="P306" s="19"/>
      <c r="Q306" s="19">
        <v>96379</v>
      </c>
      <c r="R306" s="19"/>
      <c r="S306" s="19">
        <v>79000</v>
      </c>
      <c r="T306" s="19"/>
      <c r="U306" s="19">
        <v>42936</v>
      </c>
      <c r="V306" s="19"/>
      <c r="W306" s="19">
        <v>69078</v>
      </c>
      <c r="X306" s="19"/>
      <c r="Y306" s="26">
        <f t="shared" si="52"/>
        <v>10710739</v>
      </c>
      <c r="Z306" s="19"/>
      <c r="AA306" s="19">
        <v>0</v>
      </c>
      <c r="AB306" s="19"/>
      <c r="AC306" s="19">
        <v>0</v>
      </c>
      <c r="AD306" s="19"/>
      <c r="AE306" s="19">
        <v>0</v>
      </c>
      <c r="AF306" s="19"/>
      <c r="AG306" s="19"/>
      <c r="AH306" s="19"/>
      <c r="AI306" s="19"/>
      <c r="AJ306" s="19"/>
      <c r="AK306" s="19">
        <v>0</v>
      </c>
      <c r="AL306" s="19"/>
      <c r="AM306" s="19">
        <v>0</v>
      </c>
      <c r="AN306" s="19"/>
      <c r="AO306" s="26">
        <f t="shared" si="53"/>
        <v>0</v>
      </c>
      <c r="AP306" s="19"/>
      <c r="AQ306" s="26">
        <f t="shared" si="54"/>
        <v>10710739</v>
      </c>
      <c r="AR306" s="26"/>
    </row>
    <row r="307" spans="1:44">
      <c r="A307" s="9" t="s">
        <v>760</v>
      </c>
      <c r="B307" s="9"/>
      <c r="C307" s="9" t="s">
        <v>111</v>
      </c>
      <c r="D307" s="9"/>
      <c r="E307" s="23">
        <v>45450</v>
      </c>
      <c r="F307" s="19"/>
      <c r="G307" s="19">
        <v>2160519</v>
      </c>
      <c r="H307" s="19"/>
      <c r="I307" s="19">
        <v>0</v>
      </c>
      <c r="J307" s="19"/>
      <c r="K307" s="19">
        <v>6399988</v>
      </c>
      <c r="L307" s="19"/>
      <c r="M307" s="19">
        <v>57529</v>
      </c>
      <c r="N307" s="19"/>
      <c r="O307" s="19">
        <f>229182+1111982+20510</f>
        <v>1361674</v>
      </c>
      <c r="P307" s="19"/>
      <c r="Q307" s="19">
        <v>112004</v>
      </c>
      <c r="R307" s="19"/>
      <c r="S307" s="19">
        <v>0</v>
      </c>
      <c r="T307" s="19"/>
      <c r="U307" s="19">
        <v>36878</v>
      </c>
      <c r="V307" s="19"/>
      <c r="W307" s="19">
        <v>0</v>
      </c>
      <c r="X307" s="19"/>
      <c r="Y307" s="26">
        <f t="shared" si="52"/>
        <v>10128592</v>
      </c>
      <c r="Z307" s="19"/>
      <c r="AA307" s="19">
        <v>2955</v>
      </c>
      <c r="AB307" s="19"/>
      <c r="AC307" s="19">
        <v>0</v>
      </c>
      <c r="AD307" s="19"/>
      <c r="AE307" s="19">
        <v>0</v>
      </c>
      <c r="AF307" s="19"/>
      <c r="AG307" s="19"/>
      <c r="AH307" s="19"/>
      <c r="AI307" s="19"/>
      <c r="AJ307" s="19"/>
      <c r="AK307" s="19">
        <v>0</v>
      </c>
      <c r="AL307" s="19"/>
      <c r="AM307" s="19">
        <v>0</v>
      </c>
      <c r="AN307" s="19"/>
      <c r="AO307" s="26">
        <f t="shared" si="53"/>
        <v>2955</v>
      </c>
      <c r="AP307" s="19"/>
      <c r="AQ307" s="26">
        <f t="shared" si="54"/>
        <v>10131547</v>
      </c>
      <c r="AR307" s="26"/>
    </row>
    <row r="308" spans="1:44">
      <c r="A308" s="9" t="s">
        <v>541</v>
      </c>
      <c r="B308" s="9"/>
      <c r="C308" s="9" t="s">
        <v>69</v>
      </c>
      <c r="D308" s="9"/>
      <c r="E308" s="23">
        <v>50443</v>
      </c>
      <c r="F308" s="19"/>
      <c r="G308" s="19">
        <v>32779040</v>
      </c>
      <c r="H308" s="19"/>
      <c r="I308" s="19">
        <v>0</v>
      </c>
      <c r="J308" s="19"/>
      <c r="K308" s="19">
        <v>16067626</v>
      </c>
      <c r="L308" s="19"/>
      <c r="M308" s="19">
        <v>25943</v>
      </c>
      <c r="N308" s="19"/>
      <c r="O308" s="19">
        <f>600891+1014299</f>
        <v>1615190</v>
      </c>
      <c r="P308" s="19"/>
      <c r="Q308" s="19">
        <v>437543</v>
      </c>
      <c r="R308" s="19"/>
      <c r="S308" s="19">
        <v>922003</v>
      </c>
      <c r="T308" s="19"/>
      <c r="U308" s="19">
        <v>0</v>
      </c>
      <c r="V308" s="19"/>
      <c r="W308" s="19">
        <v>158327</v>
      </c>
      <c r="X308" s="19"/>
      <c r="Y308" s="26">
        <f t="shared" si="52"/>
        <v>52005672</v>
      </c>
      <c r="Z308" s="19"/>
      <c r="AA308" s="19">
        <v>0</v>
      </c>
      <c r="AB308" s="19"/>
      <c r="AC308" s="19">
        <v>0</v>
      </c>
      <c r="AD308" s="19"/>
      <c r="AE308" s="19">
        <v>0</v>
      </c>
      <c r="AF308" s="19"/>
      <c r="AG308" s="19"/>
      <c r="AH308" s="19"/>
      <c r="AI308" s="19"/>
      <c r="AJ308" s="19"/>
      <c r="AK308" s="19">
        <v>159586</v>
      </c>
      <c r="AL308" s="19"/>
      <c r="AM308" s="19">
        <v>0</v>
      </c>
      <c r="AN308" s="19"/>
      <c r="AO308" s="26">
        <f t="shared" si="53"/>
        <v>159586</v>
      </c>
      <c r="AP308" s="19"/>
      <c r="AQ308" s="26">
        <f t="shared" si="54"/>
        <v>52165258</v>
      </c>
      <c r="AR308" s="26"/>
    </row>
    <row r="309" spans="1:44" hidden="1">
      <c r="A309" s="9" t="s">
        <v>794</v>
      </c>
      <c r="B309" s="9"/>
      <c r="C309" s="9" t="s">
        <v>32</v>
      </c>
      <c r="D309" s="9"/>
      <c r="E309" s="23">
        <v>44230</v>
      </c>
      <c r="F309" s="19"/>
      <c r="G309" s="19">
        <v>0</v>
      </c>
      <c r="H309" s="19"/>
      <c r="I309" s="19">
        <v>0</v>
      </c>
      <c r="J309" s="19"/>
      <c r="K309" s="19">
        <v>0</v>
      </c>
      <c r="L309" s="19"/>
      <c r="M309" s="19">
        <v>0</v>
      </c>
      <c r="N309" s="19"/>
      <c r="O309" s="19">
        <v>0</v>
      </c>
      <c r="P309" s="19"/>
      <c r="Q309" s="19">
        <v>0</v>
      </c>
      <c r="R309" s="19"/>
      <c r="S309" s="19">
        <v>0</v>
      </c>
      <c r="T309" s="19"/>
      <c r="U309" s="19">
        <v>0</v>
      </c>
      <c r="V309" s="19"/>
      <c r="W309" s="19">
        <v>0</v>
      </c>
      <c r="X309" s="19"/>
      <c r="Y309" s="26">
        <f t="shared" si="52"/>
        <v>0</v>
      </c>
      <c r="Z309" s="19"/>
      <c r="AA309" s="19">
        <v>0</v>
      </c>
      <c r="AB309" s="19"/>
      <c r="AC309" s="19">
        <v>0</v>
      </c>
      <c r="AD309" s="19"/>
      <c r="AE309" s="19">
        <v>0</v>
      </c>
      <c r="AF309" s="19"/>
      <c r="AG309" s="19"/>
      <c r="AH309" s="19"/>
      <c r="AI309" s="19"/>
      <c r="AJ309" s="19"/>
      <c r="AK309" s="19">
        <v>0</v>
      </c>
      <c r="AL309" s="19"/>
      <c r="AM309" s="19">
        <v>0</v>
      </c>
      <c r="AN309" s="19"/>
      <c r="AO309" s="26">
        <f t="shared" si="53"/>
        <v>0</v>
      </c>
      <c r="AP309" s="19"/>
      <c r="AQ309" s="26">
        <f t="shared" si="54"/>
        <v>0</v>
      </c>
      <c r="AR309" s="26"/>
    </row>
    <row r="310" spans="1:44">
      <c r="A310" s="9" t="s">
        <v>450</v>
      </c>
      <c r="B310" s="9"/>
      <c r="C310" s="9" t="s">
        <v>54</v>
      </c>
      <c r="D310" s="9"/>
      <c r="E310" s="23">
        <v>49080</v>
      </c>
      <c r="F310" s="19"/>
      <c r="G310" s="19">
        <v>6850491</v>
      </c>
      <c r="H310" s="19"/>
      <c r="I310" s="19">
        <v>2253759</v>
      </c>
      <c r="J310" s="19"/>
      <c r="K310" s="19">
        <f>8797663+1409039</f>
        <v>10206702</v>
      </c>
      <c r="L310" s="19"/>
      <c r="M310" s="19">
        <v>7396</v>
      </c>
      <c r="N310" s="19"/>
      <c r="O310" s="19">
        <f>659609+3135+341842+45296+5221</f>
        <v>1055103</v>
      </c>
      <c r="P310" s="19"/>
      <c r="Q310" s="19">
        <v>334673</v>
      </c>
      <c r="R310" s="19"/>
      <c r="S310" s="19">
        <v>0</v>
      </c>
      <c r="T310" s="19"/>
      <c r="U310" s="19">
        <v>38253</v>
      </c>
      <c r="V310" s="19"/>
      <c r="W310" s="19">
        <v>20458</v>
      </c>
      <c r="X310" s="19"/>
      <c r="Y310" s="26">
        <f t="shared" si="52"/>
        <v>20766835</v>
      </c>
      <c r="Z310" s="19"/>
      <c r="AA310" s="19">
        <v>0</v>
      </c>
      <c r="AB310" s="19"/>
      <c r="AC310" s="19">
        <v>0</v>
      </c>
      <c r="AD310" s="19"/>
      <c r="AE310" s="19">
        <v>0</v>
      </c>
      <c r="AF310" s="19"/>
      <c r="AG310" s="19"/>
      <c r="AH310" s="19"/>
      <c r="AI310" s="19"/>
      <c r="AJ310" s="19"/>
      <c r="AK310" s="19">
        <v>0</v>
      </c>
      <c r="AL310" s="19"/>
      <c r="AM310" s="19">
        <v>0</v>
      </c>
      <c r="AN310" s="19"/>
      <c r="AO310" s="26">
        <f t="shared" si="53"/>
        <v>0</v>
      </c>
      <c r="AP310" s="19"/>
      <c r="AQ310" s="26">
        <f t="shared" si="54"/>
        <v>20766835</v>
      </c>
      <c r="AR310" s="26"/>
    </row>
    <row r="311" spans="1:44">
      <c r="A311" s="9" t="s">
        <v>350</v>
      </c>
      <c r="B311" s="9"/>
      <c r="C311" s="9" t="s">
        <v>35</v>
      </c>
      <c r="D311" s="9"/>
      <c r="E311" s="23">
        <v>44248</v>
      </c>
      <c r="F311" s="19"/>
      <c r="G311" s="19">
        <v>12046803</v>
      </c>
      <c r="H311" s="19"/>
      <c r="I311" s="19">
        <v>0</v>
      </c>
      <c r="J311" s="19"/>
      <c r="K311" s="19">
        <f>22834390+3609958+14097</f>
        <v>26458445</v>
      </c>
      <c r="L311" s="19"/>
      <c r="M311" s="19">
        <v>3760</v>
      </c>
      <c r="N311" s="19"/>
      <c r="O311" s="19">
        <f>1184539+1062</f>
        <v>1185601</v>
      </c>
      <c r="P311" s="19"/>
      <c r="Q311" s="19">
        <v>306580</v>
      </c>
      <c r="R311" s="19"/>
      <c r="S311" s="19">
        <v>0</v>
      </c>
      <c r="T311" s="19"/>
      <c r="U311" s="19">
        <v>0</v>
      </c>
      <c r="V311" s="19"/>
      <c r="W311" s="19">
        <v>121392</v>
      </c>
      <c r="X311" s="19"/>
      <c r="Y311" s="26">
        <f t="shared" si="52"/>
        <v>40122581</v>
      </c>
      <c r="Z311" s="19"/>
      <c r="AA311" s="19">
        <v>11250</v>
      </c>
      <c r="AB311" s="19"/>
      <c r="AC311" s="19">
        <v>0</v>
      </c>
      <c r="AD311" s="19"/>
      <c r="AE311" s="19">
        <v>0</v>
      </c>
      <c r="AF311" s="19"/>
      <c r="AG311" s="19"/>
      <c r="AH311" s="19"/>
      <c r="AI311" s="19"/>
      <c r="AJ311" s="19"/>
      <c r="AK311" s="19">
        <v>2812</v>
      </c>
      <c r="AL311" s="19"/>
      <c r="AM311" s="19">
        <v>0</v>
      </c>
      <c r="AN311" s="19"/>
      <c r="AO311" s="26">
        <f t="shared" si="53"/>
        <v>14062</v>
      </c>
      <c r="AP311" s="19"/>
      <c r="AQ311" s="26">
        <f t="shared" si="54"/>
        <v>40136643</v>
      </c>
      <c r="AR311" s="26"/>
    </row>
    <row r="312" spans="1:44">
      <c r="A312" s="9" t="s">
        <v>397</v>
      </c>
      <c r="B312" s="9"/>
      <c r="C312" s="9" t="s">
        <v>395</v>
      </c>
      <c r="D312" s="9"/>
      <c r="E312" s="23">
        <v>44255</v>
      </c>
      <c r="F312" s="19"/>
      <c r="G312" s="19">
        <v>8228609</v>
      </c>
      <c r="H312" s="19"/>
      <c r="I312" s="19">
        <v>3594565</v>
      </c>
      <c r="J312" s="19"/>
      <c r="K312" s="19">
        <v>10684179</v>
      </c>
      <c r="L312" s="19"/>
      <c r="M312" s="19">
        <v>5167</v>
      </c>
      <c r="N312" s="19"/>
      <c r="O312" s="19">
        <f>401186+1564827</f>
        <v>1966013</v>
      </c>
      <c r="P312" s="19"/>
      <c r="Q312" s="19">
        <v>185064</v>
      </c>
      <c r="R312" s="19"/>
      <c r="S312" s="19">
        <v>245335</v>
      </c>
      <c r="T312" s="19"/>
      <c r="U312" s="19">
        <v>16780</v>
      </c>
      <c r="V312" s="19"/>
      <c r="W312" s="19">
        <v>68700</v>
      </c>
      <c r="X312" s="19"/>
      <c r="Y312" s="26">
        <f t="shared" si="52"/>
        <v>24994412</v>
      </c>
      <c r="Z312" s="19"/>
      <c r="AA312" s="19">
        <v>23171</v>
      </c>
      <c r="AB312" s="19"/>
      <c r="AC312" s="19">
        <v>0</v>
      </c>
      <c r="AD312" s="19"/>
      <c r="AE312" s="19">
        <v>0</v>
      </c>
      <c r="AF312" s="19"/>
      <c r="AG312" s="19"/>
      <c r="AH312" s="19"/>
      <c r="AI312" s="19"/>
      <c r="AJ312" s="19"/>
      <c r="AK312" s="19">
        <v>0</v>
      </c>
      <c r="AL312" s="19"/>
      <c r="AM312" s="19">
        <v>0</v>
      </c>
      <c r="AN312" s="19"/>
      <c r="AO312" s="26">
        <f t="shared" si="53"/>
        <v>23171</v>
      </c>
      <c r="AP312" s="19"/>
      <c r="AQ312" s="26">
        <f t="shared" si="54"/>
        <v>25017583</v>
      </c>
      <c r="AR312" s="26"/>
    </row>
    <row r="313" spans="1:44">
      <c r="A313" s="9" t="s">
        <v>383</v>
      </c>
      <c r="B313" s="9"/>
      <c r="C313" s="9" t="s">
        <v>44</v>
      </c>
      <c r="D313" s="9"/>
      <c r="E313" s="23">
        <v>44263</v>
      </c>
      <c r="F313" s="19"/>
      <c r="G313" s="19">
        <v>19412981</v>
      </c>
      <c r="H313" s="19"/>
      <c r="I313" s="19">
        <v>0</v>
      </c>
      <c r="J313" s="19"/>
      <c r="K313" s="19">
        <v>85909303</v>
      </c>
      <c r="L313" s="19"/>
      <c r="M313" s="19">
        <v>372336</v>
      </c>
      <c r="N313" s="19"/>
      <c r="O313" s="19">
        <f>1102708+82514+230577</f>
        <v>1415799</v>
      </c>
      <c r="P313" s="19"/>
      <c r="Q313" s="19">
        <v>222676</v>
      </c>
      <c r="R313" s="19"/>
      <c r="S313" s="19">
        <v>20741</v>
      </c>
      <c r="T313" s="19"/>
      <c r="U313" s="19">
        <v>311756</v>
      </c>
      <c r="V313" s="19"/>
      <c r="W313" s="19">
        <v>130882</v>
      </c>
      <c r="X313" s="19"/>
      <c r="Y313" s="26">
        <f t="shared" si="52"/>
        <v>107796474</v>
      </c>
      <c r="Z313" s="19"/>
      <c r="AA313" s="19">
        <v>1785740</v>
      </c>
      <c r="AB313" s="19"/>
      <c r="AC313" s="19">
        <v>0</v>
      </c>
      <c r="AD313" s="19"/>
      <c r="AE313" s="19">
        <v>0</v>
      </c>
      <c r="AF313" s="19"/>
      <c r="AG313" s="19"/>
      <c r="AH313" s="19"/>
      <c r="AI313" s="19"/>
      <c r="AJ313" s="19"/>
      <c r="AK313" s="19">
        <f>14595+26650</f>
        <v>41245</v>
      </c>
      <c r="AL313" s="19"/>
      <c r="AM313" s="19">
        <v>0</v>
      </c>
      <c r="AN313" s="19"/>
      <c r="AO313" s="26">
        <f t="shared" si="53"/>
        <v>1826985</v>
      </c>
      <c r="AP313" s="19"/>
      <c r="AQ313" s="26">
        <f t="shared" si="54"/>
        <v>109623459</v>
      </c>
      <c r="AR313" s="26"/>
    </row>
    <row r="314" spans="1:44">
      <c r="A314" s="9" t="s">
        <v>523</v>
      </c>
      <c r="B314" s="9"/>
      <c r="C314" s="9" t="s">
        <v>64</v>
      </c>
      <c r="D314" s="9"/>
      <c r="E314" s="23">
        <v>50203</v>
      </c>
      <c r="F314" s="19"/>
      <c r="G314" s="19">
        <v>3297863</v>
      </c>
      <c r="H314" s="19"/>
      <c r="I314" s="19">
        <v>0</v>
      </c>
      <c r="J314" s="19"/>
      <c r="K314" s="19">
        <f>2317156+320493</f>
        <v>2637649</v>
      </c>
      <c r="L314" s="19"/>
      <c r="M314" s="19">
        <v>118</v>
      </c>
      <c r="N314" s="19"/>
      <c r="O314" s="19">
        <f>480269+90788+12907+62808+171</f>
        <v>646943</v>
      </c>
      <c r="P314" s="19"/>
      <c r="Q314" s="19">
        <v>31507</v>
      </c>
      <c r="R314" s="19"/>
      <c r="S314" s="19">
        <v>163387</v>
      </c>
      <c r="T314" s="19"/>
      <c r="U314" s="19">
        <v>0</v>
      </c>
      <c r="V314" s="19"/>
      <c r="W314" s="19">
        <v>203006</v>
      </c>
      <c r="X314" s="19"/>
      <c r="Y314" s="26">
        <f t="shared" si="52"/>
        <v>6980473</v>
      </c>
      <c r="Z314" s="19"/>
      <c r="AA314" s="19">
        <v>147000</v>
      </c>
      <c r="AB314" s="19"/>
      <c r="AC314" s="19">
        <v>0</v>
      </c>
      <c r="AD314" s="19"/>
      <c r="AE314" s="19">
        <v>0</v>
      </c>
      <c r="AF314" s="19"/>
      <c r="AG314" s="19"/>
      <c r="AH314" s="19"/>
      <c r="AI314" s="19"/>
      <c r="AJ314" s="19"/>
      <c r="AK314" s="19">
        <v>152410</v>
      </c>
      <c r="AL314" s="19"/>
      <c r="AM314" s="19">
        <v>0</v>
      </c>
      <c r="AN314" s="19"/>
      <c r="AO314" s="26">
        <f t="shared" si="53"/>
        <v>299410</v>
      </c>
      <c r="AP314" s="19"/>
      <c r="AQ314" s="26">
        <f t="shared" si="54"/>
        <v>7279883</v>
      </c>
      <c r="AR314" s="26"/>
    </row>
    <row r="315" spans="1:44">
      <c r="A315" s="9" t="s">
        <v>678</v>
      </c>
      <c r="B315" s="9"/>
      <c r="C315" s="9" t="s">
        <v>11</v>
      </c>
      <c r="D315" s="9"/>
      <c r="E315" s="23">
        <v>45468</v>
      </c>
      <c r="F315" s="19"/>
      <c r="G315" s="19">
        <v>5042569</v>
      </c>
      <c r="H315" s="19"/>
      <c r="I315" s="19">
        <v>1599906</v>
      </c>
      <c r="J315" s="19"/>
      <c r="K315" s="19">
        <f>5069269+1179125</f>
        <v>6248394</v>
      </c>
      <c r="L315" s="19"/>
      <c r="M315" s="19">
        <v>11900</v>
      </c>
      <c r="N315" s="19"/>
      <c r="O315" s="19">
        <f>423842+2562+176856+28498+646</f>
        <v>632404</v>
      </c>
      <c r="P315" s="19"/>
      <c r="Q315" s="19">
        <v>141101</v>
      </c>
      <c r="R315" s="19"/>
      <c r="S315" s="19">
        <v>0</v>
      </c>
      <c r="T315" s="19"/>
      <c r="U315" s="19">
        <v>44737</v>
      </c>
      <c r="V315" s="19"/>
      <c r="W315" s="19">
        <v>55814</v>
      </c>
      <c r="X315" s="19"/>
      <c r="Y315" s="26">
        <f t="shared" si="52"/>
        <v>13776825</v>
      </c>
      <c r="Z315" s="19"/>
      <c r="AA315" s="19">
        <v>0</v>
      </c>
      <c r="AB315" s="19"/>
      <c r="AC315" s="19">
        <v>0</v>
      </c>
      <c r="AD315" s="19"/>
      <c r="AE315" s="19">
        <v>0</v>
      </c>
      <c r="AF315" s="19"/>
      <c r="AG315" s="19"/>
      <c r="AH315" s="19"/>
      <c r="AI315" s="19"/>
      <c r="AJ315" s="19"/>
      <c r="AK315" s="19">
        <v>37358</v>
      </c>
      <c r="AL315" s="19"/>
      <c r="AM315" s="19">
        <v>0</v>
      </c>
      <c r="AN315" s="19"/>
      <c r="AO315" s="26">
        <f t="shared" si="53"/>
        <v>37358</v>
      </c>
      <c r="AP315" s="19"/>
      <c r="AQ315" s="26">
        <f t="shared" si="54"/>
        <v>13814183</v>
      </c>
      <c r="AR315" s="26"/>
    </row>
    <row r="316" spans="1:44">
      <c r="A316" s="9" t="s">
        <v>495</v>
      </c>
      <c r="B316" s="9"/>
      <c r="C316" s="9" t="s">
        <v>62</v>
      </c>
      <c r="D316" s="9"/>
      <c r="E316" s="23">
        <v>49874</v>
      </c>
      <c r="F316" s="19"/>
      <c r="G316" s="19">
        <v>7967140</v>
      </c>
      <c r="H316" s="19"/>
      <c r="I316" s="19">
        <v>0</v>
      </c>
      <c r="J316" s="19"/>
      <c r="K316" s="19">
        <v>17855320</v>
      </c>
      <c r="L316" s="19"/>
      <c r="M316" s="19">
        <v>4558</v>
      </c>
      <c r="N316" s="19"/>
      <c r="O316" s="19">
        <f>1148539+787480+7660</f>
        <v>1943679</v>
      </c>
      <c r="P316" s="19"/>
      <c r="Q316" s="19">
        <v>449819</v>
      </c>
      <c r="R316" s="19"/>
      <c r="S316" s="19">
        <v>33086</v>
      </c>
      <c r="T316" s="19"/>
      <c r="U316" s="19">
        <v>95129</v>
      </c>
      <c r="V316" s="19"/>
      <c r="W316" s="19">
        <v>122274</v>
      </c>
      <c r="X316" s="19"/>
      <c r="Y316" s="26">
        <f t="shared" si="52"/>
        <v>28471005</v>
      </c>
      <c r="Z316" s="19"/>
      <c r="AA316" s="19">
        <v>59494</v>
      </c>
      <c r="AB316" s="19"/>
      <c r="AC316" s="19">
        <v>0</v>
      </c>
      <c r="AD316" s="19"/>
      <c r="AE316" s="19">
        <v>0</v>
      </c>
      <c r="AF316" s="19"/>
      <c r="AG316" s="19"/>
      <c r="AH316" s="19"/>
      <c r="AI316" s="19"/>
      <c r="AJ316" s="19"/>
      <c r="AK316" s="19">
        <v>0</v>
      </c>
      <c r="AL316" s="19"/>
      <c r="AM316" s="19">
        <v>0</v>
      </c>
      <c r="AN316" s="19"/>
      <c r="AO316" s="26">
        <f t="shared" si="53"/>
        <v>59494</v>
      </c>
      <c r="AP316" s="19"/>
      <c r="AQ316" s="26">
        <f t="shared" si="54"/>
        <v>28530499</v>
      </c>
      <c r="AR316" s="26"/>
    </row>
    <row r="317" spans="1:44">
      <c r="A317" s="9" t="s">
        <v>322</v>
      </c>
      <c r="B317" s="9"/>
      <c r="C317" s="9" t="s">
        <v>32</v>
      </c>
      <c r="D317" s="9"/>
      <c r="E317" s="23">
        <v>44271</v>
      </c>
      <c r="F317" s="19"/>
      <c r="G317" s="19">
        <v>29640710</v>
      </c>
      <c r="H317" s="19"/>
      <c r="I317" s="19">
        <v>0</v>
      </c>
      <c r="J317" s="19"/>
      <c r="K317" s="19">
        <v>17459344</v>
      </c>
      <c r="L317" s="19"/>
      <c r="M317" s="19">
        <v>8538</v>
      </c>
      <c r="N317" s="19"/>
      <c r="O317" s="19">
        <f>748209+1023362</f>
        <v>1771571</v>
      </c>
      <c r="P317" s="19"/>
      <c r="Q317" s="19">
        <v>468501</v>
      </c>
      <c r="R317" s="19"/>
      <c r="S317" s="19">
        <v>147833</v>
      </c>
      <c r="T317" s="19"/>
      <c r="U317" s="19">
        <v>0</v>
      </c>
      <c r="V317" s="19"/>
      <c r="W317" s="19">
        <v>76410</v>
      </c>
      <c r="X317" s="19"/>
      <c r="Y317" s="26">
        <f t="shared" si="52"/>
        <v>49572907</v>
      </c>
      <c r="Z317" s="19"/>
      <c r="AA317" s="19">
        <v>0</v>
      </c>
      <c r="AB317" s="19"/>
      <c r="AC317" s="19">
        <v>0</v>
      </c>
      <c r="AD317" s="19"/>
      <c r="AE317" s="19">
        <f>8325000+2135888</f>
        <v>10460888</v>
      </c>
      <c r="AF317" s="19"/>
      <c r="AG317" s="19"/>
      <c r="AH317" s="19"/>
      <c r="AI317" s="19"/>
      <c r="AJ317" s="19"/>
      <c r="AK317" s="19">
        <v>592</v>
      </c>
      <c r="AL317" s="19"/>
      <c r="AM317" s="19">
        <v>0</v>
      </c>
      <c r="AN317" s="19"/>
      <c r="AO317" s="26">
        <f t="shared" si="53"/>
        <v>10461480</v>
      </c>
      <c r="AP317" s="19"/>
      <c r="AQ317" s="26">
        <f t="shared" si="54"/>
        <v>60034387</v>
      </c>
      <c r="AR317" s="26"/>
    </row>
    <row r="318" spans="1:44">
      <c r="A318" s="9" t="s">
        <v>679</v>
      </c>
      <c r="B318" s="9"/>
      <c r="C318" s="9" t="s">
        <v>45</v>
      </c>
      <c r="D318" s="9"/>
      <c r="E318" s="23">
        <v>48330</v>
      </c>
      <c r="F318" s="19"/>
      <c r="G318" s="19">
        <v>1027276</v>
      </c>
      <c r="H318" s="19"/>
      <c r="I318" s="19">
        <v>0</v>
      </c>
      <c r="J318" s="19"/>
      <c r="K318" s="19">
        <f>2334201+328178</f>
        <v>2662379</v>
      </c>
      <c r="L318" s="19"/>
      <c r="M318" s="19">
        <f>30193-42105</f>
        <v>-11912</v>
      </c>
      <c r="N318" s="19"/>
      <c r="O318" s="19">
        <f>1543591+131489+240</f>
        <v>1675320</v>
      </c>
      <c r="P318" s="19"/>
      <c r="Q318" s="19">
        <v>116323</v>
      </c>
      <c r="R318" s="19"/>
      <c r="S318" s="19">
        <v>0</v>
      </c>
      <c r="T318" s="19"/>
      <c r="U318" s="19">
        <v>31822</v>
      </c>
      <c r="V318" s="19"/>
      <c r="W318" s="19">
        <v>10518</v>
      </c>
      <c r="X318" s="19"/>
      <c r="Y318" s="26">
        <f t="shared" si="52"/>
        <v>5511726</v>
      </c>
      <c r="Z318" s="19"/>
      <c r="AA318" s="19">
        <v>0</v>
      </c>
      <c r="AB318" s="19"/>
      <c r="AC318" s="19">
        <v>0</v>
      </c>
      <c r="AD318" s="19"/>
      <c r="AE318" s="19">
        <v>0</v>
      </c>
      <c r="AF318" s="19"/>
      <c r="AG318" s="19"/>
      <c r="AH318" s="19"/>
      <c r="AI318" s="19"/>
      <c r="AJ318" s="19"/>
      <c r="AK318" s="19">
        <v>0</v>
      </c>
      <c r="AL318" s="19"/>
      <c r="AM318" s="19">
        <v>0</v>
      </c>
      <c r="AN318" s="19"/>
      <c r="AO318" s="26">
        <f t="shared" si="53"/>
        <v>0</v>
      </c>
      <c r="AP318" s="19"/>
      <c r="AQ318" s="26">
        <f t="shared" si="54"/>
        <v>5511726</v>
      </c>
      <c r="AR318" s="26"/>
    </row>
    <row r="319" spans="1:44">
      <c r="A319" s="9" t="s">
        <v>795</v>
      </c>
      <c r="B319" s="9"/>
      <c r="C319" s="9" t="s">
        <v>109</v>
      </c>
      <c r="D319" s="9"/>
      <c r="E319" s="23">
        <v>49445</v>
      </c>
      <c r="F319" s="19"/>
      <c r="G319" s="19">
        <v>2711318</v>
      </c>
      <c r="H319" s="19"/>
      <c r="I319" s="19">
        <v>0</v>
      </c>
      <c r="J319" s="19"/>
      <c r="K319" s="19">
        <f>2359540+365062</f>
        <v>2724602</v>
      </c>
      <c r="L319" s="19"/>
      <c r="M319" s="19">
        <v>12319</v>
      </c>
      <c r="N319" s="19"/>
      <c r="O319" s="19">
        <f>326236+123749+15132+824</f>
        <v>465941</v>
      </c>
      <c r="P319" s="19"/>
      <c r="Q319" s="19">
        <v>87411</v>
      </c>
      <c r="R319" s="19"/>
      <c r="S319" s="19">
        <v>0</v>
      </c>
      <c r="T319" s="19"/>
      <c r="U319" s="19">
        <v>29035</v>
      </c>
      <c r="V319" s="19"/>
      <c r="W319" s="19">
        <v>28204</v>
      </c>
      <c r="X319" s="19"/>
      <c r="Y319" s="26">
        <f t="shared" si="52"/>
        <v>6058830</v>
      </c>
      <c r="Z319" s="19"/>
      <c r="AA319" s="19">
        <v>115665</v>
      </c>
      <c r="AB319" s="19"/>
      <c r="AC319" s="19">
        <v>0</v>
      </c>
      <c r="AD319" s="19"/>
      <c r="AE319" s="19">
        <v>0</v>
      </c>
      <c r="AF319" s="19"/>
      <c r="AG319" s="19"/>
      <c r="AH319" s="19"/>
      <c r="AI319" s="19"/>
      <c r="AJ319" s="19"/>
      <c r="AK319" s="19">
        <v>0</v>
      </c>
      <c r="AL319" s="19"/>
      <c r="AM319" s="19">
        <v>0</v>
      </c>
      <c r="AN319" s="19"/>
      <c r="AO319" s="26">
        <f t="shared" si="53"/>
        <v>115665</v>
      </c>
      <c r="AP319" s="19"/>
      <c r="AQ319" s="26">
        <f>Y319+AO319</f>
        <v>6174495</v>
      </c>
      <c r="AR319" s="26"/>
    </row>
    <row r="320" spans="1:44">
      <c r="A320" s="9" t="s">
        <v>349</v>
      </c>
      <c r="B320" s="9"/>
      <c r="C320" s="9" t="s">
        <v>346</v>
      </c>
      <c r="D320" s="9"/>
      <c r="E320" s="23">
        <v>47639</v>
      </c>
      <c r="F320" s="19"/>
      <c r="G320" s="19">
        <v>2031567</v>
      </c>
      <c r="H320" s="19"/>
      <c r="I320" s="19">
        <v>0</v>
      </c>
      <c r="J320" s="19"/>
      <c r="K320" s="19">
        <v>9257787</v>
      </c>
      <c r="L320" s="19"/>
      <c r="M320" s="19">
        <v>-436</v>
      </c>
      <c r="N320" s="19"/>
      <c r="O320" s="19">
        <f>641590+1015+214556</f>
        <v>857161</v>
      </c>
      <c r="P320" s="19"/>
      <c r="Q320" s="19">
        <v>89055</v>
      </c>
      <c r="R320" s="19"/>
      <c r="S320" s="19">
        <v>0</v>
      </c>
      <c r="T320" s="19"/>
      <c r="U320" s="19">
        <v>62679</v>
      </c>
      <c r="V320" s="19"/>
      <c r="W320" s="19">
        <v>90505</v>
      </c>
      <c r="X320" s="19"/>
      <c r="Y320" s="26">
        <f t="shared" si="52"/>
        <v>12388318</v>
      </c>
      <c r="Z320" s="19"/>
      <c r="AA320" s="19">
        <v>75000</v>
      </c>
      <c r="AB320" s="19"/>
      <c r="AC320" s="19">
        <v>0</v>
      </c>
      <c r="AD320" s="19"/>
      <c r="AE320" s="19">
        <v>0</v>
      </c>
      <c r="AF320" s="19"/>
      <c r="AG320" s="19"/>
      <c r="AH320" s="19"/>
      <c r="AI320" s="19"/>
      <c r="AJ320" s="19"/>
      <c r="AK320" s="19">
        <f>18340+536</f>
        <v>18876</v>
      </c>
      <c r="AL320" s="19"/>
      <c r="AM320" s="19">
        <v>0</v>
      </c>
      <c r="AN320" s="19"/>
      <c r="AO320" s="26">
        <f t="shared" si="53"/>
        <v>93876</v>
      </c>
      <c r="AP320" s="19"/>
      <c r="AQ320" s="26">
        <f t="shared" si="54"/>
        <v>12482194</v>
      </c>
      <c r="AR320" s="26"/>
    </row>
    <row r="321" spans="1:44">
      <c r="A321" s="9" t="s">
        <v>705</v>
      </c>
      <c r="B321" s="9"/>
      <c r="C321" s="9" t="s">
        <v>50</v>
      </c>
      <c r="D321" s="9"/>
      <c r="E321" s="23">
        <v>48702</v>
      </c>
      <c r="F321" s="19"/>
      <c r="G321" s="19">
        <v>9575211</v>
      </c>
      <c r="H321" s="19"/>
      <c r="I321" s="19">
        <v>0</v>
      </c>
      <c r="J321" s="19"/>
      <c r="K321" s="19">
        <v>28880356</v>
      </c>
      <c r="L321" s="19"/>
      <c r="M321" s="19">
        <v>8527</v>
      </c>
      <c r="N321" s="19"/>
      <c r="O321" s="19">
        <f>2696607+694872</f>
        <v>3391479</v>
      </c>
      <c r="P321" s="19"/>
      <c r="Q321" s="19">
        <v>269777</v>
      </c>
      <c r="R321" s="19"/>
      <c r="S321" s="19">
        <v>0</v>
      </c>
      <c r="T321" s="19"/>
      <c r="U321" s="19">
        <v>0</v>
      </c>
      <c r="V321" s="19"/>
      <c r="W321" s="19">
        <v>298164</v>
      </c>
      <c r="X321" s="19"/>
      <c r="Y321" s="26">
        <f t="shared" si="52"/>
        <v>42423514</v>
      </c>
      <c r="Z321" s="19"/>
      <c r="AA321" s="19">
        <v>157759</v>
      </c>
      <c r="AB321" s="19"/>
      <c r="AC321" s="19">
        <v>0</v>
      </c>
      <c r="AD321" s="19"/>
      <c r="AE321" s="19">
        <v>0</v>
      </c>
      <c r="AF321" s="19"/>
      <c r="AG321" s="19"/>
      <c r="AH321" s="19"/>
      <c r="AI321" s="19"/>
      <c r="AJ321" s="19"/>
      <c r="AK321" s="19">
        <v>17892</v>
      </c>
      <c r="AL321" s="19"/>
      <c r="AM321" s="19">
        <v>0</v>
      </c>
      <c r="AN321" s="19"/>
      <c r="AO321" s="26">
        <f t="shared" si="53"/>
        <v>175651</v>
      </c>
      <c r="AP321" s="19"/>
      <c r="AQ321" s="26">
        <f t="shared" si="54"/>
        <v>42599165</v>
      </c>
      <c r="AR321" s="26"/>
    </row>
    <row r="322" spans="1:44">
      <c r="A322" s="9" t="s">
        <v>323</v>
      </c>
      <c r="B322" s="9"/>
      <c r="C322" s="9" t="s">
        <v>32</v>
      </c>
      <c r="D322" s="9"/>
      <c r="E322" s="23">
        <v>44289</v>
      </c>
      <c r="F322" s="19"/>
      <c r="G322" s="19">
        <v>14877223</v>
      </c>
      <c r="H322" s="19"/>
      <c r="I322" s="19">
        <v>0</v>
      </c>
      <c r="J322" s="19"/>
      <c r="K322" s="19">
        <v>5359032</v>
      </c>
      <c r="L322" s="19"/>
      <c r="M322" s="19">
        <v>740</v>
      </c>
      <c r="N322" s="19"/>
      <c r="O322" s="19">
        <f>129338+491082</f>
        <v>620420</v>
      </c>
      <c r="P322" s="19"/>
      <c r="Q322" s="19">
        <v>366078</v>
      </c>
      <c r="R322" s="19"/>
      <c r="S322" s="19">
        <v>322324</v>
      </c>
      <c r="T322" s="19"/>
      <c r="U322" s="19">
        <v>0</v>
      </c>
      <c r="V322" s="19"/>
      <c r="W322" s="19">
        <v>307005</v>
      </c>
      <c r="X322" s="19"/>
      <c r="Y322" s="26">
        <f t="shared" si="52"/>
        <v>21852822</v>
      </c>
      <c r="Z322" s="19"/>
      <c r="AA322" s="19">
        <v>300000</v>
      </c>
      <c r="AB322" s="19"/>
      <c r="AC322" s="19">
        <v>0</v>
      </c>
      <c r="AD322" s="19"/>
      <c r="AE322" s="19">
        <v>0</v>
      </c>
      <c r="AF322" s="19"/>
      <c r="AG322" s="19"/>
      <c r="AH322" s="19"/>
      <c r="AI322" s="19"/>
      <c r="AJ322" s="19"/>
      <c r="AK322" s="19">
        <v>189275</v>
      </c>
      <c r="AL322" s="19"/>
      <c r="AM322" s="19">
        <v>0</v>
      </c>
      <c r="AN322" s="19"/>
      <c r="AO322" s="26">
        <f t="shared" si="53"/>
        <v>489275</v>
      </c>
      <c r="AP322" s="19"/>
      <c r="AQ322" s="26">
        <f t="shared" si="54"/>
        <v>22342097</v>
      </c>
      <c r="AR322" s="26"/>
    </row>
    <row r="323" spans="1:44">
      <c r="A323" s="9" t="s">
        <v>223</v>
      </c>
      <c r="B323" s="9"/>
      <c r="C323" s="9" t="s">
        <v>220</v>
      </c>
      <c r="D323" s="9"/>
      <c r="E323" s="23">
        <v>46128</v>
      </c>
      <c r="F323" s="19"/>
      <c r="G323" s="19">
        <v>6593994</v>
      </c>
      <c r="H323" s="19"/>
      <c r="I323" s="19">
        <v>0</v>
      </c>
      <c r="J323" s="19"/>
      <c r="K323" s="19">
        <v>7865781</v>
      </c>
      <c r="L323" s="19"/>
      <c r="M323" s="19">
        <v>2259</v>
      </c>
      <c r="N323" s="19"/>
      <c r="O323" s="19">
        <f>865453+397467</f>
        <v>1262920</v>
      </c>
      <c r="P323" s="19"/>
      <c r="Q323" s="19">
        <v>128654</v>
      </c>
      <c r="R323" s="19"/>
      <c r="S323" s="19">
        <v>0</v>
      </c>
      <c r="T323" s="19"/>
      <c r="U323" s="19">
        <v>0</v>
      </c>
      <c r="V323" s="19"/>
      <c r="W323" s="19">
        <v>155987</v>
      </c>
      <c r="X323" s="19"/>
      <c r="Y323" s="26">
        <f t="shared" si="52"/>
        <v>16009595</v>
      </c>
      <c r="Z323" s="19"/>
      <c r="AA323" s="19">
        <v>0</v>
      </c>
      <c r="AB323" s="19"/>
      <c r="AC323" s="19">
        <v>0</v>
      </c>
      <c r="AD323" s="19"/>
      <c r="AE323" s="19">
        <v>0</v>
      </c>
      <c r="AF323" s="19"/>
      <c r="AG323" s="19"/>
      <c r="AH323" s="19"/>
      <c r="AI323" s="19"/>
      <c r="AJ323" s="19"/>
      <c r="AK323" s="19">
        <v>361886</v>
      </c>
      <c r="AL323" s="19"/>
      <c r="AM323" s="19">
        <v>0</v>
      </c>
      <c r="AN323" s="19"/>
      <c r="AO323" s="26">
        <f t="shared" si="53"/>
        <v>361886</v>
      </c>
      <c r="AP323" s="19"/>
      <c r="AQ323" s="26">
        <f t="shared" si="54"/>
        <v>16371481</v>
      </c>
      <c r="AR323" s="26"/>
    </row>
    <row r="324" spans="1:44" hidden="1">
      <c r="A324" s="9" t="s">
        <v>724</v>
      </c>
      <c r="B324" s="9"/>
      <c r="C324" s="9" t="s">
        <v>41</v>
      </c>
      <c r="D324" s="9"/>
      <c r="E324" s="23">
        <v>47886</v>
      </c>
      <c r="F324" s="19"/>
      <c r="G324" s="19">
        <v>0</v>
      </c>
      <c r="H324" s="19"/>
      <c r="I324" s="19">
        <v>0</v>
      </c>
      <c r="J324" s="19"/>
      <c r="K324" s="19">
        <v>0</v>
      </c>
      <c r="L324" s="19"/>
      <c r="M324" s="19">
        <v>0</v>
      </c>
      <c r="N324" s="19"/>
      <c r="O324" s="19">
        <v>0</v>
      </c>
      <c r="P324" s="19"/>
      <c r="Q324" s="19">
        <v>0</v>
      </c>
      <c r="R324" s="19"/>
      <c r="S324" s="19">
        <v>0</v>
      </c>
      <c r="T324" s="19"/>
      <c r="U324" s="19">
        <v>0</v>
      </c>
      <c r="V324" s="19"/>
      <c r="W324" s="19">
        <v>0</v>
      </c>
      <c r="X324" s="19"/>
      <c r="Y324" s="26">
        <f t="shared" si="52"/>
        <v>0</v>
      </c>
      <c r="Z324" s="19"/>
      <c r="AA324" s="19">
        <v>0</v>
      </c>
      <c r="AB324" s="19"/>
      <c r="AC324" s="19">
        <v>0</v>
      </c>
      <c r="AD324" s="19"/>
      <c r="AE324" s="19">
        <v>0</v>
      </c>
      <c r="AF324" s="19"/>
      <c r="AG324" s="19"/>
      <c r="AH324" s="19"/>
      <c r="AI324" s="19"/>
      <c r="AJ324" s="19"/>
      <c r="AK324" s="19">
        <v>0</v>
      </c>
      <c r="AL324" s="19"/>
      <c r="AM324" s="19">
        <v>0</v>
      </c>
      <c r="AN324" s="19"/>
      <c r="AO324" s="26"/>
      <c r="AP324" s="19"/>
      <c r="AQ324" s="26">
        <f t="shared" si="54"/>
        <v>0</v>
      </c>
      <c r="AR324" s="26"/>
    </row>
    <row r="325" spans="1:44">
      <c r="A325" s="9" t="s">
        <v>223</v>
      </c>
      <c r="B325" s="9"/>
      <c r="C325" s="9" t="s">
        <v>109</v>
      </c>
      <c r="D325" s="9"/>
      <c r="E325" s="23">
        <v>49452</v>
      </c>
      <c r="F325" s="19"/>
      <c r="G325" s="19">
        <v>11324571</v>
      </c>
      <c r="H325" s="19"/>
      <c r="I325" s="19">
        <v>0</v>
      </c>
      <c r="J325" s="19"/>
      <c r="K325" s="19">
        <f>19455809+3970213</f>
        <v>23426022</v>
      </c>
      <c r="L325" s="19"/>
      <c r="M325" s="19">
        <f>80197-62157</f>
        <v>18040</v>
      </c>
      <c r="N325" s="19"/>
      <c r="O325" s="19">
        <f>1133389+29666+299235+115856+3435+78330</f>
        <v>1659911</v>
      </c>
      <c r="P325" s="19"/>
      <c r="Q325" s="19">
        <v>134340</v>
      </c>
      <c r="R325" s="19"/>
      <c r="S325" s="19">
        <v>251084</v>
      </c>
      <c r="T325" s="19"/>
      <c r="U325" s="19">
        <v>29738</v>
      </c>
      <c r="V325" s="19"/>
      <c r="W325" s="19">
        <v>175343</v>
      </c>
      <c r="X325" s="19"/>
      <c r="Y325" s="26">
        <f t="shared" si="52"/>
        <v>37019049</v>
      </c>
      <c r="Z325" s="19"/>
      <c r="AA325" s="19">
        <v>2046</v>
      </c>
      <c r="AB325" s="19"/>
      <c r="AC325" s="19">
        <v>0</v>
      </c>
      <c r="AD325" s="19"/>
      <c r="AE325" s="19">
        <v>0</v>
      </c>
      <c r="AF325" s="19"/>
      <c r="AG325" s="19"/>
      <c r="AH325" s="19"/>
      <c r="AI325" s="19"/>
      <c r="AJ325" s="19"/>
      <c r="AK325" s="19">
        <f>31474+77100</f>
        <v>108574</v>
      </c>
      <c r="AL325" s="19"/>
      <c r="AM325" s="19">
        <v>0</v>
      </c>
      <c r="AN325" s="19"/>
      <c r="AO325" s="26">
        <f t="shared" ref="AO325:AO336" si="55">AK325+AE325+AA325</f>
        <v>110620</v>
      </c>
      <c r="AP325" s="19"/>
      <c r="AQ325" s="26">
        <f t="shared" si="54"/>
        <v>37129669</v>
      </c>
      <c r="AR325" s="26"/>
    </row>
    <row r="326" spans="1:44">
      <c r="A326" s="9" t="s">
        <v>688</v>
      </c>
      <c r="B326" s="9"/>
      <c r="C326" s="9" t="s">
        <v>395</v>
      </c>
      <c r="D326" s="9"/>
      <c r="E326" s="23">
        <v>48272</v>
      </c>
      <c r="F326" s="19"/>
      <c r="G326" s="19">
        <v>6175633</v>
      </c>
      <c r="H326" s="19"/>
      <c r="I326" s="19">
        <v>0</v>
      </c>
      <c r="J326" s="19"/>
      <c r="K326" s="19">
        <v>6835391</v>
      </c>
      <c r="L326" s="19"/>
      <c r="M326" s="19">
        <v>35191</v>
      </c>
      <c r="N326" s="19"/>
      <c r="O326" s="19">
        <f>1085045+275108</f>
        <v>1360153</v>
      </c>
      <c r="P326" s="19"/>
      <c r="Q326" s="19">
        <v>113501</v>
      </c>
      <c r="R326" s="19"/>
      <c r="S326" s="19">
        <v>7029</v>
      </c>
      <c r="T326" s="19"/>
      <c r="U326" s="19">
        <v>50793</v>
      </c>
      <c r="V326" s="19"/>
      <c r="W326" s="19">
        <v>55202</v>
      </c>
      <c r="X326" s="19"/>
      <c r="Y326" s="26">
        <f t="shared" si="52"/>
        <v>14632893</v>
      </c>
      <c r="Z326" s="19"/>
      <c r="AA326" s="19">
        <v>21068</v>
      </c>
      <c r="AB326" s="19"/>
      <c r="AC326" s="19">
        <v>0</v>
      </c>
      <c r="AD326" s="19"/>
      <c r="AE326" s="19">
        <v>0</v>
      </c>
      <c r="AF326" s="19"/>
      <c r="AG326" s="19"/>
      <c r="AH326" s="19"/>
      <c r="AI326" s="19"/>
      <c r="AJ326" s="19"/>
      <c r="AK326" s="19">
        <f>49262+34369</f>
        <v>83631</v>
      </c>
      <c r="AL326" s="19"/>
      <c r="AM326" s="19">
        <v>0</v>
      </c>
      <c r="AN326" s="19"/>
      <c r="AO326" s="26">
        <f t="shared" si="55"/>
        <v>104699</v>
      </c>
      <c r="AP326" s="19"/>
      <c r="AQ326" s="26">
        <f t="shared" si="54"/>
        <v>14737592</v>
      </c>
      <c r="AR326" s="26"/>
    </row>
    <row r="327" spans="1:44">
      <c r="A327" s="9" t="s">
        <v>600</v>
      </c>
      <c r="B327" s="9"/>
      <c r="C327" s="9" t="s">
        <v>199</v>
      </c>
      <c r="D327" s="9"/>
      <c r="E327" s="54" t="s">
        <v>870</v>
      </c>
      <c r="F327" s="19"/>
      <c r="G327" s="19">
        <v>9539281</v>
      </c>
      <c r="H327" s="19"/>
      <c r="I327" s="19">
        <v>0</v>
      </c>
      <c r="J327" s="19"/>
      <c r="K327" s="19">
        <v>6756616</v>
      </c>
      <c r="L327" s="19"/>
      <c r="M327" s="19">
        <v>24460</v>
      </c>
      <c r="N327" s="19"/>
      <c r="O327" s="19">
        <f>536165+49535+1714</f>
        <v>587414</v>
      </c>
      <c r="P327" s="19"/>
      <c r="Q327" s="19">
        <v>90280</v>
      </c>
      <c r="R327" s="19"/>
      <c r="S327" s="19">
        <v>0</v>
      </c>
      <c r="T327" s="19"/>
      <c r="U327" s="19">
        <v>8442</v>
      </c>
      <c r="V327" s="19"/>
      <c r="W327" s="19">
        <v>53513</v>
      </c>
      <c r="X327" s="19"/>
      <c r="Y327" s="26">
        <f t="shared" si="52"/>
        <v>17060006</v>
      </c>
      <c r="Z327" s="19"/>
      <c r="AA327" s="19">
        <v>2541452</v>
      </c>
      <c r="AB327" s="19"/>
      <c r="AC327" s="19">
        <v>0</v>
      </c>
      <c r="AD327" s="19"/>
      <c r="AE327" s="19">
        <v>0</v>
      </c>
      <c r="AF327" s="19"/>
      <c r="AG327" s="19"/>
      <c r="AH327" s="19"/>
      <c r="AI327" s="19"/>
      <c r="AJ327" s="19"/>
      <c r="AK327" s="19">
        <v>4079</v>
      </c>
      <c r="AL327" s="19"/>
      <c r="AM327" s="19">
        <v>0</v>
      </c>
      <c r="AN327" s="19"/>
      <c r="AO327" s="26">
        <f t="shared" si="55"/>
        <v>2545531</v>
      </c>
      <c r="AP327" s="19"/>
      <c r="AQ327" s="26">
        <f t="shared" si="54"/>
        <v>19605537</v>
      </c>
      <c r="AR327" s="26"/>
    </row>
    <row r="328" spans="1:44" hidden="1">
      <c r="A328" s="9" t="s">
        <v>799</v>
      </c>
      <c r="B328" s="9"/>
      <c r="C328" s="9" t="s">
        <v>63</v>
      </c>
      <c r="D328" s="9"/>
      <c r="E328" s="54">
        <v>50005</v>
      </c>
      <c r="F328" s="19"/>
      <c r="G328" s="19">
        <v>0</v>
      </c>
      <c r="H328" s="19"/>
      <c r="I328" s="19">
        <v>0</v>
      </c>
      <c r="J328" s="19"/>
      <c r="K328" s="19">
        <v>0</v>
      </c>
      <c r="L328" s="19"/>
      <c r="M328" s="19">
        <v>0</v>
      </c>
      <c r="N328" s="19"/>
      <c r="O328" s="19">
        <v>0</v>
      </c>
      <c r="P328" s="19"/>
      <c r="Q328" s="19">
        <v>0</v>
      </c>
      <c r="R328" s="19"/>
      <c r="S328" s="19">
        <v>0</v>
      </c>
      <c r="T328" s="19"/>
      <c r="U328" s="19">
        <v>0</v>
      </c>
      <c r="V328" s="19"/>
      <c r="W328" s="19">
        <v>0</v>
      </c>
      <c r="X328" s="19"/>
      <c r="Y328" s="26">
        <f t="shared" ref="Y328" si="56">SUM(G328:W328)</f>
        <v>0</v>
      </c>
      <c r="Z328" s="19"/>
      <c r="AA328" s="19">
        <v>0</v>
      </c>
      <c r="AB328" s="19"/>
      <c r="AC328" s="19">
        <v>0</v>
      </c>
      <c r="AD328" s="19"/>
      <c r="AE328" s="19">
        <v>0</v>
      </c>
      <c r="AF328" s="19"/>
      <c r="AG328" s="19"/>
      <c r="AH328" s="19"/>
      <c r="AI328" s="19"/>
      <c r="AJ328" s="19"/>
      <c r="AK328" s="19">
        <v>0</v>
      </c>
      <c r="AL328" s="19"/>
      <c r="AM328" s="19">
        <v>0</v>
      </c>
      <c r="AN328" s="19"/>
      <c r="AO328" s="26">
        <f t="shared" ref="AO328" si="57">AK328+AE328+AA328</f>
        <v>0</v>
      </c>
      <c r="AP328" s="19"/>
      <c r="AQ328" s="26">
        <f t="shared" ref="AQ328" si="58">Y328+AO328</f>
        <v>0</v>
      </c>
      <c r="AR328" s="26"/>
    </row>
    <row r="329" spans="1:44">
      <c r="A329" s="9" t="s">
        <v>466</v>
      </c>
      <c r="B329" s="9"/>
      <c r="C329" s="9" t="s">
        <v>109</v>
      </c>
      <c r="D329" s="9"/>
      <c r="E329" s="23">
        <v>44297</v>
      </c>
      <c r="F329" s="19"/>
      <c r="G329" s="19">
        <v>15208811</v>
      </c>
      <c r="H329" s="19"/>
      <c r="I329" s="19">
        <v>0</v>
      </c>
      <c r="J329" s="19"/>
      <c r="K329" s="19">
        <f>34950817+7165414</f>
        <v>42116231</v>
      </c>
      <c r="L329" s="19"/>
      <c r="M329" s="19">
        <v>25733</v>
      </c>
      <c r="N329" s="19"/>
      <c r="O329" s="19">
        <f>1175359+63446+287831+49814+40883+28372</f>
        <v>1645705</v>
      </c>
      <c r="P329" s="19"/>
      <c r="Q329" s="19">
        <v>296779</v>
      </c>
      <c r="R329" s="19"/>
      <c r="S329" s="19">
        <v>0</v>
      </c>
      <c r="T329" s="19"/>
      <c r="U329" s="19">
        <v>61027</v>
      </c>
      <c r="V329" s="19"/>
      <c r="W329" s="19">
        <v>1385277</v>
      </c>
      <c r="X329" s="19"/>
      <c r="Y329" s="26">
        <f t="shared" si="52"/>
        <v>60739563</v>
      </c>
      <c r="Z329" s="19"/>
      <c r="AA329" s="19">
        <v>7400000</v>
      </c>
      <c r="AB329" s="19"/>
      <c r="AC329" s="19">
        <v>0</v>
      </c>
      <c r="AD329" s="19"/>
      <c r="AE329" s="19">
        <f>791355+8204995+5401719</f>
        <v>14398069</v>
      </c>
      <c r="AF329" s="19"/>
      <c r="AG329" s="19"/>
      <c r="AH329" s="19"/>
      <c r="AI329" s="19"/>
      <c r="AJ329" s="19"/>
      <c r="AK329" s="19">
        <v>27422</v>
      </c>
      <c r="AL329" s="19"/>
      <c r="AM329" s="19">
        <v>0</v>
      </c>
      <c r="AN329" s="19"/>
      <c r="AO329" s="26">
        <f>AK329+AE329+AA329+AM329</f>
        <v>21825491</v>
      </c>
      <c r="AP329" s="19"/>
      <c r="AQ329" s="26">
        <f t="shared" si="54"/>
        <v>82565054</v>
      </c>
      <c r="AR329" s="26"/>
    </row>
    <row r="330" spans="1:44">
      <c r="A330" s="9" t="s">
        <v>716</v>
      </c>
      <c r="B330" s="9"/>
      <c r="C330" s="9" t="s">
        <v>20</v>
      </c>
      <c r="D330" s="9"/>
      <c r="E330" s="23">
        <v>44305</v>
      </c>
      <c r="F330" s="19"/>
      <c r="G330" s="19">
        <v>15351963</v>
      </c>
      <c r="H330" s="19"/>
      <c r="I330" s="19">
        <v>0</v>
      </c>
      <c r="J330" s="19"/>
      <c r="K330" s="19">
        <v>26627004</v>
      </c>
      <c r="L330" s="19"/>
      <c r="M330" s="19">
        <v>8480</v>
      </c>
      <c r="N330" s="19"/>
      <c r="O330" s="19">
        <f>184853+719168</f>
        <v>904021</v>
      </c>
      <c r="P330" s="19"/>
      <c r="Q330" s="19">
        <v>89825</v>
      </c>
      <c r="R330" s="19"/>
      <c r="S330" s="19">
        <v>0</v>
      </c>
      <c r="T330" s="19"/>
      <c r="U330" s="19">
        <v>104072</v>
      </c>
      <c r="V330" s="19"/>
      <c r="W330" s="19">
        <v>1794758</v>
      </c>
      <c r="X330" s="19"/>
      <c r="Y330" s="26">
        <f t="shared" si="52"/>
        <v>44880123</v>
      </c>
      <c r="Z330" s="19"/>
      <c r="AA330" s="19">
        <v>874703</v>
      </c>
      <c r="AB330" s="19"/>
      <c r="AC330" s="19">
        <v>0</v>
      </c>
      <c r="AD330" s="19"/>
      <c r="AE330" s="19">
        <f>8224702+1775792</f>
        <v>10000494</v>
      </c>
      <c r="AF330" s="19"/>
      <c r="AG330" s="19"/>
      <c r="AH330" s="19"/>
      <c r="AI330" s="19"/>
      <c r="AJ330" s="19"/>
      <c r="AK330" s="19">
        <v>0</v>
      </c>
      <c r="AL330" s="19"/>
      <c r="AM330" s="19">
        <v>0</v>
      </c>
      <c r="AN330" s="19"/>
      <c r="AO330" s="26">
        <f t="shared" ref="AO330:AO331" si="59">AK330+AE330+AA330+AM330</f>
        <v>10875197</v>
      </c>
      <c r="AP330" s="19"/>
      <c r="AQ330" s="26">
        <f t="shared" ref="AQ330:AQ362" si="60">Y330+AO330</f>
        <v>55755320</v>
      </c>
      <c r="AR330" s="26"/>
    </row>
    <row r="331" spans="1:44">
      <c r="A331" s="9" t="s">
        <v>204</v>
      </c>
      <c r="B331" s="9"/>
      <c r="C331" s="9" t="s">
        <v>11</v>
      </c>
      <c r="D331" s="9"/>
      <c r="E331" s="23">
        <v>45831</v>
      </c>
      <c r="F331" s="19"/>
      <c r="G331" s="19">
        <v>3024842</v>
      </c>
      <c r="H331" s="19"/>
      <c r="I331" s="19">
        <v>0</v>
      </c>
      <c r="J331" s="19"/>
      <c r="K331" s="19">
        <f>6711+4707339+609198</f>
        <v>5323248</v>
      </c>
      <c r="L331" s="19"/>
      <c r="M331" s="19">
        <v>4362</v>
      </c>
      <c r="N331" s="19"/>
      <c r="O331" s="19">
        <f>628481+5670+126790+31073</f>
        <v>792014</v>
      </c>
      <c r="P331" s="19"/>
      <c r="Q331" s="19">
        <v>131146</v>
      </c>
      <c r="R331" s="19"/>
      <c r="S331" s="19">
        <v>0</v>
      </c>
      <c r="T331" s="19"/>
      <c r="U331" s="19">
        <v>18863</v>
      </c>
      <c r="V331" s="19"/>
      <c r="W331" s="19">
        <v>11903</v>
      </c>
      <c r="X331" s="19"/>
      <c r="Y331" s="26">
        <f t="shared" si="52"/>
        <v>9306378</v>
      </c>
      <c r="Z331" s="19"/>
      <c r="AA331" s="19">
        <v>0</v>
      </c>
      <c r="AB331" s="19"/>
      <c r="AC331" s="19">
        <v>0</v>
      </c>
      <c r="AD331" s="19"/>
      <c r="AE331" s="19">
        <v>725000</v>
      </c>
      <c r="AF331" s="19"/>
      <c r="AG331" s="19"/>
      <c r="AH331" s="19"/>
      <c r="AI331" s="19"/>
      <c r="AJ331" s="19"/>
      <c r="AK331" s="19">
        <v>0</v>
      </c>
      <c r="AL331" s="19"/>
      <c r="AM331" s="19">
        <v>0</v>
      </c>
      <c r="AN331" s="19"/>
      <c r="AO331" s="26">
        <f t="shared" si="59"/>
        <v>725000</v>
      </c>
      <c r="AP331" s="19"/>
      <c r="AQ331" s="26">
        <f t="shared" si="60"/>
        <v>10031378</v>
      </c>
      <c r="AR331" s="26"/>
    </row>
    <row r="332" spans="1:44">
      <c r="A332" s="9" t="s">
        <v>524</v>
      </c>
      <c r="B332" s="9"/>
      <c r="C332" s="9" t="s">
        <v>64</v>
      </c>
      <c r="D332" s="9"/>
      <c r="E332" s="23">
        <v>50211</v>
      </c>
      <c r="F332" s="19"/>
      <c r="G332" s="19">
        <v>2745559</v>
      </c>
      <c r="H332" s="19"/>
      <c r="I332" s="19">
        <v>0</v>
      </c>
      <c r="J332" s="19"/>
      <c r="K332" s="19">
        <v>6447883</v>
      </c>
      <c r="L332" s="19"/>
      <c r="M332" s="19">
        <v>-2401</v>
      </c>
      <c r="N332" s="19"/>
      <c r="O332" s="19">
        <f>355636+128953+14100</f>
        <v>498689</v>
      </c>
      <c r="P332" s="19"/>
      <c r="Q332" s="19">
        <v>73780</v>
      </c>
      <c r="R332" s="19"/>
      <c r="S332" s="19">
        <v>0</v>
      </c>
      <c r="T332" s="19"/>
      <c r="U332" s="19">
        <v>17600</v>
      </c>
      <c r="V332" s="19"/>
      <c r="W332" s="19">
        <v>151784</v>
      </c>
      <c r="X332" s="19"/>
      <c r="Y332" s="26">
        <f>SUM(G332:W332)</f>
        <v>9932894</v>
      </c>
      <c r="Z332" s="19"/>
      <c r="AA332" s="19">
        <v>0</v>
      </c>
      <c r="AB332" s="19"/>
      <c r="AC332" s="19">
        <v>0</v>
      </c>
      <c r="AD332" s="19"/>
      <c r="AE332" s="19">
        <v>0</v>
      </c>
      <c r="AF332" s="19"/>
      <c r="AG332" s="19"/>
      <c r="AH332" s="19"/>
      <c r="AI332" s="19"/>
      <c r="AJ332" s="19"/>
      <c r="AK332" s="19">
        <v>0</v>
      </c>
      <c r="AL332" s="19"/>
      <c r="AM332" s="19">
        <v>160477</v>
      </c>
      <c r="AN332" s="19"/>
      <c r="AO332" s="26">
        <f t="shared" si="55"/>
        <v>0</v>
      </c>
      <c r="AP332" s="19"/>
      <c r="AQ332" s="26">
        <f>Y332+AO332+AM332</f>
        <v>10093371</v>
      </c>
      <c r="AR332" s="26"/>
    </row>
    <row r="333" spans="1:44">
      <c r="A333" s="9" t="s">
        <v>286</v>
      </c>
      <c r="B333" s="9"/>
      <c r="C333" s="9" t="s">
        <v>24</v>
      </c>
      <c r="D333" s="9"/>
      <c r="E333" s="23">
        <v>46805</v>
      </c>
      <c r="F333" s="19"/>
      <c r="G333" s="19">
        <v>5594165</v>
      </c>
      <c r="H333" s="19"/>
      <c r="I333" s="19">
        <v>0</v>
      </c>
      <c r="J333" s="19"/>
      <c r="K333" s="19">
        <f>6295607+839644</f>
        <v>7135251</v>
      </c>
      <c r="L333" s="19"/>
      <c r="M333" s="19">
        <v>1705</v>
      </c>
      <c r="N333" s="19"/>
      <c r="O333" s="19">
        <f>995291+274539+38321+203493+152428</f>
        <v>1664072</v>
      </c>
      <c r="P333" s="19"/>
      <c r="Q333" s="19">
        <v>312752</v>
      </c>
      <c r="R333" s="19"/>
      <c r="S333" s="19">
        <v>0</v>
      </c>
      <c r="T333" s="19"/>
      <c r="U333" s="19">
        <v>0</v>
      </c>
      <c r="V333" s="19"/>
      <c r="W333" s="19">
        <v>241902</v>
      </c>
      <c r="X333" s="19"/>
      <c r="Y333" s="26">
        <f t="shared" si="52"/>
        <v>14949847</v>
      </c>
      <c r="Z333" s="19"/>
      <c r="AA333" s="19">
        <v>22458</v>
      </c>
      <c r="AB333" s="19"/>
      <c r="AC333" s="19">
        <v>0</v>
      </c>
      <c r="AD333" s="19"/>
      <c r="AE333" s="19">
        <v>0</v>
      </c>
      <c r="AF333" s="19"/>
      <c r="AG333" s="19"/>
      <c r="AH333" s="19"/>
      <c r="AI333" s="19"/>
      <c r="AJ333" s="19"/>
      <c r="AK333" s="19">
        <v>0</v>
      </c>
      <c r="AL333" s="19"/>
      <c r="AM333" s="19">
        <v>0</v>
      </c>
      <c r="AN333" s="19"/>
      <c r="AO333" s="26">
        <f t="shared" si="55"/>
        <v>22458</v>
      </c>
      <c r="AP333" s="19"/>
      <c r="AQ333" s="26">
        <f t="shared" si="60"/>
        <v>14972305</v>
      </c>
      <c r="AR333" s="26"/>
    </row>
    <row r="334" spans="1:44">
      <c r="A334" s="9" t="s">
        <v>324</v>
      </c>
      <c r="B334" s="9"/>
      <c r="C334" s="9" t="s">
        <v>32</v>
      </c>
      <c r="D334" s="9"/>
      <c r="E334" s="23">
        <v>44313</v>
      </c>
      <c r="F334" s="19"/>
      <c r="G334" s="19">
        <v>16693779</v>
      </c>
      <c r="H334" s="19"/>
      <c r="I334" s="19">
        <v>0</v>
      </c>
      <c r="J334" s="19"/>
      <c r="K334" s="19">
        <v>6288268</v>
      </c>
      <c r="L334" s="19"/>
      <c r="M334" s="19">
        <v>102</v>
      </c>
      <c r="N334" s="19"/>
      <c r="O334" s="19">
        <f>261155+161897</f>
        <v>423052</v>
      </c>
      <c r="P334" s="19"/>
      <c r="Q334" s="19">
        <v>341890</v>
      </c>
      <c r="R334" s="19"/>
      <c r="S334" s="19">
        <v>0</v>
      </c>
      <c r="T334" s="19"/>
      <c r="U334" s="19">
        <v>0</v>
      </c>
      <c r="V334" s="19"/>
      <c r="W334" s="19">
        <v>263396</v>
      </c>
      <c r="X334" s="19"/>
      <c r="Y334" s="26">
        <f t="shared" si="52"/>
        <v>24010487</v>
      </c>
      <c r="Z334" s="19"/>
      <c r="AA334" s="19">
        <v>359520</v>
      </c>
      <c r="AB334" s="19"/>
      <c r="AC334" s="19">
        <v>0</v>
      </c>
      <c r="AD334" s="19"/>
      <c r="AE334" s="19">
        <v>1995000</v>
      </c>
      <c r="AF334" s="19"/>
      <c r="AG334" s="19"/>
      <c r="AH334" s="19"/>
      <c r="AI334" s="19"/>
      <c r="AJ334" s="19"/>
      <c r="AK334" s="19">
        <v>563997</v>
      </c>
      <c r="AL334" s="19"/>
      <c r="AM334" s="19">
        <v>0</v>
      </c>
      <c r="AN334" s="19"/>
      <c r="AO334" s="26">
        <f t="shared" si="55"/>
        <v>2918517</v>
      </c>
      <c r="AP334" s="19"/>
      <c r="AQ334" s="26">
        <f t="shared" si="60"/>
        <v>26929004</v>
      </c>
      <c r="AR334" s="26"/>
    </row>
    <row r="335" spans="1:44" hidden="1">
      <c r="A335" s="9" t="s">
        <v>607</v>
      </c>
      <c r="B335" s="9"/>
      <c r="C335" s="9" t="s">
        <v>70</v>
      </c>
      <c r="D335" s="9"/>
      <c r="E335" s="23">
        <v>44321</v>
      </c>
      <c r="F335" s="19"/>
      <c r="G335" s="19">
        <v>0</v>
      </c>
      <c r="H335" s="19"/>
      <c r="I335" s="19">
        <v>0</v>
      </c>
      <c r="J335" s="19"/>
      <c r="K335" s="19">
        <v>0</v>
      </c>
      <c r="L335" s="19"/>
      <c r="M335" s="19">
        <v>0</v>
      </c>
      <c r="N335" s="19"/>
      <c r="O335" s="19">
        <v>0</v>
      </c>
      <c r="P335" s="19"/>
      <c r="Q335" s="19">
        <v>0</v>
      </c>
      <c r="R335" s="19"/>
      <c r="S335" s="19">
        <v>0</v>
      </c>
      <c r="T335" s="19"/>
      <c r="U335" s="19">
        <v>0</v>
      </c>
      <c r="V335" s="19"/>
      <c r="W335" s="19">
        <v>0</v>
      </c>
      <c r="X335" s="19"/>
      <c r="Y335" s="26">
        <f t="shared" si="52"/>
        <v>0</v>
      </c>
      <c r="Z335" s="19"/>
      <c r="AA335" s="19">
        <v>0</v>
      </c>
      <c r="AB335" s="19"/>
      <c r="AC335" s="19">
        <v>0</v>
      </c>
      <c r="AD335" s="19"/>
      <c r="AE335" s="19">
        <v>0</v>
      </c>
      <c r="AF335" s="19"/>
      <c r="AG335" s="19"/>
      <c r="AH335" s="19"/>
      <c r="AI335" s="19"/>
      <c r="AJ335" s="19"/>
      <c r="AK335" s="19">
        <v>0</v>
      </c>
      <c r="AL335" s="19"/>
      <c r="AM335" s="19">
        <v>0</v>
      </c>
      <c r="AN335" s="19"/>
      <c r="AO335" s="26">
        <f t="shared" si="55"/>
        <v>0</v>
      </c>
      <c r="AP335" s="19"/>
      <c r="AQ335" s="26">
        <f t="shared" si="60"/>
        <v>0</v>
      </c>
      <c r="AR335" s="26"/>
    </row>
    <row r="336" spans="1:44">
      <c r="A336" s="9" t="s">
        <v>407</v>
      </c>
      <c r="B336" s="9"/>
      <c r="C336" s="9" t="s">
        <v>46</v>
      </c>
      <c r="D336" s="9"/>
      <c r="E336" s="23">
        <v>44339</v>
      </c>
      <c r="F336" s="19"/>
      <c r="G336" s="19">
        <v>9239946</v>
      </c>
      <c r="H336" s="19"/>
      <c r="I336" s="19">
        <v>0</v>
      </c>
      <c r="J336" s="19"/>
      <c r="K336" s="19">
        <f>35515074+4483114+18831</f>
        <v>40017019</v>
      </c>
      <c r="L336" s="19"/>
      <c r="M336" s="19">
        <v>49272</v>
      </c>
      <c r="N336" s="19"/>
      <c r="O336" s="19">
        <f>1632114+11244</f>
        <v>1643358</v>
      </c>
      <c r="P336" s="19"/>
      <c r="Q336" s="19">
        <v>160577</v>
      </c>
      <c r="R336" s="19"/>
      <c r="S336" s="19">
        <v>93475</v>
      </c>
      <c r="T336" s="19"/>
      <c r="U336" s="19">
        <v>0</v>
      </c>
      <c r="V336" s="19"/>
      <c r="W336" s="19">
        <v>337423</v>
      </c>
      <c r="X336" s="19"/>
      <c r="Y336" s="26">
        <f t="shared" si="52"/>
        <v>51541070</v>
      </c>
      <c r="Z336" s="19"/>
      <c r="AA336" s="19">
        <v>50000</v>
      </c>
      <c r="AB336" s="19"/>
      <c r="AC336" s="19">
        <v>0</v>
      </c>
      <c r="AD336" s="19"/>
      <c r="AE336" s="19">
        <v>0</v>
      </c>
      <c r="AF336" s="19"/>
      <c r="AG336" s="19"/>
      <c r="AH336" s="19"/>
      <c r="AI336" s="19"/>
      <c r="AJ336" s="19"/>
      <c r="AK336" s="19">
        <v>273762</v>
      </c>
      <c r="AL336" s="19"/>
      <c r="AM336" s="19">
        <v>0</v>
      </c>
      <c r="AN336" s="19"/>
      <c r="AO336" s="26">
        <f t="shared" si="55"/>
        <v>323762</v>
      </c>
      <c r="AP336" s="19"/>
      <c r="AQ336" s="26">
        <f t="shared" si="60"/>
        <v>51864832</v>
      </c>
      <c r="AR336" s="26"/>
    </row>
    <row r="337" spans="1:44" ht="11.25" hidden="1" customHeight="1">
      <c r="A337" s="9" t="s">
        <v>680</v>
      </c>
      <c r="B337" s="9"/>
      <c r="C337" s="9" t="s">
        <v>419</v>
      </c>
      <c r="D337" s="9"/>
      <c r="E337" s="23">
        <v>48553</v>
      </c>
      <c r="F337" s="19"/>
      <c r="G337" s="19">
        <v>0</v>
      </c>
      <c r="H337" s="19"/>
      <c r="I337" s="19">
        <v>0</v>
      </c>
      <c r="J337" s="19"/>
      <c r="K337" s="19">
        <v>0</v>
      </c>
      <c r="L337" s="19"/>
      <c r="M337" s="19">
        <v>0</v>
      </c>
      <c r="N337" s="19"/>
      <c r="O337" s="19">
        <v>0</v>
      </c>
      <c r="P337" s="19"/>
      <c r="Q337" s="19">
        <v>0</v>
      </c>
      <c r="R337" s="19"/>
      <c r="S337" s="19">
        <v>0</v>
      </c>
      <c r="T337" s="19"/>
      <c r="U337" s="19">
        <v>0</v>
      </c>
      <c r="V337" s="19"/>
      <c r="W337" s="19">
        <v>0</v>
      </c>
      <c r="X337" s="19"/>
      <c r="Y337" s="26">
        <f t="shared" si="52"/>
        <v>0</v>
      </c>
      <c r="Z337" s="19"/>
      <c r="AA337" s="19">
        <v>0</v>
      </c>
      <c r="AB337" s="19"/>
      <c r="AC337" s="19">
        <v>0</v>
      </c>
      <c r="AD337" s="19"/>
      <c r="AE337" s="19">
        <v>0</v>
      </c>
      <c r="AF337" s="19"/>
      <c r="AG337" s="19"/>
      <c r="AH337" s="19"/>
      <c r="AI337" s="19"/>
      <c r="AJ337" s="19"/>
      <c r="AK337" s="19">
        <v>0</v>
      </c>
      <c r="AL337" s="19"/>
      <c r="AM337" s="19">
        <v>0</v>
      </c>
      <c r="AN337" s="19"/>
      <c r="AO337" s="26"/>
      <c r="AP337" s="19"/>
      <c r="AQ337" s="26">
        <f t="shared" si="60"/>
        <v>0</v>
      </c>
      <c r="AR337" s="26"/>
    </row>
    <row r="338" spans="1:44">
      <c r="A338" s="9" t="s">
        <v>496</v>
      </c>
      <c r="B338" s="9"/>
      <c r="C338" s="9" t="s">
        <v>62</v>
      </c>
      <c r="D338" s="9"/>
      <c r="E338" s="23">
        <v>49882</v>
      </c>
      <c r="F338" s="19"/>
      <c r="G338" s="19">
        <v>8101840</v>
      </c>
      <c r="H338" s="19"/>
      <c r="I338" s="19">
        <v>0</v>
      </c>
      <c r="J338" s="19"/>
      <c r="K338" s="19">
        <v>12917256</v>
      </c>
      <c r="L338" s="19"/>
      <c r="M338" s="19">
        <v>26830</v>
      </c>
      <c r="N338" s="19"/>
      <c r="O338" s="19">
        <f>1499579+465583+300</f>
        <v>1965462</v>
      </c>
      <c r="P338" s="19"/>
      <c r="Q338" s="19">
        <v>475808</v>
      </c>
      <c r="R338" s="19"/>
      <c r="S338" s="19">
        <v>0</v>
      </c>
      <c r="T338" s="19"/>
      <c r="U338" s="19">
        <v>34242</v>
      </c>
      <c r="V338" s="19"/>
      <c r="W338" s="19">
        <v>142806</v>
      </c>
      <c r="X338" s="19"/>
      <c r="Y338" s="26">
        <f t="shared" si="52"/>
        <v>23664244</v>
      </c>
      <c r="Z338" s="19"/>
      <c r="AA338" s="19">
        <v>16486</v>
      </c>
      <c r="AB338" s="19"/>
      <c r="AC338" s="19">
        <v>0</v>
      </c>
      <c r="AD338" s="19"/>
      <c r="AE338" s="19">
        <v>0</v>
      </c>
      <c r="AF338" s="19"/>
      <c r="AG338" s="19"/>
      <c r="AH338" s="19"/>
      <c r="AI338" s="19"/>
      <c r="AJ338" s="19"/>
      <c r="AK338" s="19">
        <v>0</v>
      </c>
      <c r="AL338" s="19"/>
      <c r="AM338" s="19">
        <v>0</v>
      </c>
      <c r="AN338" s="19"/>
      <c r="AO338" s="26">
        <f t="shared" ref="AO338:AO376" si="61">AK338+AE338+AA338</f>
        <v>16486</v>
      </c>
      <c r="AP338" s="19"/>
      <c r="AQ338" s="26">
        <f t="shared" si="60"/>
        <v>23680730</v>
      </c>
      <c r="AR338" s="26"/>
    </row>
    <row r="339" spans="1:44">
      <c r="A339" s="9" t="s">
        <v>215</v>
      </c>
      <c r="B339" s="9"/>
      <c r="C339" s="9" t="s">
        <v>15</v>
      </c>
      <c r="D339" s="9"/>
      <c r="E339" s="23">
        <v>44347</v>
      </c>
      <c r="F339" s="19"/>
      <c r="G339" s="19">
        <v>2935835</v>
      </c>
      <c r="H339" s="19"/>
      <c r="I339" s="19">
        <v>0</v>
      </c>
      <c r="J339" s="19"/>
      <c r="K339" s="19">
        <v>11474731</v>
      </c>
      <c r="L339" s="19"/>
      <c r="M339" s="19">
        <v>2558</v>
      </c>
      <c r="N339" s="19"/>
      <c r="O339" s="19">
        <f>981463+289703+248488</f>
        <v>1519654</v>
      </c>
      <c r="P339" s="19"/>
      <c r="Q339" s="19">
        <v>104516</v>
      </c>
      <c r="R339" s="19"/>
      <c r="S339" s="19">
        <v>0</v>
      </c>
      <c r="T339" s="19"/>
      <c r="U339" s="19">
        <v>10292</v>
      </c>
      <c r="V339" s="19"/>
      <c r="W339" s="19">
        <v>173603</v>
      </c>
      <c r="X339" s="19"/>
      <c r="Y339" s="26">
        <f t="shared" si="52"/>
        <v>16221189</v>
      </c>
      <c r="Z339" s="19"/>
      <c r="AA339" s="19">
        <v>1425357</v>
      </c>
      <c r="AB339" s="19"/>
      <c r="AC339" s="19">
        <v>0</v>
      </c>
      <c r="AD339" s="19"/>
      <c r="AE339" s="19">
        <v>0</v>
      </c>
      <c r="AF339" s="19"/>
      <c r="AG339" s="19"/>
      <c r="AH339" s="19"/>
      <c r="AI339" s="19"/>
      <c r="AJ339" s="19"/>
      <c r="AK339" s="19">
        <f>74453+10500</f>
        <v>84953</v>
      </c>
      <c r="AL339" s="19"/>
      <c r="AM339" s="19">
        <v>0</v>
      </c>
      <c r="AN339" s="19"/>
      <c r="AO339" s="26">
        <f t="shared" si="61"/>
        <v>1510310</v>
      </c>
      <c r="AP339" s="19"/>
      <c r="AQ339" s="26">
        <f t="shared" si="60"/>
        <v>17731499</v>
      </c>
      <c r="AR339" s="26"/>
    </row>
    <row r="340" spans="1:44">
      <c r="A340" s="9" t="s">
        <v>761</v>
      </c>
      <c r="B340" s="9"/>
      <c r="C340" s="9" t="s">
        <v>66</v>
      </c>
      <c r="D340" s="9"/>
      <c r="E340" s="23">
        <v>45476</v>
      </c>
      <c r="F340" s="19"/>
      <c r="G340" s="19">
        <v>29712082</v>
      </c>
      <c r="H340" s="19"/>
      <c r="I340" s="19">
        <v>0</v>
      </c>
      <c r="J340" s="19"/>
      <c r="K340" s="19">
        <f>26059183+2899585</f>
        <v>28958768</v>
      </c>
      <c r="L340" s="19"/>
      <c r="M340" s="19">
        <v>33087</v>
      </c>
      <c r="N340" s="19"/>
      <c r="O340" s="19">
        <f>457868+17499+1220538+254323+116217</f>
        <v>2066445</v>
      </c>
      <c r="P340" s="19"/>
      <c r="Q340" s="19">
        <v>784973</v>
      </c>
      <c r="R340" s="19"/>
      <c r="S340" s="19">
        <v>1180263</v>
      </c>
      <c r="T340" s="19"/>
      <c r="U340" s="19">
        <v>14411</v>
      </c>
      <c r="V340" s="19"/>
      <c r="W340" s="19">
        <v>325788</v>
      </c>
      <c r="X340" s="19"/>
      <c r="Y340" s="26">
        <f t="shared" si="52"/>
        <v>63075817</v>
      </c>
      <c r="Z340" s="19"/>
      <c r="AA340" s="19">
        <v>1498178</v>
      </c>
      <c r="AB340" s="19"/>
      <c r="AC340" s="19">
        <v>0</v>
      </c>
      <c r="AD340" s="19"/>
      <c r="AE340" s="19">
        <f>1000736+10870000</f>
        <v>11870736</v>
      </c>
      <c r="AF340" s="19"/>
      <c r="AG340" s="19"/>
      <c r="AH340" s="19"/>
      <c r="AI340" s="19"/>
      <c r="AJ340" s="19"/>
      <c r="AK340" s="19">
        <f>1000939+22106</f>
        <v>1023045</v>
      </c>
      <c r="AL340" s="19"/>
      <c r="AM340" s="19">
        <v>0</v>
      </c>
      <c r="AN340" s="19"/>
      <c r="AO340" s="26">
        <f t="shared" si="61"/>
        <v>14391959</v>
      </c>
      <c r="AP340" s="19"/>
      <c r="AQ340" s="26">
        <f t="shared" si="60"/>
        <v>77467776</v>
      </c>
      <c r="AR340" s="26"/>
    </row>
    <row r="341" spans="1:44">
      <c r="A341" s="9" t="s">
        <v>542</v>
      </c>
      <c r="B341" s="9"/>
      <c r="C341" s="9" t="s">
        <v>69</v>
      </c>
      <c r="D341" s="9"/>
      <c r="E341" s="23">
        <v>50450</v>
      </c>
      <c r="F341" s="19"/>
      <c r="G341" s="19">
        <v>65182145</v>
      </c>
      <c r="H341" s="19"/>
      <c r="I341" s="19">
        <v>0</v>
      </c>
      <c r="J341" s="19"/>
      <c r="K341" s="19">
        <v>46877573</v>
      </c>
      <c r="L341" s="19"/>
      <c r="M341" s="19">
        <v>26968</v>
      </c>
      <c r="N341" s="19"/>
      <c r="O341" s="19">
        <f>2655445+5562734</f>
        <v>8218179</v>
      </c>
      <c r="P341" s="19"/>
      <c r="Q341" s="19">
        <v>1681678</v>
      </c>
      <c r="R341" s="19"/>
      <c r="S341" s="19">
        <v>5555468</v>
      </c>
      <c r="T341" s="19"/>
      <c r="U341" s="19">
        <v>0</v>
      </c>
      <c r="V341" s="19"/>
      <c r="W341" s="19">
        <v>395557</v>
      </c>
      <c r="X341" s="19"/>
      <c r="Y341" s="26">
        <f t="shared" si="52"/>
        <v>127937568</v>
      </c>
      <c r="Z341" s="19"/>
      <c r="AA341" s="19">
        <v>16060000</v>
      </c>
      <c r="AB341" s="19"/>
      <c r="AC341" s="19">
        <v>0</v>
      </c>
      <c r="AD341" s="19"/>
      <c r="AE341" s="19">
        <f>20460000+3663253</f>
        <v>24123253</v>
      </c>
      <c r="AF341" s="19"/>
      <c r="AG341" s="19"/>
      <c r="AH341" s="19"/>
      <c r="AI341" s="19"/>
      <c r="AJ341" s="19"/>
      <c r="AK341" s="19">
        <v>73154</v>
      </c>
      <c r="AL341" s="19"/>
      <c r="AM341" s="19">
        <v>0</v>
      </c>
      <c r="AN341" s="19"/>
      <c r="AO341" s="26">
        <f t="shared" si="61"/>
        <v>40256407</v>
      </c>
      <c r="AP341" s="19"/>
      <c r="AQ341" s="26">
        <f t="shared" si="60"/>
        <v>168193975</v>
      </c>
      <c r="AR341" s="26"/>
    </row>
    <row r="342" spans="1:44">
      <c r="A342" s="9" t="s">
        <v>497</v>
      </c>
      <c r="B342" s="9"/>
      <c r="C342" s="9" t="s">
        <v>62</v>
      </c>
      <c r="D342" s="9"/>
      <c r="E342" s="23">
        <v>44354</v>
      </c>
      <c r="F342" s="19"/>
      <c r="G342" s="19">
        <v>14587403</v>
      </c>
      <c r="H342" s="19"/>
      <c r="I342" s="19">
        <v>25881</v>
      </c>
      <c r="J342" s="19"/>
      <c r="K342" s="19">
        <v>28926007</v>
      </c>
      <c r="L342" s="19"/>
      <c r="M342" s="19">
        <v>24143</v>
      </c>
      <c r="N342" s="19"/>
      <c r="O342" s="19">
        <f>1183926+110251+909206</f>
        <v>2203383</v>
      </c>
      <c r="P342" s="19"/>
      <c r="Q342" s="19">
        <v>589519</v>
      </c>
      <c r="R342" s="19"/>
      <c r="S342" s="19">
        <v>0</v>
      </c>
      <c r="T342" s="19"/>
      <c r="U342" s="19">
        <v>62602</v>
      </c>
      <c r="V342" s="19"/>
      <c r="W342" s="19">
        <v>229314</v>
      </c>
      <c r="X342" s="19"/>
      <c r="Y342" s="26">
        <f t="shared" si="52"/>
        <v>46648252</v>
      </c>
      <c r="Z342" s="19"/>
      <c r="AA342" s="19">
        <v>276360</v>
      </c>
      <c r="AB342" s="19"/>
      <c r="AC342" s="19">
        <v>0</v>
      </c>
      <c r="AD342" s="19"/>
      <c r="AE342" s="19">
        <v>0</v>
      </c>
      <c r="AF342" s="19"/>
      <c r="AG342" s="19"/>
      <c r="AH342" s="19"/>
      <c r="AI342" s="19"/>
      <c r="AJ342" s="19"/>
      <c r="AK342" s="19">
        <f>126004+1510+66430</f>
        <v>193944</v>
      </c>
      <c r="AL342" s="19"/>
      <c r="AM342" s="19">
        <v>0</v>
      </c>
      <c r="AN342" s="19"/>
      <c r="AO342" s="26">
        <f t="shared" si="61"/>
        <v>470304</v>
      </c>
      <c r="AP342" s="19"/>
      <c r="AQ342" s="26">
        <f t="shared" si="60"/>
        <v>47118556</v>
      </c>
      <c r="AR342" s="26"/>
    </row>
    <row r="343" spans="1:44" ht="11.25" customHeight="1">
      <c r="A343" s="9" t="s">
        <v>525</v>
      </c>
      <c r="B343" s="9"/>
      <c r="C343" s="9" t="s">
        <v>64</v>
      </c>
      <c r="D343" s="9"/>
      <c r="E343" s="23">
        <v>50153</v>
      </c>
      <c r="F343" s="19"/>
      <c r="G343" s="19">
        <v>4527143</v>
      </c>
      <c r="H343" s="19"/>
      <c r="I343" s="19">
        <v>0</v>
      </c>
      <c r="J343" s="19"/>
      <c r="K343" s="19">
        <v>3948158</v>
      </c>
      <c r="L343" s="19"/>
      <c r="M343" s="19">
        <v>2756</v>
      </c>
      <c r="N343" s="19"/>
      <c r="O343" s="19">
        <f>455148+117119+2360</f>
        <v>574627</v>
      </c>
      <c r="P343" s="19"/>
      <c r="Q343" s="19">
        <v>85986</v>
      </c>
      <c r="R343" s="19"/>
      <c r="S343" s="19">
        <v>0</v>
      </c>
      <c r="T343" s="19"/>
      <c r="U343" s="19">
        <v>1257</v>
      </c>
      <c r="V343" s="19"/>
      <c r="W343" s="19">
        <f>354375+53561</f>
        <v>407936</v>
      </c>
      <c r="X343" s="19"/>
      <c r="Y343" s="26">
        <f t="shared" si="52"/>
        <v>9547863</v>
      </c>
      <c r="Z343" s="19"/>
      <c r="AA343" s="19">
        <v>561066</v>
      </c>
      <c r="AB343" s="19"/>
      <c r="AC343" s="19">
        <v>0</v>
      </c>
      <c r="AD343" s="19"/>
      <c r="AE343" s="19">
        <v>0</v>
      </c>
      <c r="AF343" s="19"/>
      <c r="AG343" s="19"/>
      <c r="AH343" s="19"/>
      <c r="AI343" s="19"/>
      <c r="AJ343" s="19"/>
      <c r="AK343" s="19">
        <v>4000</v>
      </c>
      <c r="AL343" s="19"/>
      <c r="AM343" s="19">
        <v>0</v>
      </c>
      <c r="AN343" s="19"/>
      <c r="AO343" s="26">
        <f t="shared" si="61"/>
        <v>565066</v>
      </c>
      <c r="AP343" s="19"/>
      <c r="AQ343" s="26">
        <f t="shared" si="60"/>
        <v>10112929</v>
      </c>
      <c r="AR343" s="26"/>
    </row>
    <row r="344" spans="1:44" hidden="1">
      <c r="A344" s="8" t="s">
        <v>865</v>
      </c>
      <c r="B344" s="9"/>
      <c r="C344" s="9" t="s">
        <v>114</v>
      </c>
      <c r="D344" s="9"/>
      <c r="E344" s="23">
        <v>44362</v>
      </c>
      <c r="F344" s="19"/>
      <c r="G344" s="19">
        <v>0</v>
      </c>
      <c r="H344" s="19"/>
      <c r="I344" s="19">
        <v>0</v>
      </c>
      <c r="J344" s="19"/>
      <c r="K344" s="19">
        <v>0</v>
      </c>
      <c r="L344" s="19"/>
      <c r="M344" s="19">
        <v>0</v>
      </c>
      <c r="N344" s="19"/>
      <c r="O344" s="19">
        <v>0</v>
      </c>
      <c r="P344" s="19"/>
      <c r="Q344" s="19">
        <v>0</v>
      </c>
      <c r="R344" s="19"/>
      <c r="S344" s="19">
        <v>0</v>
      </c>
      <c r="T344" s="19"/>
      <c r="U344" s="19">
        <v>0</v>
      </c>
      <c r="V344" s="19"/>
      <c r="W344" s="19">
        <v>0</v>
      </c>
      <c r="X344" s="19"/>
      <c r="Y344" s="26">
        <f t="shared" si="52"/>
        <v>0</v>
      </c>
      <c r="Z344" s="19"/>
      <c r="AA344" s="19">
        <v>0</v>
      </c>
      <c r="AB344" s="19"/>
      <c r="AC344" s="19">
        <v>0</v>
      </c>
      <c r="AD344" s="19"/>
      <c r="AE344" s="19">
        <v>0</v>
      </c>
      <c r="AF344" s="19"/>
      <c r="AG344" s="19"/>
      <c r="AH344" s="19"/>
      <c r="AI344" s="19"/>
      <c r="AJ344" s="19"/>
      <c r="AK344" s="19">
        <v>0</v>
      </c>
      <c r="AL344" s="19"/>
      <c r="AM344" s="19">
        <v>0</v>
      </c>
      <c r="AN344" s="19"/>
      <c r="AO344" s="26">
        <f t="shared" si="61"/>
        <v>0</v>
      </c>
      <c r="AP344" s="19"/>
      <c r="AQ344" s="26">
        <f t="shared" si="60"/>
        <v>0</v>
      </c>
      <c r="AR344" s="26"/>
    </row>
    <row r="345" spans="1:44">
      <c r="A345" s="9" t="s">
        <v>717</v>
      </c>
      <c r="B345" s="9"/>
      <c r="C345" s="9" t="s">
        <v>20</v>
      </c>
      <c r="D345" s="9"/>
      <c r="E345" s="23">
        <v>44370</v>
      </c>
      <c r="F345" s="19"/>
      <c r="G345" s="19">
        <v>52122146</v>
      </c>
      <c r="H345" s="19"/>
      <c r="I345" s="19">
        <v>0</v>
      </c>
      <c r="J345" s="19"/>
      <c r="K345" s="19">
        <v>18870757</v>
      </c>
      <c r="L345" s="19"/>
      <c r="M345" s="19">
        <v>65643</v>
      </c>
      <c r="N345" s="19"/>
      <c r="O345" s="19">
        <f>9066965+1270969+320694</f>
        <v>10658628</v>
      </c>
      <c r="P345" s="19"/>
      <c r="Q345" s="19">
        <v>25759</v>
      </c>
      <c r="R345" s="19"/>
      <c r="S345" s="19">
        <v>1815164</v>
      </c>
      <c r="T345" s="19"/>
      <c r="U345" s="19">
        <v>310882</v>
      </c>
      <c r="V345" s="19"/>
      <c r="W345" s="19">
        <v>673740</v>
      </c>
      <c r="X345" s="19"/>
      <c r="Y345" s="26">
        <f t="shared" si="52"/>
        <v>84542719</v>
      </c>
      <c r="Z345" s="19"/>
      <c r="AA345" s="19">
        <v>3043733</v>
      </c>
      <c r="AB345" s="19"/>
      <c r="AC345" s="19">
        <v>0</v>
      </c>
      <c r="AD345" s="19"/>
      <c r="AE345" s="19">
        <v>0</v>
      </c>
      <c r="AF345" s="19"/>
      <c r="AG345" s="19"/>
      <c r="AH345" s="19"/>
      <c r="AI345" s="19"/>
      <c r="AJ345" s="19"/>
      <c r="AK345" s="19">
        <v>0</v>
      </c>
      <c r="AL345" s="19"/>
      <c r="AM345" s="19">
        <v>0</v>
      </c>
      <c r="AN345" s="19"/>
      <c r="AO345" s="26">
        <f t="shared" si="61"/>
        <v>3043733</v>
      </c>
      <c r="AP345" s="19"/>
      <c r="AQ345" s="26">
        <f t="shared" si="60"/>
        <v>87586452</v>
      </c>
      <c r="AR345" s="26"/>
    </row>
    <row r="346" spans="1:44">
      <c r="A346" s="9" t="s">
        <v>442</v>
      </c>
      <c r="B346" s="9"/>
      <c r="C346" s="9" t="s">
        <v>51</v>
      </c>
      <c r="D346" s="9"/>
      <c r="E346" s="23">
        <v>48850</v>
      </c>
      <c r="F346" s="19"/>
      <c r="G346" s="19">
        <v>3237843</v>
      </c>
      <c r="H346" s="19"/>
      <c r="I346" s="19">
        <v>0</v>
      </c>
      <c r="J346" s="19"/>
      <c r="K346" s="19">
        <v>14311553</v>
      </c>
      <c r="L346" s="19"/>
      <c r="M346" s="19">
        <v>22967</v>
      </c>
      <c r="N346" s="19"/>
      <c r="O346" s="19">
        <f>3217478+946+639046</f>
        <v>3857470</v>
      </c>
      <c r="P346" s="19"/>
      <c r="Q346" s="19">
        <v>205085</v>
      </c>
      <c r="R346" s="19"/>
      <c r="S346" s="19">
        <v>3587</v>
      </c>
      <c r="T346" s="19"/>
      <c r="U346" s="19">
        <v>15708</v>
      </c>
      <c r="V346" s="19"/>
      <c r="W346" s="19">
        <v>175520</v>
      </c>
      <c r="X346" s="19"/>
      <c r="Y346" s="26">
        <f t="shared" si="52"/>
        <v>21829733</v>
      </c>
      <c r="Z346" s="19"/>
      <c r="AA346" s="19">
        <v>0</v>
      </c>
      <c r="AB346" s="19"/>
      <c r="AC346" s="19">
        <v>0</v>
      </c>
      <c r="AD346" s="19"/>
      <c r="AE346" s="19">
        <v>0</v>
      </c>
      <c r="AF346" s="19"/>
      <c r="AG346" s="19"/>
      <c r="AH346" s="19"/>
      <c r="AI346" s="19"/>
      <c r="AJ346" s="19"/>
      <c r="AK346" s="19">
        <f>1200+358910</f>
        <v>360110</v>
      </c>
      <c r="AL346" s="19"/>
      <c r="AM346" s="19">
        <v>0</v>
      </c>
      <c r="AN346" s="19"/>
      <c r="AO346" s="26">
        <f t="shared" si="61"/>
        <v>360110</v>
      </c>
      <c r="AP346" s="19"/>
      <c r="AQ346" s="26">
        <f t="shared" si="60"/>
        <v>22189843</v>
      </c>
      <c r="AR346" s="26"/>
    </row>
    <row r="347" spans="1:44" hidden="1">
      <c r="A347" s="9" t="s">
        <v>800</v>
      </c>
      <c r="B347" s="9"/>
      <c r="C347" s="9" t="s">
        <v>33</v>
      </c>
      <c r="D347" s="9"/>
      <c r="E347" s="23">
        <v>47456</v>
      </c>
      <c r="F347" s="19"/>
      <c r="G347" s="19">
        <v>0</v>
      </c>
      <c r="H347" s="19"/>
      <c r="I347" s="19">
        <v>0</v>
      </c>
      <c r="J347" s="19"/>
      <c r="K347" s="19">
        <v>0</v>
      </c>
      <c r="L347" s="19"/>
      <c r="M347" s="19">
        <v>0</v>
      </c>
      <c r="N347" s="19"/>
      <c r="O347" s="19">
        <v>0</v>
      </c>
      <c r="P347" s="19"/>
      <c r="Q347" s="19">
        <v>0</v>
      </c>
      <c r="R347" s="19"/>
      <c r="S347" s="19">
        <v>0</v>
      </c>
      <c r="T347" s="19"/>
      <c r="U347" s="19">
        <v>0</v>
      </c>
      <c r="V347" s="19"/>
      <c r="W347" s="19">
        <v>0</v>
      </c>
      <c r="X347" s="19"/>
      <c r="Y347" s="26">
        <f t="shared" si="52"/>
        <v>0</v>
      </c>
      <c r="Z347" s="19"/>
      <c r="AA347" s="19">
        <v>0</v>
      </c>
      <c r="AB347" s="19"/>
      <c r="AC347" s="19">
        <v>0</v>
      </c>
      <c r="AD347" s="19"/>
      <c r="AE347" s="19">
        <v>0</v>
      </c>
      <c r="AF347" s="19"/>
      <c r="AG347" s="19"/>
      <c r="AH347" s="19"/>
      <c r="AI347" s="19"/>
      <c r="AJ347" s="19"/>
      <c r="AK347" s="19">
        <v>0</v>
      </c>
      <c r="AL347" s="19"/>
      <c r="AM347" s="19">
        <v>0</v>
      </c>
      <c r="AN347" s="19"/>
      <c r="AO347" s="26">
        <f t="shared" si="61"/>
        <v>0</v>
      </c>
      <c r="AP347" s="19"/>
      <c r="AQ347" s="26">
        <f t="shared" si="60"/>
        <v>0</v>
      </c>
      <c r="AR347" s="26"/>
    </row>
    <row r="348" spans="1:44">
      <c r="A348" s="9" t="s">
        <v>633</v>
      </c>
      <c r="B348" s="9"/>
      <c r="C348" s="9" t="s">
        <v>64</v>
      </c>
      <c r="D348" s="9"/>
      <c r="E348" s="23">
        <v>50229</v>
      </c>
      <c r="F348" s="19"/>
      <c r="G348" s="19">
        <v>1892324</v>
      </c>
      <c r="H348" s="19"/>
      <c r="I348" s="19">
        <v>0</v>
      </c>
      <c r="J348" s="19"/>
      <c r="K348" s="19">
        <v>4461810</v>
      </c>
      <c r="L348" s="19"/>
      <c r="M348" s="19">
        <v>1505</v>
      </c>
      <c r="N348" s="19"/>
      <c r="O348" s="19">
        <f>1030960+76654+14440</f>
        <v>1122054</v>
      </c>
      <c r="P348" s="19"/>
      <c r="Q348" s="19">
        <v>101958</v>
      </c>
      <c r="R348" s="19"/>
      <c r="S348" s="19">
        <v>0</v>
      </c>
      <c r="T348" s="19"/>
      <c r="U348" s="19">
        <v>17102</v>
      </c>
      <c r="V348" s="19"/>
      <c r="W348" s="19">
        <v>4352</v>
      </c>
      <c r="X348" s="19"/>
      <c r="Y348" s="26">
        <f t="shared" si="52"/>
        <v>7601105</v>
      </c>
      <c r="Z348" s="19"/>
      <c r="AA348" s="19">
        <v>188699</v>
      </c>
      <c r="AB348" s="19"/>
      <c r="AC348" s="19">
        <v>0</v>
      </c>
      <c r="AD348" s="19"/>
      <c r="AE348" s="19">
        <v>0</v>
      </c>
      <c r="AF348" s="19"/>
      <c r="AG348" s="19"/>
      <c r="AH348" s="19"/>
      <c r="AI348" s="19"/>
      <c r="AJ348" s="19"/>
      <c r="AK348" s="19">
        <v>0</v>
      </c>
      <c r="AL348" s="19"/>
      <c r="AM348" s="19">
        <v>0</v>
      </c>
      <c r="AN348" s="19"/>
      <c r="AO348" s="26">
        <f t="shared" si="61"/>
        <v>188699</v>
      </c>
      <c r="AP348" s="19"/>
      <c r="AQ348" s="26">
        <f t="shared" si="60"/>
        <v>7789804</v>
      </c>
      <c r="AR348" s="26"/>
    </row>
    <row r="349" spans="1:44">
      <c r="A349" s="9" t="s">
        <v>762</v>
      </c>
      <c r="B349" s="9"/>
      <c r="C349" s="9" t="s">
        <v>227</v>
      </c>
      <c r="D349" s="9"/>
      <c r="E349" s="23">
        <v>45484</v>
      </c>
      <c r="F349" s="19"/>
      <c r="G349" s="19">
        <v>2356118</v>
      </c>
      <c r="H349" s="19"/>
      <c r="I349" s="19">
        <v>1480545</v>
      </c>
      <c r="J349" s="19"/>
      <c r="K349" s="19">
        <f>4550963+630374</f>
        <v>5181337</v>
      </c>
      <c r="L349" s="19"/>
      <c r="M349" s="19">
        <v>2010</v>
      </c>
      <c r="N349" s="19"/>
      <c r="O349" s="19">
        <f>722034+108631+29012</f>
        <v>859677</v>
      </c>
      <c r="P349" s="19"/>
      <c r="Q349" s="19">
        <v>97622</v>
      </c>
      <c r="R349" s="19"/>
      <c r="S349" s="19">
        <v>0</v>
      </c>
      <c r="T349" s="19"/>
      <c r="U349" s="19">
        <v>0</v>
      </c>
      <c r="V349" s="19"/>
      <c r="W349" s="19">
        <v>410812</v>
      </c>
      <c r="X349" s="19"/>
      <c r="Y349" s="26">
        <f t="shared" si="52"/>
        <v>10388121</v>
      </c>
      <c r="Z349" s="19"/>
      <c r="AA349" s="19">
        <v>200534</v>
      </c>
      <c r="AB349" s="19"/>
      <c r="AC349" s="19">
        <v>0</v>
      </c>
      <c r="AD349" s="19"/>
      <c r="AE349" s="19">
        <f>848491+5919996</f>
        <v>6768487</v>
      </c>
      <c r="AF349" s="19"/>
      <c r="AG349" s="19"/>
      <c r="AH349" s="19"/>
      <c r="AI349" s="19"/>
      <c r="AJ349" s="19"/>
      <c r="AK349" s="19">
        <v>0</v>
      </c>
      <c r="AL349" s="19"/>
      <c r="AM349" s="19">
        <v>0</v>
      </c>
      <c r="AN349" s="19"/>
      <c r="AO349" s="26">
        <f t="shared" si="61"/>
        <v>6969021</v>
      </c>
      <c r="AP349" s="19"/>
      <c r="AQ349" s="26">
        <f t="shared" si="60"/>
        <v>17357142</v>
      </c>
      <c r="AR349" s="26"/>
    </row>
    <row r="350" spans="1:44">
      <c r="A350" s="9" t="s">
        <v>415</v>
      </c>
      <c r="B350" s="9"/>
      <c r="C350" s="9" t="s">
        <v>47</v>
      </c>
      <c r="D350" s="9"/>
      <c r="E350" s="23">
        <v>44388</v>
      </c>
      <c r="F350" s="19"/>
      <c r="G350" s="19">
        <v>46946695</v>
      </c>
      <c r="H350" s="19"/>
      <c r="I350" s="19">
        <v>0</v>
      </c>
      <c r="J350" s="19"/>
      <c r="K350" s="19">
        <v>31512999</v>
      </c>
      <c r="L350" s="19"/>
      <c r="M350" s="19">
        <v>32519</v>
      </c>
      <c r="N350" s="19"/>
      <c r="O350" s="19">
        <f>1341380+1686862+446726</f>
        <v>3474968</v>
      </c>
      <c r="P350" s="19"/>
      <c r="Q350" s="19">
        <v>1091546</v>
      </c>
      <c r="R350" s="19"/>
      <c r="S350" s="19">
        <v>0</v>
      </c>
      <c r="T350" s="19"/>
      <c r="U350" s="19">
        <v>249578</v>
      </c>
      <c r="V350" s="19"/>
      <c r="W350" s="19">
        <v>628550</v>
      </c>
      <c r="X350" s="19"/>
      <c r="Y350" s="26">
        <f t="shared" si="52"/>
        <v>83936855</v>
      </c>
      <c r="Z350" s="19"/>
      <c r="AA350" s="19">
        <v>403077</v>
      </c>
      <c r="AB350" s="19"/>
      <c r="AC350" s="19">
        <v>0</v>
      </c>
      <c r="AD350" s="19"/>
      <c r="AE350" s="19">
        <f>40699552+5147957</f>
        <v>45847509</v>
      </c>
      <c r="AF350" s="19"/>
      <c r="AG350" s="19"/>
      <c r="AH350" s="19"/>
      <c r="AI350" s="19"/>
      <c r="AJ350" s="19"/>
      <c r="AK350" s="19">
        <f>9500+390180</f>
        <v>399680</v>
      </c>
      <c r="AL350" s="19"/>
      <c r="AM350" s="19">
        <v>0</v>
      </c>
      <c r="AN350" s="19"/>
      <c r="AO350" s="26">
        <f t="shared" si="61"/>
        <v>46650266</v>
      </c>
      <c r="AP350" s="19"/>
      <c r="AQ350" s="26">
        <f t="shared" si="60"/>
        <v>130587121</v>
      </c>
      <c r="AR350" s="26"/>
    </row>
    <row r="351" spans="1:44">
      <c r="A351" s="9" t="s">
        <v>418</v>
      </c>
      <c r="B351" s="9"/>
      <c r="C351" s="9" t="s">
        <v>417</v>
      </c>
      <c r="D351" s="9"/>
      <c r="E351" s="23">
        <v>48520</v>
      </c>
      <c r="F351" s="19"/>
      <c r="G351" s="19">
        <v>3199793</v>
      </c>
      <c r="H351" s="19"/>
      <c r="I351" s="19">
        <v>0</v>
      </c>
      <c r="J351" s="19"/>
      <c r="K351" s="19">
        <v>18487239</v>
      </c>
      <c r="L351" s="19"/>
      <c r="M351" s="19">
        <v>36316</v>
      </c>
      <c r="N351" s="19"/>
      <c r="O351" s="19">
        <f>630228+2428+248682</f>
        <v>881338</v>
      </c>
      <c r="P351" s="19"/>
      <c r="Q351" s="19">
        <v>122236</v>
      </c>
      <c r="R351" s="19"/>
      <c r="S351" s="19">
        <v>0</v>
      </c>
      <c r="T351" s="19"/>
      <c r="U351" s="19">
        <v>44595</v>
      </c>
      <c r="V351" s="19"/>
      <c r="W351" s="19">
        <v>82049</v>
      </c>
      <c r="X351" s="19"/>
      <c r="Y351" s="26">
        <f t="shared" si="52"/>
        <v>22853566</v>
      </c>
      <c r="Z351" s="19"/>
      <c r="AA351" s="19">
        <v>0</v>
      </c>
      <c r="AB351" s="19"/>
      <c r="AC351" s="19">
        <v>0</v>
      </c>
      <c r="AD351" s="19"/>
      <c r="AE351" s="19">
        <v>0</v>
      </c>
      <c r="AF351" s="19"/>
      <c r="AG351" s="19"/>
      <c r="AH351" s="19"/>
      <c r="AI351" s="19"/>
      <c r="AJ351" s="19"/>
      <c r="AK351" s="19">
        <f>12325+9292</f>
        <v>21617</v>
      </c>
      <c r="AL351" s="19"/>
      <c r="AM351" s="19">
        <v>0</v>
      </c>
      <c r="AN351" s="19"/>
      <c r="AO351" s="26">
        <f t="shared" si="61"/>
        <v>21617</v>
      </c>
      <c r="AP351" s="19"/>
      <c r="AQ351" s="26">
        <f t="shared" si="60"/>
        <v>22875183</v>
      </c>
      <c r="AR351" s="26"/>
    </row>
    <row r="352" spans="1:44">
      <c r="A352" s="9" t="s">
        <v>763</v>
      </c>
      <c r="B352" s="9"/>
      <c r="C352" s="9" t="s">
        <v>41</v>
      </c>
      <c r="D352" s="9"/>
      <c r="E352" s="23">
        <v>45492</v>
      </c>
      <c r="F352" s="19"/>
      <c r="G352" s="19">
        <v>61179366</v>
      </c>
      <c r="H352" s="19"/>
      <c r="I352" s="19">
        <v>0</v>
      </c>
      <c r="J352" s="19"/>
      <c r="K352" s="19">
        <v>35541543</v>
      </c>
      <c r="L352" s="19"/>
      <c r="M352" s="19">
        <v>239426</v>
      </c>
      <c r="N352" s="19"/>
      <c r="O352" s="19">
        <f>1568203+1741276+115349</f>
        <v>3424828</v>
      </c>
      <c r="P352" s="19"/>
      <c r="Q352" s="19">
        <v>1370675</v>
      </c>
      <c r="R352" s="19"/>
      <c r="S352" s="19">
        <v>989076</v>
      </c>
      <c r="T352" s="19"/>
      <c r="U352" s="19">
        <v>300802</v>
      </c>
      <c r="V352" s="19"/>
      <c r="W352" s="19">
        <v>938419</v>
      </c>
      <c r="X352" s="19"/>
      <c r="Y352" s="26">
        <f t="shared" si="52"/>
        <v>103984135</v>
      </c>
      <c r="Z352" s="19"/>
      <c r="AA352" s="19">
        <v>433814</v>
      </c>
      <c r="AB352" s="19"/>
      <c r="AC352" s="19">
        <v>0</v>
      </c>
      <c r="AD352" s="19"/>
      <c r="AE352" s="19">
        <v>386667</v>
      </c>
      <c r="AF352" s="19"/>
      <c r="AG352" s="19"/>
      <c r="AH352" s="19"/>
      <c r="AI352" s="19"/>
      <c r="AJ352" s="19"/>
      <c r="AK352" s="19">
        <v>12377</v>
      </c>
      <c r="AL352" s="19"/>
      <c r="AM352" s="19">
        <v>0</v>
      </c>
      <c r="AN352" s="19"/>
      <c r="AO352" s="26">
        <f t="shared" si="61"/>
        <v>832858</v>
      </c>
      <c r="AP352" s="19"/>
      <c r="AQ352" s="26">
        <f t="shared" si="60"/>
        <v>104816993</v>
      </c>
      <c r="AR352" s="26"/>
    </row>
    <row r="353" spans="1:44">
      <c r="A353" s="9" t="s">
        <v>421</v>
      </c>
      <c r="B353" s="9"/>
      <c r="C353" s="9" t="s">
        <v>48</v>
      </c>
      <c r="D353" s="9"/>
      <c r="E353" s="23">
        <v>48629</v>
      </c>
      <c r="F353" s="19"/>
      <c r="G353" s="19">
        <v>4809862</v>
      </c>
      <c r="H353" s="19"/>
      <c r="I353" s="19">
        <v>2872138</v>
      </c>
      <c r="J353" s="19"/>
      <c r="K353" s="19">
        <f>1121+5348928+624061</f>
        <v>5974110</v>
      </c>
      <c r="L353" s="19"/>
      <c r="M353" s="19">
        <v>20259</v>
      </c>
      <c r="N353" s="19"/>
      <c r="O353" s="19">
        <f>585268+24750+224195+70430+10306</f>
        <v>914949</v>
      </c>
      <c r="P353" s="19"/>
      <c r="Q353" s="19">
        <v>121743</v>
      </c>
      <c r="R353" s="19"/>
      <c r="S353" s="19">
        <v>0</v>
      </c>
      <c r="T353" s="19"/>
      <c r="U353" s="19">
        <v>52297</v>
      </c>
      <c r="V353" s="19"/>
      <c r="W353" s="19">
        <v>43522</v>
      </c>
      <c r="X353" s="19"/>
      <c r="Y353" s="26">
        <f t="shared" si="52"/>
        <v>14808880</v>
      </c>
      <c r="Z353" s="19"/>
      <c r="AA353" s="19">
        <v>0</v>
      </c>
      <c r="AB353" s="19"/>
      <c r="AC353" s="19">
        <v>0</v>
      </c>
      <c r="AD353" s="19"/>
      <c r="AE353" s="19">
        <v>0</v>
      </c>
      <c r="AF353" s="19"/>
      <c r="AG353" s="19"/>
      <c r="AH353" s="19"/>
      <c r="AI353" s="19"/>
      <c r="AJ353" s="19"/>
      <c r="AK353" s="19">
        <v>75013</v>
      </c>
      <c r="AL353" s="19"/>
      <c r="AM353" s="19">
        <v>0</v>
      </c>
      <c r="AN353" s="19"/>
      <c r="AO353" s="26">
        <f t="shared" si="61"/>
        <v>75013</v>
      </c>
      <c r="AP353" s="19"/>
      <c r="AQ353" s="26">
        <f t="shared" si="60"/>
        <v>14883893</v>
      </c>
      <c r="AR353" s="26"/>
    </row>
    <row r="354" spans="1:44">
      <c r="A354" s="9" t="s">
        <v>295</v>
      </c>
      <c r="B354" s="9"/>
      <c r="C354" s="9" t="s">
        <v>26</v>
      </c>
      <c r="D354" s="9"/>
      <c r="E354" s="23">
        <v>46920</v>
      </c>
      <c r="F354" s="19"/>
      <c r="G354" s="19">
        <v>14065744</v>
      </c>
      <c r="H354" s="19"/>
      <c r="I354" s="19">
        <v>0</v>
      </c>
      <c r="J354" s="19"/>
      <c r="K354" s="19">
        <v>13288896</v>
      </c>
      <c r="L354" s="19"/>
      <c r="M354" s="19">
        <v>32001</v>
      </c>
      <c r="N354" s="19"/>
      <c r="O354" s="19">
        <f>1733987+459328</f>
        <v>2193315</v>
      </c>
      <c r="P354" s="19"/>
      <c r="Q354" s="19">
        <v>429901</v>
      </c>
      <c r="R354" s="19"/>
      <c r="S354" s="19">
        <v>491915</v>
      </c>
      <c r="T354" s="19"/>
      <c r="U354" s="19">
        <v>0</v>
      </c>
      <c r="V354" s="19"/>
      <c r="W354" s="19">
        <v>135028</v>
      </c>
      <c r="X354" s="19"/>
      <c r="Y354" s="26">
        <f t="shared" si="52"/>
        <v>30636800</v>
      </c>
      <c r="Z354" s="19"/>
      <c r="AA354" s="19">
        <v>5409</v>
      </c>
      <c r="AB354" s="19"/>
      <c r="AC354" s="19">
        <v>0</v>
      </c>
      <c r="AD354" s="19"/>
      <c r="AE354" s="19">
        <f>9309994+685326</f>
        <v>9995320</v>
      </c>
      <c r="AF354" s="19"/>
      <c r="AG354" s="19"/>
      <c r="AH354" s="19"/>
      <c r="AI354" s="19"/>
      <c r="AJ354" s="19"/>
      <c r="AK354" s="19">
        <v>11231</v>
      </c>
      <c r="AL354" s="19"/>
      <c r="AM354" s="19">
        <v>0</v>
      </c>
      <c r="AN354" s="19"/>
      <c r="AO354" s="26">
        <f t="shared" si="61"/>
        <v>10011960</v>
      </c>
      <c r="AP354" s="19"/>
      <c r="AQ354" s="26">
        <f t="shared" si="60"/>
        <v>40648760</v>
      </c>
      <c r="AR354" s="26"/>
    </row>
    <row r="355" spans="1:44">
      <c r="A355" s="9" t="s">
        <v>429</v>
      </c>
      <c r="B355" s="9"/>
      <c r="C355" s="9" t="s">
        <v>50</v>
      </c>
      <c r="D355" s="9"/>
      <c r="E355" s="23">
        <v>44396</v>
      </c>
      <c r="F355" s="19"/>
      <c r="G355" s="19">
        <v>35298656</v>
      </c>
      <c r="H355" s="19"/>
      <c r="I355" s="19">
        <v>0</v>
      </c>
      <c r="J355" s="19"/>
      <c r="K355" s="19">
        <v>22536625</v>
      </c>
      <c r="L355" s="19"/>
      <c r="M355" s="19">
        <v>12763</v>
      </c>
      <c r="N355" s="19"/>
      <c r="O355" s="19">
        <f>664003+114539+1448638</f>
        <v>2227180</v>
      </c>
      <c r="P355" s="19"/>
      <c r="Q355" s="19">
        <v>241608</v>
      </c>
      <c r="R355" s="19"/>
      <c r="S355" s="19">
        <v>177396</v>
      </c>
      <c r="T355" s="19"/>
      <c r="U355" s="19">
        <v>92194</v>
      </c>
      <c r="V355" s="19"/>
      <c r="W355" s="19">
        <v>205722</v>
      </c>
      <c r="X355" s="19"/>
      <c r="Y355" s="26">
        <f t="shared" si="52"/>
        <v>60792144</v>
      </c>
      <c r="Z355" s="19"/>
      <c r="AA355" s="19">
        <v>245505</v>
      </c>
      <c r="AB355" s="19"/>
      <c r="AC355" s="19">
        <v>0</v>
      </c>
      <c r="AD355" s="19"/>
      <c r="AE355" s="19">
        <v>0</v>
      </c>
      <c r="AF355" s="19"/>
      <c r="AG355" s="19"/>
      <c r="AH355" s="19"/>
      <c r="AI355" s="19"/>
      <c r="AJ355" s="19"/>
      <c r="AK355" s="19">
        <f>34851+2309</f>
        <v>37160</v>
      </c>
      <c r="AL355" s="19"/>
      <c r="AM355" s="19">
        <v>0</v>
      </c>
      <c r="AN355" s="19"/>
      <c r="AO355" s="26">
        <f>AK355+AE355+AA355+AM355</f>
        <v>282665</v>
      </c>
      <c r="AP355" s="19"/>
      <c r="AQ355" s="26">
        <f t="shared" si="60"/>
        <v>61074809</v>
      </c>
      <c r="AR355" s="26"/>
    </row>
    <row r="356" spans="1:44" hidden="1">
      <c r="A356" s="9" t="s">
        <v>806</v>
      </c>
      <c r="B356" s="9"/>
      <c r="C356" s="9" t="s">
        <v>53</v>
      </c>
      <c r="D356" s="9"/>
      <c r="E356" s="23">
        <v>48959</v>
      </c>
      <c r="F356" s="19"/>
      <c r="G356" s="19">
        <v>0</v>
      </c>
      <c r="H356" s="19"/>
      <c r="I356" s="19">
        <v>0</v>
      </c>
      <c r="J356" s="19"/>
      <c r="K356" s="19">
        <v>0</v>
      </c>
      <c r="L356" s="19"/>
      <c r="M356" s="19">
        <v>0</v>
      </c>
      <c r="N356" s="19"/>
      <c r="O356" s="19">
        <v>0</v>
      </c>
      <c r="P356" s="19"/>
      <c r="Q356" s="19">
        <v>0</v>
      </c>
      <c r="R356" s="19"/>
      <c r="S356" s="19">
        <v>0</v>
      </c>
      <c r="T356" s="19"/>
      <c r="U356" s="19">
        <v>0</v>
      </c>
      <c r="V356" s="19"/>
      <c r="W356" s="19">
        <v>0</v>
      </c>
      <c r="X356" s="19"/>
      <c r="Y356" s="26">
        <f t="shared" si="52"/>
        <v>0</v>
      </c>
      <c r="Z356" s="19"/>
      <c r="AA356" s="19">
        <v>0</v>
      </c>
      <c r="AB356" s="19"/>
      <c r="AC356" s="19">
        <v>0</v>
      </c>
      <c r="AD356" s="19"/>
      <c r="AE356" s="19">
        <v>0</v>
      </c>
      <c r="AF356" s="19"/>
      <c r="AG356" s="19"/>
      <c r="AH356" s="19"/>
      <c r="AI356" s="19"/>
      <c r="AJ356" s="19"/>
      <c r="AK356" s="19">
        <v>0</v>
      </c>
      <c r="AL356" s="19"/>
      <c r="AM356" s="19">
        <v>0</v>
      </c>
      <c r="AN356" s="19"/>
      <c r="AO356" s="26">
        <f t="shared" ref="AO356" si="62">AK356+AE356+AA356</f>
        <v>0</v>
      </c>
      <c r="AP356" s="19"/>
      <c r="AQ356" s="26">
        <f t="shared" ref="AQ356" si="63">Y356+AO356</f>
        <v>0</v>
      </c>
      <c r="AR356" s="26"/>
    </row>
    <row r="357" spans="1:44">
      <c r="A357" s="9" t="s">
        <v>224</v>
      </c>
      <c r="B357" s="9"/>
      <c r="C357" s="9" t="s">
        <v>220</v>
      </c>
      <c r="D357" s="9"/>
      <c r="E357" s="23">
        <v>44404</v>
      </c>
      <c r="F357" s="19"/>
      <c r="G357" s="19">
        <v>31261754</v>
      </c>
      <c r="H357" s="19"/>
      <c r="I357" s="19">
        <v>0</v>
      </c>
      <c r="J357" s="19"/>
      <c r="K357" s="19">
        <v>48067339</v>
      </c>
      <c r="L357" s="19"/>
      <c r="M357" s="19">
        <v>1923</v>
      </c>
      <c r="N357" s="19"/>
      <c r="O357" s="19">
        <f>566267+22675+651126</f>
        <v>1240068</v>
      </c>
      <c r="P357" s="19"/>
      <c r="Q357" s="19">
        <v>233516</v>
      </c>
      <c r="R357" s="19"/>
      <c r="S357" s="19">
        <v>444506</v>
      </c>
      <c r="T357" s="19"/>
      <c r="U357" s="19">
        <v>46956</v>
      </c>
      <c r="V357" s="19"/>
      <c r="W357" s="19">
        <v>123851</v>
      </c>
      <c r="X357" s="19"/>
      <c r="Y357" s="26">
        <f t="shared" si="52"/>
        <v>81419913</v>
      </c>
      <c r="Z357" s="19"/>
      <c r="AA357" s="19">
        <v>604934</v>
      </c>
      <c r="AB357" s="19"/>
      <c r="AC357" s="19">
        <v>0</v>
      </c>
      <c r="AD357" s="19"/>
      <c r="AE357" s="19">
        <v>0</v>
      </c>
      <c r="AF357" s="19"/>
      <c r="AG357" s="19"/>
      <c r="AH357" s="19"/>
      <c r="AI357" s="19"/>
      <c r="AJ357" s="19"/>
      <c r="AK357" s="19">
        <v>480</v>
      </c>
      <c r="AL357" s="19"/>
      <c r="AM357" s="19">
        <v>0</v>
      </c>
      <c r="AN357" s="19"/>
      <c r="AO357" s="26">
        <f t="shared" si="61"/>
        <v>605414</v>
      </c>
      <c r="AP357" s="19"/>
      <c r="AQ357" s="26">
        <f t="shared" si="60"/>
        <v>82025327</v>
      </c>
      <c r="AR357" s="26"/>
    </row>
    <row r="358" spans="1:44">
      <c r="A358" s="9" t="s">
        <v>384</v>
      </c>
      <c r="B358" s="9"/>
      <c r="C358" s="9" t="s">
        <v>44</v>
      </c>
      <c r="D358" s="9"/>
      <c r="E358" s="23">
        <v>48173</v>
      </c>
      <c r="F358" s="19"/>
      <c r="G358" s="19">
        <v>11436111</v>
      </c>
      <c r="H358" s="19"/>
      <c r="I358" s="19">
        <v>0</v>
      </c>
      <c r="J358" s="19"/>
      <c r="K358" s="19">
        <v>15064442</v>
      </c>
      <c r="L358" s="19"/>
      <c r="M358" s="19">
        <v>7586</v>
      </c>
      <c r="N358" s="19"/>
      <c r="O358" s="19">
        <v>2385016</v>
      </c>
      <c r="P358" s="19"/>
      <c r="Q358" s="19">
        <v>517208</v>
      </c>
      <c r="R358" s="19"/>
      <c r="S358" s="19">
        <v>0</v>
      </c>
      <c r="T358" s="19"/>
      <c r="U358" s="19">
        <v>0</v>
      </c>
      <c r="V358" s="19"/>
      <c r="W358" s="19">
        <v>761261</v>
      </c>
      <c r="X358" s="19"/>
      <c r="Y358" s="26">
        <f t="shared" si="52"/>
        <v>30171624</v>
      </c>
      <c r="Z358" s="19"/>
      <c r="AA358" s="19">
        <v>998500</v>
      </c>
      <c r="AB358" s="19"/>
      <c r="AC358" s="19">
        <v>0</v>
      </c>
      <c r="AD358" s="19"/>
      <c r="AE358" s="19">
        <f>267000+22595000+308623</f>
        <v>23170623</v>
      </c>
      <c r="AF358" s="19"/>
      <c r="AG358" s="19"/>
      <c r="AH358" s="19"/>
      <c r="AI358" s="19"/>
      <c r="AJ358" s="19"/>
      <c r="AK358" s="19">
        <f>336998+23720+96043</f>
        <v>456761</v>
      </c>
      <c r="AL358" s="19"/>
      <c r="AM358" s="19">
        <v>0</v>
      </c>
      <c r="AN358" s="19"/>
      <c r="AO358" s="26">
        <f t="shared" si="61"/>
        <v>24625884</v>
      </c>
      <c r="AP358" s="19"/>
      <c r="AQ358" s="26">
        <f t="shared" si="60"/>
        <v>54797508</v>
      </c>
      <c r="AR358" s="26"/>
    </row>
    <row r="359" spans="1:44">
      <c r="A359" s="9" t="s">
        <v>764</v>
      </c>
      <c r="B359" s="9"/>
      <c r="C359" s="9" t="s">
        <v>112</v>
      </c>
      <c r="D359" s="9"/>
      <c r="E359" s="23">
        <v>45500</v>
      </c>
      <c r="F359" s="19"/>
      <c r="G359" s="19">
        <v>35969822</v>
      </c>
      <c r="H359" s="19"/>
      <c r="I359" s="19">
        <v>0</v>
      </c>
      <c r="J359" s="19"/>
      <c r="K359" s="19">
        <v>25778048</v>
      </c>
      <c r="L359" s="19"/>
      <c r="M359" s="19">
        <v>30653</v>
      </c>
      <c r="N359" s="19"/>
      <c r="O359" s="19">
        <f>2874815+1460413</f>
        <v>4335228</v>
      </c>
      <c r="P359" s="19"/>
      <c r="Q359" s="19">
        <v>352969</v>
      </c>
      <c r="R359" s="19"/>
      <c r="S359" s="19">
        <v>2041499</v>
      </c>
      <c r="T359" s="19"/>
      <c r="U359" s="19">
        <v>0</v>
      </c>
      <c r="V359" s="19"/>
      <c r="W359" s="19">
        <v>629763</v>
      </c>
      <c r="X359" s="19"/>
      <c r="Y359" s="26">
        <f t="shared" si="52"/>
        <v>69137982</v>
      </c>
      <c r="Z359" s="19"/>
      <c r="AA359" s="19">
        <v>0</v>
      </c>
      <c r="AB359" s="19"/>
      <c r="AC359" s="19">
        <v>0</v>
      </c>
      <c r="AD359" s="19"/>
      <c r="AE359" s="19">
        <v>0</v>
      </c>
      <c r="AF359" s="19"/>
      <c r="AG359" s="19"/>
      <c r="AH359" s="19"/>
      <c r="AI359" s="19"/>
      <c r="AJ359" s="19"/>
      <c r="AK359" s="19">
        <v>0</v>
      </c>
      <c r="AL359" s="19"/>
      <c r="AM359" s="19">
        <v>0</v>
      </c>
      <c r="AN359" s="19"/>
      <c r="AO359" s="26">
        <f t="shared" si="61"/>
        <v>0</v>
      </c>
      <c r="AP359" s="19"/>
      <c r="AQ359" s="26">
        <f t="shared" si="60"/>
        <v>69137982</v>
      </c>
      <c r="AR359" s="26"/>
    </row>
    <row r="360" spans="1:44" hidden="1">
      <c r="A360" s="9" t="s">
        <v>608</v>
      </c>
      <c r="B360" s="9"/>
      <c r="C360" s="9" t="s">
        <v>548</v>
      </c>
      <c r="D360" s="9"/>
      <c r="E360" s="23">
        <v>50633</v>
      </c>
      <c r="F360" s="19"/>
      <c r="G360" s="19">
        <v>0</v>
      </c>
      <c r="H360" s="19"/>
      <c r="I360" s="19">
        <v>0</v>
      </c>
      <c r="J360" s="19"/>
      <c r="K360" s="19">
        <v>0</v>
      </c>
      <c r="L360" s="19"/>
      <c r="M360" s="19">
        <v>0</v>
      </c>
      <c r="N360" s="19"/>
      <c r="O360" s="19">
        <v>0</v>
      </c>
      <c r="P360" s="19"/>
      <c r="Q360" s="19">
        <v>0</v>
      </c>
      <c r="R360" s="19"/>
      <c r="S360" s="19">
        <v>0</v>
      </c>
      <c r="T360" s="19"/>
      <c r="U360" s="19">
        <v>0</v>
      </c>
      <c r="V360" s="19"/>
      <c r="W360" s="19">
        <v>0</v>
      </c>
      <c r="X360" s="19"/>
      <c r="Y360" s="26">
        <f t="shared" si="52"/>
        <v>0</v>
      </c>
      <c r="Z360" s="19"/>
      <c r="AA360" s="19">
        <v>0</v>
      </c>
      <c r="AB360" s="19"/>
      <c r="AC360" s="19">
        <v>0</v>
      </c>
      <c r="AD360" s="19"/>
      <c r="AE360" s="19">
        <v>0</v>
      </c>
      <c r="AF360" s="19"/>
      <c r="AG360" s="19"/>
      <c r="AH360" s="19"/>
      <c r="AI360" s="19"/>
      <c r="AJ360" s="19"/>
      <c r="AK360" s="19">
        <v>0</v>
      </c>
      <c r="AL360" s="19"/>
      <c r="AM360" s="19">
        <v>0</v>
      </c>
      <c r="AN360" s="19"/>
      <c r="AO360" s="26">
        <f t="shared" si="61"/>
        <v>0</v>
      </c>
      <c r="AP360" s="19"/>
      <c r="AQ360" s="26">
        <f t="shared" si="60"/>
        <v>0</v>
      </c>
      <c r="AR360" s="26"/>
    </row>
    <row r="361" spans="1:44" hidden="1">
      <c r="A361" s="9" t="s">
        <v>880</v>
      </c>
      <c r="B361" s="9"/>
      <c r="C361" s="9" t="s">
        <v>464</v>
      </c>
      <c r="D361" s="9"/>
      <c r="E361" s="23">
        <v>49361</v>
      </c>
      <c r="F361" s="19"/>
      <c r="G361" s="19">
        <v>0</v>
      </c>
      <c r="H361" s="19"/>
      <c r="I361" s="19">
        <v>0</v>
      </c>
      <c r="J361" s="19"/>
      <c r="K361" s="19">
        <v>0</v>
      </c>
      <c r="L361" s="19"/>
      <c r="M361" s="19">
        <v>0</v>
      </c>
      <c r="N361" s="19"/>
      <c r="O361" s="19">
        <v>0</v>
      </c>
      <c r="P361" s="19"/>
      <c r="Q361" s="19">
        <v>0</v>
      </c>
      <c r="R361" s="19"/>
      <c r="S361" s="19">
        <v>0</v>
      </c>
      <c r="T361" s="19"/>
      <c r="U361" s="19">
        <v>0</v>
      </c>
      <c r="V361" s="19"/>
      <c r="W361" s="19">
        <v>0</v>
      </c>
      <c r="X361" s="19"/>
      <c r="Y361" s="26">
        <f t="shared" si="52"/>
        <v>0</v>
      </c>
      <c r="Z361" s="19"/>
      <c r="AA361" s="19">
        <v>0</v>
      </c>
      <c r="AB361" s="19"/>
      <c r="AC361" s="19">
        <v>0</v>
      </c>
      <c r="AD361" s="19"/>
      <c r="AE361" s="19">
        <v>0</v>
      </c>
      <c r="AF361" s="19"/>
      <c r="AG361" s="19"/>
      <c r="AH361" s="19"/>
      <c r="AI361" s="19"/>
      <c r="AJ361" s="19"/>
      <c r="AK361" s="19">
        <v>0</v>
      </c>
      <c r="AL361" s="19"/>
      <c r="AM361" s="19">
        <v>0</v>
      </c>
      <c r="AN361" s="19"/>
      <c r="AO361" s="26">
        <f t="shared" si="61"/>
        <v>0</v>
      </c>
      <c r="AP361" s="19"/>
      <c r="AQ361" s="26">
        <f t="shared" si="60"/>
        <v>0</v>
      </c>
      <c r="AR361" s="26"/>
    </row>
    <row r="362" spans="1:44" hidden="1">
      <c r="A362" s="9" t="s">
        <v>801</v>
      </c>
      <c r="B362" s="9"/>
      <c r="C362" s="9" t="s">
        <v>48</v>
      </c>
      <c r="D362" s="9"/>
      <c r="E362" s="23">
        <v>45518</v>
      </c>
      <c r="F362" s="19"/>
      <c r="G362" s="19">
        <v>0</v>
      </c>
      <c r="H362" s="19"/>
      <c r="I362" s="19">
        <v>0</v>
      </c>
      <c r="J362" s="19"/>
      <c r="K362" s="19">
        <v>0</v>
      </c>
      <c r="L362" s="19"/>
      <c r="M362" s="19">
        <v>0</v>
      </c>
      <c r="N362" s="19"/>
      <c r="O362" s="19">
        <v>0</v>
      </c>
      <c r="P362" s="19"/>
      <c r="Q362" s="19">
        <v>0</v>
      </c>
      <c r="R362" s="19"/>
      <c r="S362" s="19">
        <v>0</v>
      </c>
      <c r="T362" s="19"/>
      <c r="U362" s="19">
        <v>0</v>
      </c>
      <c r="V362" s="19"/>
      <c r="W362" s="19">
        <v>0</v>
      </c>
      <c r="X362" s="19"/>
      <c r="Y362" s="26">
        <f t="shared" si="52"/>
        <v>0</v>
      </c>
      <c r="Z362" s="19"/>
      <c r="AA362" s="19">
        <v>0</v>
      </c>
      <c r="AB362" s="19"/>
      <c r="AC362" s="19">
        <v>0</v>
      </c>
      <c r="AD362" s="19"/>
      <c r="AE362" s="19">
        <v>0</v>
      </c>
      <c r="AF362" s="19"/>
      <c r="AG362" s="19"/>
      <c r="AH362" s="19"/>
      <c r="AI362" s="19"/>
      <c r="AJ362" s="19"/>
      <c r="AK362" s="19">
        <v>0</v>
      </c>
      <c r="AL362" s="19"/>
      <c r="AM362" s="19">
        <v>0</v>
      </c>
      <c r="AN362" s="19"/>
      <c r="AO362" s="26">
        <f t="shared" si="61"/>
        <v>0</v>
      </c>
      <c r="AP362" s="19"/>
      <c r="AQ362" s="26">
        <f t="shared" si="60"/>
        <v>0</v>
      </c>
      <c r="AR362" s="26"/>
    </row>
    <row r="363" spans="1:44">
      <c r="A363" s="9" t="s">
        <v>498</v>
      </c>
      <c r="B363" s="9"/>
      <c r="C363" s="9" t="s">
        <v>62</v>
      </c>
      <c r="D363" s="9"/>
      <c r="E363" s="23">
        <v>49890</v>
      </c>
      <c r="F363" s="19"/>
      <c r="G363" s="19">
        <v>5726253</v>
      </c>
      <c r="H363" s="19"/>
      <c r="I363" s="19">
        <v>0</v>
      </c>
      <c r="J363" s="19"/>
      <c r="K363" s="19">
        <v>11832882</v>
      </c>
      <c r="L363" s="19"/>
      <c r="M363" s="19">
        <v>4312</v>
      </c>
      <c r="N363" s="19"/>
      <c r="O363" s="19">
        <f>946536+15163+227537</f>
        <v>1189236</v>
      </c>
      <c r="P363" s="19"/>
      <c r="Q363" s="19">
        <v>266483</v>
      </c>
      <c r="R363" s="19"/>
      <c r="S363" s="19">
        <v>0</v>
      </c>
      <c r="T363" s="19"/>
      <c r="U363" s="19">
        <v>241417</v>
      </c>
      <c r="V363" s="19"/>
      <c r="W363" s="19">
        <v>92402</v>
      </c>
      <c r="X363" s="19"/>
      <c r="Y363" s="26">
        <f t="shared" si="52"/>
        <v>19352985</v>
      </c>
      <c r="Z363" s="19"/>
      <c r="AA363" s="19">
        <v>0</v>
      </c>
      <c r="AB363" s="19"/>
      <c r="AC363" s="19">
        <v>0</v>
      </c>
      <c r="AD363" s="19"/>
      <c r="AE363" s="19">
        <v>0</v>
      </c>
      <c r="AF363" s="19"/>
      <c r="AG363" s="19"/>
      <c r="AH363" s="19"/>
      <c r="AI363" s="19"/>
      <c r="AJ363" s="19"/>
      <c r="AK363" s="19">
        <f>41080+250000</f>
        <v>291080</v>
      </c>
      <c r="AL363" s="19"/>
      <c r="AM363" s="19">
        <v>0</v>
      </c>
      <c r="AN363" s="19"/>
      <c r="AO363" s="26">
        <f t="shared" si="61"/>
        <v>291080</v>
      </c>
      <c r="AP363" s="19"/>
      <c r="AQ363" s="26">
        <f t="shared" ref="AQ363:AQ376" si="64">Y363+AO363</f>
        <v>19644065</v>
      </c>
      <c r="AR363" s="26"/>
    </row>
    <row r="364" spans="1:44">
      <c r="A364" s="9" t="s">
        <v>479</v>
      </c>
      <c r="B364" s="9"/>
      <c r="C364" s="9" t="s">
        <v>59</v>
      </c>
      <c r="D364" s="9"/>
      <c r="E364" s="23">
        <v>49627</v>
      </c>
      <c r="F364" s="19"/>
      <c r="G364" s="19">
        <v>1889774</v>
      </c>
      <c r="H364" s="19"/>
      <c r="I364" s="19">
        <v>0</v>
      </c>
      <c r="J364" s="19"/>
      <c r="K364" s="19">
        <v>10869231</v>
      </c>
      <c r="L364" s="19"/>
      <c r="M364" s="19">
        <v>0</v>
      </c>
      <c r="N364" s="19"/>
      <c r="O364" s="19">
        <f>2116586+878+176345</f>
        <v>2293809</v>
      </c>
      <c r="P364" s="19"/>
      <c r="Q364" s="19">
        <v>184714</v>
      </c>
      <c r="R364" s="19"/>
      <c r="S364" s="19">
        <v>0</v>
      </c>
      <c r="T364" s="19"/>
      <c r="U364" s="19">
        <v>8352</v>
      </c>
      <c r="V364" s="19"/>
      <c r="W364" s="19">
        <v>258287</v>
      </c>
      <c r="X364" s="19"/>
      <c r="Y364" s="26">
        <f t="shared" ref="Y364:Y432" si="65">SUM(G364:W364)</f>
        <v>15504167</v>
      </c>
      <c r="Z364" s="19"/>
      <c r="AA364" s="19">
        <v>122730</v>
      </c>
      <c r="AB364" s="19"/>
      <c r="AC364" s="19">
        <v>0</v>
      </c>
      <c r="AD364" s="19"/>
      <c r="AE364" s="19">
        <v>0</v>
      </c>
      <c r="AF364" s="19"/>
      <c r="AG364" s="19"/>
      <c r="AH364" s="19"/>
      <c r="AI364" s="19"/>
      <c r="AJ364" s="19"/>
      <c r="AK364" s="19">
        <v>0</v>
      </c>
      <c r="AL364" s="19"/>
      <c r="AM364" s="19">
        <v>0</v>
      </c>
      <c r="AN364" s="19"/>
      <c r="AO364" s="26">
        <f t="shared" si="61"/>
        <v>122730</v>
      </c>
      <c r="AP364" s="19"/>
      <c r="AQ364" s="26">
        <f t="shared" si="64"/>
        <v>15626897</v>
      </c>
      <c r="AR364" s="26"/>
    </row>
    <row r="365" spans="1:44">
      <c r="A365" s="9" t="s">
        <v>212</v>
      </c>
      <c r="B365" s="9"/>
      <c r="C365" s="9" t="s">
        <v>14</v>
      </c>
      <c r="D365" s="9"/>
      <c r="E365" s="23">
        <v>45948</v>
      </c>
      <c r="F365" s="19"/>
      <c r="G365" s="19">
        <v>4440178</v>
      </c>
      <c r="H365" s="19"/>
      <c r="I365" s="19">
        <v>1503146</v>
      </c>
      <c r="J365" s="19"/>
      <c r="K365" s="19">
        <v>4297954</v>
      </c>
      <c r="L365" s="19"/>
      <c r="M365" s="19">
        <v>4384</v>
      </c>
      <c r="N365" s="19"/>
      <c r="O365" s="19">
        <f>78534+262100</f>
        <v>340634</v>
      </c>
      <c r="P365" s="19"/>
      <c r="Q365" s="19">
        <v>123938</v>
      </c>
      <c r="R365" s="19"/>
      <c r="S365" s="19">
        <v>45445</v>
      </c>
      <c r="T365" s="19"/>
      <c r="U365" s="19">
        <v>37645</v>
      </c>
      <c r="V365" s="19"/>
      <c r="W365" s="19">
        <v>178980</v>
      </c>
      <c r="X365" s="19"/>
      <c r="Y365" s="26">
        <f t="shared" si="65"/>
        <v>10972304</v>
      </c>
      <c r="Z365" s="19"/>
      <c r="AA365" s="19">
        <v>14000</v>
      </c>
      <c r="AB365" s="19"/>
      <c r="AC365" s="19">
        <v>0</v>
      </c>
      <c r="AD365" s="19"/>
      <c r="AE365" s="19">
        <v>0</v>
      </c>
      <c r="AF365" s="19"/>
      <c r="AG365" s="19"/>
      <c r="AH365" s="19"/>
      <c r="AI365" s="19"/>
      <c r="AJ365" s="19"/>
      <c r="AK365" s="19">
        <v>0</v>
      </c>
      <c r="AL365" s="19"/>
      <c r="AM365" s="19">
        <v>0</v>
      </c>
      <c r="AN365" s="19"/>
      <c r="AO365" s="26">
        <f t="shared" si="61"/>
        <v>14000</v>
      </c>
      <c r="AP365" s="19"/>
      <c r="AQ365" s="26">
        <f t="shared" si="64"/>
        <v>10986304</v>
      </c>
      <c r="AR365" s="26"/>
    </row>
    <row r="366" spans="1:44" hidden="1">
      <c r="A366" s="9" t="s">
        <v>635</v>
      </c>
      <c r="B366" s="9"/>
      <c r="C366" s="9" t="s">
        <v>21</v>
      </c>
      <c r="D366" s="9"/>
      <c r="E366" s="23">
        <v>46672</v>
      </c>
      <c r="F366" s="19"/>
      <c r="G366" s="19">
        <v>0</v>
      </c>
      <c r="H366" s="19"/>
      <c r="I366" s="19">
        <v>0</v>
      </c>
      <c r="J366" s="19"/>
      <c r="K366" s="19">
        <v>0</v>
      </c>
      <c r="L366" s="19"/>
      <c r="M366" s="19">
        <v>0</v>
      </c>
      <c r="N366" s="19"/>
      <c r="O366" s="19">
        <v>0</v>
      </c>
      <c r="P366" s="19"/>
      <c r="Q366" s="19">
        <v>0</v>
      </c>
      <c r="R366" s="19"/>
      <c r="S366" s="19">
        <v>0</v>
      </c>
      <c r="T366" s="19"/>
      <c r="U366" s="19">
        <v>0</v>
      </c>
      <c r="V366" s="19"/>
      <c r="W366" s="19">
        <v>0</v>
      </c>
      <c r="X366" s="19"/>
      <c r="Y366" s="26">
        <f t="shared" si="65"/>
        <v>0</v>
      </c>
      <c r="Z366" s="19"/>
      <c r="AA366" s="19">
        <v>0</v>
      </c>
      <c r="AB366" s="19"/>
      <c r="AC366" s="19">
        <v>0</v>
      </c>
      <c r="AD366" s="19"/>
      <c r="AE366" s="19">
        <v>0</v>
      </c>
      <c r="AF366" s="19"/>
      <c r="AG366" s="19"/>
      <c r="AH366" s="19"/>
      <c r="AI366" s="19"/>
      <c r="AJ366" s="19"/>
      <c r="AK366" s="19">
        <v>0</v>
      </c>
      <c r="AL366" s="19"/>
      <c r="AM366" s="19">
        <v>0</v>
      </c>
      <c r="AN366" s="19"/>
      <c r="AO366" s="26">
        <f t="shared" si="61"/>
        <v>0</v>
      </c>
      <c r="AP366" s="19"/>
      <c r="AQ366" s="26">
        <f t="shared" si="64"/>
        <v>0</v>
      </c>
      <c r="AR366" s="26"/>
    </row>
    <row r="367" spans="1:44">
      <c r="A367" s="9" t="s">
        <v>506</v>
      </c>
      <c r="B367" s="9"/>
      <c r="C367" s="9" t="s">
        <v>63</v>
      </c>
      <c r="D367" s="9"/>
      <c r="E367" s="23">
        <v>50039</v>
      </c>
      <c r="F367" s="19"/>
      <c r="G367" s="19">
        <v>3376858</v>
      </c>
      <c r="H367" s="19"/>
      <c r="I367" s="19">
        <v>0</v>
      </c>
      <c r="J367" s="19"/>
      <c r="K367" s="19">
        <v>4688257</v>
      </c>
      <c r="L367" s="19"/>
      <c r="M367" s="19">
        <v>17517</v>
      </c>
      <c r="N367" s="19"/>
      <c r="O367" s="19">
        <f>1556333+160850</f>
        <v>1717183</v>
      </c>
      <c r="P367" s="19"/>
      <c r="Q367" s="19">
        <v>163967</v>
      </c>
      <c r="R367" s="19"/>
      <c r="S367" s="19">
        <v>0</v>
      </c>
      <c r="T367" s="19"/>
      <c r="U367" s="19">
        <v>23737</v>
      </c>
      <c r="V367" s="19"/>
      <c r="W367" s="19">
        <v>45385</v>
      </c>
      <c r="X367" s="19"/>
      <c r="Y367" s="26">
        <f t="shared" si="65"/>
        <v>10032904</v>
      </c>
      <c r="Z367" s="19"/>
      <c r="AA367" s="19">
        <v>140337</v>
      </c>
      <c r="AB367" s="19"/>
      <c r="AC367" s="19">
        <v>0</v>
      </c>
      <c r="AD367" s="19"/>
      <c r="AE367" s="19">
        <v>0</v>
      </c>
      <c r="AF367" s="19"/>
      <c r="AG367" s="19"/>
      <c r="AH367" s="19"/>
      <c r="AI367" s="19"/>
      <c r="AJ367" s="19"/>
      <c r="AK367" s="19">
        <v>0</v>
      </c>
      <c r="AL367" s="19"/>
      <c r="AM367" s="19">
        <v>0</v>
      </c>
      <c r="AN367" s="19"/>
      <c r="AO367" s="26">
        <f t="shared" si="61"/>
        <v>140337</v>
      </c>
      <c r="AP367" s="19"/>
      <c r="AQ367" s="26">
        <f t="shared" si="64"/>
        <v>10173241</v>
      </c>
      <c r="AR367" s="26"/>
    </row>
    <row r="368" spans="1:44" hidden="1">
      <c r="A368" s="9" t="s">
        <v>616</v>
      </c>
      <c r="B368" s="9"/>
      <c r="C368" s="9" t="s">
        <v>553</v>
      </c>
      <c r="D368" s="9"/>
      <c r="E368" s="23">
        <v>50740</v>
      </c>
      <c r="F368" s="19"/>
      <c r="G368" s="19">
        <v>0</v>
      </c>
      <c r="H368" s="19"/>
      <c r="I368" s="19">
        <v>0</v>
      </c>
      <c r="J368" s="19"/>
      <c r="K368" s="19">
        <v>0</v>
      </c>
      <c r="L368" s="19"/>
      <c r="M368" s="19">
        <v>0</v>
      </c>
      <c r="N368" s="19"/>
      <c r="O368" s="19">
        <v>0</v>
      </c>
      <c r="P368" s="19"/>
      <c r="Q368" s="19">
        <v>0</v>
      </c>
      <c r="R368" s="19"/>
      <c r="S368" s="19">
        <v>0</v>
      </c>
      <c r="T368" s="19"/>
      <c r="U368" s="19">
        <v>0</v>
      </c>
      <c r="V368" s="19"/>
      <c r="W368" s="19">
        <v>0</v>
      </c>
      <c r="X368" s="19"/>
      <c r="Y368" s="26">
        <f t="shared" si="65"/>
        <v>0</v>
      </c>
      <c r="Z368" s="19"/>
      <c r="AA368" s="19">
        <v>0</v>
      </c>
      <c r="AB368" s="19"/>
      <c r="AC368" s="19">
        <v>0</v>
      </c>
      <c r="AD368" s="19"/>
      <c r="AE368" s="19">
        <v>0</v>
      </c>
      <c r="AF368" s="19"/>
      <c r="AG368" s="19"/>
      <c r="AH368" s="19"/>
      <c r="AI368" s="19"/>
      <c r="AJ368" s="19"/>
      <c r="AK368" s="19">
        <v>0</v>
      </c>
      <c r="AL368" s="19"/>
      <c r="AM368" s="19">
        <v>0</v>
      </c>
      <c r="AN368" s="19"/>
      <c r="AO368" s="26">
        <f t="shared" si="61"/>
        <v>0</v>
      </c>
      <c r="AP368" s="19"/>
      <c r="AQ368" s="26">
        <f t="shared" si="64"/>
        <v>0</v>
      </c>
      <c r="AR368" s="26"/>
    </row>
    <row r="369" spans="1:44">
      <c r="A369" s="8" t="s">
        <v>905</v>
      </c>
      <c r="B369" s="9"/>
      <c r="C369" s="9" t="s">
        <v>220</v>
      </c>
      <c r="D369" s="9"/>
      <c r="E369" s="23">
        <v>139303</v>
      </c>
      <c r="F369" s="19"/>
      <c r="G369" s="19">
        <v>13192171</v>
      </c>
      <c r="H369" s="19"/>
      <c r="I369" s="19">
        <v>0</v>
      </c>
      <c r="J369" s="19"/>
      <c r="K369" s="19">
        <v>7972930</v>
      </c>
      <c r="L369" s="19"/>
      <c r="M369" s="19">
        <v>4875</v>
      </c>
      <c r="N369" s="19"/>
      <c r="O369" s="19">
        <f>1306681+18703+521824</f>
        <v>1847208</v>
      </c>
      <c r="P369" s="19"/>
      <c r="Q369" s="19">
        <v>321586</v>
      </c>
      <c r="R369" s="19"/>
      <c r="S369" s="19">
        <v>1223376</v>
      </c>
      <c r="T369" s="19"/>
      <c r="U369" s="19">
        <v>41444</v>
      </c>
      <c r="V369" s="19"/>
      <c r="W369" s="19">
        <v>71912</v>
      </c>
      <c r="X369" s="19"/>
      <c r="Y369" s="26">
        <f t="shared" si="65"/>
        <v>24675502</v>
      </c>
      <c r="Z369" s="19"/>
      <c r="AA369" s="19">
        <v>0</v>
      </c>
      <c r="AB369" s="19"/>
      <c r="AC369" s="19">
        <v>0</v>
      </c>
      <c r="AD369" s="19"/>
      <c r="AE369" s="19">
        <v>427000</v>
      </c>
      <c r="AF369" s="19"/>
      <c r="AG369" s="19"/>
      <c r="AH369" s="19"/>
      <c r="AI369" s="19"/>
      <c r="AJ369" s="19"/>
      <c r="AK369" s="19">
        <v>0</v>
      </c>
      <c r="AL369" s="19"/>
      <c r="AM369" s="19">
        <v>0</v>
      </c>
      <c r="AN369" s="19"/>
      <c r="AO369" s="26">
        <f t="shared" si="61"/>
        <v>427000</v>
      </c>
      <c r="AP369" s="19"/>
      <c r="AQ369" s="26">
        <f t="shared" si="64"/>
        <v>25102502</v>
      </c>
      <c r="AR369" s="26"/>
    </row>
    <row r="370" spans="1:44" s="24" customFormat="1">
      <c r="A370" s="51" t="s">
        <v>354</v>
      </c>
      <c r="B370" s="51"/>
      <c r="C370" s="51" t="s">
        <v>37</v>
      </c>
      <c r="D370" s="51"/>
      <c r="E370" s="23">
        <v>47712</v>
      </c>
      <c r="F370" s="66"/>
      <c r="G370" s="19">
        <v>2265710</v>
      </c>
      <c r="H370" s="19"/>
      <c r="I370" s="19">
        <v>1155299</v>
      </c>
      <c r="J370" s="19"/>
      <c r="K370" s="19">
        <f>2563071+360592</f>
        <v>2923663</v>
      </c>
      <c r="L370" s="19"/>
      <c r="M370" s="19">
        <v>1406</v>
      </c>
      <c r="N370" s="19"/>
      <c r="O370" s="19">
        <f>537174+64+128184+37261</f>
        <v>702683</v>
      </c>
      <c r="P370" s="19"/>
      <c r="Q370" s="19">
        <v>73137</v>
      </c>
      <c r="R370" s="19"/>
      <c r="S370" s="19">
        <v>0</v>
      </c>
      <c r="T370" s="19"/>
      <c r="U370" s="19">
        <v>8175</v>
      </c>
      <c r="V370" s="19"/>
      <c r="W370" s="19">
        <v>36169</v>
      </c>
      <c r="X370" s="19"/>
      <c r="Y370" s="26">
        <f t="shared" si="65"/>
        <v>7166242</v>
      </c>
      <c r="Z370" s="19"/>
      <c r="AA370" s="19">
        <v>57500</v>
      </c>
      <c r="AB370" s="19"/>
      <c r="AC370" s="19">
        <v>0</v>
      </c>
      <c r="AD370" s="19"/>
      <c r="AE370" s="19">
        <f>228796+4195000</f>
        <v>4423796</v>
      </c>
      <c r="AF370" s="19"/>
      <c r="AG370" s="19"/>
      <c r="AH370" s="19"/>
      <c r="AI370" s="19"/>
      <c r="AJ370" s="19"/>
      <c r="AK370" s="19">
        <v>0</v>
      </c>
      <c r="AL370" s="19"/>
      <c r="AM370" s="19">
        <v>0</v>
      </c>
      <c r="AN370" s="19"/>
      <c r="AO370" s="26">
        <f t="shared" si="61"/>
        <v>4481296</v>
      </c>
      <c r="AP370" s="19"/>
      <c r="AQ370" s="26">
        <f t="shared" si="64"/>
        <v>11647538</v>
      </c>
      <c r="AR370" s="67"/>
    </row>
    <row r="371" spans="1:44" hidden="1">
      <c r="A371" s="9" t="s">
        <v>802</v>
      </c>
      <c r="B371" s="9"/>
      <c r="C371" s="9" t="s">
        <v>548</v>
      </c>
      <c r="D371" s="9"/>
      <c r="E371" s="23">
        <v>45526</v>
      </c>
      <c r="F371" s="19"/>
      <c r="G371" s="19">
        <v>0</v>
      </c>
      <c r="H371" s="19"/>
      <c r="I371" s="19">
        <v>0</v>
      </c>
      <c r="J371" s="19"/>
      <c r="K371" s="19">
        <v>0</v>
      </c>
      <c r="L371" s="19"/>
      <c r="M371" s="19">
        <v>0</v>
      </c>
      <c r="N371" s="19"/>
      <c r="O371" s="19">
        <v>0</v>
      </c>
      <c r="P371" s="19"/>
      <c r="Q371" s="19">
        <v>0</v>
      </c>
      <c r="R371" s="19"/>
      <c r="S371" s="19">
        <v>0</v>
      </c>
      <c r="T371" s="19"/>
      <c r="U371" s="19">
        <v>0</v>
      </c>
      <c r="V371" s="19"/>
      <c r="W371" s="19">
        <v>0</v>
      </c>
      <c r="X371" s="19"/>
      <c r="Y371" s="26">
        <f t="shared" si="65"/>
        <v>0</v>
      </c>
      <c r="Z371" s="19"/>
      <c r="AA371" s="19">
        <v>0</v>
      </c>
      <c r="AB371" s="19"/>
      <c r="AC371" s="19">
        <v>0</v>
      </c>
      <c r="AD371" s="19"/>
      <c r="AE371" s="19">
        <v>0</v>
      </c>
      <c r="AF371" s="19"/>
      <c r="AG371" s="19"/>
      <c r="AH371" s="19"/>
      <c r="AI371" s="19"/>
      <c r="AJ371" s="19"/>
      <c r="AK371" s="19">
        <v>0</v>
      </c>
      <c r="AL371" s="19"/>
      <c r="AM371" s="19">
        <v>0</v>
      </c>
      <c r="AN371" s="19"/>
      <c r="AO371" s="26">
        <f t="shared" si="61"/>
        <v>0</v>
      </c>
      <c r="AP371" s="19"/>
      <c r="AQ371" s="26">
        <f t="shared" si="64"/>
        <v>0</v>
      </c>
      <c r="AR371" s="26"/>
    </row>
    <row r="372" spans="1:44" s="24" customFormat="1">
      <c r="A372" s="51" t="s">
        <v>436</v>
      </c>
      <c r="B372" s="51"/>
      <c r="C372" s="51" t="s">
        <v>437</v>
      </c>
      <c r="D372" s="51"/>
      <c r="E372" s="51">
        <v>48777</v>
      </c>
      <c r="F372" s="66"/>
      <c r="G372" s="66">
        <v>4937408</v>
      </c>
      <c r="H372" s="66"/>
      <c r="I372" s="66">
        <v>0</v>
      </c>
      <c r="J372" s="66"/>
      <c r="K372" s="66">
        <v>18359254</v>
      </c>
      <c r="L372" s="66"/>
      <c r="M372" s="66">
        <v>96644</v>
      </c>
      <c r="N372" s="66"/>
      <c r="O372" s="66">
        <f>361225+306232+2677</f>
        <v>670134</v>
      </c>
      <c r="P372" s="66"/>
      <c r="Q372" s="66">
        <v>67129</v>
      </c>
      <c r="R372" s="66"/>
      <c r="S372" s="66">
        <v>0</v>
      </c>
      <c r="T372" s="66"/>
      <c r="U372" s="66">
        <v>14077</v>
      </c>
      <c r="V372" s="66"/>
      <c r="W372" s="66">
        <v>61803</v>
      </c>
      <c r="X372" s="66"/>
      <c r="Y372" s="67">
        <f t="shared" si="65"/>
        <v>24206449</v>
      </c>
      <c r="Z372" s="66"/>
      <c r="AA372" s="66">
        <v>0</v>
      </c>
      <c r="AB372" s="66"/>
      <c r="AC372" s="66">
        <v>0</v>
      </c>
      <c r="AD372" s="66"/>
      <c r="AE372" s="66">
        <v>0</v>
      </c>
      <c r="AF372" s="66"/>
      <c r="AG372" s="66"/>
      <c r="AH372" s="66"/>
      <c r="AI372" s="66"/>
      <c r="AJ372" s="66"/>
      <c r="AK372" s="66">
        <f>242948+35200</f>
        <v>278148</v>
      </c>
      <c r="AL372" s="66"/>
      <c r="AM372" s="66">
        <v>0</v>
      </c>
      <c r="AN372" s="66"/>
      <c r="AO372" s="67">
        <f t="shared" si="61"/>
        <v>278148</v>
      </c>
      <c r="AP372" s="66"/>
      <c r="AQ372" s="67">
        <f t="shared" si="64"/>
        <v>24484597</v>
      </c>
      <c r="AR372" s="67"/>
    </row>
    <row r="373" spans="1:44">
      <c r="A373" s="9" t="s">
        <v>765</v>
      </c>
      <c r="B373" s="9"/>
      <c r="C373" s="9" t="s">
        <v>78</v>
      </c>
      <c r="D373" s="9"/>
      <c r="E373" s="23">
        <v>45534</v>
      </c>
      <c r="F373" s="19"/>
      <c r="G373" s="19">
        <v>4725666</v>
      </c>
      <c r="H373" s="19"/>
      <c r="I373" s="19">
        <v>0</v>
      </c>
      <c r="J373" s="19"/>
      <c r="K373" s="19">
        <v>7606599</v>
      </c>
      <c r="L373" s="19"/>
      <c r="M373" s="19">
        <v>13468</v>
      </c>
      <c r="N373" s="19"/>
      <c r="O373" s="19">
        <f>594700+197888</f>
        <v>792588</v>
      </c>
      <c r="P373" s="19"/>
      <c r="Q373" s="19">
        <v>176419</v>
      </c>
      <c r="R373" s="19"/>
      <c r="S373" s="19">
        <v>0</v>
      </c>
      <c r="T373" s="19"/>
      <c r="U373" s="19">
        <v>0</v>
      </c>
      <c r="V373" s="19"/>
      <c r="W373" s="19">
        <v>651059</v>
      </c>
      <c r="X373" s="19"/>
      <c r="Y373" s="26">
        <f t="shared" si="65"/>
        <v>13965799</v>
      </c>
      <c r="Z373" s="19"/>
      <c r="AA373" s="19">
        <v>0</v>
      </c>
      <c r="AB373" s="19"/>
      <c r="AC373" s="19">
        <v>0</v>
      </c>
      <c r="AD373" s="19"/>
      <c r="AE373" s="19">
        <v>0</v>
      </c>
      <c r="AF373" s="19"/>
      <c r="AG373" s="19"/>
      <c r="AH373" s="19"/>
      <c r="AI373" s="19"/>
      <c r="AJ373" s="19"/>
      <c r="AK373" s="19">
        <v>0</v>
      </c>
      <c r="AL373" s="19"/>
      <c r="AM373" s="19">
        <v>0</v>
      </c>
      <c r="AN373" s="19"/>
      <c r="AO373" s="26">
        <f t="shared" si="61"/>
        <v>0</v>
      </c>
      <c r="AP373" s="19"/>
      <c r="AQ373" s="26">
        <f t="shared" si="64"/>
        <v>13965799</v>
      </c>
      <c r="AR373" s="26"/>
    </row>
    <row r="374" spans="1:44" hidden="1">
      <c r="A374" s="8" t="s">
        <v>866</v>
      </c>
      <c r="B374" s="9"/>
      <c r="C374" s="9" t="s">
        <v>40</v>
      </c>
      <c r="D374" s="9"/>
      <c r="E374" s="23">
        <v>44420</v>
      </c>
      <c r="F374" s="19"/>
      <c r="G374" s="19">
        <v>0</v>
      </c>
      <c r="H374" s="19"/>
      <c r="I374" s="19">
        <v>0</v>
      </c>
      <c r="J374" s="19"/>
      <c r="K374" s="19">
        <v>0</v>
      </c>
      <c r="L374" s="19"/>
      <c r="M374" s="19">
        <v>0</v>
      </c>
      <c r="N374" s="19"/>
      <c r="O374" s="19">
        <v>0</v>
      </c>
      <c r="P374" s="19"/>
      <c r="Q374" s="19">
        <v>0</v>
      </c>
      <c r="R374" s="19"/>
      <c r="S374" s="19">
        <v>0</v>
      </c>
      <c r="T374" s="19"/>
      <c r="U374" s="19">
        <v>0</v>
      </c>
      <c r="V374" s="19"/>
      <c r="W374" s="19">
        <v>0</v>
      </c>
      <c r="X374" s="19"/>
      <c r="Y374" s="26">
        <f t="shared" si="65"/>
        <v>0</v>
      </c>
      <c r="Z374" s="19"/>
      <c r="AA374" s="19">
        <v>0</v>
      </c>
      <c r="AB374" s="19"/>
      <c r="AC374" s="19">
        <v>0</v>
      </c>
      <c r="AD374" s="19"/>
      <c r="AE374" s="19">
        <v>0</v>
      </c>
      <c r="AF374" s="19"/>
      <c r="AG374" s="19"/>
      <c r="AH374" s="19"/>
      <c r="AI374" s="19"/>
      <c r="AJ374" s="19"/>
      <c r="AK374" s="19">
        <v>0</v>
      </c>
      <c r="AL374" s="19"/>
      <c r="AM374" s="19">
        <v>0</v>
      </c>
      <c r="AN374" s="19"/>
      <c r="AO374" s="26">
        <f t="shared" si="61"/>
        <v>0</v>
      </c>
      <c r="AP374" s="19"/>
      <c r="AQ374" s="26">
        <f t="shared" si="64"/>
        <v>0</v>
      </c>
      <c r="AR374" s="26"/>
    </row>
    <row r="375" spans="1:44">
      <c r="A375" s="9" t="s">
        <v>706</v>
      </c>
      <c r="B375" s="9"/>
      <c r="C375" s="9" t="s">
        <v>32</v>
      </c>
      <c r="D375" s="9"/>
      <c r="E375" s="23">
        <v>44412</v>
      </c>
      <c r="F375" s="19"/>
      <c r="G375" s="19">
        <v>12875179</v>
      </c>
      <c r="H375" s="19"/>
      <c r="I375" s="19">
        <v>0</v>
      </c>
      <c r="J375" s="19"/>
      <c r="K375" s="19">
        <v>28817692</v>
      </c>
      <c r="L375" s="19"/>
      <c r="M375" s="19">
        <v>15681</v>
      </c>
      <c r="N375" s="19"/>
      <c r="O375" s="19">
        <f>714453+310978</f>
        <v>1025431</v>
      </c>
      <c r="P375" s="19"/>
      <c r="Q375" s="19">
        <v>130418</v>
      </c>
      <c r="R375" s="19"/>
      <c r="S375" s="19">
        <v>0</v>
      </c>
      <c r="T375" s="19"/>
      <c r="U375" s="19">
        <v>0</v>
      </c>
      <c r="V375" s="19"/>
      <c r="W375" s="19">
        <v>399514</v>
      </c>
      <c r="X375" s="19"/>
      <c r="Y375" s="26">
        <f t="shared" si="65"/>
        <v>43263915</v>
      </c>
      <c r="Z375" s="19"/>
      <c r="AA375" s="19">
        <v>198824</v>
      </c>
      <c r="AB375" s="19"/>
      <c r="AC375" s="19">
        <v>0</v>
      </c>
      <c r="AD375" s="19"/>
      <c r="AE375" s="19">
        <v>0</v>
      </c>
      <c r="AF375" s="19"/>
      <c r="AG375" s="19"/>
      <c r="AH375" s="19"/>
      <c r="AI375" s="19"/>
      <c r="AJ375" s="19"/>
      <c r="AK375" s="19">
        <v>181669</v>
      </c>
      <c r="AL375" s="19"/>
      <c r="AM375" s="19">
        <v>0</v>
      </c>
      <c r="AN375" s="19"/>
      <c r="AO375" s="26">
        <f t="shared" si="61"/>
        <v>380493</v>
      </c>
      <c r="AP375" s="19"/>
      <c r="AQ375" s="26">
        <f t="shared" si="64"/>
        <v>43644408</v>
      </c>
      <c r="AR375" s="26"/>
    </row>
    <row r="376" spans="1:44">
      <c r="A376" s="9" t="s">
        <v>344</v>
      </c>
      <c r="B376" s="9"/>
      <c r="C376" s="9" t="s">
        <v>34</v>
      </c>
      <c r="D376" s="9"/>
      <c r="E376" s="23">
        <v>44438</v>
      </c>
      <c r="F376" s="19"/>
      <c r="G376" s="19">
        <v>9252979</v>
      </c>
      <c r="H376" s="19"/>
      <c r="I376" s="19">
        <v>0</v>
      </c>
      <c r="J376" s="19"/>
      <c r="K376" s="19">
        <v>14939738</v>
      </c>
      <c r="L376" s="19"/>
      <c r="M376" s="19">
        <f>180910-804</f>
        <v>180106</v>
      </c>
      <c r="N376" s="19"/>
      <c r="O376" s="19">
        <f>833140+9189+366894</f>
        <v>1209223</v>
      </c>
      <c r="P376" s="19"/>
      <c r="Q376" s="19">
        <v>301330</v>
      </c>
      <c r="R376" s="19"/>
      <c r="S376" s="19">
        <v>219794</v>
      </c>
      <c r="T376" s="19"/>
      <c r="U376" s="19">
        <v>69149</v>
      </c>
      <c r="V376" s="19"/>
      <c r="W376" s="19">
        <v>71862</v>
      </c>
      <c r="X376" s="19"/>
      <c r="Y376" s="26">
        <f t="shared" ref="Y376:Y403" si="66">SUM(G376:W376)</f>
        <v>26244181</v>
      </c>
      <c r="Z376" s="19"/>
      <c r="AA376" s="19">
        <v>29207948</v>
      </c>
      <c r="AB376" s="19"/>
      <c r="AC376" s="19">
        <v>0</v>
      </c>
      <c r="AD376" s="19"/>
      <c r="AE376" s="19">
        <f>30800000+1327568</f>
        <v>32127568</v>
      </c>
      <c r="AF376" s="19"/>
      <c r="AG376" s="19"/>
      <c r="AH376" s="19"/>
      <c r="AI376" s="19"/>
      <c r="AJ376" s="19"/>
      <c r="AK376" s="19">
        <f>1528+144366</f>
        <v>145894</v>
      </c>
      <c r="AL376" s="19"/>
      <c r="AM376" s="19">
        <v>0</v>
      </c>
      <c r="AN376" s="19"/>
      <c r="AO376" s="26">
        <f t="shared" si="61"/>
        <v>61481410</v>
      </c>
      <c r="AP376" s="19"/>
      <c r="AQ376" s="26">
        <f t="shared" si="64"/>
        <v>87725591</v>
      </c>
      <c r="AR376" s="26"/>
    </row>
    <row r="377" spans="1:44" hidden="1">
      <c r="A377" s="9" t="s">
        <v>759</v>
      </c>
      <c r="B377" s="9"/>
      <c r="C377" s="9" t="s">
        <v>57</v>
      </c>
      <c r="D377" s="9"/>
      <c r="E377" s="23">
        <v>49270</v>
      </c>
      <c r="F377" s="19"/>
      <c r="G377" s="19">
        <v>0</v>
      </c>
      <c r="H377" s="19"/>
      <c r="I377" s="19">
        <v>0</v>
      </c>
      <c r="J377" s="19"/>
      <c r="K377" s="19">
        <v>0</v>
      </c>
      <c r="L377" s="19"/>
      <c r="M377" s="19">
        <v>0</v>
      </c>
      <c r="N377" s="19"/>
      <c r="O377" s="19">
        <v>0</v>
      </c>
      <c r="P377" s="19"/>
      <c r="Q377" s="19">
        <v>0</v>
      </c>
      <c r="R377" s="19"/>
      <c r="S377" s="19">
        <v>0</v>
      </c>
      <c r="T377" s="19"/>
      <c r="U377" s="19">
        <v>0</v>
      </c>
      <c r="V377" s="19"/>
      <c r="W377" s="19">
        <v>0</v>
      </c>
      <c r="X377" s="19"/>
      <c r="Y377" s="26"/>
      <c r="Z377" s="19"/>
      <c r="AA377" s="19">
        <v>0</v>
      </c>
      <c r="AB377" s="19"/>
      <c r="AC377" s="19">
        <v>0</v>
      </c>
      <c r="AD377" s="19"/>
      <c r="AE377" s="19">
        <v>0</v>
      </c>
      <c r="AF377" s="19"/>
      <c r="AG377" s="19"/>
      <c r="AH377" s="19"/>
      <c r="AI377" s="19"/>
      <c r="AJ377" s="19"/>
      <c r="AK377" s="19">
        <v>0</v>
      </c>
      <c r="AL377" s="19"/>
      <c r="AM377" s="19">
        <v>0</v>
      </c>
      <c r="AN377" s="19"/>
      <c r="AO377" s="26"/>
      <c r="AP377" s="19"/>
      <c r="AQ377" s="26"/>
      <c r="AR377" s="26"/>
    </row>
    <row r="378" spans="1:44">
      <c r="A378" s="9" t="s">
        <v>210</v>
      </c>
      <c r="B378" s="9"/>
      <c r="C378" s="9" t="s">
        <v>13</v>
      </c>
      <c r="D378" s="9"/>
      <c r="E378" s="23">
        <v>44446</v>
      </c>
      <c r="F378" s="19"/>
      <c r="G378" s="19">
        <v>2410330</v>
      </c>
      <c r="H378" s="19"/>
      <c r="I378" s="19">
        <v>0</v>
      </c>
      <c r="J378" s="19"/>
      <c r="K378" s="19">
        <f>500+8970937+1847064</f>
        <v>10818501</v>
      </c>
      <c r="L378" s="19"/>
      <c r="M378" s="19">
        <v>7853</v>
      </c>
      <c r="N378" s="19"/>
      <c r="O378" s="19">
        <f>644095+119842</f>
        <v>763937</v>
      </c>
      <c r="P378" s="19"/>
      <c r="Q378" s="19">
        <v>78129</v>
      </c>
      <c r="R378" s="19"/>
      <c r="S378" s="19">
        <v>0</v>
      </c>
      <c r="T378" s="19"/>
      <c r="U378" s="19">
        <v>0</v>
      </c>
      <c r="V378" s="19"/>
      <c r="W378" s="19">
        <v>89739</v>
      </c>
      <c r="X378" s="19"/>
      <c r="Y378" s="26">
        <f t="shared" si="66"/>
        <v>14168489</v>
      </c>
      <c r="Z378" s="19"/>
      <c r="AA378" s="19">
        <v>147724</v>
      </c>
      <c r="AB378" s="19"/>
      <c r="AC378" s="19">
        <v>0</v>
      </c>
      <c r="AD378" s="19"/>
      <c r="AE378" s="19">
        <v>0</v>
      </c>
      <c r="AF378" s="19"/>
      <c r="AG378" s="19"/>
      <c r="AH378" s="19"/>
      <c r="AI378" s="19"/>
      <c r="AJ378" s="19"/>
      <c r="AK378" s="19">
        <v>132951</v>
      </c>
      <c r="AL378" s="19"/>
      <c r="AM378" s="19">
        <v>0</v>
      </c>
      <c r="AN378" s="19"/>
      <c r="AO378" s="26">
        <f t="shared" ref="AO378:AO416" si="67">AK378+AE378+AA378</f>
        <v>280675</v>
      </c>
      <c r="AP378" s="19"/>
      <c r="AQ378" s="26">
        <f t="shared" ref="AQ378:AQ418" si="68">Y378+AO378</f>
        <v>14449164</v>
      </c>
      <c r="AR378" s="26"/>
    </row>
    <row r="379" spans="1:44">
      <c r="A379" s="9" t="s">
        <v>603</v>
      </c>
      <c r="B379" s="9"/>
      <c r="C379" s="9" t="s">
        <v>27</v>
      </c>
      <c r="D379" s="9"/>
      <c r="E379" s="23">
        <v>46995</v>
      </c>
      <c r="F379" s="19"/>
      <c r="G379" s="19">
        <v>43520398</v>
      </c>
      <c r="H379" s="19"/>
      <c r="I379" s="19">
        <v>0</v>
      </c>
      <c r="J379" s="19"/>
      <c r="K379" s="19">
        <f>8354261+1017474+38037</f>
        <v>9409772</v>
      </c>
      <c r="L379" s="19"/>
      <c r="M379" s="19">
        <v>0</v>
      </c>
      <c r="N379" s="19"/>
      <c r="O379" s="19">
        <f>564976+1511045</f>
        <v>2076021</v>
      </c>
      <c r="P379" s="19"/>
      <c r="Q379" s="19">
        <v>746759</v>
      </c>
      <c r="R379" s="19"/>
      <c r="S379" s="19">
        <v>6329122</v>
      </c>
      <c r="T379" s="19"/>
      <c r="U379" s="19">
        <v>0</v>
      </c>
      <c r="V379" s="19"/>
      <c r="W379" s="19">
        <v>1519646</v>
      </c>
      <c r="X379" s="19"/>
      <c r="Y379" s="26">
        <f t="shared" si="66"/>
        <v>63601718</v>
      </c>
      <c r="Z379" s="19"/>
      <c r="AA379" s="19">
        <v>231288</v>
      </c>
      <c r="AB379" s="19"/>
      <c r="AC379" s="19">
        <v>0</v>
      </c>
      <c r="AD379" s="19"/>
      <c r="AE379" s="19">
        <f>48830000+660539</f>
        <v>49490539</v>
      </c>
      <c r="AF379" s="19"/>
      <c r="AG379" s="19"/>
      <c r="AH379" s="19"/>
      <c r="AI379" s="19"/>
      <c r="AJ379" s="19"/>
      <c r="AK379" s="19">
        <v>0</v>
      </c>
      <c r="AL379" s="19"/>
      <c r="AM379" s="19">
        <v>0</v>
      </c>
      <c r="AN379" s="19"/>
      <c r="AO379" s="26">
        <f t="shared" si="67"/>
        <v>49721827</v>
      </c>
      <c r="AP379" s="19"/>
      <c r="AQ379" s="26">
        <f t="shared" si="68"/>
        <v>113323545</v>
      </c>
      <c r="AR379" s="26"/>
    </row>
    <row r="380" spans="1:44">
      <c r="A380" s="9" t="s">
        <v>480</v>
      </c>
      <c r="B380" s="9"/>
      <c r="C380" s="9" t="s">
        <v>59</v>
      </c>
      <c r="D380" s="9"/>
      <c r="E380" s="23">
        <v>44461</v>
      </c>
      <c r="F380" s="19"/>
      <c r="G380" s="19">
        <v>981903</v>
      </c>
      <c r="H380" s="19"/>
      <c r="I380" s="19">
        <v>0</v>
      </c>
      <c r="J380" s="19"/>
      <c r="K380" s="19">
        <v>3267883</v>
      </c>
      <c r="L380" s="19"/>
      <c r="M380" s="19">
        <v>25917</v>
      </c>
      <c r="N380" s="19"/>
      <c r="O380" s="19">
        <f>1382827+41323+14722</f>
        <v>1438872</v>
      </c>
      <c r="P380" s="19"/>
      <c r="Q380" s="19">
        <v>38564</v>
      </c>
      <c r="R380" s="19"/>
      <c r="S380" s="19">
        <v>0</v>
      </c>
      <c r="T380" s="19"/>
      <c r="U380" s="19">
        <v>28747</v>
      </c>
      <c r="V380" s="19"/>
      <c r="W380" s="19">
        <v>218433</v>
      </c>
      <c r="X380" s="19"/>
      <c r="Y380" s="26">
        <f t="shared" si="66"/>
        <v>6000319</v>
      </c>
      <c r="Z380" s="19"/>
      <c r="AA380" s="19">
        <v>300414</v>
      </c>
      <c r="AB380" s="19"/>
      <c r="AC380" s="19">
        <v>0</v>
      </c>
      <c r="AD380" s="19"/>
      <c r="AE380" s="19">
        <v>0</v>
      </c>
      <c r="AF380" s="19"/>
      <c r="AG380" s="19"/>
      <c r="AH380" s="19"/>
      <c r="AI380" s="19"/>
      <c r="AJ380" s="19"/>
      <c r="AK380" s="19">
        <v>89893</v>
      </c>
      <c r="AL380" s="19"/>
      <c r="AM380" s="19">
        <v>0</v>
      </c>
      <c r="AN380" s="19"/>
      <c r="AO380" s="26">
        <f t="shared" si="67"/>
        <v>390307</v>
      </c>
      <c r="AP380" s="19"/>
      <c r="AQ380" s="26">
        <f t="shared" si="68"/>
        <v>6390626</v>
      </c>
      <c r="AR380" s="26"/>
    </row>
    <row r="381" spans="1:44">
      <c r="A381" s="9" t="s">
        <v>213</v>
      </c>
      <c r="B381" s="9"/>
      <c r="C381" s="9" t="s">
        <v>14</v>
      </c>
      <c r="D381" s="9"/>
      <c r="E381" s="23">
        <v>45955</v>
      </c>
      <c r="F381" s="19"/>
      <c r="G381" s="19">
        <v>2905473</v>
      </c>
      <c r="H381" s="19"/>
      <c r="I381" s="19">
        <v>1589121</v>
      </c>
      <c r="J381" s="19"/>
      <c r="K381" s="19">
        <v>4563954</v>
      </c>
      <c r="L381" s="19"/>
      <c r="M381" s="19">
        <v>10283</v>
      </c>
      <c r="N381" s="19"/>
      <c r="O381" s="19">
        <f>377474+236574</f>
        <v>614048</v>
      </c>
      <c r="P381" s="19"/>
      <c r="Q381" s="19">
        <v>200790</v>
      </c>
      <c r="R381" s="19"/>
      <c r="S381" s="19">
        <v>30952</v>
      </c>
      <c r="T381" s="19"/>
      <c r="U381" s="19">
        <v>183969</v>
      </c>
      <c r="V381" s="19"/>
      <c r="W381" s="19">
        <v>81291</v>
      </c>
      <c r="X381" s="19"/>
      <c r="Y381" s="26">
        <f t="shared" si="66"/>
        <v>10179881</v>
      </c>
      <c r="Z381" s="19"/>
      <c r="AA381" s="19">
        <v>20000</v>
      </c>
      <c r="AB381" s="19"/>
      <c r="AC381" s="19">
        <v>0</v>
      </c>
      <c r="AD381" s="19"/>
      <c r="AE381" s="19">
        <v>0</v>
      </c>
      <c r="AF381" s="19"/>
      <c r="AG381" s="19"/>
      <c r="AH381" s="19"/>
      <c r="AI381" s="19"/>
      <c r="AJ381" s="19"/>
      <c r="AK381" s="19">
        <v>0</v>
      </c>
      <c r="AL381" s="19"/>
      <c r="AM381" s="19">
        <v>0</v>
      </c>
      <c r="AN381" s="19"/>
      <c r="AO381" s="26">
        <f t="shared" si="67"/>
        <v>20000</v>
      </c>
      <c r="AP381" s="19"/>
      <c r="AQ381" s="26">
        <f t="shared" si="68"/>
        <v>10199881</v>
      </c>
      <c r="AR381" s="26"/>
    </row>
    <row r="382" spans="1:44" hidden="1">
      <c r="A382" s="9" t="s">
        <v>700</v>
      </c>
      <c r="B382" s="9"/>
      <c r="C382" s="9" t="s">
        <v>14</v>
      </c>
      <c r="D382" s="9"/>
      <c r="E382" s="23">
        <v>45963</v>
      </c>
      <c r="F382" s="19"/>
      <c r="G382" s="19">
        <v>0</v>
      </c>
      <c r="H382" s="19"/>
      <c r="I382" s="19">
        <v>0</v>
      </c>
      <c r="J382" s="19"/>
      <c r="K382" s="19">
        <v>0</v>
      </c>
      <c r="L382" s="19"/>
      <c r="M382" s="19">
        <v>0</v>
      </c>
      <c r="N382" s="19"/>
      <c r="O382" s="19">
        <v>0</v>
      </c>
      <c r="P382" s="19"/>
      <c r="Q382" s="19">
        <v>0</v>
      </c>
      <c r="R382" s="19"/>
      <c r="S382" s="19">
        <v>0</v>
      </c>
      <c r="T382" s="19"/>
      <c r="U382" s="19">
        <v>0</v>
      </c>
      <c r="V382" s="19"/>
      <c r="W382" s="19">
        <v>0</v>
      </c>
      <c r="X382" s="19"/>
      <c r="Y382" s="26">
        <f t="shared" si="66"/>
        <v>0</v>
      </c>
      <c r="Z382" s="19"/>
      <c r="AA382" s="19">
        <v>0</v>
      </c>
      <c r="AB382" s="19"/>
      <c r="AC382" s="19">
        <v>0</v>
      </c>
      <c r="AD382" s="19"/>
      <c r="AE382" s="19">
        <v>0</v>
      </c>
      <c r="AF382" s="19"/>
      <c r="AG382" s="19"/>
      <c r="AH382" s="19"/>
      <c r="AI382" s="19"/>
      <c r="AJ382" s="19"/>
      <c r="AK382" s="19">
        <v>0</v>
      </c>
      <c r="AL382" s="19"/>
      <c r="AM382" s="19">
        <v>0</v>
      </c>
      <c r="AN382" s="19"/>
      <c r="AO382" s="26">
        <f t="shared" si="67"/>
        <v>0</v>
      </c>
      <c r="AP382" s="19"/>
      <c r="AQ382" s="26">
        <f t="shared" si="68"/>
        <v>0</v>
      </c>
      <c r="AR382" s="26"/>
    </row>
    <row r="383" spans="1:44">
      <c r="A383" s="9" t="s">
        <v>430</v>
      </c>
      <c r="B383" s="9"/>
      <c r="C383" s="9" t="s">
        <v>50</v>
      </c>
      <c r="D383" s="9"/>
      <c r="E383" s="23">
        <v>48710</v>
      </c>
      <c r="F383" s="19"/>
      <c r="G383" s="19">
        <v>4080568</v>
      </c>
      <c r="H383" s="19"/>
      <c r="I383" s="19">
        <v>0</v>
      </c>
      <c r="J383" s="19"/>
      <c r="K383" s="19">
        <v>7327491</v>
      </c>
      <c r="L383" s="19"/>
      <c r="M383" s="19">
        <v>8755</v>
      </c>
      <c r="N383" s="19"/>
      <c r="O383" s="19">
        <f>984750+170950</f>
        <v>1155700</v>
      </c>
      <c r="P383" s="19"/>
      <c r="Q383" s="19">
        <v>93024</v>
      </c>
      <c r="R383" s="19"/>
      <c r="S383" s="19">
        <v>0</v>
      </c>
      <c r="T383" s="19"/>
      <c r="U383" s="19">
        <v>0</v>
      </c>
      <c r="V383" s="19"/>
      <c r="W383" s="19">
        <v>131285</v>
      </c>
      <c r="X383" s="19"/>
      <c r="Y383" s="26">
        <f t="shared" si="66"/>
        <v>12796823</v>
      </c>
      <c r="Z383" s="19"/>
      <c r="AA383" s="19">
        <v>220324</v>
      </c>
      <c r="AB383" s="19"/>
      <c r="AC383" s="19">
        <v>0</v>
      </c>
      <c r="AD383" s="19"/>
      <c r="AE383" s="19">
        <v>0</v>
      </c>
      <c r="AF383" s="19"/>
      <c r="AG383" s="19"/>
      <c r="AH383" s="19"/>
      <c r="AI383" s="19"/>
      <c r="AJ383" s="19"/>
      <c r="AK383" s="19">
        <v>0</v>
      </c>
      <c r="AL383" s="19"/>
      <c r="AM383" s="19">
        <v>0</v>
      </c>
      <c r="AN383" s="19"/>
      <c r="AO383" s="26">
        <f t="shared" si="67"/>
        <v>220324</v>
      </c>
      <c r="AP383" s="19"/>
      <c r="AQ383" s="26">
        <f t="shared" si="68"/>
        <v>13017147</v>
      </c>
      <c r="AR383" s="26"/>
    </row>
    <row r="384" spans="1:44" hidden="1">
      <c r="A384" s="9" t="s">
        <v>803</v>
      </c>
      <c r="B384" s="9"/>
      <c r="C384" s="9" t="s">
        <v>448</v>
      </c>
      <c r="D384" s="9"/>
      <c r="E384" s="23">
        <v>44479</v>
      </c>
      <c r="F384" s="19"/>
      <c r="G384" s="19">
        <v>0</v>
      </c>
      <c r="H384" s="19"/>
      <c r="I384" s="19">
        <v>0</v>
      </c>
      <c r="J384" s="19"/>
      <c r="K384" s="19">
        <v>0</v>
      </c>
      <c r="L384" s="19"/>
      <c r="M384" s="19">
        <v>0</v>
      </c>
      <c r="N384" s="19"/>
      <c r="O384" s="19">
        <v>0</v>
      </c>
      <c r="P384" s="19"/>
      <c r="Q384" s="19">
        <v>0</v>
      </c>
      <c r="R384" s="19"/>
      <c r="S384" s="19">
        <v>0</v>
      </c>
      <c r="T384" s="19"/>
      <c r="U384" s="19">
        <v>0</v>
      </c>
      <c r="V384" s="19"/>
      <c r="W384" s="19">
        <v>0</v>
      </c>
      <c r="X384" s="19"/>
      <c r="Y384" s="26">
        <f t="shared" si="66"/>
        <v>0</v>
      </c>
      <c r="Z384" s="19"/>
      <c r="AA384" s="19">
        <v>0</v>
      </c>
      <c r="AB384" s="19"/>
      <c r="AC384" s="19">
        <v>0</v>
      </c>
      <c r="AD384" s="19"/>
      <c r="AE384" s="19">
        <v>0</v>
      </c>
      <c r="AF384" s="19"/>
      <c r="AG384" s="19"/>
      <c r="AH384" s="19"/>
      <c r="AI384" s="19"/>
      <c r="AJ384" s="19"/>
      <c r="AK384" s="19">
        <v>0</v>
      </c>
      <c r="AL384" s="19"/>
      <c r="AM384" s="19">
        <v>0</v>
      </c>
      <c r="AN384" s="19"/>
      <c r="AO384" s="26">
        <f t="shared" si="67"/>
        <v>0</v>
      </c>
      <c r="AP384" s="19"/>
      <c r="AQ384" s="26">
        <f t="shared" si="68"/>
        <v>0</v>
      </c>
      <c r="AR384" s="26"/>
    </row>
    <row r="385" spans="1:44">
      <c r="A385" s="9" t="s">
        <v>355</v>
      </c>
      <c r="B385" s="9"/>
      <c r="C385" s="9" t="s">
        <v>37</v>
      </c>
      <c r="D385" s="9"/>
      <c r="E385" s="23">
        <v>47720</v>
      </c>
      <c r="F385" s="19"/>
      <c r="G385" s="19">
        <v>3304887</v>
      </c>
      <c r="H385" s="19"/>
      <c r="I385" s="19">
        <v>0</v>
      </c>
      <c r="J385" s="19"/>
      <c r="K385" s="19">
        <v>6343151</v>
      </c>
      <c r="L385" s="19"/>
      <c r="M385" s="19">
        <v>9070</v>
      </c>
      <c r="N385" s="19"/>
      <c r="O385" s="19">
        <f>379267+299+117065+20460+31818</f>
        <v>548909</v>
      </c>
      <c r="P385" s="19"/>
      <c r="Q385" s="19">
        <v>236864</v>
      </c>
      <c r="R385" s="19"/>
      <c r="S385" s="19">
        <v>0</v>
      </c>
      <c r="T385" s="19"/>
      <c r="U385" s="19">
        <v>65654</v>
      </c>
      <c r="V385" s="19"/>
      <c r="W385" s="19">
        <v>51682</v>
      </c>
      <c r="X385" s="19"/>
      <c r="Y385" s="26">
        <f t="shared" si="66"/>
        <v>10560217</v>
      </c>
      <c r="Z385" s="19"/>
      <c r="AA385" s="19">
        <v>22503</v>
      </c>
      <c r="AB385" s="19"/>
      <c r="AC385" s="19">
        <v>0</v>
      </c>
      <c r="AD385" s="19"/>
      <c r="AE385" s="19">
        <v>0</v>
      </c>
      <c r="AF385" s="19"/>
      <c r="AG385" s="19"/>
      <c r="AH385" s="19"/>
      <c r="AI385" s="19"/>
      <c r="AJ385" s="19"/>
      <c r="AK385" s="19">
        <v>0</v>
      </c>
      <c r="AL385" s="19"/>
      <c r="AM385" s="19">
        <v>0</v>
      </c>
      <c r="AN385" s="19"/>
      <c r="AO385" s="26">
        <f t="shared" si="67"/>
        <v>22503</v>
      </c>
      <c r="AP385" s="19"/>
      <c r="AQ385" s="26">
        <f t="shared" si="68"/>
        <v>10582720</v>
      </c>
      <c r="AR385" s="26"/>
    </row>
    <row r="386" spans="1:44">
      <c r="A386" s="9" t="s">
        <v>225</v>
      </c>
      <c r="B386" s="9"/>
      <c r="C386" s="9" t="s">
        <v>220</v>
      </c>
      <c r="D386" s="9"/>
      <c r="E386" s="23">
        <v>46136</v>
      </c>
      <c r="F386" s="19"/>
      <c r="G386" s="19">
        <v>1535124</v>
      </c>
      <c r="H386" s="19"/>
      <c r="I386" s="19">
        <v>0</v>
      </c>
      <c r="J386" s="19"/>
      <c r="K386" s="19">
        <v>5875146</v>
      </c>
      <c r="L386" s="19"/>
      <c r="M386" s="19">
        <v>2182</v>
      </c>
      <c r="N386" s="19"/>
      <c r="O386" s="19">
        <f>7336+32826</f>
        <v>40162</v>
      </c>
      <c r="P386" s="19"/>
      <c r="Q386" s="19">
        <v>0</v>
      </c>
      <c r="R386" s="19"/>
      <c r="S386" s="19">
        <v>0</v>
      </c>
      <c r="T386" s="19"/>
      <c r="U386" s="19">
        <v>0</v>
      </c>
      <c r="V386" s="19"/>
      <c r="W386" s="19">
        <v>135384</v>
      </c>
      <c r="X386" s="19"/>
      <c r="Y386" s="26">
        <f t="shared" si="66"/>
        <v>7587998</v>
      </c>
      <c r="Z386" s="19"/>
      <c r="AA386" s="19">
        <v>58115</v>
      </c>
      <c r="AB386" s="19"/>
      <c r="AC386" s="19">
        <v>0</v>
      </c>
      <c r="AD386" s="19"/>
      <c r="AE386" s="19">
        <v>0</v>
      </c>
      <c r="AF386" s="19"/>
      <c r="AG386" s="19"/>
      <c r="AH386" s="19"/>
      <c r="AI386" s="19"/>
      <c r="AJ386" s="19"/>
      <c r="AK386" s="19">
        <v>0</v>
      </c>
      <c r="AL386" s="19"/>
      <c r="AM386" s="19">
        <v>0</v>
      </c>
      <c r="AN386" s="19"/>
      <c r="AO386" s="26">
        <f t="shared" si="67"/>
        <v>58115</v>
      </c>
      <c r="AP386" s="19"/>
      <c r="AQ386" s="26">
        <f t="shared" si="68"/>
        <v>7646113</v>
      </c>
      <c r="AR386" s="26"/>
    </row>
    <row r="387" spans="1:44">
      <c r="A387" s="9" t="s">
        <v>533</v>
      </c>
      <c r="B387" s="9"/>
      <c r="C387" s="9" t="s">
        <v>65</v>
      </c>
      <c r="D387" s="9"/>
      <c r="E387" s="23">
        <v>44487</v>
      </c>
      <c r="F387" s="19"/>
      <c r="G387" s="19">
        <v>11633986</v>
      </c>
      <c r="H387" s="19"/>
      <c r="I387" s="19">
        <v>0</v>
      </c>
      <c r="J387" s="19"/>
      <c r="K387" s="19">
        <v>13614882</v>
      </c>
      <c r="L387" s="19"/>
      <c r="M387" s="19">
        <v>26656</v>
      </c>
      <c r="N387" s="19"/>
      <c r="O387" s="19">
        <f>1779745+284122</f>
        <v>2063867</v>
      </c>
      <c r="P387" s="19"/>
      <c r="Q387" s="19">
        <v>675241</v>
      </c>
      <c r="R387" s="19"/>
      <c r="S387" s="19">
        <v>0</v>
      </c>
      <c r="T387" s="19"/>
      <c r="U387" s="19">
        <v>47707</v>
      </c>
      <c r="V387" s="19"/>
      <c r="W387" s="19">
        <v>579266</v>
      </c>
      <c r="X387" s="19"/>
      <c r="Y387" s="26">
        <f t="shared" si="66"/>
        <v>28641605</v>
      </c>
      <c r="Z387" s="19"/>
      <c r="AA387" s="19">
        <v>251500</v>
      </c>
      <c r="AB387" s="19"/>
      <c r="AC387" s="19">
        <v>0</v>
      </c>
      <c r="AD387" s="19"/>
      <c r="AE387" s="19">
        <v>0</v>
      </c>
      <c r="AF387" s="19"/>
      <c r="AG387" s="19"/>
      <c r="AH387" s="19"/>
      <c r="AI387" s="19"/>
      <c r="AJ387" s="19"/>
      <c r="AK387" s="19">
        <v>0</v>
      </c>
      <c r="AL387" s="19"/>
      <c r="AM387" s="19">
        <v>0</v>
      </c>
      <c r="AN387" s="19"/>
      <c r="AO387" s="26">
        <f t="shared" si="67"/>
        <v>251500</v>
      </c>
      <c r="AP387" s="19"/>
      <c r="AQ387" s="26">
        <f t="shared" si="68"/>
        <v>28893105</v>
      </c>
      <c r="AR387" s="26"/>
    </row>
    <row r="388" spans="1:44">
      <c r="A388" s="9" t="s">
        <v>766</v>
      </c>
      <c r="B388" s="9"/>
      <c r="C388" s="9" t="s">
        <v>112</v>
      </c>
      <c r="D388" s="9"/>
      <c r="E388" s="23">
        <v>45559</v>
      </c>
      <c r="F388" s="19"/>
      <c r="G388" s="19">
        <v>15063718</v>
      </c>
      <c r="H388" s="19"/>
      <c r="I388" s="19">
        <v>0</v>
      </c>
      <c r="J388" s="19"/>
      <c r="K388" s="19">
        <v>13091940</v>
      </c>
      <c r="L388" s="19"/>
      <c r="M388" s="19">
        <v>161857</v>
      </c>
      <c r="N388" s="19"/>
      <c r="O388" s="19">
        <v>1624641</v>
      </c>
      <c r="P388" s="19"/>
      <c r="Q388" s="19">
        <v>0</v>
      </c>
      <c r="R388" s="19"/>
      <c r="S388" s="19">
        <v>0</v>
      </c>
      <c r="T388" s="19"/>
      <c r="U388" s="19">
        <v>0</v>
      </c>
      <c r="V388" s="19"/>
      <c r="W388" s="19">
        <v>322982</v>
      </c>
      <c r="X388" s="19"/>
      <c r="Y388" s="26">
        <f t="shared" si="66"/>
        <v>30265138</v>
      </c>
      <c r="Z388" s="19"/>
      <c r="AA388" s="19">
        <v>1247596</v>
      </c>
      <c r="AB388" s="19"/>
      <c r="AC388" s="19">
        <v>0</v>
      </c>
      <c r="AD388" s="19"/>
      <c r="AE388" s="19">
        <v>0</v>
      </c>
      <c r="AF388" s="19"/>
      <c r="AG388" s="19"/>
      <c r="AH388" s="19"/>
      <c r="AI388" s="19"/>
      <c r="AJ388" s="19"/>
      <c r="AK388" s="19">
        <v>0</v>
      </c>
      <c r="AL388" s="19"/>
      <c r="AM388" s="19">
        <v>0</v>
      </c>
      <c r="AN388" s="19"/>
      <c r="AO388" s="26">
        <f t="shared" si="67"/>
        <v>1247596</v>
      </c>
      <c r="AP388" s="19"/>
      <c r="AQ388" s="26">
        <f t="shared" si="68"/>
        <v>31512734</v>
      </c>
      <c r="AR388" s="26"/>
    </row>
    <row r="389" spans="1:44" hidden="1">
      <c r="A389" s="9" t="s">
        <v>804</v>
      </c>
      <c r="B389" s="9"/>
      <c r="C389" s="9" t="s">
        <v>60</v>
      </c>
      <c r="D389" s="9"/>
      <c r="E389" s="23">
        <v>49718</v>
      </c>
      <c r="F389" s="19"/>
      <c r="G389" s="19">
        <v>0</v>
      </c>
      <c r="H389" s="19"/>
      <c r="I389" s="19">
        <v>0</v>
      </c>
      <c r="J389" s="19"/>
      <c r="K389" s="19">
        <v>0</v>
      </c>
      <c r="L389" s="19"/>
      <c r="M389" s="19">
        <v>0</v>
      </c>
      <c r="N389" s="19"/>
      <c r="O389" s="19">
        <v>0</v>
      </c>
      <c r="P389" s="19"/>
      <c r="Q389" s="19">
        <v>0</v>
      </c>
      <c r="R389" s="19"/>
      <c r="S389" s="19">
        <v>0</v>
      </c>
      <c r="T389" s="19"/>
      <c r="U389" s="19">
        <v>0</v>
      </c>
      <c r="V389" s="19"/>
      <c r="W389" s="19">
        <v>0</v>
      </c>
      <c r="X389" s="19"/>
      <c r="Y389" s="26">
        <f t="shared" si="66"/>
        <v>0</v>
      </c>
      <c r="Z389" s="19"/>
      <c r="AA389" s="19">
        <v>0</v>
      </c>
      <c r="AB389" s="19"/>
      <c r="AC389" s="19">
        <v>0</v>
      </c>
      <c r="AD389" s="19"/>
      <c r="AE389" s="19">
        <v>0</v>
      </c>
      <c r="AF389" s="19"/>
      <c r="AG389" s="19"/>
      <c r="AH389" s="19"/>
      <c r="AI389" s="19"/>
      <c r="AJ389" s="19"/>
      <c r="AK389" s="19">
        <v>0</v>
      </c>
      <c r="AL389" s="19"/>
      <c r="AM389" s="19">
        <v>0</v>
      </c>
      <c r="AN389" s="19"/>
      <c r="AO389" s="26">
        <f t="shared" si="67"/>
        <v>0</v>
      </c>
      <c r="AP389" s="19"/>
      <c r="AQ389" s="26">
        <f t="shared" si="68"/>
        <v>0</v>
      </c>
      <c r="AR389" s="26"/>
    </row>
    <row r="390" spans="1:44">
      <c r="A390" s="9" t="s">
        <v>374</v>
      </c>
      <c r="B390" s="9"/>
      <c r="C390" s="9" t="s">
        <v>42</v>
      </c>
      <c r="D390" s="9"/>
      <c r="E390" s="23">
        <v>44453</v>
      </c>
      <c r="F390" s="19"/>
      <c r="G390" s="19">
        <v>24406486</v>
      </c>
      <c r="H390" s="19"/>
      <c r="I390" s="19">
        <v>8082852</v>
      </c>
      <c r="J390" s="19"/>
      <c r="K390" s="19">
        <f>34186510+6941413</f>
        <v>41127923</v>
      </c>
      <c r="L390" s="19"/>
      <c r="M390" s="19">
        <v>50873</v>
      </c>
      <c r="N390" s="19"/>
      <c r="O390" s="19">
        <f>788387+94812+522869+129328+6578+23449</f>
        <v>1565423</v>
      </c>
      <c r="P390" s="19"/>
      <c r="Q390" s="19">
        <v>167759</v>
      </c>
      <c r="R390" s="19"/>
      <c r="S390" s="19">
        <v>8504</v>
      </c>
      <c r="T390" s="19"/>
      <c r="U390" s="19">
        <v>195608</v>
      </c>
      <c r="V390" s="19"/>
      <c r="W390" s="19">
        <v>911439</v>
      </c>
      <c r="X390" s="19"/>
      <c r="Y390" s="26">
        <f t="shared" si="66"/>
        <v>76516867</v>
      </c>
      <c r="Z390" s="19"/>
      <c r="AA390" s="19">
        <v>2221799</v>
      </c>
      <c r="AB390" s="19"/>
      <c r="AC390" s="19">
        <v>0</v>
      </c>
      <c r="AD390" s="19"/>
      <c r="AE390" s="19">
        <v>0</v>
      </c>
      <c r="AF390" s="19"/>
      <c r="AG390" s="19"/>
      <c r="AH390" s="19"/>
      <c r="AI390" s="19"/>
      <c r="AJ390" s="19"/>
      <c r="AK390" s="19">
        <v>135899</v>
      </c>
      <c r="AL390" s="19"/>
      <c r="AM390" s="19">
        <v>0</v>
      </c>
      <c r="AN390" s="19"/>
      <c r="AO390" s="26">
        <f t="shared" si="67"/>
        <v>2357698</v>
      </c>
      <c r="AP390" s="19"/>
      <c r="AQ390" s="26">
        <f t="shared" si="68"/>
        <v>78874565</v>
      </c>
      <c r="AR390" s="26"/>
    </row>
    <row r="391" spans="1:44" hidden="1">
      <c r="A391" s="8" t="s">
        <v>867</v>
      </c>
      <c r="B391" s="9"/>
      <c r="C391" s="9" t="s">
        <v>30</v>
      </c>
      <c r="D391" s="9"/>
      <c r="E391" s="23">
        <v>47217</v>
      </c>
      <c r="F391" s="19"/>
      <c r="G391" s="19">
        <v>0</v>
      </c>
      <c r="H391" s="19"/>
      <c r="I391" s="19">
        <v>0</v>
      </c>
      <c r="J391" s="19"/>
      <c r="K391" s="19">
        <v>0</v>
      </c>
      <c r="L391" s="19"/>
      <c r="M391" s="19">
        <v>0</v>
      </c>
      <c r="N391" s="19"/>
      <c r="O391" s="19">
        <v>0</v>
      </c>
      <c r="P391" s="19"/>
      <c r="Q391" s="19">
        <v>0</v>
      </c>
      <c r="R391" s="19"/>
      <c r="S391" s="19">
        <v>0</v>
      </c>
      <c r="T391" s="19"/>
      <c r="U391" s="19">
        <v>0</v>
      </c>
      <c r="V391" s="19"/>
      <c r="W391" s="19">
        <v>0</v>
      </c>
      <c r="X391" s="19"/>
      <c r="Y391" s="26">
        <f t="shared" si="66"/>
        <v>0</v>
      </c>
      <c r="Z391" s="19"/>
      <c r="AA391" s="19">
        <v>0</v>
      </c>
      <c r="AB391" s="19"/>
      <c r="AC391" s="19">
        <v>0</v>
      </c>
      <c r="AD391" s="19"/>
      <c r="AE391" s="19">
        <v>0</v>
      </c>
      <c r="AF391" s="19"/>
      <c r="AG391" s="19"/>
      <c r="AH391" s="19"/>
      <c r="AI391" s="19"/>
      <c r="AJ391" s="19"/>
      <c r="AK391" s="19">
        <v>0</v>
      </c>
      <c r="AL391" s="19"/>
      <c r="AM391" s="19">
        <v>0</v>
      </c>
      <c r="AN391" s="19"/>
      <c r="AO391" s="26">
        <f t="shared" si="67"/>
        <v>0</v>
      </c>
      <c r="AP391" s="19"/>
      <c r="AQ391" s="26">
        <f t="shared" si="68"/>
        <v>0</v>
      </c>
      <c r="AR391" s="26"/>
    </row>
    <row r="392" spans="1:44">
      <c r="A392" s="9" t="s">
        <v>767</v>
      </c>
      <c r="B392" s="9"/>
      <c r="C392" s="9" t="s">
        <v>65</v>
      </c>
      <c r="D392" s="9"/>
      <c r="E392" s="23">
        <v>45542</v>
      </c>
      <c r="F392" s="19"/>
      <c r="G392" s="19">
        <v>2878985</v>
      </c>
      <c r="H392" s="19"/>
      <c r="I392" s="19">
        <v>0</v>
      </c>
      <c r="J392" s="19"/>
      <c r="K392" s="19">
        <f>6139682+1439483</f>
        <v>7579165</v>
      </c>
      <c r="L392" s="19"/>
      <c r="M392" s="19">
        <v>17</v>
      </c>
      <c r="N392" s="19"/>
      <c r="O392" s="19">
        <f>805187+128035+15261+325</f>
        <v>948808</v>
      </c>
      <c r="P392" s="19"/>
      <c r="Q392" s="19">
        <v>160565</v>
      </c>
      <c r="R392" s="19"/>
      <c r="S392" s="19">
        <v>0</v>
      </c>
      <c r="T392" s="19"/>
      <c r="U392" s="19">
        <v>104892</v>
      </c>
      <c r="V392" s="19"/>
      <c r="W392" s="19">
        <v>45337</v>
      </c>
      <c r="X392" s="19"/>
      <c r="Y392" s="26">
        <f t="shared" si="66"/>
        <v>11717769</v>
      </c>
      <c r="Z392" s="19"/>
      <c r="AA392" s="19">
        <v>0</v>
      </c>
      <c r="AB392" s="19"/>
      <c r="AC392" s="19">
        <v>0</v>
      </c>
      <c r="AD392" s="19"/>
      <c r="AE392" s="19">
        <v>0</v>
      </c>
      <c r="AF392" s="19"/>
      <c r="AG392" s="19"/>
      <c r="AH392" s="19"/>
      <c r="AI392" s="19"/>
      <c r="AJ392" s="19"/>
      <c r="AK392" s="19">
        <v>102107</v>
      </c>
      <c r="AL392" s="19"/>
      <c r="AM392" s="19">
        <v>0</v>
      </c>
      <c r="AN392" s="19"/>
      <c r="AO392" s="26">
        <f t="shared" si="67"/>
        <v>102107</v>
      </c>
      <c r="AP392" s="19"/>
      <c r="AQ392" s="26">
        <f t="shared" si="68"/>
        <v>11819876</v>
      </c>
      <c r="AR392" s="26"/>
    </row>
    <row r="393" spans="1:44">
      <c r="A393" s="9" t="s">
        <v>768</v>
      </c>
      <c r="B393" s="9"/>
      <c r="C393" s="9" t="s">
        <v>64</v>
      </c>
      <c r="D393" s="9"/>
      <c r="E393" s="23">
        <v>45567</v>
      </c>
      <c r="F393" s="19"/>
      <c r="G393" s="19">
        <v>2928846</v>
      </c>
      <c r="H393" s="19"/>
      <c r="I393" s="19">
        <v>0</v>
      </c>
      <c r="J393" s="19"/>
      <c r="K393" s="19">
        <v>8986288</v>
      </c>
      <c r="L393" s="19"/>
      <c r="M393" s="19">
        <v>4922</v>
      </c>
      <c r="N393" s="19"/>
      <c r="O393" s="19">
        <f>340112+154712+1400</f>
        <v>496224</v>
      </c>
      <c r="P393" s="19"/>
      <c r="Q393" s="19">
        <v>164532</v>
      </c>
      <c r="R393" s="19"/>
      <c r="S393" s="19">
        <v>0</v>
      </c>
      <c r="T393" s="19"/>
      <c r="U393" s="19">
        <v>1840</v>
      </c>
      <c r="V393" s="19"/>
      <c r="W393" s="19">
        <v>45879</v>
      </c>
      <c r="X393" s="19"/>
      <c r="Y393" s="26">
        <f t="shared" si="66"/>
        <v>12628531</v>
      </c>
      <c r="Z393" s="19"/>
      <c r="AA393" s="19">
        <v>34076</v>
      </c>
      <c r="AB393" s="19"/>
      <c r="AC393" s="19">
        <v>0</v>
      </c>
      <c r="AD393" s="19"/>
      <c r="AE393" s="19">
        <v>0</v>
      </c>
      <c r="AF393" s="19"/>
      <c r="AG393" s="19"/>
      <c r="AH393" s="19"/>
      <c r="AI393" s="19"/>
      <c r="AJ393" s="19"/>
      <c r="AK393" s="19">
        <v>0</v>
      </c>
      <c r="AL393" s="19"/>
      <c r="AM393" s="19">
        <v>0</v>
      </c>
      <c r="AN393" s="19"/>
      <c r="AO393" s="26">
        <f t="shared" si="67"/>
        <v>34076</v>
      </c>
      <c r="AP393" s="19"/>
      <c r="AQ393" s="26">
        <f t="shared" si="68"/>
        <v>12662607</v>
      </c>
      <c r="AR393" s="26"/>
    </row>
    <row r="394" spans="1:44" hidden="1">
      <c r="A394" s="9" t="s">
        <v>805</v>
      </c>
      <c r="B394" s="9"/>
      <c r="C394" s="9" t="s">
        <v>48</v>
      </c>
      <c r="D394" s="9"/>
      <c r="E394" s="23">
        <v>48637</v>
      </c>
      <c r="F394" s="19"/>
      <c r="G394" s="19">
        <v>0</v>
      </c>
      <c r="H394" s="19"/>
      <c r="I394" s="19">
        <v>0</v>
      </c>
      <c r="J394" s="19"/>
      <c r="K394" s="19">
        <v>0</v>
      </c>
      <c r="L394" s="19"/>
      <c r="M394" s="19">
        <v>0</v>
      </c>
      <c r="N394" s="19"/>
      <c r="O394" s="19">
        <v>0</v>
      </c>
      <c r="P394" s="19"/>
      <c r="Q394" s="19">
        <v>0</v>
      </c>
      <c r="R394" s="19"/>
      <c r="S394" s="19">
        <v>0</v>
      </c>
      <c r="T394" s="19"/>
      <c r="U394" s="19">
        <v>0</v>
      </c>
      <c r="V394" s="19"/>
      <c r="W394" s="19">
        <v>0</v>
      </c>
      <c r="X394" s="19"/>
      <c r="Y394" s="26">
        <f t="shared" si="66"/>
        <v>0</v>
      </c>
      <c r="Z394" s="19"/>
      <c r="AA394" s="19">
        <v>0</v>
      </c>
      <c r="AB394" s="19"/>
      <c r="AC394" s="19">
        <v>0</v>
      </c>
      <c r="AD394" s="19"/>
      <c r="AE394" s="19">
        <v>0</v>
      </c>
      <c r="AF394" s="19"/>
      <c r="AG394" s="19"/>
      <c r="AH394" s="19"/>
      <c r="AI394" s="19"/>
      <c r="AJ394" s="19"/>
      <c r="AK394" s="19">
        <v>0</v>
      </c>
      <c r="AL394" s="19"/>
      <c r="AM394" s="19">
        <v>0</v>
      </c>
      <c r="AN394" s="19"/>
      <c r="AO394" s="26">
        <f t="shared" si="67"/>
        <v>0</v>
      </c>
      <c r="AP394" s="19"/>
      <c r="AQ394" s="26">
        <f t="shared" si="68"/>
        <v>0</v>
      </c>
      <c r="AR394" s="26"/>
    </row>
    <row r="395" spans="1:44">
      <c r="A395" s="9" t="s">
        <v>601</v>
      </c>
      <c r="B395" s="9"/>
      <c r="C395" s="9" t="s">
        <v>64</v>
      </c>
      <c r="D395" s="9"/>
      <c r="E395" s="23">
        <v>44495</v>
      </c>
      <c r="F395" s="19"/>
      <c r="G395" s="19">
        <v>8381550</v>
      </c>
      <c r="H395" s="19"/>
      <c r="I395" s="19">
        <v>0</v>
      </c>
      <c r="J395" s="19"/>
      <c r="K395" s="19">
        <v>21243126</v>
      </c>
      <c r="L395" s="19"/>
      <c r="M395" s="19">
        <v>474716</v>
      </c>
      <c r="N395" s="19"/>
      <c r="O395" s="19">
        <f>936065+243727+24014+74802</f>
        <v>1278608</v>
      </c>
      <c r="P395" s="19"/>
      <c r="Q395" s="19">
        <v>173358</v>
      </c>
      <c r="R395" s="19"/>
      <c r="S395" s="19">
        <v>0</v>
      </c>
      <c r="T395" s="19"/>
      <c r="U395" s="19">
        <v>10638</v>
      </c>
      <c r="V395" s="19"/>
      <c r="W395" s="19">
        <v>46829</v>
      </c>
      <c r="X395" s="19"/>
      <c r="Y395" s="26">
        <f t="shared" si="66"/>
        <v>31608825</v>
      </c>
      <c r="Z395" s="19"/>
      <c r="AA395" s="19">
        <v>35</v>
      </c>
      <c r="AB395" s="19"/>
      <c r="AC395" s="19">
        <v>0</v>
      </c>
      <c r="AD395" s="19"/>
      <c r="AE395" s="19">
        <v>0</v>
      </c>
      <c r="AF395" s="19"/>
      <c r="AG395" s="19"/>
      <c r="AH395" s="19"/>
      <c r="AI395" s="19"/>
      <c r="AJ395" s="19"/>
      <c r="AK395" s="19">
        <v>68740</v>
      </c>
      <c r="AL395" s="19"/>
      <c r="AM395" s="19">
        <v>0</v>
      </c>
      <c r="AN395" s="19"/>
      <c r="AO395" s="26">
        <f t="shared" si="67"/>
        <v>68775</v>
      </c>
      <c r="AP395" s="19"/>
      <c r="AQ395" s="26">
        <f t="shared" si="68"/>
        <v>31677600</v>
      </c>
      <c r="AR395" s="26"/>
    </row>
    <row r="396" spans="1:44">
      <c r="A396" s="9" t="s">
        <v>446</v>
      </c>
      <c r="B396" s="9"/>
      <c r="C396" s="9" t="s">
        <v>52</v>
      </c>
      <c r="D396" s="9"/>
      <c r="E396" s="23">
        <v>48900</v>
      </c>
      <c r="F396" s="19"/>
      <c r="G396" s="19">
        <v>3937945</v>
      </c>
      <c r="H396" s="19"/>
      <c r="I396" s="19">
        <v>0</v>
      </c>
      <c r="J396" s="19"/>
      <c r="K396" s="19">
        <v>7140881</v>
      </c>
      <c r="L396" s="19"/>
      <c r="M396" s="19">
        <v>12125</v>
      </c>
      <c r="N396" s="19"/>
      <c r="O396" s="19">
        <f>183047+812031+310</f>
        <v>995388</v>
      </c>
      <c r="P396" s="19"/>
      <c r="Q396" s="19">
        <v>94021</v>
      </c>
      <c r="R396" s="19"/>
      <c r="S396" s="19">
        <v>0</v>
      </c>
      <c r="T396" s="19"/>
      <c r="U396" s="19">
        <v>10609</v>
      </c>
      <c r="V396" s="19"/>
      <c r="W396" s="19">
        <v>42381</v>
      </c>
      <c r="X396" s="19"/>
      <c r="Y396" s="26">
        <f t="shared" si="66"/>
        <v>12233350</v>
      </c>
      <c r="Z396" s="19"/>
      <c r="AA396" s="19">
        <v>35000</v>
      </c>
      <c r="AB396" s="19"/>
      <c r="AC396" s="19">
        <v>0</v>
      </c>
      <c r="AD396" s="19"/>
      <c r="AE396" s="19">
        <f>720000+23655</f>
        <v>743655</v>
      </c>
      <c r="AF396" s="19"/>
      <c r="AG396" s="19"/>
      <c r="AH396" s="19"/>
      <c r="AI396" s="19"/>
      <c r="AJ396" s="19"/>
      <c r="AK396" s="19">
        <v>0</v>
      </c>
      <c r="AL396" s="19"/>
      <c r="AM396" s="19">
        <v>0</v>
      </c>
      <c r="AN396" s="19"/>
      <c r="AO396" s="26">
        <f t="shared" si="67"/>
        <v>778655</v>
      </c>
      <c r="AP396" s="19"/>
      <c r="AQ396" s="26">
        <f t="shared" si="68"/>
        <v>13012005</v>
      </c>
      <c r="AR396" s="26"/>
    </row>
    <row r="397" spans="1:44">
      <c r="A397" s="9" t="s">
        <v>507</v>
      </c>
      <c r="B397" s="9"/>
      <c r="C397" s="9" t="s">
        <v>63</v>
      </c>
      <c r="D397" s="9"/>
      <c r="E397" s="23">
        <v>50047</v>
      </c>
      <c r="F397" s="19"/>
      <c r="G397" s="19">
        <v>29178336</v>
      </c>
      <c r="H397" s="19"/>
      <c r="I397" s="19">
        <v>0</v>
      </c>
      <c r="J397" s="19"/>
      <c r="K397" s="19">
        <v>14029617</v>
      </c>
      <c r="L397" s="19"/>
      <c r="M397" s="19">
        <v>13801</v>
      </c>
      <c r="N397" s="19"/>
      <c r="O397" s="19">
        <f>859882+906856+61262</f>
        <v>1828000</v>
      </c>
      <c r="P397" s="19"/>
      <c r="Q397" s="19">
        <v>1100659</v>
      </c>
      <c r="R397" s="19"/>
      <c r="S397" s="19">
        <v>225094</v>
      </c>
      <c r="T397" s="19"/>
      <c r="U397" s="19">
        <v>16451</v>
      </c>
      <c r="V397" s="19"/>
      <c r="W397" s="19">
        <v>77924</v>
      </c>
      <c r="X397" s="19"/>
      <c r="Y397" s="26">
        <f t="shared" si="66"/>
        <v>46469882</v>
      </c>
      <c r="Z397" s="19"/>
      <c r="AA397" s="19">
        <v>15000</v>
      </c>
      <c r="AB397" s="19"/>
      <c r="AC397" s="19">
        <v>0</v>
      </c>
      <c r="AD397" s="19"/>
      <c r="AE397" s="19">
        <v>0</v>
      </c>
      <c r="AF397" s="19"/>
      <c r="AG397" s="19"/>
      <c r="AH397" s="19"/>
      <c r="AI397" s="19"/>
      <c r="AJ397" s="19"/>
      <c r="AK397" s="19">
        <v>6137</v>
      </c>
      <c r="AL397" s="19"/>
      <c r="AM397" s="19">
        <v>0</v>
      </c>
      <c r="AN397" s="19"/>
      <c r="AO397" s="26">
        <f t="shared" si="67"/>
        <v>21137</v>
      </c>
      <c r="AP397" s="19"/>
      <c r="AQ397" s="26">
        <f t="shared" si="68"/>
        <v>46491019</v>
      </c>
      <c r="AR397" s="26"/>
    </row>
    <row r="398" spans="1:44">
      <c r="A398" s="9" t="s">
        <v>551</v>
      </c>
      <c r="B398" s="9"/>
      <c r="C398" s="9" t="s">
        <v>72</v>
      </c>
      <c r="D398" s="9"/>
      <c r="E398" s="23">
        <v>50708</v>
      </c>
      <c r="F398" s="19"/>
      <c r="G398" s="19">
        <v>3951606</v>
      </c>
      <c r="H398" s="19"/>
      <c r="I398" s="19">
        <v>0</v>
      </c>
      <c r="J398" s="19"/>
      <c r="K398" s="19">
        <v>4929380</v>
      </c>
      <c r="L398" s="19"/>
      <c r="M398" s="19">
        <v>5166</v>
      </c>
      <c r="N398" s="19"/>
      <c r="O398" s="19">
        <f>167289+126910</f>
        <v>294199</v>
      </c>
      <c r="P398" s="19"/>
      <c r="Q398" s="19">
        <v>57500</v>
      </c>
      <c r="R398" s="19"/>
      <c r="S398" s="19">
        <v>413736</v>
      </c>
      <c r="T398" s="19"/>
      <c r="U398" s="19">
        <v>14015</v>
      </c>
      <c r="V398" s="19"/>
      <c r="W398" s="19">
        <v>142029</v>
      </c>
      <c r="X398" s="19"/>
      <c r="Y398" s="26">
        <f t="shared" si="66"/>
        <v>9807631</v>
      </c>
      <c r="Z398" s="19"/>
      <c r="AA398" s="19">
        <v>39585</v>
      </c>
      <c r="AB398" s="19"/>
      <c r="AC398" s="19">
        <v>0</v>
      </c>
      <c r="AD398" s="19"/>
      <c r="AE398" s="19">
        <v>0</v>
      </c>
      <c r="AF398" s="19"/>
      <c r="AG398" s="19"/>
      <c r="AH398" s="19"/>
      <c r="AI398" s="19"/>
      <c r="AJ398" s="19"/>
      <c r="AK398" s="19">
        <v>0</v>
      </c>
      <c r="AL398" s="19"/>
      <c r="AM398" s="19">
        <v>0</v>
      </c>
      <c r="AN398" s="19"/>
      <c r="AO398" s="26">
        <f t="shared" si="67"/>
        <v>39585</v>
      </c>
      <c r="AP398" s="19"/>
      <c r="AQ398" s="26">
        <f t="shared" si="68"/>
        <v>9847216</v>
      </c>
      <c r="AR398" s="26"/>
    </row>
    <row r="399" spans="1:44" hidden="1">
      <c r="A399" s="9" t="s">
        <v>807</v>
      </c>
      <c r="B399" s="9"/>
      <c r="C399" s="9" t="s">
        <v>53</v>
      </c>
      <c r="D399" s="9"/>
      <c r="E399" s="23">
        <v>48967</v>
      </c>
      <c r="F399" s="19"/>
      <c r="G399" s="19">
        <v>0</v>
      </c>
      <c r="H399" s="19"/>
      <c r="I399" s="19">
        <v>0</v>
      </c>
      <c r="J399" s="19"/>
      <c r="K399" s="19">
        <v>0</v>
      </c>
      <c r="L399" s="19"/>
      <c r="M399" s="19">
        <v>0</v>
      </c>
      <c r="N399" s="19"/>
      <c r="O399" s="19">
        <v>0</v>
      </c>
      <c r="P399" s="19"/>
      <c r="Q399" s="19">
        <v>0</v>
      </c>
      <c r="R399" s="19"/>
      <c r="S399" s="19">
        <v>0</v>
      </c>
      <c r="T399" s="19"/>
      <c r="U399" s="19">
        <v>0</v>
      </c>
      <c r="V399" s="19"/>
      <c r="W399" s="19">
        <v>0</v>
      </c>
      <c r="X399" s="19"/>
      <c r="Y399" s="26">
        <f t="shared" si="66"/>
        <v>0</v>
      </c>
      <c r="Z399" s="19"/>
      <c r="AA399" s="19">
        <v>0</v>
      </c>
      <c r="AB399" s="19"/>
      <c r="AC399" s="19">
        <v>0</v>
      </c>
      <c r="AD399" s="19"/>
      <c r="AE399" s="19">
        <v>0</v>
      </c>
      <c r="AF399" s="19"/>
      <c r="AG399" s="19"/>
      <c r="AH399" s="19"/>
      <c r="AI399" s="19"/>
      <c r="AJ399" s="19"/>
      <c r="AK399" s="19">
        <v>0</v>
      </c>
      <c r="AL399" s="19"/>
      <c r="AM399" s="19">
        <v>0</v>
      </c>
      <c r="AN399" s="19"/>
      <c r="AO399" s="26">
        <f t="shared" si="67"/>
        <v>0</v>
      </c>
      <c r="AP399" s="19"/>
      <c r="AQ399" s="26">
        <f t="shared" si="68"/>
        <v>0</v>
      </c>
      <c r="AR399" s="26"/>
    </row>
    <row r="400" spans="1:44">
      <c r="A400" s="9" t="s">
        <v>499</v>
      </c>
      <c r="B400" s="9"/>
      <c r="C400" s="9" t="s">
        <v>62</v>
      </c>
      <c r="D400" s="9"/>
      <c r="E400" s="23">
        <v>44503</v>
      </c>
      <c r="F400" s="19"/>
      <c r="G400" s="19">
        <v>22689970</v>
      </c>
      <c r="H400" s="19"/>
      <c r="I400" s="19">
        <v>0</v>
      </c>
      <c r="J400" s="19"/>
      <c r="K400" s="19">
        <f>62115+17151527+1669743</f>
        <v>18883385</v>
      </c>
      <c r="L400" s="19"/>
      <c r="M400" s="19">
        <v>21986</v>
      </c>
      <c r="N400" s="19"/>
      <c r="O400" s="19">
        <f>430586+1251222+413708+65549+41948</f>
        <v>2203013</v>
      </c>
      <c r="P400" s="19"/>
      <c r="Q400" s="19">
        <v>454652</v>
      </c>
      <c r="R400" s="19"/>
      <c r="S400" s="19">
        <v>0</v>
      </c>
      <c r="T400" s="19"/>
      <c r="U400" s="19">
        <v>147923</v>
      </c>
      <c r="V400" s="19"/>
      <c r="W400" s="19">
        <v>289734</v>
      </c>
      <c r="X400" s="19"/>
      <c r="Y400" s="26">
        <f t="shared" si="66"/>
        <v>44690663</v>
      </c>
      <c r="Z400" s="19"/>
      <c r="AA400" s="19">
        <v>159660</v>
      </c>
      <c r="AB400" s="19"/>
      <c r="AC400" s="19">
        <v>0</v>
      </c>
      <c r="AD400" s="19"/>
      <c r="AE400" s="19">
        <v>0</v>
      </c>
      <c r="AF400" s="19"/>
      <c r="AG400" s="19"/>
      <c r="AH400" s="19"/>
      <c r="AI400" s="19"/>
      <c r="AJ400" s="19"/>
      <c r="AK400" s="19">
        <v>0</v>
      </c>
      <c r="AL400" s="19"/>
      <c r="AM400" s="19">
        <v>0</v>
      </c>
      <c r="AN400" s="19"/>
      <c r="AO400" s="26">
        <f t="shared" si="67"/>
        <v>159660</v>
      </c>
      <c r="AP400" s="19"/>
      <c r="AQ400" s="26">
        <f t="shared" si="68"/>
        <v>44850323</v>
      </c>
      <c r="AR400" s="26"/>
    </row>
    <row r="401" spans="1:44" hidden="1">
      <c r="A401" s="9" t="s">
        <v>808</v>
      </c>
      <c r="B401" s="9"/>
      <c r="C401" s="9" t="s">
        <v>548</v>
      </c>
      <c r="D401" s="9"/>
      <c r="E401" s="23">
        <v>50641</v>
      </c>
      <c r="F401" s="19"/>
      <c r="G401" s="19">
        <v>0</v>
      </c>
      <c r="H401" s="19"/>
      <c r="I401" s="19">
        <v>0</v>
      </c>
      <c r="J401" s="19"/>
      <c r="K401" s="19">
        <v>0</v>
      </c>
      <c r="L401" s="19"/>
      <c r="M401" s="19">
        <v>0</v>
      </c>
      <c r="N401" s="19"/>
      <c r="O401" s="19">
        <v>0</v>
      </c>
      <c r="P401" s="19"/>
      <c r="Q401" s="19">
        <v>0</v>
      </c>
      <c r="R401" s="19"/>
      <c r="S401" s="19">
        <v>0</v>
      </c>
      <c r="T401" s="19"/>
      <c r="U401" s="19">
        <v>0</v>
      </c>
      <c r="V401" s="19"/>
      <c r="W401" s="19">
        <v>0</v>
      </c>
      <c r="X401" s="19"/>
      <c r="Y401" s="26">
        <f t="shared" si="66"/>
        <v>0</v>
      </c>
      <c r="Z401" s="19"/>
      <c r="AA401" s="19">
        <v>0</v>
      </c>
      <c r="AB401" s="19"/>
      <c r="AC401" s="19">
        <v>0</v>
      </c>
      <c r="AD401" s="19"/>
      <c r="AE401" s="19">
        <v>0</v>
      </c>
      <c r="AF401" s="19"/>
      <c r="AG401" s="19"/>
      <c r="AH401" s="19"/>
      <c r="AI401" s="19"/>
      <c r="AJ401" s="19"/>
      <c r="AK401" s="19">
        <v>0</v>
      </c>
      <c r="AL401" s="19"/>
      <c r="AM401" s="19">
        <v>0</v>
      </c>
      <c r="AN401" s="19"/>
      <c r="AO401" s="26">
        <f t="shared" si="67"/>
        <v>0</v>
      </c>
      <c r="AP401" s="19"/>
      <c r="AQ401" s="26">
        <f t="shared" si="68"/>
        <v>0</v>
      </c>
      <c r="AR401" s="26"/>
    </row>
    <row r="402" spans="1:44">
      <c r="A402" s="9" t="s">
        <v>703</v>
      </c>
      <c r="B402" s="9"/>
      <c r="C402" s="9" t="s">
        <v>32</v>
      </c>
      <c r="D402" s="9"/>
      <c r="E402" s="23">
        <v>44511</v>
      </c>
      <c r="F402" s="19"/>
      <c r="G402" s="19">
        <v>4415534</v>
      </c>
      <c r="H402" s="19"/>
      <c r="I402" s="19">
        <v>0</v>
      </c>
      <c r="J402" s="19"/>
      <c r="K402" s="19">
        <v>10775768</v>
      </c>
      <c r="L402" s="19"/>
      <c r="M402" s="19">
        <v>1560</v>
      </c>
      <c r="N402" s="19"/>
      <c r="O402" s="19">
        <f>300410+86502</f>
        <v>386912</v>
      </c>
      <c r="P402" s="19"/>
      <c r="Q402" s="19">
        <v>51075</v>
      </c>
      <c r="R402" s="19"/>
      <c r="S402" s="19">
        <v>0</v>
      </c>
      <c r="T402" s="19"/>
      <c r="U402" s="19">
        <v>0</v>
      </c>
      <c r="V402" s="19"/>
      <c r="W402" s="19">
        <v>124792</v>
      </c>
      <c r="X402" s="19"/>
      <c r="Y402" s="26">
        <f t="shared" si="66"/>
        <v>15755641</v>
      </c>
      <c r="Z402" s="19"/>
      <c r="AA402" s="19">
        <v>393</v>
      </c>
      <c r="AB402" s="19"/>
      <c r="AC402" s="19">
        <v>0</v>
      </c>
      <c r="AD402" s="19"/>
      <c r="AE402" s="19">
        <v>0</v>
      </c>
      <c r="AF402" s="19"/>
      <c r="AG402" s="19"/>
      <c r="AH402" s="19"/>
      <c r="AI402" s="19"/>
      <c r="AJ402" s="19"/>
      <c r="AK402" s="19">
        <v>0</v>
      </c>
      <c r="AL402" s="19"/>
      <c r="AM402" s="19">
        <v>0</v>
      </c>
      <c r="AN402" s="19"/>
      <c r="AO402" s="26">
        <f t="shared" si="67"/>
        <v>393</v>
      </c>
      <c r="AP402" s="19"/>
      <c r="AQ402" s="26">
        <f t="shared" si="68"/>
        <v>15756034</v>
      </c>
      <c r="AR402" s="26"/>
    </row>
    <row r="403" spans="1:44">
      <c r="A403" s="9" t="s">
        <v>375</v>
      </c>
      <c r="B403" s="9"/>
      <c r="C403" s="9" t="s">
        <v>42</v>
      </c>
      <c r="D403" s="9"/>
      <c r="E403" s="23">
        <v>48025</v>
      </c>
      <c r="F403" s="19"/>
      <c r="G403" s="19">
        <v>5386728</v>
      </c>
      <c r="H403" s="19"/>
      <c r="I403" s="19">
        <v>1941106</v>
      </c>
      <c r="J403" s="19"/>
      <c r="K403" s="19">
        <f>14838+8725927+1449958</f>
        <v>10190723</v>
      </c>
      <c r="L403" s="19"/>
      <c r="M403" s="19">
        <v>13059</v>
      </c>
      <c r="N403" s="19"/>
      <c r="O403" s="19">
        <f>724913+192378+80908+20104</f>
        <v>1018303</v>
      </c>
      <c r="P403" s="19"/>
      <c r="Q403" s="19">
        <v>316405</v>
      </c>
      <c r="R403" s="19"/>
      <c r="S403" s="19">
        <v>0</v>
      </c>
      <c r="T403" s="19"/>
      <c r="U403" s="19">
        <v>93229</v>
      </c>
      <c r="V403" s="19"/>
      <c r="W403" s="19">
        <v>213883</v>
      </c>
      <c r="X403" s="19"/>
      <c r="Y403" s="26">
        <f t="shared" si="66"/>
        <v>19173436</v>
      </c>
      <c r="Z403" s="19"/>
      <c r="AA403" s="19">
        <v>108079</v>
      </c>
      <c r="AB403" s="19"/>
      <c r="AC403" s="19">
        <v>0</v>
      </c>
      <c r="AD403" s="19"/>
      <c r="AE403" s="19">
        <v>0</v>
      </c>
      <c r="AF403" s="19"/>
      <c r="AG403" s="19"/>
      <c r="AH403" s="19"/>
      <c r="AI403" s="19"/>
      <c r="AJ403" s="19"/>
      <c r="AK403" s="19">
        <v>288820</v>
      </c>
      <c r="AL403" s="19"/>
      <c r="AM403" s="19">
        <v>0</v>
      </c>
      <c r="AN403" s="19"/>
      <c r="AO403" s="26">
        <f t="shared" si="67"/>
        <v>396899</v>
      </c>
      <c r="AP403" s="19"/>
      <c r="AQ403" s="26">
        <f t="shared" si="68"/>
        <v>19570335</v>
      </c>
      <c r="AR403" s="26"/>
    </row>
    <row r="404" spans="1:44">
      <c r="A404" s="9" t="s">
        <v>269</v>
      </c>
      <c r="B404" s="9"/>
      <c r="C404" s="9" t="s">
        <v>20</v>
      </c>
      <c r="D404" s="9"/>
      <c r="E404" s="23">
        <v>44529</v>
      </c>
      <c r="F404" s="19"/>
      <c r="G404" s="19">
        <v>39760574</v>
      </c>
      <c r="H404" s="19"/>
      <c r="I404" s="19">
        <v>0</v>
      </c>
      <c r="J404" s="19"/>
      <c r="K404" s="19">
        <v>16484226</v>
      </c>
      <c r="L404" s="19"/>
      <c r="M404" s="19">
        <v>35853</v>
      </c>
      <c r="N404" s="19"/>
      <c r="O404" s="19">
        <f>827990+599189</f>
        <v>1427179</v>
      </c>
      <c r="P404" s="19"/>
      <c r="Q404" s="19">
        <v>350963</v>
      </c>
      <c r="R404" s="19"/>
      <c r="S404" s="19">
        <v>0</v>
      </c>
      <c r="T404" s="19"/>
      <c r="U404" s="19">
        <v>0</v>
      </c>
      <c r="V404" s="19"/>
      <c r="W404" s="19">
        <v>806474</v>
      </c>
      <c r="X404" s="19"/>
      <c r="Y404" s="26">
        <f t="shared" ref="Y404:Y408" si="69">SUM(G404:W404)</f>
        <v>58865269</v>
      </c>
      <c r="Z404" s="19"/>
      <c r="AA404" s="19">
        <v>308713</v>
      </c>
      <c r="AB404" s="19"/>
      <c r="AC404" s="19">
        <v>0</v>
      </c>
      <c r="AD404" s="19"/>
      <c r="AE404" s="19">
        <v>3315000</v>
      </c>
      <c r="AF404" s="19"/>
      <c r="AG404" s="19"/>
      <c r="AH404" s="19"/>
      <c r="AI404" s="19"/>
      <c r="AJ404" s="19"/>
      <c r="AK404" s="19">
        <v>0</v>
      </c>
      <c r="AL404" s="19"/>
      <c r="AM404" s="19">
        <v>0</v>
      </c>
      <c r="AN404" s="19"/>
      <c r="AO404" s="26">
        <f t="shared" si="67"/>
        <v>3623713</v>
      </c>
      <c r="AP404" s="19"/>
      <c r="AQ404" s="26">
        <f t="shared" si="68"/>
        <v>62488982</v>
      </c>
      <c r="AR404" s="26"/>
    </row>
    <row r="405" spans="1:44">
      <c r="A405" s="9" t="s">
        <v>385</v>
      </c>
      <c r="B405" s="9"/>
      <c r="C405" s="9" t="s">
        <v>44</v>
      </c>
      <c r="D405" s="9"/>
      <c r="E405" s="23">
        <v>44537</v>
      </c>
      <c r="F405" s="19"/>
      <c r="G405" s="19">
        <v>21739235</v>
      </c>
      <c r="H405" s="19"/>
      <c r="I405" s="19">
        <v>0</v>
      </c>
      <c r="J405" s="19"/>
      <c r="K405" s="19">
        <v>14471454</v>
      </c>
      <c r="L405" s="19"/>
      <c r="M405" s="19">
        <v>5932</v>
      </c>
      <c r="N405" s="19"/>
      <c r="O405" s="19">
        <f>855459+648393</f>
        <v>1503852</v>
      </c>
      <c r="P405" s="19"/>
      <c r="Q405" s="19">
        <v>294119</v>
      </c>
      <c r="R405" s="19"/>
      <c r="S405" s="19">
        <v>0</v>
      </c>
      <c r="T405" s="19"/>
      <c r="U405" s="19">
        <v>0</v>
      </c>
      <c r="V405" s="19"/>
      <c r="W405" s="19">
        <v>451264</v>
      </c>
      <c r="X405" s="19"/>
      <c r="Y405" s="26">
        <f t="shared" si="69"/>
        <v>38465856</v>
      </c>
      <c r="Z405" s="19"/>
      <c r="AA405" s="19">
        <v>23182</v>
      </c>
      <c r="AB405" s="19"/>
      <c r="AC405" s="19">
        <v>0</v>
      </c>
      <c r="AD405" s="19"/>
      <c r="AE405" s="19">
        <v>0</v>
      </c>
      <c r="AF405" s="19"/>
      <c r="AG405" s="19"/>
      <c r="AH405" s="19"/>
      <c r="AI405" s="19"/>
      <c r="AJ405" s="19"/>
      <c r="AK405" s="19">
        <v>0</v>
      </c>
      <c r="AL405" s="19"/>
      <c r="AM405" s="19">
        <v>0</v>
      </c>
      <c r="AN405" s="19"/>
      <c r="AO405" s="26">
        <f t="shared" si="67"/>
        <v>23182</v>
      </c>
      <c r="AP405" s="19"/>
      <c r="AQ405" s="26">
        <f t="shared" si="68"/>
        <v>38489038</v>
      </c>
      <c r="AR405" s="26"/>
    </row>
    <row r="406" spans="1:44">
      <c r="A406" s="9" t="s">
        <v>270</v>
      </c>
      <c r="B406" s="9"/>
      <c r="C406" s="9" t="s">
        <v>20</v>
      </c>
      <c r="D406" s="9"/>
      <c r="E406" s="23">
        <v>44545</v>
      </c>
      <c r="F406" s="19"/>
      <c r="G406" s="19">
        <v>38278727</v>
      </c>
      <c r="H406" s="19"/>
      <c r="I406" s="19">
        <v>0</v>
      </c>
      <c r="J406" s="19"/>
      <c r="K406" s="19">
        <v>13075221</v>
      </c>
      <c r="L406" s="19"/>
      <c r="M406" s="19">
        <v>2574</v>
      </c>
      <c r="N406" s="19"/>
      <c r="O406" s="19">
        <f>634336+823515+99194</f>
        <v>1557045</v>
      </c>
      <c r="P406" s="19"/>
      <c r="Q406" s="19">
        <v>567866</v>
      </c>
      <c r="R406" s="19"/>
      <c r="S406" s="19">
        <v>0</v>
      </c>
      <c r="T406" s="19"/>
      <c r="U406" s="19">
        <v>275337</v>
      </c>
      <c r="V406" s="19"/>
      <c r="W406" s="19">
        <v>186824</v>
      </c>
      <c r="X406" s="19"/>
      <c r="Y406" s="26">
        <f t="shared" si="69"/>
        <v>53943594</v>
      </c>
      <c r="Z406" s="19"/>
      <c r="AA406" s="19">
        <v>118000</v>
      </c>
      <c r="AB406" s="19"/>
      <c r="AC406" s="19">
        <v>0</v>
      </c>
      <c r="AD406" s="19"/>
      <c r="AE406" s="19">
        <v>0</v>
      </c>
      <c r="AF406" s="19"/>
      <c r="AG406" s="19"/>
      <c r="AH406" s="19"/>
      <c r="AI406" s="19"/>
      <c r="AJ406" s="19"/>
      <c r="AK406" s="19">
        <v>17800</v>
      </c>
      <c r="AL406" s="19"/>
      <c r="AM406" s="19">
        <v>0</v>
      </c>
      <c r="AN406" s="19"/>
      <c r="AO406" s="26">
        <f t="shared" si="67"/>
        <v>135800</v>
      </c>
      <c r="AP406" s="19"/>
      <c r="AQ406" s="26">
        <f t="shared" si="68"/>
        <v>54079394</v>
      </c>
      <c r="AR406" s="26"/>
    </row>
    <row r="407" spans="1:44">
      <c r="A407" s="9" t="s">
        <v>536</v>
      </c>
      <c r="B407" s="9"/>
      <c r="C407" s="9" t="s">
        <v>66</v>
      </c>
      <c r="D407" s="9"/>
      <c r="E407" s="23">
        <v>50336</v>
      </c>
      <c r="F407" s="19"/>
      <c r="G407" s="19">
        <v>5076872</v>
      </c>
      <c r="H407" s="19"/>
      <c r="I407" s="19">
        <v>1763222</v>
      </c>
      <c r="J407" s="19"/>
      <c r="K407" s="19">
        <v>8823188</v>
      </c>
      <c r="L407" s="19"/>
      <c r="M407" s="19">
        <v>74238</v>
      </c>
      <c r="N407" s="19"/>
      <c r="O407" s="19">
        <f>931928+364009</f>
        <v>1295937</v>
      </c>
      <c r="P407" s="19"/>
      <c r="Q407" s="19">
        <v>159111</v>
      </c>
      <c r="R407" s="19"/>
      <c r="S407" s="19">
        <v>0</v>
      </c>
      <c r="T407" s="19"/>
      <c r="U407" s="19">
        <v>42201</v>
      </c>
      <c r="V407" s="19"/>
      <c r="W407" s="19">
        <v>145334</v>
      </c>
      <c r="X407" s="19"/>
      <c r="Y407" s="26">
        <f t="shared" si="69"/>
        <v>17380103</v>
      </c>
      <c r="Z407" s="19"/>
      <c r="AA407" s="19">
        <v>131757</v>
      </c>
      <c r="AB407" s="19"/>
      <c r="AC407" s="19">
        <v>0</v>
      </c>
      <c r="AD407" s="19"/>
      <c r="AE407" s="19">
        <v>0</v>
      </c>
      <c r="AF407" s="19"/>
      <c r="AG407" s="19"/>
      <c r="AH407" s="19"/>
      <c r="AI407" s="19"/>
      <c r="AJ407" s="19"/>
      <c r="AK407" s="19">
        <v>1500</v>
      </c>
      <c r="AL407" s="19"/>
      <c r="AM407" s="19">
        <v>0</v>
      </c>
      <c r="AN407" s="19"/>
      <c r="AO407" s="26">
        <f t="shared" si="67"/>
        <v>133257</v>
      </c>
      <c r="AP407" s="19"/>
      <c r="AQ407" s="26">
        <f t="shared" si="68"/>
        <v>17513360</v>
      </c>
      <c r="AR407" s="26"/>
    </row>
    <row r="408" spans="1:44">
      <c r="A408" s="9" t="s">
        <v>231</v>
      </c>
      <c r="B408" s="9"/>
      <c r="C408" s="9" t="s">
        <v>17</v>
      </c>
      <c r="D408" s="9"/>
      <c r="E408" s="23">
        <v>46250</v>
      </c>
      <c r="F408" s="19"/>
      <c r="G408" s="19">
        <v>10370511</v>
      </c>
      <c r="H408" s="19"/>
      <c r="I408" s="19">
        <v>0</v>
      </c>
      <c r="J408" s="19"/>
      <c r="K408" s="19">
        <v>16876028</v>
      </c>
      <c r="L408" s="19"/>
      <c r="M408" s="19">
        <v>12127</v>
      </c>
      <c r="N408" s="19"/>
      <c r="O408" s="19">
        <f>2266269+240+672994</f>
        <v>2939503</v>
      </c>
      <c r="P408" s="19"/>
      <c r="Q408" s="19">
        <v>258836</v>
      </c>
      <c r="R408" s="19"/>
      <c r="S408" s="19">
        <v>0</v>
      </c>
      <c r="T408" s="19"/>
      <c r="U408" s="19">
        <v>87209</v>
      </c>
      <c r="V408" s="19"/>
      <c r="W408" s="19">
        <v>55831</v>
      </c>
      <c r="X408" s="19"/>
      <c r="Y408" s="26">
        <f t="shared" si="69"/>
        <v>30600045</v>
      </c>
      <c r="Z408" s="19"/>
      <c r="AA408" s="19">
        <v>40658</v>
      </c>
      <c r="AB408" s="19"/>
      <c r="AC408" s="19">
        <v>0</v>
      </c>
      <c r="AD408" s="19"/>
      <c r="AE408" s="19">
        <v>0</v>
      </c>
      <c r="AF408" s="19"/>
      <c r="AG408" s="19"/>
      <c r="AH408" s="19"/>
      <c r="AI408" s="19"/>
      <c r="AJ408" s="19"/>
      <c r="AK408" s="19">
        <v>0</v>
      </c>
      <c r="AL408" s="19"/>
      <c r="AM408" s="19">
        <v>0</v>
      </c>
      <c r="AN408" s="19"/>
      <c r="AO408" s="26">
        <f t="shared" si="67"/>
        <v>40658</v>
      </c>
      <c r="AP408" s="19"/>
      <c r="AQ408" s="26">
        <f t="shared" si="68"/>
        <v>30640703</v>
      </c>
      <c r="AR408" s="26"/>
    </row>
    <row r="409" spans="1:44" hidden="1">
      <c r="A409" s="9" t="s">
        <v>809</v>
      </c>
      <c r="B409" s="9"/>
      <c r="C409" s="9" t="s">
        <v>22</v>
      </c>
      <c r="D409" s="9"/>
      <c r="E409" s="23">
        <v>46722</v>
      </c>
      <c r="F409" s="19"/>
      <c r="G409" s="19">
        <v>0</v>
      </c>
      <c r="H409" s="19"/>
      <c r="I409" s="19">
        <v>0</v>
      </c>
      <c r="J409" s="19"/>
      <c r="K409" s="19">
        <v>0</v>
      </c>
      <c r="L409" s="19"/>
      <c r="M409" s="19">
        <v>0</v>
      </c>
      <c r="N409" s="19"/>
      <c r="O409" s="19">
        <v>0</v>
      </c>
      <c r="P409" s="19"/>
      <c r="Q409" s="19">
        <v>0</v>
      </c>
      <c r="R409" s="19"/>
      <c r="S409" s="19">
        <v>0</v>
      </c>
      <c r="T409" s="19"/>
      <c r="U409" s="19">
        <v>0</v>
      </c>
      <c r="V409" s="19"/>
      <c r="W409" s="19">
        <v>0</v>
      </c>
      <c r="X409" s="19"/>
      <c r="Y409" s="26">
        <f t="shared" si="65"/>
        <v>0</v>
      </c>
      <c r="Z409" s="19"/>
      <c r="AA409" s="19">
        <v>0</v>
      </c>
      <c r="AB409" s="19"/>
      <c r="AC409" s="19">
        <v>0</v>
      </c>
      <c r="AD409" s="19"/>
      <c r="AE409" s="19">
        <v>0</v>
      </c>
      <c r="AF409" s="19"/>
      <c r="AG409" s="19"/>
      <c r="AH409" s="19"/>
      <c r="AI409" s="19"/>
      <c r="AJ409" s="19"/>
      <c r="AK409" s="19">
        <v>0</v>
      </c>
      <c r="AL409" s="19"/>
      <c r="AM409" s="19">
        <v>0</v>
      </c>
      <c r="AN409" s="19"/>
      <c r="AO409" s="26">
        <f t="shared" si="67"/>
        <v>0</v>
      </c>
      <c r="AP409" s="19"/>
      <c r="AQ409" s="26">
        <f t="shared" si="68"/>
        <v>0</v>
      </c>
      <c r="AR409" s="26"/>
    </row>
    <row r="410" spans="1:44" hidden="1">
      <c r="A410" s="9" t="s">
        <v>810</v>
      </c>
      <c r="B410" s="9"/>
      <c r="C410" s="9" t="s">
        <v>448</v>
      </c>
      <c r="D410" s="9"/>
      <c r="E410" s="23">
        <v>49056</v>
      </c>
      <c r="F410" s="19"/>
      <c r="G410" s="19">
        <v>0</v>
      </c>
      <c r="H410" s="19"/>
      <c r="I410" s="19">
        <v>0</v>
      </c>
      <c r="J410" s="19"/>
      <c r="K410" s="19">
        <v>0</v>
      </c>
      <c r="L410" s="19"/>
      <c r="M410" s="19">
        <v>0</v>
      </c>
      <c r="N410" s="19"/>
      <c r="O410" s="19">
        <v>0</v>
      </c>
      <c r="P410" s="19"/>
      <c r="Q410" s="19">
        <v>0</v>
      </c>
      <c r="R410" s="19"/>
      <c r="S410" s="19">
        <v>0</v>
      </c>
      <c r="T410" s="19"/>
      <c r="U410" s="19">
        <v>0</v>
      </c>
      <c r="V410" s="19"/>
      <c r="W410" s="19">
        <v>0</v>
      </c>
      <c r="X410" s="19"/>
      <c r="Y410" s="26">
        <f t="shared" si="65"/>
        <v>0</v>
      </c>
      <c r="Z410" s="19"/>
      <c r="AA410" s="19">
        <v>0</v>
      </c>
      <c r="AB410" s="19"/>
      <c r="AC410" s="19">
        <v>0</v>
      </c>
      <c r="AD410" s="19"/>
      <c r="AE410" s="19">
        <v>0</v>
      </c>
      <c r="AF410" s="19"/>
      <c r="AG410" s="19"/>
      <c r="AH410" s="19"/>
      <c r="AI410" s="19"/>
      <c r="AJ410" s="19"/>
      <c r="AK410" s="19">
        <v>0</v>
      </c>
      <c r="AL410" s="19"/>
      <c r="AM410" s="19">
        <v>0</v>
      </c>
      <c r="AN410" s="19"/>
      <c r="AO410" s="26">
        <f t="shared" si="67"/>
        <v>0</v>
      </c>
      <c r="AP410" s="19"/>
      <c r="AQ410" s="26">
        <f t="shared" ref="AQ410" si="70">Y410+AO410</f>
        <v>0</v>
      </c>
      <c r="AR410" s="26"/>
    </row>
    <row r="411" spans="1:44">
      <c r="A411" s="9" t="s">
        <v>431</v>
      </c>
      <c r="B411" s="9"/>
      <c r="C411" s="9" t="s">
        <v>50</v>
      </c>
      <c r="D411" s="9"/>
      <c r="E411" s="23">
        <v>48728</v>
      </c>
      <c r="F411" s="19"/>
      <c r="G411" s="19">
        <v>26509709</v>
      </c>
      <c r="H411" s="19"/>
      <c r="I411" s="19">
        <v>0</v>
      </c>
      <c r="J411" s="19"/>
      <c r="K411" s="19">
        <v>36834259</v>
      </c>
      <c r="L411" s="19"/>
      <c r="M411" s="19">
        <v>18110</v>
      </c>
      <c r="N411" s="19"/>
      <c r="O411" s="19">
        <f>944809+2307328</f>
        <v>3252137</v>
      </c>
      <c r="P411" s="19"/>
      <c r="Q411" s="19">
        <v>470947</v>
      </c>
      <c r="R411" s="19"/>
      <c r="S411" s="19">
        <v>881063</v>
      </c>
      <c r="T411" s="19"/>
      <c r="U411" s="19">
        <v>0</v>
      </c>
      <c r="V411" s="19"/>
      <c r="W411" s="19">
        <v>328661</v>
      </c>
      <c r="X411" s="19"/>
      <c r="Y411" s="26">
        <f t="shared" si="65"/>
        <v>68294886</v>
      </c>
      <c r="Z411" s="19"/>
      <c r="AA411" s="19">
        <v>8300</v>
      </c>
      <c r="AB411" s="19"/>
      <c r="AC411" s="19">
        <v>0</v>
      </c>
      <c r="AD411" s="19"/>
      <c r="AE411" s="19">
        <v>0</v>
      </c>
      <c r="AF411" s="19"/>
      <c r="AG411" s="19"/>
      <c r="AH411" s="19"/>
      <c r="AI411" s="19"/>
      <c r="AJ411" s="19"/>
      <c r="AK411" s="19">
        <f>341444+300</f>
        <v>341744</v>
      </c>
      <c r="AL411" s="19"/>
      <c r="AM411" s="19">
        <v>0</v>
      </c>
      <c r="AN411" s="19"/>
      <c r="AO411" s="26">
        <f t="shared" si="67"/>
        <v>350044</v>
      </c>
      <c r="AP411" s="19"/>
      <c r="AQ411" s="26">
        <f t="shared" si="68"/>
        <v>68644930</v>
      </c>
      <c r="AR411" s="26"/>
    </row>
    <row r="412" spans="1:44">
      <c r="A412" s="9" t="s">
        <v>439</v>
      </c>
      <c r="B412" s="9"/>
      <c r="C412" s="9" t="s">
        <v>78</v>
      </c>
      <c r="D412" s="9"/>
      <c r="E412" s="23">
        <v>48819</v>
      </c>
      <c r="F412" s="19"/>
      <c r="G412" s="19">
        <v>4023506</v>
      </c>
      <c r="H412" s="19"/>
      <c r="I412" s="19">
        <v>1469388</v>
      </c>
      <c r="J412" s="19"/>
      <c r="K412" s="19">
        <f>5607447+1221181</f>
        <v>6828628</v>
      </c>
      <c r="L412" s="19"/>
      <c r="M412" s="19">
        <v>2893</v>
      </c>
      <c r="N412" s="19"/>
      <c r="O412" s="19">
        <f>836241+191877+20250+1514</f>
        <v>1049882</v>
      </c>
      <c r="P412" s="19"/>
      <c r="Q412" s="19">
        <v>82288</v>
      </c>
      <c r="R412" s="19"/>
      <c r="S412" s="19">
        <v>0</v>
      </c>
      <c r="T412" s="19"/>
      <c r="U412" s="19">
        <v>0</v>
      </c>
      <c r="V412" s="19"/>
      <c r="W412" s="19">
        <v>31098</v>
      </c>
      <c r="X412" s="19"/>
      <c r="Y412" s="26">
        <f t="shared" si="65"/>
        <v>13487683</v>
      </c>
      <c r="Z412" s="19"/>
      <c r="AA412" s="19">
        <v>1184890</v>
      </c>
      <c r="AB412" s="19"/>
      <c r="AC412" s="19">
        <v>0</v>
      </c>
      <c r="AD412" s="19"/>
      <c r="AE412" s="19">
        <v>0</v>
      </c>
      <c r="AF412" s="19"/>
      <c r="AG412" s="19"/>
      <c r="AH412" s="19"/>
      <c r="AI412" s="19"/>
      <c r="AJ412" s="19"/>
      <c r="AK412" s="19">
        <v>0</v>
      </c>
      <c r="AL412" s="19"/>
      <c r="AM412" s="19">
        <v>0</v>
      </c>
      <c r="AN412" s="19"/>
      <c r="AO412" s="26">
        <f t="shared" si="67"/>
        <v>1184890</v>
      </c>
      <c r="AP412" s="19"/>
      <c r="AQ412" s="26">
        <f t="shared" si="68"/>
        <v>14672573</v>
      </c>
      <c r="AR412" s="26"/>
    </row>
    <row r="413" spans="1:44">
      <c r="A413" s="9" t="s">
        <v>376</v>
      </c>
      <c r="B413" s="9"/>
      <c r="C413" s="9" t="s">
        <v>42</v>
      </c>
      <c r="D413" s="9"/>
      <c r="E413" s="23">
        <v>48033</v>
      </c>
      <c r="F413" s="19"/>
      <c r="G413" s="19">
        <v>7097471</v>
      </c>
      <c r="H413" s="19"/>
      <c r="I413" s="19">
        <v>111109</v>
      </c>
      <c r="J413" s="19"/>
      <c r="K413" s="19">
        <v>5923304</v>
      </c>
      <c r="L413" s="19"/>
      <c r="M413" s="19">
        <v>4418</v>
      </c>
      <c r="N413" s="19"/>
      <c r="O413" s="19">
        <f>709461+56931+220629</f>
        <v>987021</v>
      </c>
      <c r="P413" s="19"/>
      <c r="Q413" s="19">
        <v>267559</v>
      </c>
      <c r="R413" s="19"/>
      <c r="S413" s="19">
        <v>0</v>
      </c>
      <c r="T413" s="19"/>
      <c r="U413" s="19">
        <v>3080</v>
      </c>
      <c r="V413" s="19"/>
      <c r="W413" s="19">
        <v>31515</v>
      </c>
      <c r="X413" s="19"/>
      <c r="Y413" s="26">
        <f t="shared" si="65"/>
        <v>14425477</v>
      </c>
      <c r="Z413" s="19"/>
      <c r="AA413" s="19">
        <v>0</v>
      </c>
      <c r="AB413" s="19"/>
      <c r="AC413" s="19">
        <v>0</v>
      </c>
      <c r="AD413" s="19"/>
      <c r="AE413" s="19">
        <v>0</v>
      </c>
      <c r="AF413" s="19"/>
      <c r="AG413" s="19"/>
      <c r="AH413" s="19"/>
      <c r="AI413" s="19"/>
      <c r="AJ413" s="19"/>
      <c r="AK413" s="19">
        <v>4150</v>
      </c>
      <c r="AL413" s="19"/>
      <c r="AM413" s="19">
        <v>0</v>
      </c>
      <c r="AN413" s="19"/>
      <c r="AO413" s="26">
        <f t="shared" si="67"/>
        <v>4150</v>
      </c>
      <c r="AP413" s="19"/>
      <c r="AQ413" s="26">
        <f t="shared" si="68"/>
        <v>14429627</v>
      </c>
      <c r="AR413" s="26"/>
    </row>
    <row r="414" spans="1:44">
      <c r="A414" s="9" t="s">
        <v>376</v>
      </c>
      <c r="B414" s="9"/>
      <c r="C414" s="9" t="s">
        <v>50</v>
      </c>
      <c r="D414" s="9"/>
      <c r="E414" s="23">
        <v>48736</v>
      </c>
      <c r="F414" s="19"/>
      <c r="G414" s="19">
        <v>7179342</v>
      </c>
      <c r="H414" s="19"/>
      <c r="I414" s="19">
        <v>0</v>
      </c>
      <c r="J414" s="19"/>
      <c r="K414" s="19">
        <v>13854636</v>
      </c>
      <c r="L414" s="19"/>
      <c r="M414" s="19">
        <v>98527</v>
      </c>
      <c r="N414" s="19"/>
      <c r="O414" s="19">
        <f>1389848+150346+97036</f>
        <v>1637230</v>
      </c>
      <c r="P414" s="19"/>
      <c r="Q414" s="19">
        <v>93806</v>
      </c>
      <c r="R414" s="19"/>
      <c r="S414" s="19">
        <v>0</v>
      </c>
      <c r="T414" s="19"/>
      <c r="U414" s="19">
        <v>42222</v>
      </c>
      <c r="V414" s="19"/>
      <c r="W414" s="19">
        <v>10427</v>
      </c>
      <c r="X414" s="19"/>
      <c r="Y414" s="26">
        <f t="shared" si="65"/>
        <v>22916190</v>
      </c>
      <c r="Z414" s="19"/>
      <c r="AA414" s="19">
        <v>0</v>
      </c>
      <c r="AB414" s="19"/>
      <c r="AC414" s="19">
        <v>0</v>
      </c>
      <c r="AD414" s="19"/>
      <c r="AE414" s="19">
        <v>0</v>
      </c>
      <c r="AF414" s="19"/>
      <c r="AG414" s="19"/>
      <c r="AH414" s="19"/>
      <c r="AI414" s="19"/>
      <c r="AJ414" s="19"/>
      <c r="AK414" s="19">
        <v>0</v>
      </c>
      <c r="AL414" s="19"/>
      <c r="AM414" s="19">
        <v>280081</v>
      </c>
      <c r="AN414" s="19"/>
      <c r="AO414" s="26">
        <f>AK414+AE414+AA414+AM414</f>
        <v>280081</v>
      </c>
      <c r="AP414" s="19"/>
      <c r="AQ414" s="26">
        <f t="shared" si="68"/>
        <v>23196271</v>
      </c>
      <c r="AR414" s="26"/>
    </row>
    <row r="415" spans="1:44">
      <c r="A415" s="9" t="s">
        <v>325</v>
      </c>
      <c r="B415" s="9"/>
      <c r="C415" s="9" t="s">
        <v>32</v>
      </c>
      <c r="D415" s="9"/>
      <c r="E415" s="23">
        <v>47365</v>
      </c>
      <c r="F415" s="19"/>
      <c r="G415" s="19">
        <v>48730582</v>
      </c>
      <c r="H415" s="19"/>
      <c r="I415" s="19">
        <v>0</v>
      </c>
      <c r="J415" s="19"/>
      <c r="K415" s="19">
        <v>43465307</v>
      </c>
      <c r="L415" s="19"/>
      <c r="M415" s="19">
        <v>-31452</v>
      </c>
      <c r="N415" s="19"/>
      <c r="O415" s="19">
        <f>1709059+671196+1725756</f>
        <v>4106011</v>
      </c>
      <c r="P415" s="19"/>
      <c r="Q415" s="19">
        <v>818202</v>
      </c>
      <c r="R415" s="19"/>
      <c r="S415" s="19">
        <v>3464114</v>
      </c>
      <c r="T415" s="19"/>
      <c r="U415" s="19">
        <v>178483</v>
      </c>
      <c r="V415" s="19"/>
      <c r="W415" s="19">
        <v>1036780</v>
      </c>
      <c r="X415" s="19"/>
      <c r="Y415" s="26">
        <f t="shared" si="65"/>
        <v>101768027</v>
      </c>
      <c r="Z415" s="19"/>
      <c r="AA415" s="19">
        <v>60000</v>
      </c>
      <c r="AB415" s="19"/>
      <c r="AC415" s="19">
        <v>0</v>
      </c>
      <c r="AD415" s="19"/>
      <c r="AE415" s="19">
        <f>11890000+130617</f>
        <v>12020617</v>
      </c>
      <c r="AF415" s="19"/>
      <c r="AG415" s="19"/>
      <c r="AH415" s="19"/>
      <c r="AI415" s="19"/>
      <c r="AJ415" s="19"/>
      <c r="AK415" s="19">
        <v>2850</v>
      </c>
      <c r="AL415" s="19"/>
      <c r="AM415" s="19">
        <v>0</v>
      </c>
      <c r="AN415" s="19"/>
      <c r="AO415" s="26">
        <f t="shared" si="67"/>
        <v>12083467</v>
      </c>
      <c r="AP415" s="19"/>
      <c r="AQ415" s="26">
        <f t="shared" si="68"/>
        <v>113851494</v>
      </c>
      <c r="AR415" s="26"/>
    </row>
    <row r="416" spans="1:44">
      <c r="A416" s="9" t="s">
        <v>592</v>
      </c>
      <c r="B416" s="9"/>
      <c r="C416" s="9" t="s">
        <v>59</v>
      </c>
      <c r="D416" s="9"/>
      <c r="E416" s="23">
        <v>49635</v>
      </c>
      <c r="F416" s="19"/>
      <c r="G416" s="19">
        <v>1862214</v>
      </c>
      <c r="H416" s="19"/>
      <c r="I416" s="19">
        <v>0</v>
      </c>
      <c r="J416" s="19"/>
      <c r="K416" s="19">
        <v>15155903</v>
      </c>
      <c r="L416" s="19"/>
      <c r="M416" s="19">
        <v>3883</v>
      </c>
      <c r="N416" s="19"/>
      <c r="O416" s="19">
        <f>674859+143992+145169</f>
        <v>964020</v>
      </c>
      <c r="P416" s="19"/>
      <c r="Q416" s="19">
        <v>151101</v>
      </c>
      <c r="R416" s="19"/>
      <c r="S416" s="19">
        <v>0</v>
      </c>
      <c r="T416" s="19"/>
      <c r="U416" s="19">
        <v>9654</v>
      </c>
      <c r="V416" s="19"/>
      <c r="W416" s="19">
        <v>43486</v>
      </c>
      <c r="X416" s="19"/>
      <c r="Y416" s="26">
        <f t="shared" si="65"/>
        <v>18190261</v>
      </c>
      <c r="Z416" s="19"/>
      <c r="AA416" s="19">
        <v>0</v>
      </c>
      <c r="AB416" s="19"/>
      <c r="AC416" s="19">
        <v>0</v>
      </c>
      <c r="AD416" s="19"/>
      <c r="AE416" s="19">
        <v>0</v>
      </c>
      <c r="AF416" s="19"/>
      <c r="AG416" s="19"/>
      <c r="AH416" s="19"/>
      <c r="AI416" s="19"/>
      <c r="AJ416" s="19"/>
      <c r="AK416" s="19">
        <v>9968</v>
      </c>
      <c r="AL416" s="19"/>
      <c r="AM416" s="19">
        <v>0</v>
      </c>
      <c r="AN416" s="19"/>
      <c r="AO416" s="26">
        <f t="shared" si="67"/>
        <v>9968</v>
      </c>
      <c r="AP416" s="19"/>
      <c r="AQ416" s="26">
        <f t="shared" si="68"/>
        <v>18200229</v>
      </c>
      <c r="AR416" s="26"/>
    </row>
    <row r="417" spans="1:44">
      <c r="A417" s="9" t="s">
        <v>325</v>
      </c>
      <c r="B417" s="9"/>
      <c r="C417" s="9" t="s">
        <v>62</v>
      </c>
      <c r="D417" s="9"/>
      <c r="E417" s="23">
        <v>49908</v>
      </c>
      <c r="F417" s="19"/>
      <c r="G417" s="19">
        <v>7315850</v>
      </c>
      <c r="H417" s="19"/>
      <c r="I417" s="19">
        <v>2269255</v>
      </c>
      <c r="J417" s="19"/>
      <c r="K417" s="19">
        <f>32473+12005040+1244463</f>
        <v>13281976</v>
      </c>
      <c r="L417" s="19"/>
      <c r="M417" s="19">
        <v>6840</v>
      </c>
      <c r="N417" s="19"/>
      <c r="O417" s="19">
        <f>21664+385303+136308</f>
        <v>543275</v>
      </c>
      <c r="P417" s="19"/>
      <c r="Q417" s="19">
        <v>140608</v>
      </c>
      <c r="R417" s="19"/>
      <c r="S417" s="19">
        <v>0</v>
      </c>
      <c r="T417" s="19"/>
      <c r="U417" s="19">
        <v>0</v>
      </c>
      <c r="V417" s="19"/>
      <c r="W417" s="19">
        <v>119135</v>
      </c>
      <c r="X417" s="19"/>
      <c r="Y417" s="26">
        <f t="shared" si="65"/>
        <v>23676939</v>
      </c>
      <c r="Z417" s="19"/>
      <c r="AA417" s="19">
        <v>0</v>
      </c>
      <c r="AB417" s="19"/>
      <c r="AC417" s="19">
        <v>0</v>
      </c>
      <c r="AD417" s="19"/>
      <c r="AE417" s="19">
        <v>0</v>
      </c>
      <c r="AF417" s="19"/>
      <c r="AG417" s="19"/>
      <c r="AH417" s="19"/>
      <c r="AI417" s="19"/>
      <c r="AJ417" s="19"/>
      <c r="AK417" s="19">
        <v>4790</v>
      </c>
      <c r="AL417" s="19"/>
      <c r="AM417" s="19">
        <v>0</v>
      </c>
      <c r="AN417" s="19"/>
      <c r="AO417" s="26">
        <f t="shared" ref="AO417:AO418" si="71">AK417+AE417+AA417</f>
        <v>4790</v>
      </c>
      <c r="AP417" s="19"/>
      <c r="AQ417" s="26">
        <f t="shared" si="68"/>
        <v>23681729</v>
      </c>
      <c r="AR417" s="26"/>
    </row>
    <row r="418" spans="1:44">
      <c r="A418" s="9" t="s">
        <v>232</v>
      </c>
      <c r="B418" s="9"/>
      <c r="C418" s="9" t="s">
        <v>17</v>
      </c>
      <c r="D418" s="9"/>
      <c r="E418" s="23">
        <v>46268</v>
      </c>
      <c r="F418" s="19"/>
      <c r="G418" s="19">
        <v>6917217</v>
      </c>
      <c r="H418" s="19"/>
      <c r="I418" s="19">
        <v>2058273</v>
      </c>
      <c r="J418" s="19"/>
      <c r="K418" s="19">
        <v>14818151</v>
      </c>
      <c r="L418" s="19"/>
      <c r="M418" s="19">
        <v>-45434</v>
      </c>
      <c r="N418" s="19"/>
      <c r="O418" s="19">
        <f>325519+1473535+3571</f>
        <v>1802625</v>
      </c>
      <c r="P418" s="19"/>
      <c r="Q418" s="19">
        <v>296304</v>
      </c>
      <c r="R418" s="19"/>
      <c r="S418" s="19">
        <v>0</v>
      </c>
      <c r="T418" s="19"/>
      <c r="U418" s="19">
        <v>0</v>
      </c>
      <c r="V418" s="19"/>
      <c r="W418" s="19">
        <v>68771</v>
      </c>
      <c r="X418" s="19"/>
      <c r="Y418" s="26">
        <f t="shared" si="65"/>
        <v>25915907</v>
      </c>
      <c r="Z418" s="19"/>
      <c r="AA418" s="19">
        <v>110721</v>
      </c>
      <c r="AB418" s="19"/>
      <c r="AC418" s="19">
        <v>0</v>
      </c>
      <c r="AD418" s="19"/>
      <c r="AE418" s="19">
        <v>0</v>
      </c>
      <c r="AF418" s="19"/>
      <c r="AG418" s="19"/>
      <c r="AH418" s="19"/>
      <c r="AI418" s="19"/>
      <c r="AJ418" s="19"/>
      <c r="AK418" s="19">
        <v>0</v>
      </c>
      <c r="AL418" s="19"/>
      <c r="AM418" s="19">
        <v>0</v>
      </c>
      <c r="AN418" s="19"/>
      <c r="AO418" s="26">
        <f t="shared" si="71"/>
        <v>110721</v>
      </c>
      <c r="AP418" s="19"/>
      <c r="AQ418" s="26">
        <f t="shared" si="68"/>
        <v>26026628</v>
      </c>
      <c r="AR418" s="26"/>
    </row>
    <row r="419" spans="1:44" hidden="1">
      <c r="A419" s="9" t="s">
        <v>733</v>
      </c>
      <c r="B419" s="9"/>
      <c r="C419" s="9" t="s">
        <v>71</v>
      </c>
      <c r="D419" s="9"/>
      <c r="E419" s="23">
        <v>50575</v>
      </c>
      <c r="F419" s="19"/>
      <c r="G419" s="19">
        <v>0</v>
      </c>
      <c r="H419" s="19"/>
      <c r="I419" s="19">
        <v>0</v>
      </c>
      <c r="J419" s="19"/>
      <c r="K419" s="19">
        <v>0</v>
      </c>
      <c r="L419" s="19"/>
      <c r="M419" s="19">
        <v>0</v>
      </c>
      <c r="N419" s="19"/>
      <c r="O419" s="19">
        <v>0</v>
      </c>
      <c r="P419" s="19"/>
      <c r="Q419" s="19">
        <v>0</v>
      </c>
      <c r="R419" s="19"/>
      <c r="S419" s="19">
        <v>0</v>
      </c>
      <c r="T419" s="19"/>
      <c r="U419" s="19">
        <v>0</v>
      </c>
      <c r="V419" s="19"/>
      <c r="W419" s="19">
        <v>0</v>
      </c>
      <c r="X419" s="19"/>
      <c r="Y419" s="26"/>
      <c r="Z419" s="19"/>
      <c r="AA419" s="19">
        <v>0</v>
      </c>
      <c r="AB419" s="19"/>
      <c r="AC419" s="19">
        <v>0</v>
      </c>
      <c r="AD419" s="19"/>
      <c r="AE419" s="19">
        <v>0</v>
      </c>
      <c r="AF419" s="19"/>
      <c r="AG419" s="19"/>
      <c r="AH419" s="19"/>
      <c r="AI419" s="19"/>
      <c r="AJ419" s="19"/>
      <c r="AK419" s="19">
        <v>0</v>
      </c>
      <c r="AL419" s="19"/>
      <c r="AM419" s="19">
        <v>0</v>
      </c>
      <c r="AN419" s="19"/>
      <c r="AO419" s="26"/>
      <c r="AP419" s="19"/>
      <c r="AQ419" s="26"/>
      <c r="AR419" s="26"/>
    </row>
    <row r="420" spans="1:44" hidden="1">
      <c r="A420" s="8" t="s">
        <v>868</v>
      </c>
      <c r="B420" s="9"/>
      <c r="C420" s="9" t="s">
        <v>72</v>
      </c>
      <c r="D420" s="9"/>
      <c r="E420" s="23">
        <v>50716</v>
      </c>
      <c r="F420" s="19"/>
      <c r="G420" s="19">
        <v>0</v>
      </c>
      <c r="H420" s="19"/>
      <c r="I420" s="19">
        <v>0</v>
      </c>
      <c r="J420" s="19"/>
      <c r="K420" s="19">
        <v>0</v>
      </c>
      <c r="L420" s="19"/>
      <c r="M420" s="19">
        <v>0</v>
      </c>
      <c r="N420" s="19"/>
      <c r="O420" s="19">
        <v>0</v>
      </c>
      <c r="P420" s="19"/>
      <c r="Q420" s="19">
        <v>0</v>
      </c>
      <c r="R420" s="19"/>
      <c r="S420" s="19">
        <v>0</v>
      </c>
      <c r="T420" s="19"/>
      <c r="U420" s="19">
        <v>0</v>
      </c>
      <c r="V420" s="19"/>
      <c r="W420" s="19">
        <v>0</v>
      </c>
      <c r="X420" s="19"/>
      <c r="Y420" s="26">
        <f t="shared" si="65"/>
        <v>0</v>
      </c>
      <c r="Z420" s="19"/>
      <c r="AA420" s="19">
        <v>0</v>
      </c>
      <c r="AB420" s="19"/>
      <c r="AC420" s="19">
        <v>0</v>
      </c>
      <c r="AD420" s="19"/>
      <c r="AE420" s="19">
        <v>0</v>
      </c>
      <c r="AF420" s="19"/>
      <c r="AG420" s="19"/>
      <c r="AH420" s="19"/>
      <c r="AI420" s="19"/>
      <c r="AJ420" s="19"/>
      <c r="AK420" s="19">
        <v>0</v>
      </c>
      <c r="AL420" s="19"/>
      <c r="AM420" s="19">
        <v>0</v>
      </c>
      <c r="AN420" s="19"/>
      <c r="AO420" s="26">
        <f>AK420+AE420+AA420</f>
        <v>0</v>
      </c>
      <c r="AP420" s="19"/>
      <c r="AQ420" s="26">
        <f>Y420+AO420</f>
        <v>0</v>
      </c>
      <c r="AR420" s="26"/>
    </row>
    <row r="421" spans="1:44">
      <c r="A421" s="9" t="s">
        <v>508</v>
      </c>
      <c r="B421" s="9"/>
      <c r="C421" s="9" t="s">
        <v>63</v>
      </c>
      <c r="D421" s="9"/>
      <c r="E421" s="23">
        <v>44552</v>
      </c>
      <c r="F421" s="19"/>
      <c r="G421" s="19">
        <v>8216986</v>
      </c>
      <c r="H421" s="19"/>
      <c r="I421" s="19">
        <v>0</v>
      </c>
      <c r="J421" s="19"/>
      <c r="K421" s="19">
        <v>9551462</v>
      </c>
      <c r="L421" s="19"/>
      <c r="M421" s="19">
        <v>12342</v>
      </c>
      <c r="N421" s="19"/>
      <c r="O421" s="19">
        <f>3636659+803740+3653</f>
        <v>4444052</v>
      </c>
      <c r="P421" s="19"/>
      <c r="Q421" s="19">
        <v>220561</v>
      </c>
      <c r="R421" s="19"/>
      <c r="S421" s="19">
        <v>0</v>
      </c>
      <c r="T421" s="19"/>
      <c r="U421" s="19">
        <v>10715</v>
      </c>
      <c r="V421" s="19"/>
      <c r="W421" s="19">
        <v>145302</v>
      </c>
      <c r="X421" s="19"/>
      <c r="Y421" s="26">
        <f t="shared" si="65"/>
        <v>22601420</v>
      </c>
      <c r="Z421" s="19"/>
      <c r="AA421" s="19">
        <v>0</v>
      </c>
      <c r="AB421" s="19"/>
      <c r="AC421" s="19">
        <v>0</v>
      </c>
      <c r="AD421" s="19"/>
      <c r="AE421" s="19">
        <v>0</v>
      </c>
      <c r="AF421" s="19"/>
      <c r="AG421" s="19"/>
      <c r="AH421" s="19"/>
      <c r="AI421" s="19"/>
      <c r="AJ421" s="19"/>
      <c r="AK421" s="19">
        <f>27760+121322</f>
        <v>149082</v>
      </c>
      <c r="AL421" s="19"/>
      <c r="AM421" s="19">
        <v>0</v>
      </c>
      <c r="AN421" s="19"/>
      <c r="AO421" s="26">
        <f>AK421+AE421+AA421</f>
        <v>149082</v>
      </c>
      <c r="AP421" s="19"/>
      <c r="AQ421" s="26">
        <f>Y421+AO421</f>
        <v>22750502</v>
      </c>
      <c r="AR421" s="26"/>
    </row>
    <row r="422" spans="1:44">
      <c r="A422" s="9" t="s">
        <v>356</v>
      </c>
      <c r="B422" s="9"/>
      <c r="C422" s="9" t="s">
        <v>37</v>
      </c>
      <c r="D422" s="9"/>
      <c r="E422" s="23">
        <v>44560</v>
      </c>
      <c r="F422" s="19"/>
      <c r="G422" s="19">
        <v>7289040</v>
      </c>
      <c r="H422" s="19"/>
      <c r="I422" s="19">
        <v>1878015</v>
      </c>
      <c r="J422" s="19"/>
      <c r="K422" s="19">
        <v>15884613</v>
      </c>
      <c r="L422" s="19"/>
      <c r="M422" s="19">
        <v>18752</v>
      </c>
      <c r="N422" s="19"/>
      <c r="O422" s="19">
        <f>1174426+37322+286729</f>
        <v>1498477</v>
      </c>
      <c r="P422" s="19"/>
      <c r="Q422" s="19">
        <v>320833</v>
      </c>
      <c r="R422" s="19"/>
      <c r="S422" s="19">
        <v>0</v>
      </c>
      <c r="T422" s="19"/>
      <c r="U422" s="19">
        <v>87066</v>
      </c>
      <c r="V422" s="19"/>
      <c r="W422" s="19">
        <v>119457</v>
      </c>
      <c r="X422" s="19"/>
      <c r="Y422" s="26">
        <f t="shared" si="65"/>
        <v>27096253</v>
      </c>
      <c r="Z422" s="19"/>
      <c r="AA422" s="19">
        <v>0</v>
      </c>
      <c r="AB422" s="19"/>
      <c r="AC422" s="19">
        <v>0</v>
      </c>
      <c r="AD422" s="19"/>
      <c r="AE422" s="19">
        <v>0</v>
      </c>
      <c r="AF422" s="19"/>
      <c r="AG422" s="19"/>
      <c r="AH422" s="19"/>
      <c r="AI422" s="19"/>
      <c r="AJ422" s="19"/>
      <c r="AK422" s="19">
        <v>0</v>
      </c>
      <c r="AL422" s="19"/>
      <c r="AM422" s="19">
        <v>0</v>
      </c>
      <c r="AN422" s="19"/>
      <c r="AO422" s="26">
        <f>AK422+AE422+AA422</f>
        <v>0</v>
      </c>
      <c r="AP422" s="19"/>
      <c r="AQ422" s="26">
        <f>Y422+AO422</f>
        <v>27096253</v>
      </c>
      <c r="AR422" s="26"/>
    </row>
    <row r="423" spans="1:44" hidden="1">
      <c r="A423" s="9" t="s">
        <v>811</v>
      </c>
      <c r="B423" s="9"/>
      <c r="C423" s="9" t="s">
        <v>71</v>
      </c>
      <c r="D423" s="9"/>
      <c r="E423" s="23">
        <v>50567</v>
      </c>
      <c r="F423" s="19"/>
      <c r="G423" s="19">
        <v>0</v>
      </c>
      <c r="H423" s="19"/>
      <c r="I423" s="19">
        <v>0</v>
      </c>
      <c r="J423" s="19"/>
      <c r="K423" s="19">
        <v>0</v>
      </c>
      <c r="L423" s="19"/>
      <c r="M423" s="19">
        <v>0</v>
      </c>
      <c r="N423" s="19"/>
      <c r="O423" s="19">
        <v>0</v>
      </c>
      <c r="P423" s="19"/>
      <c r="Q423" s="19">
        <v>0</v>
      </c>
      <c r="R423" s="19"/>
      <c r="S423" s="19">
        <v>0</v>
      </c>
      <c r="T423" s="19"/>
      <c r="U423" s="19">
        <v>0</v>
      </c>
      <c r="V423" s="19"/>
      <c r="W423" s="19">
        <v>0</v>
      </c>
      <c r="X423" s="19"/>
      <c r="Y423" s="26">
        <f t="shared" ref="Y423" si="72">SUM(G423:W423)</f>
        <v>0</v>
      </c>
      <c r="Z423" s="19"/>
      <c r="AA423" s="19">
        <v>0</v>
      </c>
      <c r="AB423" s="19"/>
      <c r="AC423" s="19">
        <v>0</v>
      </c>
      <c r="AD423" s="19"/>
      <c r="AE423" s="19">
        <v>0</v>
      </c>
      <c r="AF423" s="19"/>
      <c r="AG423" s="19"/>
      <c r="AH423" s="19"/>
      <c r="AI423" s="19"/>
      <c r="AJ423" s="19"/>
      <c r="AK423" s="19">
        <v>0</v>
      </c>
      <c r="AL423" s="19"/>
      <c r="AM423" s="19">
        <v>0</v>
      </c>
      <c r="AN423" s="19"/>
      <c r="AO423" s="26">
        <f>AK423+AE423+AA423</f>
        <v>0</v>
      </c>
      <c r="AP423" s="19"/>
      <c r="AQ423" s="26">
        <f>Y423+AO423</f>
        <v>0</v>
      </c>
      <c r="AR423" s="26"/>
    </row>
    <row r="424" spans="1:44">
      <c r="A424" s="9" t="s">
        <v>626</v>
      </c>
      <c r="B424" s="9"/>
      <c r="C424" s="9" t="s">
        <v>32</v>
      </c>
      <c r="D424" s="9"/>
      <c r="E424" s="23">
        <v>44578</v>
      </c>
      <c r="F424" s="19"/>
      <c r="G424" s="19">
        <v>14277616</v>
      </c>
      <c r="H424" s="19"/>
      <c r="I424" s="19">
        <v>0</v>
      </c>
      <c r="J424" s="19"/>
      <c r="K424" s="19">
        <v>14369441</v>
      </c>
      <c r="L424" s="19"/>
      <c r="M424" s="19">
        <v>12546</v>
      </c>
      <c r="N424" s="19"/>
      <c r="O424" s="19">
        <f>296982+210757</f>
        <v>507739</v>
      </c>
      <c r="P424" s="19"/>
      <c r="Q424" s="19">
        <v>233528</v>
      </c>
      <c r="R424" s="19"/>
      <c r="S424" s="19">
        <v>439518</v>
      </c>
      <c r="T424" s="19"/>
      <c r="U424" s="19">
        <v>154783</v>
      </c>
      <c r="V424" s="19"/>
      <c r="W424" s="19">
        <v>345175</v>
      </c>
      <c r="X424" s="19"/>
      <c r="Y424" s="26">
        <f t="shared" si="65"/>
        <v>30340346</v>
      </c>
      <c r="Z424" s="19"/>
      <c r="AA424" s="19">
        <v>5324058</v>
      </c>
      <c r="AB424" s="19"/>
      <c r="AC424" s="19">
        <v>0</v>
      </c>
      <c r="AD424" s="19"/>
      <c r="AE424" s="19">
        <v>3900000</v>
      </c>
      <c r="AF424" s="19"/>
      <c r="AG424" s="19"/>
      <c r="AH424" s="19"/>
      <c r="AI424" s="19"/>
      <c r="AJ424" s="19"/>
      <c r="AK424" s="19">
        <v>0</v>
      </c>
      <c r="AL424" s="19"/>
      <c r="AM424" s="19">
        <v>0</v>
      </c>
      <c r="AN424" s="19"/>
      <c r="AO424" s="26">
        <f>AK424+AE424+AA424</f>
        <v>9224058</v>
      </c>
      <c r="AP424" s="19"/>
      <c r="AQ424" s="26">
        <f>Y424+AO424</f>
        <v>39564404</v>
      </c>
      <c r="AR424" s="26"/>
    </row>
    <row r="425" spans="1:44" hidden="1">
      <c r="A425" s="9" t="s">
        <v>732</v>
      </c>
      <c r="B425" s="9"/>
      <c r="C425" s="9" t="s">
        <v>38</v>
      </c>
      <c r="D425" s="9"/>
      <c r="E425" s="23">
        <v>47761</v>
      </c>
      <c r="F425" s="19"/>
      <c r="G425" s="19">
        <v>0</v>
      </c>
      <c r="H425" s="19"/>
      <c r="I425" s="19">
        <v>0</v>
      </c>
      <c r="J425" s="19"/>
      <c r="K425" s="19">
        <v>0</v>
      </c>
      <c r="L425" s="19"/>
      <c r="M425" s="19">
        <v>0</v>
      </c>
      <c r="N425" s="19"/>
      <c r="O425" s="19">
        <v>0</v>
      </c>
      <c r="P425" s="19"/>
      <c r="Q425" s="19">
        <v>0</v>
      </c>
      <c r="R425" s="19"/>
      <c r="S425" s="19">
        <v>0</v>
      </c>
      <c r="T425" s="19"/>
      <c r="U425" s="19">
        <v>0</v>
      </c>
      <c r="V425" s="19"/>
      <c r="W425" s="19">
        <v>0</v>
      </c>
      <c r="X425" s="19"/>
      <c r="Y425" s="26"/>
      <c r="Z425" s="19"/>
      <c r="AA425" s="19">
        <v>0</v>
      </c>
      <c r="AB425" s="19"/>
      <c r="AC425" s="19">
        <v>0</v>
      </c>
      <c r="AD425" s="19"/>
      <c r="AE425" s="19">
        <v>0</v>
      </c>
      <c r="AF425" s="19"/>
      <c r="AG425" s="19"/>
      <c r="AH425" s="19"/>
      <c r="AI425" s="19"/>
      <c r="AJ425" s="19"/>
      <c r="AK425" s="19">
        <v>0</v>
      </c>
      <c r="AL425" s="19"/>
      <c r="AM425" s="19">
        <v>0</v>
      </c>
      <c r="AN425" s="19"/>
      <c r="AO425" s="26"/>
      <c r="AP425" s="19"/>
      <c r="AQ425" s="26"/>
      <c r="AR425" s="26"/>
    </row>
    <row r="426" spans="1:44">
      <c r="A426" s="9" t="s">
        <v>326</v>
      </c>
      <c r="B426" s="9"/>
      <c r="C426" s="9" t="s">
        <v>32</v>
      </c>
      <c r="D426" s="9"/>
      <c r="E426" s="23">
        <v>47373</v>
      </c>
      <c r="F426" s="19"/>
      <c r="G426" s="19">
        <v>27802403</v>
      </c>
      <c r="H426" s="19"/>
      <c r="I426" s="19">
        <v>0</v>
      </c>
      <c r="J426" s="19"/>
      <c r="K426" s="19">
        <v>34511674</v>
      </c>
      <c r="L426" s="19"/>
      <c r="M426" s="19">
        <v>8215</v>
      </c>
      <c r="N426" s="19"/>
      <c r="O426" s="19">
        <f>1216417+1924918</f>
        <v>3141335</v>
      </c>
      <c r="P426" s="19"/>
      <c r="Q426" s="19">
        <v>1641466</v>
      </c>
      <c r="R426" s="19"/>
      <c r="S426" s="19">
        <v>9694573</v>
      </c>
      <c r="T426" s="19"/>
      <c r="U426" s="19">
        <v>0</v>
      </c>
      <c r="V426" s="19"/>
      <c r="W426" s="19">
        <v>952394</v>
      </c>
      <c r="X426" s="19"/>
      <c r="Y426" s="26">
        <f t="shared" si="65"/>
        <v>77752060</v>
      </c>
      <c r="Z426" s="19"/>
      <c r="AA426" s="19">
        <v>246270</v>
      </c>
      <c r="AB426" s="19"/>
      <c r="AC426" s="19">
        <v>0</v>
      </c>
      <c r="AD426" s="19"/>
      <c r="AE426" s="19">
        <v>0</v>
      </c>
      <c r="AF426" s="19"/>
      <c r="AG426" s="19"/>
      <c r="AH426" s="19"/>
      <c r="AI426" s="19"/>
      <c r="AJ426" s="19"/>
      <c r="AK426" s="19">
        <v>329</v>
      </c>
      <c r="AL426" s="19"/>
      <c r="AM426" s="19">
        <v>0</v>
      </c>
      <c r="AN426" s="19"/>
      <c r="AO426" s="26">
        <f t="shared" ref="AO426:AO449" si="73">AK426+AE426+AA426</f>
        <v>246599</v>
      </c>
      <c r="AP426" s="19"/>
      <c r="AQ426" s="26">
        <f t="shared" ref="AQ426:AQ489" si="74">Y426+AO426</f>
        <v>77998659</v>
      </c>
      <c r="AR426" s="26"/>
    </row>
    <row r="427" spans="1:44">
      <c r="A427" s="9" t="s">
        <v>432</v>
      </c>
      <c r="B427" s="9"/>
      <c r="C427" s="9" t="s">
        <v>50</v>
      </c>
      <c r="D427" s="9"/>
      <c r="E427" s="23">
        <v>44586</v>
      </c>
      <c r="F427" s="19"/>
      <c r="G427" s="19">
        <v>16086211</v>
      </c>
      <c r="H427" s="19"/>
      <c r="I427" s="19">
        <v>0</v>
      </c>
      <c r="J427" s="19"/>
      <c r="K427" s="19">
        <v>8440610</v>
      </c>
      <c r="L427" s="19"/>
      <c r="M427" s="19">
        <v>2619</v>
      </c>
      <c r="N427" s="19"/>
      <c r="O427" s="19">
        <f>248380+4864+551292</f>
        <v>804536</v>
      </c>
      <c r="P427" s="19"/>
      <c r="Q427" s="19">
        <v>259750</v>
      </c>
      <c r="R427" s="19"/>
      <c r="S427" s="19">
        <v>0</v>
      </c>
      <c r="T427" s="19"/>
      <c r="U427" s="19">
        <v>122269</v>
      </c>
      <c r="V427" s="19"/>
      <c r="W427" s="19">
        <v>177242</v>
      </c>
      <c r="X427" s="19"/>
      <c r="Y427" s="26">
        <f t="shared" si="65"/>
        <v>25893237</v>
      </c>
      <c r="Z427" s="19"/>
      <c r="AA427" s="19">
        <v>907512</v>
      </c>
      <c r="AB427" s="19"/>
      <c r="AC427" s="19">
        <v>0</v>
      </c>
      <c r="AD427" s="19"/>
      <c r="AE427" s="19">
        <v>0</v>
      </c>
      <c r="AF427" s="19"/>
      <c r="AG427" s="19"/>
      <c r="AH427" s="19"/>
      <c r="AI427" s="19"/>
      <c r="AJ427" s="19"/>
      <c r="AK427" s="19">
        <v>0</v>
      </c>
      <c r="AL427" s="19"/>
      <c r="AM427" s="19">
        <v>0</v>
      </c>
      <c r="AN427" s="19"/>
      <c r="AO427" s="26">
        <f t="shared" si="73"/>
        <v>907512</v>
      </c>
      <c r="AP427" s="19"/>
      <c r="AQ427" s="26">
        <f t="shared" si="74"/>
        <v>26800749</v>
      </c>
      <c r="AR427" s="26"/>
    </row>
    <row r="428" spans="1:44">
      <c r="A428" s="9" t="s">
        <v>386</v>
      </c>
      <c r="B428" s="9"/>
      <c r="C428" s="9" t="s">
        <v>44</v>
      </c>
      <c r="D428" s="9"/>
      <c r="E428" s="23">
        <v>44594</v>
      </c>
      <c r="F428" s="19"/>
      <c r="G428" s="19">
        <v>8796786</v>
      </c>
      <c r="H428" s="19"/>
      <c r="I428" s="19">
        <v>0</v>
      </c>
      <c r="J428" s="19"/>
      <c r="K428" s="19">
        <v>5633327</v>
      </c>
      <c r="L428" s="19"/>
      <c r="M428" s="19">
        <v>4232</v>
      </c>
      <c r="N428" s="19"/>
      <c r="O428" s="19">
        <f>396148+32007+18395+12734+110504</f>
        <v>569788</v>
      </c>
      <c r="P428" s="19"/>
      <c r="Q428" s="19">
        <v>47743</v>
      </c>
      <c r="R428" s="19"/>
      <c r="S428" s="19">
        <v>0</v>
      </c>
      <c r="T428" s="19"/>
      <c r="U428" s="19">
        <v>0</v>
      </c>
      <c r="V428" s="19"/>
      <c r="W428" s="19">
        <v>296324</v>
      </c>
      <c r="X428" s="19"/>
      <c r="Y428" s="26">
        <f t="shared" si="65"/>
        <v>15348200</v>
      </c>
      <c r="Z428" s="19"/>
      <c r="AA428" s="19">
        <v>40255</v>
      </c>
      <c r="AB428" s="19"/>
      <c r="AC428" s="19">
        <v>0</v>
      </c>
      <c r="AD428" s="19"/>
      <c r="AE428" s="19">
        <v>0</v>
      </c>
      <c r="AF428" s="19"/>
      <c r="AG428" s="19"/>
      <c r="AH428" s="19"/>
      <c r="AI428" s="19"/>
      <c r="AJ428" s="19"/>
      <c r="AK428" s="19">
        <v>0</v>
      </c>
      <c r="AL428" s="19"/>
      <c r="AM428" s="19">
        <v>0</v>
      </c>
      <c r="AN428" s="19"/>
      <c r="AO428" s="26">
        <f t="shared" si="73"/>
        <v>40255</v>
      </c>
      <c r="AP428" s="19"/>
      <c r="AQ428" s="26">
        <f t="shared" si="74"/>
        <v>15388455</v>
      </c>
      <c r="AR428" s="26"/>
    </row>
    <row r="429" spans="1:44" hidden="1">
      <c r="A429" s="9" t="s">
        <v>609</v>
      </c>
      <c r="B429" s="9"/>
      <c r="C429" s="9" t="s">
        <v>60</v>
      </c>
      <c r="D429" s="9"/>
      <c r="E429" s="23">
        <v>49726</v>
      </c>
      <c r="F429" s="19"/>
      <c r="G429" s="19">
        <v>0</v>
      </c>
      <c r="H429" s="19"/>
      <c r="I429" s="19">
        <v>0</v>
      </c>
      <c r="J429" s="19"/>
      <c r="K429" s="19">
        <v>0</v>
      </c>
      <c r="L429" s="19"/>
      <c r="M429" s="19">
        <v>0</v>
      </c>
      <c r="N429" s="19"/>
      <c r="O429" s="19">
        <v>0</v>
      </c>
      <c r="P429" s="19"/>
      <c r="Q429" s="19">
        <v>0</v>
      </c>
      <c r="R429" s="19"/>
      <c r="S429" s="19">
        <v>0</v>
      </c>
      <c r="T429" s="19"/>
      <c r="U429" s="19">
        <v>0</v>
      </c>
      <c r="V429" s="19"/>
      <c r="W429" s="19">
        <v>0</v>
      </c>
      <c r="X429" s="19"/>
      <c r="Y429" s="26">
        <f t="shared" si="65"/>
        <v>0</v>
      </c>
      <c r="Z429" s="19"/>
      <c r="AA429" s="19">
        <v>0</v>
      </c>
      <c r="AB429" s="19"/>
      <c r="AC429" s="19">
        <v>0</v>
      </c>
      <c r="AD429" s="19"/>
      <c r="AE429" s="19">
        <v>0</v>
      </c>
      <c r="AF429" s="19"/>
      <c r="AG429" s="19"/>
      <c r="AH429" s="19"/>
      <c r="AI429" s="19"/>
      <c r="AJ429" s="19"/>
      <c r="AK429" s="19">
        <v>0</v>
      </c>
      <c r="AL429" s="19"/>
      <c r="AM429" s="19">
        <v>0</v>
      </c>
      <c r="AN429" s="19"/>
      <c r="AO429" s="26">
        <f t="shared" si="73"/>
        <v>0</v>
      </c>
      <c r="AP429" s="19"/>
      <c r="AQ429" s="26">
        <f t="shared" si="74"/>
        <v>0</v>
      </c>
      <c r="AR429" s="26"/>
    </row>
    <row r="430" spans="1:44">
      <c r="A430" s="9" t="s">
        <v>282</v>
      </c>
      <c r="B430" s="9"/>
      <c r="C430" s="9" t="s">
        <v>23</v>
      </c>
      <c r="D430" s="9"/>
      <c r="E430" s="23">
        <v>46763</v>
      </c>
      <c r="F430" s="19"/>
      <c r="G430" s="19">
        <v>157058877</v>
      </c>
      <c r="H430" s="19"/>
      <c r="I430" s="19">
        <v>0</v>
      </c>
      <c r="J430" s="19"/>
      <c r="K430" s="19">
        <v>30675611</v>
      </c>
      <c r="L430" s="19"/>
      <c r="M430" s="19">
        <v>267329</v>
      </c>
      <c r="N430" s="19"/>
      <c r="O430" s="19">
        <f>1623044+6795300</f>
        <v>8418344</v>
      </c>
      <c r="P430" s="19"/>
      <c r="Q430" s="19">
        <v>1063122</v>
      </c>
      <c r="R430" s="19"/>
      <c r="S430" s="19">
        <v>17969609</v>
      </c>
      <c r="T430" s="19"/>
      <c r="U430" s="19">
        <v>33756</v>
      </c>
      <c r="V430" s="19"/>
      <c r="W430" s="19">
        <v>1071969</v>
      </c>
      <c r="X430" s="19"/>
      <c r="Y430" s="26">
        <f t="shared" si="65"/>
        <v>216558617</v>
      </c>
      <c r="Z430" s="19"/>
      <c r="AA430" s="19">
        <v>13000000</v>
      </c>
      <c r="AB430" s="19"/>
      <c r="AC430" s="19">
        <v>0</v>
      </c>
      <c r="AD430" s="19"/>
      <c r="AE430" s="19">
        <f>80324917+10634770</f>
        <v>90959687</v>
      </c>
      <c r="AF430" s="19"/>
      <c r="AG430" s="19"/>
      <c r="AH430" s="19"/>
      <c r="AI430" s="19"/>
      <c r="AJ430" s="19"/>
      <c r="AK430" s="19">
        <v>38184</v>
      </c>
      <c r="AL430" s="19"/>
      <c r="AM430" s="19">
        <v>0</v>
      </c>
      <c r="AN430" s="19"/>
      <c r="AO430" s="26">
        <f t="shared" si="73"/>
        <v>103997871</v>
      </c>
      <c r="AP430" s="19"/>
      <c r="AQ430" s="26">
        <f t="shared" si="74"/>
        <v>320556488</v>
      </c>
      <c r="AR430" s="26"/>
    </row>
    <row r="431" spans="1:44">
      <c r="A431" s="9" t="s">
        <v>271</v>
      </c>
      <c r="B431" s="9"/>
      <c r="C431" s="9" t="s">
        <v>20</v>
      </c>
      <c r="D431" s="9"/>
      <c r="E431" s="23">
        <v>46573</v>
      </c>
      <c r="F431" s="19"/>
      <c r="G431" s="19">
        <v>25151314</v>
      </c>
      <c r="H431" s="19"/>
      <c r="I431" s="19">
        <v>0</v>
      </c>
      <c r="J431" s="19"/>
      <c r="K431" s="19">
        <v>15804145</v>
      </c>
      <c r="L431" s="19"/>
      <c r="M431" s="19">
        <v>46729</v>
      </c>
      <c r="N431" s="19"/>
      <c r="O431" s="19">
        <f>447659+895702+45996</f>
        <v>1389357</v>
      </c>
      <c r="P431" s="19"/>
      <c r="Q431" s="19">
        <v>409233</v>
      </c>
      <c r="R431" s="19"/>
      <c r="S431" s="19">
        <v>0</v>
      </c>
      <c r="T431" s="19"/>
      <c r="U431" s="19">
        <v>78702</v>
      </c>
      <c r="V431" s="19"/>
      <c r="W431" s="19">
        <v>851985</v>
      </c>
      <c r="X431" s="19"/>
      <c r="Y431" s="26">
        <f t="shared" si="65"/>
        <v>43731465</v>
      </c>
      <c r="Z431" s="19"/>
      <c r="AA431" s="19">
        <v>722949</v>
      </c>
      <c r="AB431" s="19"/>
      <c r="AC431" s="19">
        <v>0</v>
      </c>
      <c r="AD431" s="19"/>
      <c r="AE431" s="19">
        <v>1400000</v>
      </c>
      <c r="AF431" s="19"/>
      <c r="AG431" s="19"/>
      <c r="AH431" s="19"/>
      <c r="AI431" s="19"/>
      <c r="AJ431" s="19"/>
      <c r="AK431" s="19">
        <v>0</v>
      </c>
      <c r="AL431" s="19"/>
      <c r="AM431" s="19">
        <v>0</v>
      </c>
      <c r="AN431" s="19"/>
      <c r="AO431" s="26">
        <f t="shared" si="73"/>
        <v>2122949</v>
      </c>
      <c r="AP431" s="19"/>
      <c r="AQ431" s="26">
        <f t="shared" si="74"/>
        <v>45854414</v>
      </c>
      <c r="AR431" s="26"/>
    </row>
    <row r="432" spans="1:44">
      <c r="A432" s="9" t="s">
        <v>467</v>
      </c>
      <c r="B432" s="9"/>
      <c r="C432" s="9" t="s">
        <v>109</v>
      </c>
      <c r="D432" s="9"/>
      <c r="E432" s="23">
        <v>49478</v>
      </c>
      <c r="F432" s="19"/>
      <c r="G432" s="19">
        <v>10166095</v>
      </c>
      <c r="H432" s="19"/>
      <c r="I432" s="19">
        <v>0</v>
      </c>
      <c r="J432" s="19"/>
      <c r="K432" s="19">
        <f>7804+5276919+934502</f>
        <v>6219225</v>
      </c>
      <c r="L432" s="19"/>
      <c r="M432" s="19">
        <v>23476</v>
      </c>
      <c r="N432" s="19"/>
      <c r="O432" s="19">
        <f>1353843+430363+188953+13586</f>
        <v>1986745</v>
      </c>
      <c r="P432" s="19"/>
      <c r="Q432" s="19">
        <v>319417</v>
      </c>
      <c r="R432" s="19"/>
      <c r="S432" s="19">
        <v>50312</v>
      </c>
      <c r="T432" s="19"/>
      <c r="U432" s="19">
        <v>14617</v>
      </c>
      <c r="V432" s="19"/>
      <c r="W432" s="19">
        <v>101128</v>
      </c>
      <c r="X432" s="19"/>
      <c r="Y432" s="26">
        <f t="shared" si="65"/>
        <v>18881015</v>
      </c>
      <c r="Z432" s="19"/>
      <c r="AA432" s="19">
        <v>0</v>
      </c>
      <c r="AB432" s="19"/>
      <c r="AC432" s="19">
        <v>0</v>
      </c>
      <c r="AD432" s="19"/>
      <c r="AE432" s="19">
        <v>0</v>
      </c>
      <c r="AF432" s="19"/>
      <c r="AG432" s="19"/>
      <c r="AH432" s="19"/>
      <c r="AI432" s="19"/>
      <c r="AJ432" s="19"/>
      <c r="AK432" s="19">
        <v>2588</v>
      </c>
      <c r="AL432" s="19"/>
      <c r="AM432" s="19">
        <v>0</v>
      </c>
      <c r="AN432" s="19"/>
      <c r="AO432" s="26">
        <f t="shared" si="73"/>
        <v>2588</v>
      </c>
      <c r="AP432" s="19"/>
      <c r="AQ432" s="26">
        <f t="shared" si="74"/>
        <v>18883603</v>
      </c>
      <c r="AR432" s="26"/>
    </row>
    <row r="433" spans="1:44">
      <c r="A433" s="9" t="s">
        <v>272</v>
      </c>
      <c r="B433" s="9"/>
      <c r="C433" s="9" t="s">
        <v>20</v>
      </c>
      <c r="D433" s="9"/>
      <c r="E433" s="23">
        <v>46581</v>
      </c>
      <c r="F433" s="19"/>
      <c r="G433" s="19">
        <v>42765503</v>
      </c>
      <c r="H433" s="19"/>
      <c r="I433" s="19">
        <v>0</v>
      </c>
      <c r="J433" s="19"/>
      <c r="K433" s="19">
        <f>44339+8379103+949864</f>
        <v>9373306</v>
      </c>
      <c r="L433" s="19"/>
      <c r="M433" s="19">
        <f>217844-332887</f>
        <v>-115043</v>
      </c>
      <c r="N433" s="19"/>
      <c r="O433" s="19">
        <f>3432486+498277+68499+3120+27761</f>
        <v>4030143</v>
      </c>
      <c r="P433" s="19"/>
      <c r="Q433" s="19">
        <v>248088</v>
      </c>
      <c r="R433" s="19"/>
      <c r="S433" s="19">
        <v>0</v>
      </c>
      <c r="T433" s="19"/>
      <c r="U433" s="19">
        <v>67021</v>
      </c>
      <c r="V433" s="19"/>
      <c r="W433" s="19">
        <v>74430</v>
      </c>
      <c r="X433" s="19"/>
      <c r="Y433" s="26">
        <f t="shared" ref="Y433:Y434" si="75">SUM(G433:W433)</f>
        <v>56443448</v>
      </c>
      <c r="Z433" s="19"/>
      <c r="AA433" s="19">
        <v>2610000</v>
      </c>
      <c r="AB433" s="19"/>
      <c r="AC433" s="19">
        <v>0</v>
      </c>
      <c r="AD433" s="19"/>
      <c r="AE433" s="19">
        <v>0</v>
      </c>
      <c r="AF433" s="19"/>
      <c r="AG433" s="19"/>
      <c r="AH433" s="19"/>
      <c r="AI433" s="19"/>
      <c r="AJ433" s="19"/>
      <c r="AK433" s="19">
        <v>4366</v>
      </c>
      <c r="AL433" s="19"/>
      <c r="AM433" s="19">
        <v>0</v>
      </c>
      <c r="AN433" s="19"/>
      <c r="AO433" s="26">
        <f t="shared" si="73"/>
        <v>2614366</v>
      </c>
      <c r="AP433" s="19"/>
      <c r="AQ433" s="26">
        <f t="shared" si="74"/>
        <v>59057814</v>
      </c>
      <c r="AR433" s="26"/>
    </row>
    <row r="434" spans="1:44">
      <c r="A434" s="9" t="s">
        <v>388</v>
      </c>
      <c r="B434" s="9"/>
      <c r="C434" s="9" t="s">
        <v>114</v>
      </c>
      <c r="D434" s="9"/>
      <c r="E434" s="23">
        <v>44602</v>
      </c>
      <c r="F434" s="19"/>
      <c r="G434" s="19">
        <v>22004956</v>
      </c>
      <c r="H434" s="19"/>
      <c r="I434" s="19">
        <v>0</v>
      </c>
      <c r="J434" s="19"/>
      <c r="K434" s="19">
        <f>17308915+2746631</f>
        <v>20055546</v>
      </c>
      <c r="L434" s="19"/>
      <c r="M434" s="19">
        <v>35041</v>
      </c>
      <c r="N434" s="19"/>
      <c r="O434" s="19">
        <f>1288573+715946+156392</f>
        <v>2160911</v>
      </c>
      <c r="P434" s="19"/>
      <c r="Q434" s="19">
        <v>310492</v>
      </c>
      <c r="R434" s="19"/>
      <c r="S434" s="19">
        <v>202383</v>
      </c>
      <c r="T434" s="19"/>
      <c r="U434" s="19">
        <v>0</v>
      </c>
      <c r="V434" s="19"/>
      <c r="W434" s="19">
        <v>165021</v>
      </c>
      <c r="X434" s="19"/>
      <c r="Y434" s="26">
        <f t="shared" si="75"/>
        <v>44934350</v>
      </c>
      <c r="Z434" s="19"/>
      <c r="AA434" s="19">
        <v>99205</v>
      </c>
      <c r="AB434" s="19"/>
      <c r="AC434" s="19">
        <v>0</v>
      </c>
      <c r="AD434" s="19"/>
      <c r="AE434" s="19">
        <f>4331463+33959971</f>
        <v>38291434</v>
      </c>
      <c r="AF434" s="19"/>
      <c r="AG434" s="19"/>
      <c r="AH434" s="19"/>
      <c r="AI434" s="19"/>
      <c r="AJ434" s="19"/>
      <c r="AK434" s="19">
        <f>366804+29071</f>
        <v>395875</v>
      </c>
      <c r="AL434" s="19"/>
      <c r="AM434" s="19">
        <v>0</v>
      </c>
      <c r="AN434" s="19"/>
      <c r="AO434" s="26">
        <f t="shared" si="73"/>
        <v>38786514</v>
      </c>
      <c r="AP434" s="19"/>
      <c r="AQ434" s="26">
        <f t="shared" si="74"/>
        <v>83720864</v>
      </c>
      <c r="AR434" s="26"/>
    </row>
    <row r="435" spans="1:44" hidden="1">
      <c r="A435" s="9" t="s">
        <v>812</v>
      </c>
      <c r="B435" s="9"/>
      <c r="C435" s="9" t="s">
        <v>71</v>
      </c>
      <c r="D435" s="9"/>
      <c r="E435" s="23">
        <v>44610</v>
      </c>
      <c r="F435" s="19"/>
      <c r="G435" s="19">
        <v>0</v>
      </c>
      <c r="H435" s="19"/>
      <c r="I435" s="19">
        <v>0</v>
      </c>
      <c r="J435" s="19"/>
      <c r="K435" s="19">
        <v>0</v>
      </c>
      <c r="L435" s="19"/>
      <c r="M435" s="19">
        <v>0</v>
      </c>
      <c r="N435" s="19"/>
      <c r="O435" s="19">
        <v>0</v>
      </c>
      <c r="P435" s="19"/>
      <c r="Q435" s="19">
        <v>0</v>
      </c>
      <c r="R435" s="19"/>
      <c r="S435" s="19">
        <v>0</v>
      </c>
      <c r="T435" s="19"/>
      <c r="U435" s="19">
        <v>0</v>
      </c>
      <c r="V435" s="19"/>
      <c r="W435" s="19">
        <v>0</v>
      </c>
      <c r="X435" s="19"/>
      <c r="Y435" s="26">
        <f t="shared" ref="Y435:Y438" si="76">SUM(G435:W435)</f>
        <v>0</v>
      </c>
      <c r="Z435" s="19"/>
      <c r="AA435" s="19">
        <v>0</v>
      </c>
      <c r="AB435" s="19"/>
      <c r="AC435" s="19">
        <v>0</v>
      </c>
      <c r="AD435" s="19"/>
      <c r="AE435" s="19">
        <v>0</v>
      </c>
      <c r="AF435" s="19"/>
      <c r="AG435" s="19"/>
      <c r="AH435" s="19"/>
      <c r="AI435" s="19"/>
      <c r="AJ435" s="19"/>
      <c r="AK435" s="19">
        <v>0</v>
      </c>
      <c r="AL435" s="19"/>
      <c r="AM435" s="19">
        <v>0</v>
      </c>
      <c r="AN435" s="19"/>
      <c r="AO435" s="26">
        <f t="shared" si="73"/>
        <v>0</v>
      </c>
      <c r="AP435" s="19"/>
      <c r="AQ435" s="26">
        <f t="shared" si="74"/>
        <v>0</v>
      </c>
      <c r="AR435" s="26"/>
    </row>
    <row r="436" spans="1:44" hidden="1">
      <c r="A436" s="8" t="s">
        <v>869</v>
      </c>
      <c r="B436" s="9"/>
      <c r="C436" s="9" t="s">
        <v>62</v>
      </c>
      <c r="D436" s="9"/>
      <c r="E436" s="23">
        <v>49916</v>
      </c>
      <c r="F436" s="19"/>
      <c r="G436" s="19">
        <v>0</v>
      </c>
      <c r="H436" s="19"/>
      <c r="I436" s="19">
        <v>0</v>
      </c>
      <c r="J436" s="19"/>
      <c r="K436" s="19">
        <v>0</v>
      </c>
      <c r="L436" s="19"/>
      <c r="M436" s="19">
        <v>0</v>
      </c>
      <c r="N436" s="19"/>
      <c r="O436" s="19">
        <v>0</v>
      </c>
      <c r="P436" s="19"/>
      <c r="Q436" s="19">
        <v>0</v>
      </c>
      <c r="R436" s="19"/>
      <c r="S436" s="19">
        <v>0</v>
      </c>
      <c r="T436" s="19"/>
      <c r="U436" s="19">
        <v>0</v>
      </c>
      <c r="V436" s="19"/>
      <c r="W436" s="19">
        <v>0</v>
      </c>
      <c r="X436" s="19"/>
      <c r="Y436" s="26">
        <f t="shared" si="76"/>
        <v>0</v>
      </c>
      <c r="Z436" s="19"/>
      <c r="AA436" s="19">
        <v>0</v>
      </c>
      <c r="AB436" s="19"/>
      <c r="AC436" s="19">
        <v>0</v>
      </c>
      <c r="AD436" s="19"/>
      <c r="AE436" s="19">
        <v>0</v>
      </c>
      <c r="AF436" s="19"/>
      <c r="AG436" s="19"/>
      <c r="AH436" s="19"/>
      <c r="AI436" s="19"/>
      <c r="AJ436" s="19"/>
      <c r="AK436" s="19">
        <v>0</v>
      </c>
      <c r="AL436" s="19"/>
      <c r="AM436" s="19">
        <v>0</v>
      </c>
      <c r="AN436" s="19"/>
      <c r="AO436" s="26">
        <f t="shared" si="73"/>
        <v>0</v>
      </c>
      <c r="AP436" s="19"/>
      <c r="AQ436" s="26">
        <f t="shared" si="74"/>
        <v>0</v>
      </c>
      <c r="AR436" s="26"/>
    </row>
    <row r="437" spans="1:44">
      <c r="A437" s="9" t="s">
        <v>552</v>
      </c>
      <c r="B437" s="9"/>
      <c r="C437" s="9" t="s">
        <v>72</v>
      </c>
      <c r="D437" s="9"/>
      <c r="E437" s="23">
        <v>50724</v>
      </c>
      <c r="F437" s="19"/>
      <c r="G437" s="19">
        <v>5471671</v>
      </c>
      <c r="H437" s="19"/>
      <c r="I437" s="19">
        <v>2526041</v>
      </c>
      <c r="J437" s="19"/>
      <c r="K437" s="19">
        <v>8945558</v>
      </c>
      <c r="L437" s="19"/>
      <c r="M437" s="19">
        <v>8064</v>
      </c>
      <c r="N437" s="19"/>
      <c r="O437" s="19">
        <f>557102+317970</f>
        <v>875072</v>
      </c>
      <c r="P437" s="19"/>
      <c r="Q437" s="19">
        <v>224361</v>
      </c>
      <c r="R437" s="19"/>
      <c r="S437" s="19">
        <v>0</v>
      </c>
      <c r="T437" s="19"/>
      <c r="U437" s="19">
        <v>45008</v>
      </c>
      <c r="V437" s="19"/>
      <c r="W437" s="19">
        <v>172971</v>
      </c>
      <c r="X437" s="19"/>
      <c r="Y437" s="26">
        <f t="shared" si="76"/>
        <v>18268746</v>
      </c>
      <c r="Z437" s="19"/>
      <c r="AA437" s="19">
        <v>108997</v>
      </c>
      <c r="AB437" s="19"/>
      <c r="AC437" s="19">
        <v>0</v>
      </c>
      <c r="AD437" s="19"/>
      <c r="AE437" s="19">
        <v>0</v>
      </c>
      <c r="AF437" s="19"/>
      <c r="AG437" s="19"/>
      <c r="AH437" s="19"/>
      <c r="AI437" s="19"/>
      <c r="AJ437" s="19"/>
      <c r="AK437" s="19">
        <v>226</v>
      </c>
      <c r="AL437" s="19"/>
      <c r="AM437" s="19">
        <v>0</v>
      </c>
      <c r="AN437" s="19"/>
      <c r="AO437" s="26">
        <f t="shared" si="73"/>
        <v>109223</v>
      </c>
      <c r="AP437" s="19"/>
      <c r="AQ437" s="26">
        <f t="shared" si="74"/>
        <v>18377969</v>
      </c>
      <c r="AR437" s="26"/>
    </row>
    <row r="438" spans="1:44">
      <c r="A438" s="9" t="s">
        <v>389</v>
      </c>
      <c r="B438" s="9"/>
      <c r="C438" s="9" t="s">
        <v>114</v>
      </c>
      <c r="D438" s="9"/>
      <c r="E438" s="23">
        <v>48215</v>
      </c>
      <c r="F438" s="19"/>
      <c r="G438" s="19">
        <v>10648451</v>
      </c>
      <c r="H438" s="19"/>
      <c r="I438" s="19">
        <v>0</v>
      </c>
      <c r="J438" s="19"/>
      <c r="K438" s="19">
        <f>3642195+312428</f>
        <v>3954623</v>
      </c>
      <c r="L438" s="19"/>
      <c r="M438" s="19">
        <v>35048</v>
      </c>
      <c r="N438" s="19"/>
      <c r="O438" s="19">
        <f>39062+450+64474</f>
        <v>103986</v>
      </c>
      <c r="P438" s="19"/>
      <c r="Q438" s="19">
        <v>300379</v>
      </c>
      <c r="R438" s="19"/>
      <c r="S438" s="19">
        <v>0</v>
      </c>
      <c r="T438" s="19"/>
      <c r="U438" s="19">
        <v>0</v>
      </c>
      <c r="V438" s="19"/>
      <c r="W438" s="19">
        <v>176241</v>
      </c>
      <c r="X438" s="19"/>
      <c r="Y438" s="26">
        <f t="shared" si="76"/>
        <v>15218728</v>
      </c>
      <c r="Z438" s="19"/>
      <c r="AA438" s="19">
        <v>38000</v>
      </c>
      <c r="AB438" s="19"/>
      <c r="AC438" s="19">
        <v>0</v>
      </c>
      <c r="AD438" s="19"/>
      <c r="AE438" s="19">
        <v>0</v>
      </c>
      <c r="AF438" s="19"/>
      <c r="AG438" s="19"/>
      <c r="AH438" s="19"/>
      <c r="AI438" s="19"/>
      <c r="AJ438" s="19"/>
      <c r="AK438" s="19">
        <f>557317+47046</f>
        <v>604363</v>
      </c>
      <c r="AL438" s="19"/>
      <c r="AM438" s="19">
        <v>0</v>
      </c>
      <c r="AN438" s="19"/>
      <c r="AO438" s="26">
        <f t="shared" si="73"/>
        <v>642363</v>
      </c>
      <c r="AP438" s="19"/>
      <c r="AQ438" s="26">
        <f t="shared" si="74"/>
        <v>15861091</v>
      </c>
      <c r="AR438" s="26"/>
    </row>
    <row r="439" spans="1:44" hidden="1">
      <c r="A439" s="9" t="s">
        <v>704</v>
      </c>
      <c r="B439" s="9"/>
      <c r="C439" s="9" t="s">
        <v>464</v>
      </c>
      <c r="D439" s="9"/>
      <c r="E439" s="23">
        <v>49379</v>
      </c>
      <c r="F439" s="19"/>
      <c r="G439" s="19">
        <v>0</v>
      </c>
      <c r="H439" s="19"/>
      <c r="I439" s="19">
        <v>0</v>
      </c>
      <c r="J439" s="19"/>
      <c r="K439" s="19">
        <v>0</v>
      </c>
      <c r="L439" s="19"/>
      <c r="M439" s="19">
        <v>0</v>
      </c>
      <c r="N439" s="19"/>
      <c r="O439" s="19">
        <v>0</v>
      </c>
      <c r="P439" s="19"/>
      <c r="Q439" s="19">
        <v>0</v>
      </c>
      <c r="R439" s="19"/>
      <c r="S439" s="19">
        <v>0</v>
      </c>
      <c r="T439" s="19"/>
      <c r="U439" s="19">
        <v>0</v>
      </c>
      <c r="V439" s="19"/>
      <c r="W439" s="19">
        <v>0</v>
      </c>
      <c r="X439" s="19"/>
      <c r="Y439" s="26">
        <f t="shared" ref="Y439:Y489" si="77">SUM(G439:W439)</f>
        <v>0</v>
      </c>
      <c r="Z439" s="19"/>
      <c r="AA439" s="19">
        <v>0</v>
      </c>
      <c r="AB439" s="19"/>
      <c r="AC439" s="19">
        <v>0</v>
      </c>
      <c r="AD439" s="19"/>
      <c r="AE439" s="19">
        <v>0</v>
      </c>
      <c r="AF439" s="19"/>
      <c r="AG439" s="19"/>
      <c r="AH439" s="19"/>
      <c r="AI439" s="19"/>
      <c r="AJ439" s="19"/>
      <c r="AK439" s="19">
        <v>0</v>
      </c>
      <c r="AL439" s="19"/>
      <c r="AM439" s="19">
        <v>0</v>
      </c>
      <c r="AN439" s="19"/>
      <c r="AO439" s="26">
        <f t="shared" si="73"/>
        <v>0</v>
      </c>
      <c r="AP439" s="19"/>
      <c r="AQ439" s="26">
        <f t="shared" si="74"/>
        <v>0</v>
      </c>
      <c r="AR439" s="26"/>
    </row>
    <row r="440" spans="1:44" hidden="1">
      <c r="A440" s="9" t="s">
        <v>813</v>
      </c>
      <c r="B440" s="9"/>
      <c r="C440" s="9" t="s">
        <v>464</v>
      </c>
      <c r="D440" s="9"/>
      <c r="E440" s="23">
        <v>49387</v>
      </c>
      <c r="F440" s="19"/>
      <c r="G440" s="19">
        <v>0</v>
      </c>
      <c r="H440" s="19"/>
      <c r="I440" s="19">
        <v>0</v>
      </c>
      <c r="J440" s="19"/>
      <c r="K440" s="19">
        <v>0</v>
      </c>
      <c r="L440" s="19"/>
      <c r="M440" s="19">
        <v>0</v>
      </c>
      <c r="N440" s="19"/>
      <c r="O440" s="19">
        <v>0</v>
      </c>
      <c r="P440" s="19"/>
      <c r="Q440" s="19">
        <v>0</v>
      </c>
      <c r="R440" s="19"/>
      <c r="S440" s="19">
        <v>0</v>
      </c>
      <c r="T440" s="19"/>
      <c r="U440" s="19">
        <v>0</v>
      </c>
      <c r="V440" s="19"/>
      <c r="W440" s="19">
        <v>0</v>
      </c>
      <c r="X440" s="19"/>
      <c r="Y440" s="26">
        <f t="shared" si="77"/>
        <v>0</v>
      </c>
      <c r="Z440" s="19"/>
      <c r="AA440" s="19">
        <v>0</v>
      </c>
      <c r="AB440" s="19"/>
      <c r="AC440" s="19">
        <v>0</v>
      </c>
      <c r="AD440" s="19"/>
      <c r="AE440" s="19">
        <v>0</v>
      </c>
      <c r="AF440" s="19"/>
      <c r="AG440" s="19"/>
      <c r="AH440" s="19"/>
      <c r="AI440" s="19"/>
      <c r="AJ440" s="19"/>
      <c r="AK440" s="19">
        <v>0</v>
      </c>
      <c r="AL440" s="19"/>
      <c r="AM440" s="19">
        <v>0</v>
      </c>
      <c r="AN440" s="19"/>
      <c r="AO440" s="26">
        <f t="shared" si="73"/>
        <v>0</v>
      </c>
      <c r="AP440" s="19"/>
      <c r="AQ440" s="26">
        <f t="shared" si="74"/>
        <v>0</v>
      </c>
      <c r="AR440" s="26"/>
    </row>
    <row r="441" spans="1:44" hidden="1">
      <c r="A441" s="9" t="s">
        <v>814</v>
      </c>
      <c r="B441" s="9"/>
      <c r="C441" s="9" t="s">
        <v>41</v>
      </c>
      <c r="D441" s="9"/>
      <c r="E441" s="23">
        <v>44628</v>
      </c>
      <c r="F441" s="19"/>
      <c r="G441" s="19">
        <v>0</v>
      </c>
      <c r="H441" s="19"/>
      <c r="I441" s="19">
        <v>0</v>
      </c>
      <c r="J441" s="19"/>
      <c r="K441" s="19">
        <v>0</v>
      </c>
      <c r="L441" s="19"/>
      <c r="M441" s="19">
        <v>0</v>
      </c>
      <c r="N441" s="19"/>
      <c r="O441" s="19">
        <v>0</v>
      </c>
      <c r="P441" s="19"/>
      <c r="Q441" s="19">
        <v>0</v>
      </c>
      <c r="R441" s="19"/>
      <c r="S441" s="19">
        <v>0</v>
      </c>
      <c r="T441" s="19"/>
      <c r="U441" s="19">
        <v>0</v>
      </c>
      <c r="V441" s="19"/>
      <c r="W441" s="19">
        <v>0</v>
      </c>
      <c r="X441" s="19"/>
      <c r="Y441" s="26">
        <f t="shared" si="77"/>
        <v>0</v>
      </c>
      <c r="Z441" s="19"/>
      <c r="AA441" s="19">
        <v>0</v>
      </c>
      <c r="AB441" s="19"/>
      <c r="AC441" s="19">
        <v>0</v>
      </c>
      <c r="AD441" s="19"/>
      <c r="AE441" s="19">
        <v>0</v>
      </c>
      <c r="AF441" s="19"/>
      <c r="AG441" s="19"/>
      <c r="AH441" s="19"/>
      <c r="AI441" s="19"/>
      <c r="AJ441" s="19"/>
      <c r="AK441" s="19">
        <v>0</v>
      </c>
      <c r="AL441" s="19"/>
      <c r="AM441" s="19">
        <v>0</v>
      </c>
      <c r="AN441" s="19"/>
      <c r="AO441" s="26">
        <f t="shared" si="73"/>
        <v>0</v>
      </c>
      <c r="AP441" s="19"/>
      <c r="AQ441" s="26">
        <f t="shared" si="74"/>
        <v>0</v>
      </c>
      <c r="AR441" s="26"/>
    </row>
    <row r="442" spans="1:44" hidden="1">
      <c r="A442" s="9" t="s">
        <v>778</v>
      </c>
      <c r="B442" s="9"/>
      <c r="C442" s="9" t="s">
        <v>41</v>
      </c>
      <c r="D442" s="9"/>
      <c r="E442" s="23">
        <v>47894</v>
      </c>
      <c r="F442" s="19"/>
      <c r="G442" s="19">
        <v>0</v>
      </c>
      <c r="H442" s="19"/>
      <c r="I442" s="19">
        <v>0</v>
      </c>
      <c r="J442" s="19"/>
      <c r="K442" s="19">
        <v>0</v>
      </c>
      <c r="L442" s="19"/>
      <c r="M442" s="19">
        <v>0</v>
      </c>
      <c r="N442" s="19"/>
      <c r="O442" s="19">
        <v>0</v>
      </c>
      <c r="P442" s="19"/>
      <c r="Q442" s="19">
        <v>0</v>
      </c>
      <c r="R442" s="19"/>
      <c r="S442" s="19">
        <v>0</v>
      </c>
      <c r="T442" s="19"/>
      <c r="U442" s="19">
        <v>0</v>
      </c>
      <c r="V442" s="19"/>
      <c r="W442" s="19">
        <v>0</v>
      </c>
      <c r="X442" s="19"/>
      <c r="Y442" s="26">
        <f t="shared" si="77"/>
        <v>0</v>
      </c>
      <c r="Z442" s="19"/>
      <c r="AA442" s="19">
        <v>0</v>
      </c>
      <c r="AB442" s="19"/>
      <c r="AC442" s="19">
        <v>0</v>
      </c>
      <c r="AD442" s="19"/>
      <c r="AE442" s="19">
        <v>0</v>
      </c>
      <c r="AF442" s="19"/>
      <c r="AG442" s="19"/>
      <c r="AH442" s="19"/>
      <c r="AI442" s="19"/>
      <c r="AJ442" s="19"/>
      <c r="AK442" s="19">
        <v>0</v>
      </c>
      <c r="AL442" s="19"/>
      <c r="AM442" s="19">
        <v>0</v>
      </c>
      <c r="AN442" s="19"/>
      <c r="AO442" s="26">
        <f t="shared" si="73"/>
        <v>0</v>
      </c>
      <c r="AP442" s="19"/>
      <c r="AQ442" s="26">
        <f t="shared" si="74"/>
        <v>0</v>
      </c>
      <c r="AR442" s="26"/>
    </row>
    <row r="443" spans="1:44">
      <c r="A443" s="9" t="s">
        <v>472</v>
      </c>
      <c r="B443" s="9"/>
      <c r="C443" s="9" t="s">
        <v>58</v>
      </c>
      <c r="D443" s="9"/>
      <c r="E443" s="23">
        <v>49510</v>
      </c>
      <c r="F443" s="19"/>
      <c r="G443" s="19">
        <v>1798335</v>
      </c>
      <c r="H443" s="19"/>
      <c r="I443" s="19">
        <v>0</v>
      </c>
      <c r="J443" s="19"/>
      <c r="K443" s="19">
        <v>8160268</v>
      </c>
      <c r="L443" s="19"/>
      <c r="M443" s="19">
        <v>3253</v>
      </c>
      <c r="N443" s="19"/>
      <c r="O443" s="19">
        <f>659006+250+69877</f>
        <v>729133</v>
      </c>
      <c r="P443" s="19"/>
      <c r="Q443" s="19">
        <v>124771</v>
      </c>
      <c r="R443" s="19"/>
      <c r="S443" s="19">
        <v>0</v>
      </c>
      <c r="T443" s="19"/>
      <c r="U443" s="19">
        <v>1350</v>
      </c>
      <c r="V443" s="19"/>
      <c r="W443" s="19">
        <v>46186</v>
      </c>
      <c r="X443" s="19"/>
      <c r="Y443" s="26">
        <f t="shared" si="77"/>
        <v>10863296</v>
      </c>
      <c r="Z443" s="19"/>
      <c r="AA443" s="19">
        <v>0</v>
      </c>
      <c r="AB443" s="19"/>
      <c r="AC443" s="19">
        <v>0</v>
      </c>
      <c r="AD443" s="19"/>
      <c r="AE443" s="19">
        <v>0</v>
      </c>
      <c r="AF443" s="19"/>
      <c r="AG443" s="19"/>
      <c r="AH443" s="19"/>
      <c r="AI443" s="19"/>
      <c r="AJ443" s="19"/>
      <c r="AK443" s="19">
        <v>0</v>
      </c>
      <c r="AL443" s="19"/>
      <c r="AM443" s="19">
        <v>0</v>
      </c>
      <c r="AN443" s="19"/>
      <c r="AO443" s="26">
        <f t="shared" si="73"/>
        <v>0</v>
      </c>
      <c r="AP443" s="19"/>
      <c r="AQ443" s="26">
        <f t="shared" si="74"/>
        <v>10863296</v>
      </c>
      <c r="AR443" s="26"/>
    </row>
    <row r="444" spans="1:44" hidden="1">
      <c r="A444" s="9" t="s">
        <v>681</v>
      </c>
      <c r="B444" s="9"/>
      <c r="C444" s="9" t="s">
        <v>464</v>
      </c>
      <c r="D444" s="9"/>
      <c r="E444" s="23">
        <v>49395</v>
      </c>
      <c r="F444" s="19"/>
      <c r="G444" s="19">
        <v>0</v>
      </c>
      <c r="H444" s="19"/>
      <c r="I444" s="19">
        <v>0</v>
      </c>
      <c r="J444" s="19"/>
      <c r="K444" s="19">
        <v>0</v>
      </c>
      <c r="L444" s="19"/>
      <c r="M444" s="19">
        <v>0</v>
      </c>
      <c r="N444" s="19"/>
      <c r="O444" s="19">
        <v>0</v>
      </c>
      <c r="P444" s="19"/>
      <c r="Q444" s="19">
        <v>0</v>
      </c>
      <c r="R444" s="19"/>
      <c r="S444" s="19">
        <v>0</v>
      </c>
      <c r="T444" s="19"/>
      <c r="U444" s="19">
        <v>0</v>
      </c>
      <c r="V444" s="19"/>
      <c r="W444" s="19">
        <v>0</v>
      </c>
      <c r="X444" s="19"/>
      <c r="Y444" s="26">
        <f t="shared" si="77"/>
        <v>0</v>
      </c>
      <c r="Z444" s="19"/>
      <c r="AA444" s="19">
        <v>0</v>
      </c>
      <c r="AB444" s="19"/>
      <c r="AC444" s="19">
        <v>0</v>
      </c>
      <c r="AD444" s="19"/>
      <c r="AE444" s="19">
        <v>0</v>
      </c>
      <c r="AF444" s="19"/>
      <c r="AG444" s="19"/>
      <c r="AH444" s="19"/>
      <c r="AI444" s="19"/>
      <c r="AJ444" s="19"/>
      <c r="AK444" s="19">
        <v>0</v>
      </c>
      <c r="AL444" s="19"/>
      <c r="AM444" s="19">
        <v>0</v>
      </c>
      <c r="AN444" s="19"/>
      <c r="AO444" s="26">
        <f t="shared" si="73"/>
        <v>0</v>
      </c>
      <c r="AP444" s="19"/>
      <c r="AQ444" s="26">
        <f t="shared" si="74"/>
        <v>0</v>
      </c>
      <c r="AR444" s="26"/>
    </row>
    <row r="445" spans="1:44" hidden="1">
      <c r="A445" s="9" t="s">
        <v>682</v>
      </c>
      <c r="B445" s="9"/>
      <c r="C445" s="9" t="s">
        <v>419</v>
      </c>
      <c r="D445" s="9"/>
      <c r="E445" s="23">
        <v>48579</v>
      </c>
      <c r="F445" s="19"/>
      <c r="G445" s="19">
        <v>0</v>
      </c>
      <c r="H445" s="19"/>
      <c r="I445" s="19">
        <v>0</v>
      </c>
      <c r="J445" s="19"/>
      <c r="K445" s="19">
        <v>0</v>
      </c>
      <c r="L445" s="19"/>
      <c r="M445" s="19">
        <v>0</v>
      </c>
      <c r="N445" s="19"/>
      <c r="O445" s="19">
        <v>0</v>
      </c>
      <c r="P445" s="19"/>
      <c r="Q445" s="19">
        <v>0</v>
      </c>
      <c r="R445" s="19"/>
      <c r="S445" s="19">
        <v>0</v>
      </c>
      <c r="T445" s="19"/>
      <c r="U445" s="19">
        <v>0</v>
      </c>
      <c r="V445" s="19"/>
      <c r="W445" s="19">
        <v>0</v>
      </c>
      <c r="X445" s="19"/>
      <c r="Y445" s="26">
        <f t="shared" si="77"/>
        <v>0</v>
      </c>
      <c r="Z445" s="19"/>
      <c r="AA445" s="19">
        <v>0</v>
      </c>
      <c r="AB445" s="19"/>
      <c r="AC445" s="19">
        <v>0</v>
      </c>
      <c r="AD445" s="19"/>
      <c r="AE445" s="19">
        <v>0</v>
      </c>
      <c r="AF445" s="19"/>
      <c r="AG445" s="19"/>
      <c r="AH445" s="19"/>
      <c r="AI445" s="19"/>
      <c r="AJ445" s="19"/>
      <c r="AK445" s="19">
        <v>0</v>
      </c>
      <c r="AL445" s="19"/>
      <c r="AM445" s="19">
        <v>0</v>
      </c>
      <c r="AN445" s="19"/>
      <c r="AO445" s="26">
        <f t="shared" si="73"/>
        <v>0</v>
      </c>
      <c r="AP445" s="19"/>
      <c r="AQ445" s="26">
        <f t="shared" si="74"/>
        <v>0</v>
      </c>
      <c r="AR445" s="26"/>
    </row>
    <row r="446" spans="1:44">
      <c r="A446" s="9" t="s">
        <v>273</v>
      </c>
      <c r="B446" s="9"/>
      <c r="C446" s="9" t="s">
        <v>20</v>
      </c>
      <c r="D446" s="9"/>
      <c r="E446" s="23">
        <v>44636</v>
      </c>
      <c r="F446" s="19"/>
      <c r="G446" s="19">
        <v>94572934</v>
      </c>
      <c r="H446" s="19"/>
      <c r="I446" s="19">
        <v>0</v>
      </c>
      <c r="J446" s="19"/>
      <c r="K446" s="19">
        <v>52562781</v>
      </c>
      <c r="L446" s="19"/>
      <c r="M446" s="19">
        <v>49387</v>
      </c>
      <c r="N446" s="19"/>
      <c r="O446" s="19">
        <f>3161178+73012+1394361</f>
        <v>4628551</v>
      </c>
      <c r="P446" s="19"/>
      <c r="Q446" s="19">
        <v>974232</v>
      </c>
      <c r="R446" s="19"/>
      <c r="S446" s="19">
        <v>144664</v>
      </c>
      <c r="T446" s="19"/>
      <c r="U446" s="19">
        <v>81230</v>
      </c>
      <c r="V446" s="19"/>
      <c r="W446" s="19">
        <v>1559137</v>
      </c>
      <c r="X446" s="19"/>
      <c r="Y446" s="26">
        <f t="shared" si="77"/>
        <v>154572916</v>
      </c>
      <c r="Z446" s="19"/>
      <c r="AA446" s="19">
        <v>5720</v>
      </c>
      <c r="AB446" s="19"/>
      <c r="AC446" s="19">
        <v>0</v>
      </c>
      <c r="AD446" s="19"/>
      <c r="AE446" s="19">
        <v>0</v>
      </c>
      <c r="AF446" s="19"/>
      <c r="AG446" s="19"/>
      <c r="AH446" s="19"/>
      <c r="AI446" s="19"/>
      <c r="AJ446" s="19"/>
      <c r="AK446" s="19">
        <v>9778</v>
      </c>
      <c r="AL446" s="19"/>
      <c r="AM446" s="19">
        <v>0</v>
      </c>
      <c r="AN446" s="19"/>
      <c r="AO446" s="26">
        <f>AK446+AE446+AA446+AM446</f>
        <v>15498</v>
      </c>
      <c r="AP446" s="19"/>
      <c r="AQ446" s="26">
        <f t="shared" si="74"/>
        <v>154588414</v>
      </c>
      <c r="AR446" s="26"/>
    </row>
    <row r="447" spans="1:44">
      <c r="A447" s="9" t="s">
        <v>345</v>
      </c>
      <c r="B447" s="9"/>
      <c r="C447" s="9" t="s">
        <v>34</v>
      </c>
      <c r="D447" s="9"/>
      <c r="E447" s="23">
        <v>47597</v>
      </c>
      <c r="F447" s="19"/>
      <c r="G447" s="19">
        <v>3469102</v>
      </c>
      <c r="H447" s="19"/>
      <c r="I447" s="19">
        <v>1961056</v>
      </c>
      <c r="J447" s="19"/>
      <c r="K447" s="19">
        <v>5710617</v>
      </c>
      <c r="L447" s="19"/>
      <c r="M447" s="19">
        <v>6568</v>
      </c>
      <c r="N447" s="19"/>
      <c r="O447" s="19">
        <f>627904+330+186503</f>
        <v>814737</v>
      </c>
      <c r="P447" s="19"/>
      <c r="Q447" s="19">
        <v>184110</v>
      </c>
      <c r="R447" s="19"/>
      <c r="S447" s="19">
        <v>0</v>
      </c>
      <c r="T447" s="19"/>
      <c r="U447" s="19">
        <v>1510</v>
      </c>
      <c r="V447" s="19"/>
      <c r="W447" s="19">
        <v>88275</v>
      </c>
      <c r="X447" s="19"/>
      <c r="Y447" s="26">
        <f t="shared" si="77"/>
        <v>12235975</v>
      </c>
      <c r="Z447" s="19"/>
      <c r="AA447" s="19">
        <v>67794</v>
      </c>
      <c r="AB447" s="19"/>
      <c r="AC447" s="19">
        <v>0</v>
      </c>
      <c r="AD447" s="19"/>
      <c r="AE447" s="19">
        <v>0</v>
      </c>
      <c r="AF447" s="19"/>
      <c r="AG447" s="19"/>
      <c r="AH447" s="19"/>
      <c r="AI447" s="19"/>
      <c r="AJ447" s="19"/>
      <c r="AK447" s="19">
        <f>2100+43639</f>
        <v>45739</v>
      </c>
      <c r="AL447" s="19"/>
      <c r="AM447" s="19">
        <v>0</v>
      </c>
      <c r="AN447" s="19"/>
      <c r="AO447" s="26">
        <f t="shared" si="73"/>
        <v>113533</v>
      </c>
      <c r="AP447" s="19"/>
      <c r="AQ447" s="26">
        <f t="shared" si="74"/>
        <v>12349508</v>
      </c>
      <c r="AR447" s="26"/>
    </row>
    <row r="448" spans="1:44" hidden="1">
      <c r="A448" s="9" t="s">
        <v>769</v>
      </c>
      <c r="B448" s="9"/>
      <c r="C448" s="9" t="s">
        <v>447</v>
      </c>
      <c r="D448" s="9"/>
      <c r="E448" s="23">
        <v>45575</v>
      </c>
      <c r="F448" s="19"/>
      <c r="G448" s="19">
        <v>0</v>
      </c>
      <c r="H448" s="19"/>
      <c r="I448" s="19">
        <v>0</v>
      </c>
      <c r="J448" s="19"/>
      <c r="K448" s="19">
        <v>0</v>
      </c>
      <c r="L448" s="19"/>
      <c r="M448" s="19">
        <v>0</v>
      </c>
      <c r="N448" s="19"/>
      <c r="O448" s="19">
        <v>0</v>
      </c>
      <c r="P448" s="19"/>
      <c r="Q448" s="19">
        <v>0</v>
      </c>
      <c r="R448" s="19"/>
      <c r="S448" s="19">
        <v>0</v>
      </c>
      <c r="T448" s="19"/>
      <c r="U448" s="19">
        <v>0</v>
      </c>
      <c r="V448" s="19"/>
      <c r="W448" s="19">
        <v>0</v>
      </c>
      <c r="X448" s="19"/>
      <c r="Y448" s="26">
        <f t="shared" si="77"/>
        <v>0</v>
      </c>
      <c r="Z448" s="19"/>
      <c r="AA448" s="19">
        <v>0</v>
      </c>
      <c r="AB448" s="19"/>
      <c r="AC448" s="19">
        <v>0</v>
      </c>
      <c r="AD448" s="19"/>
      <c r="AE448" s="19">
        <v>0</v>
      </c>
      <c r="AF448" s="19"/>
      <c r="AG448" s="19"/>
      <c r="AH448" s="19"/>
      <c r="AI448" s="19"/>
      <c r="AJ448" s="19"/>
      <c r="AK448" s="19">
        <v>0</v>
      </c>
      <c r="AL448" s="19"/>
      <c r="AM448" s="19">
        <v>0</v>
      </c>
      <c r="AN448" s="19"/>
      <c r="AO448" s="26">
        <f t="shared" si="73"/>
        <v>0</v>
      </c>
      <c r="AP448" s="19"/>
      <c r="AQ448" s="26">
        <f t="shared" si="74"/>
        <v>0</v>
      </c>
      <c r="AR448" s="26"/>
    </row>
    <row r="449" spans="1:44">
      <c r="A449" s="9" t="s">
        <v>287</v>
      </c>
      <c r="B449" s="9"/>
      <c r="C449" s="9" t="s">
        <v>24</v>
      </c>
      <c r="D449" s="9"/>
      <c r="E449" s="23">
        <v>46813</v>
      </c>
      <c r="F449" s="19"/>
      <c r="G449" s="19">
        <v>12352920</v>
      </c>
      <c r="H449" s="19"/>
      <c r="I449" s="19">
        <v>0</v>
      </c>
      <c r="J449" s="19"/>
      <c r="K449" s="19">
        <f>6919235+1273496</f>
        <v>8192731</v>
      </c>
      <c r="L449" s="19"/>
      <c r="M449" s="19">
        <v>8698</v>
      </c>
      <c r="N449" s="19"/>
      <c r="O449" s="19">
        <f>3537215+27711+526091+146256+30685+18636</f>
        <v>4286594</v>
      </c>
      <c r="P449" s="19"/>
      <c r="Q449" s="19">
        <v>309951</v>
      </c>
      <c r="R449" s="19"/>
      <c r="S449" s="19">
        <v>313302</v>
      </c>
      <c r="T449" s="19"/>
      <c r="U449" s="19">
        <v>329367</v>
      </c>
      <c r="V449" s="19"/>
      <c r="W449" s="19">
        <v>100807</v>
      </c>
      <c r="X449" s="19"/>
      <c r="Y449" s="26">
        <f t="shared" si="77"/>
        <v>25894370</v>
      </c>
      <c r="Z449" s="19"/>
      <c r="AA449" s="19">
        <v>658386</v>
      </c>
      <c r="AB449" s="19"/>
      <c r="AC449" s="19">
        <v>0</v>
      </c>
      <c r="AD449" s="19"/>
      <c r="AE449" s="19">
        <v>0</v>
      </c>
      <c r="AF449" s="19"/>
      <c r="AG449" s="19"/>
      <c r="AH449" s="19"/>
      <c r="AI449" s="19"/>
      <c r="AJ449" s="19"/>
      <c r="AK449" s="19">
        <v>3508529</v>
      </c>
      <c r="AL449" s="19"/>
      <c r="AM449" s="19">
        <v>0</v>
      </c>
      <c r="AN449" s="19"/>
      <c r="AO449" s="26">
        <f t="shared" si="73"/>
        <v>4166915</v>
      </c>
      <c r="AP449" s="19"/>
      <c r="AQ449" s="26">
        <f t="shared" si="74"/>
        <v>30061285</v>
      </c>
      <c r="AR449" s="26"/>
    </row>
    <row r="450" spans="1:44" hidden="1">
      <c r="A450" s="9" t="s">
        <v>683</v>
      </c>
      <c r="B450" s="9"/>
      <c r="C450" s="9" t="s">
        <v>10</v>
      </c>
      <c r="D450" s="9"/>
      <c r="E450" s="23">
        <v>45781</v>
      </c>
      <c r="F450" s="19"/>
      <c r="G450" s="19">
        <v>0</v>
      </c>
      <c r="H450" s="19"/>
      <c r="I450" s="19">
        <v>0</v>
      </c>
      <c r="J450" s="19"/>
      <c r="K450" s="19">
        <v>0</v>
      </c>
      <c r="L450" s="19"/>
      <c r="M450" s="19">
        <v>0</v>
      </c>
      <c r="N450" s="19"/>
      <c r="O450" s="19">
        <v>0</v>
      </c>
      <c r="P450" s="19"/>
      <c r="Q450" s="19">
        <v>0</v>
      </c>
      <c r="R450" s="19"/>
      <c r="S450" s="19">
        <v>0</v>
      </c>
      <c r="T450" s="19"/>
      <c r="U450" s="19">
        <v>0</v>
      </c>
      <c r="V450" s="19"/>
      <c r="W450" s="19">
        <v>0</v>
      </c>
      <c r="X450" s="19"/>
      <c r="Y450" s="26">
        <f t="shared" si="77"/>
        <v>0</v>
      </c>
      <c r="Z450" s="19"/>
      <c r="AA450" s="19">
        <v>0</v>
      </c>
      <c r="AB450" s="19"/>
      <c r="AC450" s="19">
        <v>0</v>
      </c>
      <c r="AD450" s="19"/>
      <c r="AE450" s="19">
        <v>0</v>
      </c>
      <c r="AF450" s="19"/>
      <c r="AG450" s="19"/>
      <c r="AH450" s="19"/>
      <c r="AI450" s="19"/>
      <c r="AJ450" s="19"/>
      <c r="AK450" s="19">
        <v>0</v>
      </c>
      <c r="AL450" s="19"/>
      <c r="AM450" s="19">
        <v>0</v>
      </c>
      <c r="AN450" s="19"/>
      <c r="AO450" s="26"/>
      <c r="AP450" s="19"/>
      <c r="AQ450" s="26">
        <f t="shared" si="74"/>
        <v>0</v>
      </c>
      <c r="AR450" s="26"/>
    </row>
    <row r="451" spans="1:44">
      <c r="A451" s="9" t="s">
        <v>201</v>
      </c>
      <c r="B451" s="9"/>
      <c r="C451" s="9" t="s">
        <v>41</v>
      </c>
      <c r="D451" s="9"/>
      <c r="E451" s="23">
        <v>47902</v>
      </c>
      <c r="F451" s="19"/>
      <c r="G451" s="19">
        <v>14106129</v>
      </c>
      <c r="H451" s="19"/>
      <c r="I451" s="19">
        <v>0</v>
      </c>
      <c r="J451" s="19"/>
      <c r="K451" s="19">
        <v>11825644</v>
      </c>
      <c r="L451" s="19"/>
      <c r="M451" s="19">
        <v>-87578</v>
      </c>
      <c r="N451" s="19"/>
      <c r="O451" s="19">
        <f>39130+196059+18095+20930+552560</f>
        <v>826774</v>
      </c>
      <c r="P451" s="19"/>
      <c r="Q451" s="19">
        <v>243582</v>
      </c>
      <c r="R451" s="19"/>
      <c r="S451" s="19">
        <v>0</v>
      </c>
      <c r="T451" s="19"/>
      <c r="U451" s="19">
        <v>0</v>
      </c>
      <c r="V451" s="19"/>
      <c r="W451" s="19">
        <v>479584</v>
      </c>
      <c r="X451" s="19"/>
      <c r="Y451" s="26">
        <f t="shared" si="77"/>
        <v>27394135</v>
      </c>
      <c r="Z451" s="19"/>
      <c r="AA451" s="19">
        <v>2091000</v>
      </c>
      <c r="AB451" s="19"/>
      <c r="AC451" s="19">
        <v>0</v>
      </c>
      <c r="AD451" s="19"/>
      <c r="AE451" s="19">
        <v>0</v>
      </c>
      <c r="AF451" s="19"/>
      <c r="AG451" s="19"/>
      <c r="AH451" s="19"/>
      <c r="AI451" s="19"/>
      <c r="AJ451" s="19"/>
      <c r="AK451" s="19">
        <v>287691</v>
      </c>
      <c r="AL451" s="19"/>
      <c r="AM451" s="19">
        <v>0</v>
      </c>
      <c r="AN451" s="19"/>
      <c r="AO451" s="26">
        <f t="shared" ref="AO451:AO497" si="78">AK451+AE451+AA451</f>
        <v>2378691</v>
      </c>
      <c r="AP451" s="19"/>
      <c r="AQ451" s="26">
        <f t="shared" si="74"/>
        <v>29772826</v>
      </c>
      <c r="AR451" s="26"/>
    </row>
    <row r="452" spans="1:44">
      <c r="A452" s="9" t="s">
        <v>201</v>
      </c>
      <c r="B452" s="9"/>
      <c r="C452" s="9" t="s">
        <v>62</v>
      </c>
      <c r="D452" s="9"/>
      <c r="E452" s="23">
        <v>49924</v>
      </c>
      <c r="F452" s="19"/>
      <c r="G452" s="19">
        <v>18178124</v>
      </c>
      <c r="H452" s="19"/>
      <c r="I452" s="19">
        <v>0</v>
      </c>
      <c r="J452" s="19"/>
      <c r="K452" s="19">
        <v>21893871</v>
      </c>
      <c r="L452" s="19"/>
      <c r="M452" s="19">
        <v>131199</v>
      </c>
      <c r="N452" s="19"/>
      <c r="O452" s="19">
        <f>2274327+949049</f>
        <v>3223376</v>
      </c>
      <c r="P452" s="19"/>
      <c r="Q452" s="19">
        <v>579175</v>
      </c>
      <c r="R452" s="19"/>
      <c r="S452" s="19">
        <v>0</v>
      </c>
      <c r="T452" s="19"/>
      <c r="U452" s="19">
        <v>0</v>
      </c>
      <c r="V452" s="19"/>
      <c r="W452" s="19">
        <v>244149</v>
      </c>
      <c r="X452" s="19"/>
      <c r="Y452" s="26">
        <f t="shared" si="77"/>
        <v>44249894</v>
      </c>
      <c r="Z452" s="19"/>
      <c r="AA452" s="19">
        <v>1563</v>
      </c>
      <c r="AB452" s="19"/>
      <c r="AC452" s="19">
        <v>0</v>
      </c>
      <c r="AD452" s="19"/>
      <c r="AE452" s="19">
        <v>0</v>
      </c>
      <c r="AF452" s="19"/>
      <c r="AG452" s="19"/>
      <c r="AH452" s="19"/>
      <c r="AI452" s="19"/>
      <c r="AJ452" s="19"/>
      <c r="AK452" s="19">
        <v>0</v>
      </c>
      <c r="AL452" s="19"/>
      <c r="AM452" s="19">
        <v>0</v>
      </c>
      <c r="AN452" s="19"/>
      <c r="AO452" s="26">
        <f t="shared" si="78"/>
        <v>1563</v>
      </c>
      <c r="AP452" s="19"/>
      <c r="AQ452" s="26">
        <f t="shared" si="74"/>
        <v>44251457</v>
      </c>
      <c r="AR452" s="26"/>
    </row>
    <row r="453" spans="1:44">
      <c r="A453" s="9" t="s">
        <v>770</v>
      </c>
      <c r="B453" s="9"/>
      <c r="C453" s="9" t="s">
        <v>72</v>
      </c>
      <c r="D453" s="9"/>
      <c r="E453" s="23">
        <v>45583</v>
      </c>
      <c r="F453" s="19"/>
      <c r="G453" s="19">
        <v>31474109</v>
      </c>
      <c r="H453" s="19"/>
      <c r="I453" s="19">
        <v>5729828</v>
      </c>
      <c r="J453" s="19"/>
      <c r="K453" s="19">
        <f>37851+12498226+1457448</f>
        <v>13993525</v>
      </c>
      <c r="L453" s="19"/>
      <c r="M453" s="19">
        <v>19534</v>
      </c>
      <c r="N453" s="19"/>
      <c r="O453" s="19">
        <f>387709+1369180+220894</f>
        <v>1977783</v>
      </c>
      <c r="P453" s="19"/>
      <c r="Q453" s="19">
        <v>782129</v>
      </c>
      <c r="R453" s="19"/>
      <c r="S453" s="19">
        <v>415619</v>
      </c>
      <c r="T453" s="19"/>
      <c r="U453" s="19">
        <v>0</v>
      </c>
      <c r="V453" s="19"/>
      <c r="W453" s="19">
        <v>445271</v>
      </c>
      <c r="X453" s="19"/>
      <c r="Y453" s="26">
        <f t="shared" si="77"/>
        <v>54837798</v>
      </c>
      <c r="Z453" s="19"/>
      <c r="AA453" s="19">
        <v>3967</v>
      </c>
      <c r="AB453" s="19"/>
      <c r="AC453" s="19">
        <v>0</v>
      </c>
      <c r="AD453" s="19"/>
      <c r="AE453" s="19">
        <v>0</v>
      </c>
      <c r="AF453" s="19"/>
      <c r="AG453" s="19"/>
      <c r="AH453" s="19"/>
      <c r="AI453" s="19"/>
      <c r="AJ453" s="19"/>
      <c r="AK453" s="19">
        <v>0</v>
      </c>
      <c r="AL453" s="19"/>
      <c r="AM453" s="19">
        <v>0</v>
      </c>
      <c r="AN453" s="19"/>
      <c r="AO453" s="26">
        <f t="shared" si="78"/>
        <v>3967</v>
      </c>
      <c r="AP453" s="19"/>
      <c r="AQ453" s="26">
        <f t="shared" si="74"/>
        <v>54841765</v>
      </c>
      <c r="AR453" s="26"/>
    </row>
    <row r="454" spans="1:44" hidden="1">
      <c r="A454" s="9" t="s">
        <v>884</v>
      </c>
      <c r="B454" s="9"/>
      <c r="C454" s="9" t="s">
        <v>28</v>
      </c>
      <c r="D454" s="9"/>
      <c r="E454" s="23">
        <v>47076</v>
      </c>
      <c r="F454" s="19"/>
      <c r="G454" s="19">
        <v>0</v>
      </c>
      <c r="H454" s="19"/>
      <c r="I454" s="19">
        <v>0</v>
      </c>
      <c r="J454" s="19"/>
      <c r="K454" s="19">
        <v>0</v>
      </c>
      <c r="L454" s="19"/>
      <c r="M454" s="19">
        <v>0</v>
      </c>
      <c r="N454" s="19"/>
      <c r="O454" s="19">
        <v>0</v>
      </c>
      <c r="P454" s="19"/>
      <c r="Q454" s="19">
        <v>0</v>
      </c>
      <c r="R454" s="19"/>
      <c r="S454" s="19">
        <v>0</v>
      </c>
      <c r="T454" s="19"/>
      <c r="U454" s="19">
        <v>0</v>
      </c>
      <c r="V454" s="19"/>
      <c r="W454" s="19">
        <v>0</v>
      </c>
      <c r="X454" s="19"/>
      <c r="Y454" s="26">
        <f t="shared" si="77"/>
        <v>0</v>
      </c>
      <c r="Z454" s="19"/>
      <c r="AA454" s="19">
        <v>0</v>
      </c>
      <c r="AB454" s="19"/>
      <c r="AC454" s="19">
        <v>0</v>
      </c>
      <c r="AD454" s="19"/>
      <c r="AE454" s="19">
        <v>0</v>
      </c>
      <c r="AF454" s="19"/>
      <c r="AG454" s="19"/>
      <c r="AH454" s="19"/>
      <c r="AI454" s="19"/>
      <c r="AJ454" s="19"/>
      <c r="AK454" s="19">
        <v>0</v>
      </c>
      <c r="AL454" s="19"/>
      <c r="AM454" s="19">
        <v>0</v>
      </c>
      <c r="AN454" s="19"/>
      <c r="AO454" s="26">
        <f t="shared" si="78"/>
        <v>0</v>
      </c>
      <c r="AP454" s="19"/>
      <c r="AQ454" s="26">
        <f t="shared" si="74"/>
        <v>0</v>
      </c>
      <c r="AR454" s="26"/>
    </row>
    <row r="455" spans="1:44">
      <c r="A455" s="9" t="s">
        <v>294</v>
      </c>
      <c r="B455" s="9"/>
      <c r="C455" s="9" t="s">
        <v>25</v>
      </c>
      <c r="D455" s="9"/>
      <c r="E455" s="23">
        <v>46896</v>
      </c>
      <c r="F455" s="19"/>
      <c r="G455" s="19">
        <v>48507280</v>
      </c>
      <c r="H455" s="19"/>
      <c r="I455" s="19">
        <v>14596621</v>
      </c>
      <c r="J455" s="19"/>
      <c r="K455" s="19">
        <f>49196631+4110319</f>
        <v>53306950</v>
      </c>
      <c r="L455" s="19"/>
      <c r="M455" s="19">
        <v>110194</v>
      </c>
      <c r="N455" s="19"/>
      <c r="O455" s="19">
        <f>691700+2599874+386279+413452+463633</f>
        <v>4554938</v>
      </c>
      <c r="P455" s="19"/>
      <c r="Q455" s="19">
        <v>1368600</v>
      </c>
      <c r="R455" s="19"/>
      <c r="S455" s="19">
        <v>250434</v>
      </c>
      <c r="T455" s="19"/>
      <c r="U455" s="19">
        <v>88835</v>
      </c>
      <c r="V455" s="19"/>
      <c r="W455" s="19">
        <v>309260</v>
      </c>
      <c r="X455" s="19"/>
      <c r="Y455" s="26">
        <f t="shared" si="77"/>
        <v>123093112</v>
      </c>
      <c r="Z455" s="19"/>
      <c r="AA455" s="19">
        <v>1397457</v>
      </c>
      <c r="AB455" s="19"/>
      <c r="AC455" s="19">
        <v>0</v>
      </c>
      <c r="AD455" s="19"/>
      <c r="AE455" s="19">
        <v>0</v>
      </c>
      <c r="AF455" s="19"/>
      <c r="AG455" s="19"/>
      <c r="AH455" s="19"/>
      <c r="AI455" s="19"/>
      <c r="AJ455" s="19"/>
      <c r="AK455" s="19">
        <v>925275</v>
      </c>
      <c r="AL455" s="19"/>
      <c r="AM455" s="19">
        <v>0</v>
      </c>
      <c r="AN455" s="19"/>
      <c r="AO455" s="26">
        <f t="shared" si="78"/>
        <v>2322732</v>
      </c>
      <c r="AP455" s="19"/>
      <c r="AQ455" s="26">
        <f t="shared" si="74"/>
        <v>125415844</v>
      </c>
      <c r="AR455" s="26"/>
    </row>
    <row r="456" spans="1:44" hidden="1">
      <c r="A456" s="9" t="s">
        <v>815</v>
      </c>
      <c r="B456" s="9"/>
      <c r="C456" s="9" t="s">
        <v>28</v>
      </c>
      <c r="D456" s="9"/>
      <c r="E456" s="23">
        <v>47084</v>
      </c>
      <c r="F456" s="19"/>
      <c r="G456" s="19">
        <v>0</v>
      </c>
      <c r="H456" s="19"/>
      <c r="I456" s="19">
        <v>0</v>
      </c>
      <c r="J456" s="19"/>
      <c r="K456" s="19">
        <v>0</v>
      </c>
      <c r="L456" s="19"/>
      <c r="M456" s="19">
        <v>0</v>
      </c>
      <c r="N456" s="19"/>
      <c r="O456" s="19">
        <v>0</v>
      </c>
      <c r="P456" s="19"/>
      <c r="Q456" s="19">
        <v>0</v>
      </c>
      <c r="R456" s="19"/>
      <c r="S456" s="19">
        <v>0</v>
      </c>
      <c r="T456" s="19"/>
      <c r="U456" s="19">
        <v>0</v>
      </c>
      <c r="V456" s="19"/>
      <c r="W456" s="19">
        <v>0</v>
      </c>
      <c r="X456" s="19"/>
      <c r="Y456" s="26">
        <f t="shared" si="77"/>
        <v>0</v>
      </c>
      <c r="Z456" s="19"/>
      <c r="AA456" s="19">
        <v>0</v>
      </c>
      <c r="AB456" s="19"/>
      <c r="AC456" s="19">
        <v>0</v>
      </c>
      <c r="AD456" s="19"/>
      <c r="AE456" s="19">
        <v>0</v>
      </c>
      <c r="AF456" s="19"/>
      <c r="AG456" s="19"/>
      <c r="AH456" s="19"/>
      <c r="AI456" s="19"/>
      <c r="AJ456" s="19"/>
      <c r="AK456" s="19">
        <v>0</v>
      </c>
      <c r="AL456" s="19"/>
      <c r="AM456" s="19">
        <v>0</v>
      </c>
      <c r="AN456" s="19"/>
      <c r="AO456" s="26">
        <f t="shared" si="78"/>
        <v>0</v>
      </c>
      <c r="AP456" s="19"/>
      <c r="AQ456" s="26">
        <f t="shared" si="74"/>
        <v>0</v>
      </c>
      <c r="AR456" s="26"/>
    </row>
    <row r="457" spans="1:44">
      <c r="A457" s="9" t="s">
        <v>422</v>
      </c>
      <c r="B457" s="9"/>
      <c r="C457" s="9" t="s">
        <v>48</v>
      </c>
      <c r="D457" s="9"/>
      <c r="E457" s="23">
        <v>44644</v>
      </c>
      <c r="F457" s="19"/>
      <c r="G457" s="19">
        <v>18047870</v>
      </c>
      <c r="H457" s="19"/>
      <c r="I457" s="19">
        <v>0</v>
      </c>
      <c r="J457" s="19"/>
      <c r="K457" s="19">
        <f>21886706+2662927</f>
        <v>24549633</v>
      </c>
      <c r="L457" s="19"/>
      <c r="M457" s="19">
        <v>145746</v>
      </c>
      <c r="N457" s="19"/>
      <c r="O457" s="19">
        <f>258696+45884+122897</f>
        <v>427477</v>
      </c>
      <c r="P457" s="19"/>
      <c r="Q457" s="19">
        <v>538415</v>
      </c>
      <c r="R457" s="19"/>
      <c r="S457" s="19">
        <v>0</v>
      </c>
      <c r="T457" s="19"/>
      <c r="U457" s="19">
        <v>0</v>
      </c>
      <c r="V457" s="19"/>
      <c r="W457" s="19">
        <f>50857+471174</f>
        <v>522031</v>
      </c>
      <c r="X457" s="19"/>
      <c r="Y457" s="26">
        <f t="shared" si="77"/>
        <v>44231172</v>
      </c>
      <c r="Z457" s="19"/>
      <c r="AA457" s="19">
        <v>302982</v>
      </c>
      <c r="AB457" s="19"/>
      <c r="AC457" s="19">
        <v>0</v>
      </c>
      <c r="AD457" s="19"/>
      <c r="AE457" s="19">
        <v>0</v>
      </c>
      <c r="AF457" s="19"/>
      <c r="AG457" s="19"/>
      <c r="AH457" s="19"/>
      <c r="AI457" s="19"/>
      <c r="AJ457" s="19"/>
      <c r="AK457" s="19">
        <v>0</v>
      </c>
      <c r="AL457" s="19"/>
      <c r="AM457" s="19">
        <v>0</v>
      </c>
      <c r="AN457" s="19"/>
      <c r="AO457" s="26">
        <f t="shared" si="78"/>
        <v>302982</v>
      </c>
      <c r="AP457" s="19"/>
      <c r="AQ457" s="26">
        <f t="shared" si="74"/>
        <v>44534154</v>
      </c>
      <c r="AR457" s="26"/>
    </row>
    <row r="458" spans="1:44">
      <c r="A458" s="9" t="s">
        <v>304</v>
      </c>
      <c r="B458" s="9"/>
      <c r="C458" s="9" t="s">
        <v>62</v>
      </c>
      <c r="D458" s="9"/>
      <c r="E458" s="23">
        <v>49932</v>
      </c>
      <c r="F458" s="19"/>
      <c r="G458" s="19">
        <v>29040935</v>
      </c>
      <c r="H458" s="19"/>
      <c r="I458" s="19">
        <v>0</v>
      </c>
      <c r="J458" s="19"/>
      <c r="K458" s="19">
        <f>21256404+4417602</f>
        <v>25674006</v>
      </c>
      <c r="L458" s="19"/>
      <c r="M458" s="19">
        <v>28279</v>
      </c>
      <c r="N458" s="19"/>
      <c r="O458" s="19">
        <f>969096+122574+1152611+209998</f>
        <v>2454279</v>
      </c>
      <c r="P458" s="19"/>
      <c r="Q458" s="19">
        <v>766873</v>
      </c>
      <c r="R458" s="19"/>
      <c r="S458" s="19">
        <v>0</v>
      </c>
      <c r="T458" s="19"/>
      <c r="U458" s="19">
        <v>153852</v>
      </c>
      <c r="V458" s="19"/>
      <c r="W458" s="19">
        <f>430663+11574</f>
        <v>442237</v>
      </c>
      <c r="X458" s="19"/>
      <c r="Y458" s="26">
        <f t="shared" si="77"/>
        <v>58560461</v>
      </c>
      <c r="Z458" s="19"/>
      <c r="AA458" s="19">
        <v>0</v>
      </c>
      <c r="AB458" s="19"/>
      <c r="AC458" s="19">
        <v>0</v>
      </c>
      <c r="AD458" s="19"/>
      <c r="AE458" s="19">
        <v>0</v>
      </c>
      <c r="AF458" s="19"/>
      <c r="AG458" s="19"/>
      <c r="AH458" s="19"/>
      <c r="AI458" s="19"/>
      <c r="AJ458" s="19"/>
      <c r="AK458" s="19">
        <v>10362</v>
      </c>
      <c r="AL458" s="19"/>
      <c r="AM458" s="19">
        <v>0</v>
      </c>
      <c r="AN458" s="19"/>
      <c r="AO458" s="26">
        <f t="shared" si="78"/>
        <v>10362</v>
      </c>
      <c r="AP458" s="19"/>
      <c r="AQ458" s="26">
        <f t="shared" si="74"/>
        <v>58570823</v>
      </c>
      <c r="AR458" s="26"/>
    </row>
    <row r="459" spans="1:44">
      <c r="A459" s="9" t="s">
        <v>408</v>
      </c>
      <c r="B459" s="9"/>
      <c r="C459" s="9" t="s">
        <v>46</v>
      </c>
      <c r="D459" s="9"/>
      <c r="E459" s="23">
        <v>48421</v>
      </c>
      <c r="F459" s="19"/>
      <c r="G459" s="19">
        <v>3952932</v>
      </c>
      <c r="H459" s="19"/>
      <c r="I459" s="19">
        <v>0</v>
      </c>
      <c r="J459" s="19"/>
      <c r="K459" s="19">
        <v>5346644</v>
      </c>
      <c r="L459" s="19"/>
      <c r="M459" s="19">
        <v>12196</v>
      </c>
      <c r="N459" s="19"/>
      <c r="O459" s="19">
        <f>1933934+310899</f>
        <v>2244833</v>
      </c>
      <c r="P459" s="19"/>
      <c r="Q459" s="19">
        <v>289747</v>
      </c>
      <c r="R459" s="19"/>
      <c r="S459" s="19">
        <v>0</v>
      </c>
      <c r="T459" s="19"/>
      <c r="U459" s="19">
        <v>24771</v>
      </c>
      <c r="V459" s="19"/>
      <c r="W459" s="19">
        <v>252685</v>
      </c>
      <c r="X459" s="19"/>
      <c r="Y459" s="26">
        <f t="shared" si="77"/>
        <v>12123808</v>
      </c>
      <c r="Z459" s="19"/>
      <c r="AA459" s="19">
        <v>25596</v>
      </c>
      <c r="AB459" s="19"/>
      <c r="AC459" s="19">
        <v>0</v>
      </c>
      <c r="AD459" s="19"/>
      <c r="AE459" s="19">
        <v>0</v>
      </c>
      <c r="AF459" s="19"/>
      <c r="AG459" s="19"/>
      <c r="AH459" s="19"/>
      <c r="AI459" s="19"/>
      <c r="AJ459" s="19"/>
      <c r="AK459" s="19">
        <v>0</v>
      </c>
      <c r="AL459" s="19"/>
      <c r="AM459" s="19">
        <v>0</v>
      </c>
      <c r="AN459" s="19"/>
      <c r="AO459" s="26">
        <f t="shared" si="78"/>
        <v>25596</v>
      </c>
      <c r="AP459" s="19"/>
      <c r="AQ459" s="26">
        <f t="shared" si="74"/>
        <v>12149404</v>
      </c>
      <c r="AR459" s="26"/>
    </row>
    <row r="460" spans="1:44">
      <c r="A460" s="9" t="s">
        <v>468</v>
      </c>
      <c r="B460" s="9"/>
      <c r="C460" s="9" t="s">
        <v>109</v>
      </c>
      <c r="D460" s="9"/>
      <c r="E460" s="23">
        <v>49460</v>
      </c>
      <c r="F460" s="19"/>
      <c r="G460" s="19">
        <v>1783377</v>
      </c>
      <c r="H460" s="19"/>
      <c r="I460" s="19">
        <v>909602</v>
      </c>
      <c r="J460" s="19"/>
      <c r="K460" s="19">
        <f>5143279+1005344</f>
        <v>6148623</v>
      </c>
      <c r="L460" s="19"/>
      <c r="M460" s="19">
        <v>4057</v>
      </c>
      <c r="N460" s="19"/>
      <c r="O460" s="19">
        <f>445499+161332+16289+760</f>
        <v>623880</v>
      </c>
      <c r="P460" s="19"/>
      <c r="Q460" s="19">
        <v>109140</v>
      </c>
      <c r="R460" s="19"/>
      <c r="S460" s="19">
        <v>0</v>
      </c>
      <c r="T460" s="19"/>
      <c r="U460" s="19">
        <v>789</v>
      </c>
      <c r="V460" s="19"/>
      <c r="W460" s="19">
        <v>66018</v>
      </c>
      <c r="X460" s="19"/>
      <c r="Y460" s="26">
        <f t="shared" si="77"/>
        <v>9645486</v>
      </c>
      <c r="Z460" s="19"/>
      <c r="AA460" s="19">
        <v>16000</v>
      </c>
      <c r="AB460" s="19"/>
      <c r="AC460" s="19">
        <v>0</v>
      </c>
      <c r="AD460" s="19"/>
      <c r="AE460" s="19">
        <v>0</v>
      </c>
      <c r="AF460" s="19"/>
      <c r="AG460" s="19"/>
      <c r="AH460" s="19"/>
      <c r="AI460" s="19"/>
      <c r="AJ460" s="19"/>
      <c r="AK460" s="19">
        <v>149818</v>
      </c>
      <c r="AL460" s="19"/>
      <c r="AM460" s="19">
        <v>0</v>
      </c>
      <c r="AN460" s="19"/>
      <c r="AO460" s="26">
        <f t="shared" si="78"/>
        <v>165818</v>
      </c>
      <c r="AP460" s="19"/>
      <c r="AQ460" s="26">
        <f t="shared" si="74"/>
        <v>9811304</v>
      </c>
      <c r="AR460" s="26"/>
    </row>
    <row r="461" spans="1:44">
      <c r="A461" s="9" t="s">
        <v>718</v>
      </c>
      <c r="B461" s="9"/>
      <c r="C461" s="9" t="s">
        <v>45</v>
      </c>
      <c r="D461" s="9"/>
      <c r="E461" s="23">
        <v>48348</v>
      </c>
      <c r="F461" s="19"/>
      <c r="G461" s="19">
        <v>12300910</v>
      </c>
      <c r="H461" s="19"/>
      <c r="I461" s="19">
        <v>0</v>
      </c>
      <c r="J461" s="19"/>
      <c r="K461" s="19">
        <v>8563124</v>
      </c>
      <c r="L461" s="19"/>
      <c r="M461" s="19">
        <v>2219</v>
      </c>
      <c r="N461" s="19"/>
      <c r="O461" s="19">
        <f>239779+522685+28614</f>
        <v>791078</v>
      </c>
      <c r="P461" s="19"/>
      <c r="Q461" s="19">
        <v>415393</v>
      </c>
      <c r="R461" s="19"/>
      <c r="S461" s="19">
        <v>0</v>
      </c>
      <c r="T461" s="19"/>
      <c r="U461" s="19">
        <v>17867</v>
      </c>
      <c r="V461" s="19"/>
      <c r="W461" s="19">
        <v>23311</v>
      </c>
      <c r="X461" s="19"/>
      <c r="Y461" s="26">
        <f t="shared" si="77"/>
        <v>22113902</v>
      </c>
      <c r="Z461" s="19"/>
      <c r="AA461" s="19">
        <v>65000</v>
      </c>
      <c r="AB461" s="19"/>
      <c r="AC461" s="19">
        <v>0</v>
      </c>
      <c r="AD461" s="19"/>
      <c r="AE461" s="19">
        <v>0</v>
      </c>
      <c r="AF461" s="19"/>
      <c r="AG461" s="19"/>
      <c r="AH461" s="19"/>
      <c r="AI461" s="19"/>
      <c r="AJ461" s="19"/>
      <c r="AK461" s="19">
        <f>480000+2200</f>
        <v>482200</v>
      </c>
      <c r="AL461" s="19"/>
      <c r="AM461" s="19">
        <v>0</v>
      </c>
      <c r="AN461" s="19"/>
      <c r="AO461" s="26">
        <f t="shared" si="78"/>
        <v>547200</v>
      </c>
      <c r="AP461" s="19"/>
      <c r="AQ461" s="26">
        <f t="shared" si="74"/>
        <v>22661102</v>
      </c>
      <c r="AR461" s="26"/>
    </row>
    <row r="462" spans="1:44" hidden="1">
      <c r="A462" s="9" t="s">
        <v>816</v>
      </c>
      <c r="B462" s="9"/>
      <c r="C462" s="9" t="s">
        <v>53</v>
      </c>
      <c r="D462" s="9"/>
      <c r="E462" s="23">
        <v>44651</v>
      </c>
      <c r="F462" s="19"/>
      <c r="G462" s="19">
        <v>0</v>
      </c>
      <c r="H462" s="19"/>
      <c r="I462" s="19">
        <v>0</v>
      </c>
      <c r="J462" s="19"/>
      <c r="K462" s="19">
        <v>0</v>
      </c>
      <c r="L462" s="19"/>
      <c r="M462" s="19">
        <v>0</v>
      </c>
      <c r="N462" s="19"/>
      <c r="O462" s="19">
        <v>0</v>
      </c>
      <c r="P462" s="19"/>
      <c r="Q462" s="19">
        <v>0</v>
      </c>
      <c r="R462" s="19"/>
      <c r="S462" s="19">
        <v>0</v>
      </c>
      <c r="T462" s="19"/>
      <c r="U462" s="19">
        <v>0</v>
      </c>
      <c r="V462" s="19"/>
      <c r="W462" s="19">
        <v>0</v>
      </c>
      <c r="X462" s="19"/>
      <c r="Y462" s="26">
        <f t="shared" si="77"/>
        <v>0</v>
      </c>
      <c r="Z462" s="19"/>
      <c r="AA462" s="19">
        <v>0</v>
      </c>
      <c r="AB462" s="19"/>
      <c r="AC462" s="19">
        <v>0</v>
      </c>
      <c r="AD462" s="19"/>
      <c r="AE462" s="19">
        <v>0</v>
      </c>
      <c r="AF462" s="19"/>
      <c r="AG462" s="19"/>
      <c r="AH462" s="19"/>
      <c r="AI462" s="19"/>
      <c r="AJ462" s="19"/>
      <c r="AK462" s="19">
        <v>0</v>
      </c>
      <c r="AL462" s="19"/>
      <c r="AM462" s="19">
        <v>0</v>
      </c>
      <c r="AN462" s="19"/>
      <c r="AO462" s="26">
        <f t="shared" si="78"/>
        <v>0</v>
      </c>
      <c r="AP462" s="19"/>
      <c r="AQ462" s="26">
        <f t="shared" si="74"/>
        <v>0</v>
      </c>
      <c r="AR462" s="26"/>
    </row>
    <row r="463" spans="1:44">
      <c r="A463" s="9" t="s">
        <v>481</v>
      </c>
      <c r="B463" s="9"/>
      <c r="C463" s="9" t="s">
        <v>59</v>
      </c>
      <c r="D463" s="9"/>
      <c r="E463" s="23">
        <v>44669</v>
      </c>
      <c r="F463" s="19"/>
      <c r="G463" s="19">
        <v>5376582</v>
      </c>
      <c r="H463" s="19"/>
      <c r="I463" s="19">
        <v>0</v>
      </c>
      <c r="J463" s="19"/>
      <c r="K463" s="19">
        <v>23236325</v>
      </c>
      <c r="L463" s="19"/>
      <c r="M463" s="19">
        <v>22362</v>
      </c>
      <c r="N463" s="19"/>
      <c r="O463" s="19">
        <f>774898+25176+126281</f>
        <v>926355</v>
      </c>
      <c r="P463" s="19"/>
      <c r="Q463" s="19">
        <v>141396</v>
      </c>
      <c r="R463" s="19"/>
      <c r="S463" s="19">
        <v>0</v>
      </c>
      <c r="T463" s="19"/>
      <c r="U463" s="19">
        <v>44533</v>
      </c>
      <c r="V463" s="19"/>
      <c r="W463" s="19">
        <v>120931</v>
      </c>
      <c r="X463" s="19"/>
      <c r="Y463" s="26">
        <f t="shared" si="77"/>
        <v>29868484</v>
      </c>
      <c r="Z463" s="19"/>
      <c r="AA463" s="19">
        <v>0</v>
      </c>
      <c r="AB463" s="19"/>
      <c r="AC463" s="19">
        <v>0</v>
      </c>
      <c r="AD463" s="19"/>
      <c r="AE463" s="19">
        <v>0</v>
      </c>
      <c r="AF463" s="19"/>
      <c r="AG463" s="19"/>
      <c r="AH463" s="19"/>
      <c r="AI463" s="19"/>
      <c r="AJ463" s="19"/>
      <c r="AK463" s="19">
        <f>179424+245623</f>
        <v>425047</v>
      </c>
      <c r="AL463" s="19"/>
      <c r="AM463" s="19">
        <v>0</v>
      </c>
      <c r="AN463" s="19"/>
      <c r="AO463" s="26">
        <f t="shared" si="78"/>
        <v>425047</v>
      </c>
      <c r="AP463" s="19"/>
      <c r="AQ463" s="26">
        <f t="shared" si="74"/>
        <v>30293531</v>
      </c>
      <c r="AR463" s="26"/>
    </row>
    <row r="464" spans="1:44" hidden="1">
      <c r="A464" s="9" t="s">
        <v>684</v>
      </c>
      <c r="B464" s="9"/>
      <c r="C464" s="9" t="s">
        <v>57</v>
      </c>
      <c r="D464" s="9"/>
      <c r="E464" s="23">
        <v>49288</v>
      </c>
      <c r="F464" s="19"/>
      <c r="G464" s="19">
        <v>0</v>
      </c>
      <c r="H464" s="19"/>
      <c r="I464" s="19">
        <v>0</v>
      </c>
      <c r="J464" s="19"/>
      <c r="K464" s="19">
        <v>0</v>
      </c>
      <c r="L464" s="19"/>
      <c r="M464" s="19">
        <v>0</v>
      </c>
      <c r="N464" s="19"/>
      <c r="O464" s="19">
        <v>0</v>
      </c>
      <c r="P464" s="19"/>
      <c r="Q464" s="19">
        <v>0</v>
      </c>
      <c r="R464" s="19"/>
      <c r="S464" s="19">
        <v>0</v>
      </c>
      <c r="T464" s="19"/>
      <c r="U464" s="19">
        <v>0</v>
      </c>
      <c r="V464" s="19"/>
      <c r="W464" s="19">
        <v>0</v>
      </c>
      <c r="X464" s="19"/>
      <c r="Y464" s="26">
        <f t="shared" si="77"/>
        <v>0</v>
      </c>
      <c r="Z464" s="19"/>
      <c r="AA464" s="19">
        <v>0</v>
      </c>
      <c r="AB464" s="19"/>
      <c r="AC464" s="19">
        <v>0</v>
      </c>
      <c r="AD464" s="19"/>
      <c r="AE464" s="19">
        <v>0</v>
      </c>
      <c r="AF464" s="19"/>
      <c r="AG464" s="19"/>
      <c r="AH464" s="19"/>
      <c r="AI464" s="19"/>
      <c r="AJ464" s="19"/>
      <c r="AK464" s="19">
        <v>0</v>
      </c>
      <c r="AL464" s="19"/>
      <c r="AM464" s="19">
        <v>0</v>
      </c>
      <c r="AN464" s="19"/>
      <c r="AO464" s="26">
        <f t="shared" si="78"/>
        <v>0</v>
      </c>
      <c r="AP464" s="19"/>
      <c r="AQ464" s="26">
        <f t="shared" si="74"/>
        <v>0</v>
      </c>
      <c r="AR464" s="26"/>
    </row>
    <row r="465" spans="1:44">
      <c r="A465" s="9" t="s">
        <v>327</v>
      </c>
      <c r="B465" s="9"/>
      <c r="C465" s="9" t="s">
        <v>32</v>
      </c>
      <c r="D465" s="9"/>
      <c r="E465" s="23">
        <v>44677</v>
      </c>
      <c r="F465" s="19"/>
      <c r="G465" s="19">
        <v>57396548</v>
      </c>
      <c r="H465" s="19"/>
      <c r="I465" s="19">
        <v>0</v>
      </c>
      <c r="J465" s="19"/>
      <c r="K465" s="19">
        <v>33768487</v>
      </c>
      <c r="L465" s="19"/>
      <c r="M465" s="19">
        <v>490367</v>
      </c>
      <c r="N465" s="19"/>
      <c r="O465" s="19">
        <f>4917204+540509</f>
        <v>5457713</v>
      </c>
      <c r="P465" s="19"/>
      <c r="Q465" s="19">
        <v>105584</v>
      </c>
      <c r="R465" s="19"/>
      <c r="S465" s="19">
        <v>266425</v>
      </c>
      <c r="T465" s="19"/>
      <c r="U465" s="19">
        <v>0</v>
      </c>
      <c r="V465" s="19"/>
      <c r="W465" s="19">
        <v>523926</v>
      </c>
      <c r="X465" s="19"/>
      <c r="Y465" s="26">
        <f t="shared" si="77"/>
        <v>98009050</v>
      </c>
      <c r="Z465" s="19"/>
      <c r="AA465" s="19">
        <v>2164261</v>
      </c>
      <c r="AB465" s="19"/>
      <c r="AC465" s="19">
        <v>0</v>
      </c>
      <c r="AD465" s="19"/>
      <c r="AE465" s="19">
        <f>2300000+645000+127670</f>
        <v>3072670</v>
      </c>
      <c r="AF465" s="19"/>
      <c r="AG465" s="19"/>
      <c r="AH465" s="19"/>
      <c r="AI465" s="19"/>
      <c r="AJ465" s="19"/>
      <c r="AK465" s="19">
        <v>736784</v>
      </c>
      <c r="AL465" s="19"/>
      <c r="AM465" s="19">
        <v>0</v>
      </c>
      <c r="AN465" s="19"/>
      <c r="AO465" s="26">
        <f t="shared" si="78"/>
        <v>5973715</v>
      </c>
      <c r="AP465" s="19"/>
      <c r="AQ465" s="26">
        <f t="shared" si="74"/>
        <v>103982765</v>
      </c>
      <c r="AR465" s="26"/>
    </row>
    <row r="466" spans="1:44" hidden="1">
      <c r="A466" s="9" t="s">
        <v>817</v>
      </c>
      <c r="B466" s="9"/>
      <c r="C466" s="9" t="s">
        <v>53</v>
      </c>
      <c r="D466" s="9"/>
      <c r="E466" s="23">
        <v>48975</v>
      </c>
      <c r="F466" s="19"/>
      <c r="G466" s="19">
        <v>0</v>
      </c>
      <c r="H466" s="19"/>
      <c r="I466" s="19">
        <v>0</v>
      </c>
      <c r="J466" s="19"/>
      <c r="K466" s="19">
        <v>0</v>
      </c>
      <c r="L466" s="19"/>
      <c r="M466" s="19">
        <v>0</v>
      </c>
      <c r="N466" s="19"/>
      <c r="O466" s="19">
        <v>0</v>
      </c>
      <c r="P466" s="19"/>
      <c r="Q466" s="19">
        <v>0</v>
      </c>
      <c r="R466" s="19"/>
      <c r="S466" s="19">
        <v>0</v>
      </c>
      <c r="T466" s="19"/>
      <c r="U466" s="19">
        <v>0</v>
      </c>
      <c r="V466" s="19"/>
      <c r="W466" s="19">
        <v>0</v>
      </c>
      <c r="X466" s="19"/>
      <c r="Y466" s="26">
        <f t="shared" ref="Y466" si="79">SUM(G466:W466)</f>
        <v>0</v>
      </c>
      <c r="Z466" s="19"/>
      <c r="AA466" s="19">
        <v>0</v>
      </c>
      <c r="AB466" s="19"/>
      <c r="AC466" s="19">
        <v>0</v>
      </c>
      <c r="AD466" s="19"/>
      <c r="AE466" s="19">
        <v>0</v>
      </c>
      <c r="AF466" s="19"/>
      <c r="AG466" s="19"/>
      <c r="AH466" s="19"/>
      <c r="AI466" s="19"/>
      <c r="AJ466" s="19"/>
      <c r="AK466" s="19">
        <v>0</v>
      </c>
      <c r="AL466" s="19"/>
      <c r="AM466" s="19">
        <v>0</v>
      </c>
      <c r="AN466" s="19"/>
      <c r="AO466" s="26">
        <f t="shared" ref="AO466" si="80">AK466+AE466+AA466</f>
        <v>0</v>
      </c>
      <c r="AP466" s="19"/>
      <c r="AQ466" s="26">
        <f t="shared" ref="AQ466" si="81">Y466+AO466</f>
        <v>0</v>
      </c>
      <c r="AR466" s="26"/>
    </row>
    <row r="467" spans="1:44" hidden="1">
      <c r="A467" s="9" t="s">
        <v>818</v>
      </c>
      <c r="B467" s="9"/>
      <c r="C467" s="9" t="s">
        <v>12</v>
      </c>
      <c r="D467" s="9"/>
      <c r="E467" s="23">
        <v>45880</v>
      </c>
      <c r="F467" s="19"/>
      <c r="G467" s="19">
        <v>0</v>
      </c>
      <c r="H467" s="19"/>
      <c r="I467" s="19">
        <v>0</v>
      </c>
      <c r="J467" s="19"/>
      <c r="K467" s="19">
        <v>0</v>
      </c>
      <c r="L467" s="19"/>
      <c r="M467" s="19">
        <v>0</v>
      </c>
      <c r="N467" s="19"/>
      <c r="O467" s="19">
        <v>0</v>
      </c>
      <c r="P467" s="19"/>
      <c r="Q467" s="19">
        <v>0</v>
      </c>
      <c r="R467" s="19"/>
      <c r="S467" s="19">
        <v>0</v>
      </c>
      <c r="T467" s="19"/>
      <c r="U467" s="19">
        <v>0</v>
      </c>
      <c r="V467" s="19"/>
      <c r="W467" s="19">
        <v>0</v>
      </c>
      <c r="X467" s="19"/>
      <c r="Y467" s="26">
        <f t="shared" si="77"/>
        <v>0</v>
      </c>
      <c r="Z467" s="19"/>
      <c r="AA467" s="19">
        <v>0</v>
      </c>
      <c r="AB467" s="19"/>
      <c r="AC467" s="19">
        <v>0</v>
      </c>
      <c r="AD467" s="19"/>
      <c r="AE467" s="19">
        <v>0</v>
      </c>
      <c r="AF467" s="19"/>
      <c r="AG467" s="19"/>
      <c r="AH467" s="19"/>
      <c r="AI467" s="19"/>
      <c r="AJ467" s="19"/>
      <c r="AK467" s="19">
        <v>0</v>
      </c>
      <c r="AL467" s="19"/>
      <c r="AM467" s="19">
        <v>0</v>
      </c>
      <c r="AN467" s="19"/>
      <c r="AO467" s="26">
        <f t="shared" si="78"/>
        <v>0</v>
      </c>
      <c r="AP467" s="19"/>
      <c r="AQ467" s="26">
        <f t="shared" si="74"/>
        <v>0</v>
      </c>
      <c r="AR467" s="26"/>
    </row>
    <row r="468" spans="1:44" s="24" customFormat="1">
      <c r="A468" s="51" t="s">
        <v>627</v>
      </c>
      <c r="B468" s="51"/>
      <c r="C468" s="51" t="s">
        <v>56</v>
      </c>
      <c r="D468" s="51"/>
      <c r="E468" s="23">
        <v>44685</v>
      </c>
      <c r="F468" s="66"/>
      <c r="G468" s="19">
        <v>11219566</v>
      </c>
      <c r="H468" s="19"/>
      <c r="I468" s="19">
        <v>0</v>
      </c>
      <c r="J468" s="19"/>
      <c r="K468" s="19">
        <f>8750+15373918+2579952</f>
        <v>17962620</v>
      </c>
      <c r="L468" s="19"/>
      <c r="M468" s="19">
        <v>14456</v>
      </c>
      <c r="N468" s="19"/>
      <c r="O468" s="19">
        <f>797288+31218+354825+375+70890+5920</f>
        <v>1260516</v>
      </c>
      <c r="P468" s="19"/>
      <c r="Q468" s="19">
        <v>181206</v>
      </c>
      <c r="R468" s="19"/>
      <c r="S468" s="19">
        <v>63411</v>
      </c>
      <c r="T468" s="19"/>
      <c r="U468" s="19">
        <v>19033</v>
      </c>
      <c r="V468" s="19"/>
      <c r="W468" s="19">
        <v>152970</v>
      </c>
      <c r="X468" s="19"/>
      <c r="Y468" s="26">
        <f t="shared" si="77"/>
        <v>30873778</v>
      </c>
      <c r="Z468" s="19"/>
      <c r="AA468" s="19">
        <v>242432</v>
      </c>
      <c r="AB468" s="19"/>
      <c r="AC468" s="19">
        <v>0</v>
      </c>
      <c r="AD468" s="19"/>
      <c r="AE468" s="19">
        <f>2237075+12189976</f>
        <v>14427051</v>
      </c>
      <c r="AF468" s="19"/>
      <c r="AG468" s="19"/>
      <c r="AH468" s="19"/>
      <c r="AI468" s="19"/>
      <c r="AJ468" s="19"/>
      <c r="AK468" s="19">
        <v>398697</v>
      </c>
      <c r="AL468" s="19"/>
      <c r="AM468" s="19">
        <v>0</v>
      </c>
      <c r="AN468" s="19"/>
      <c r="AO468" s="26">
        <f t="shared" si="78"/>
        <v>15068180</v>
      </c>
      <c r="AP468" s="19"/>
      <c r="AQ468" s="26">
        <f t="shared" si="74"/>
        <v>45941958</v>
      </c>
      <c r="AR468" s="67"/>
    </row>
    <row r="469" spans="1:44">
      <c r="A469" s="9" t="s">
        <v>328</v>
      </c>
      <c r="B469" s="9"/>
      <c r="C469" s="9" t="s">
        <v>32</v>
      </c>
      <c r="D469" s="9"/>
      <c r="E469" s="23">
        <v>44693</v>
      </c>
      <c r="F469" s="19"/>
      <c r="G469" s="19">
        <v>7496966</v>
      </c>
      <c r="H469" s="19"/>
      <c r="I469" s="19">
        <v>0</v>
      </c>
      <c r="J469" s="19"/>
      <c r="K469" s="19">
        <v>7502479</v>
      </c>
      <c r="L469" s="19"/>
      <c r="M469" s="19">
        <v>17189</v>
      </c>
      <c r="N469" s="19"/>
      <c r="O469" s="19">
        <f>1822459+217781</f>
        <v>2040240</v>
      </c>
      <c r="P469" s="19"/>
      <c r="Q469" s="19">
        <v>168656</v>
      </c>
      <c r="R469" s="19"/>
      <c r="S469" s="19">
        <v>0</v>
      </c>
      <c r="T469" s="19"/>
      <c r="U469" s="19">
        <v>33091</v>
      </c>
      <c r="V469" s="19"/>
      <c r="W469" s="19">
        <v>213987</v>
      </c>
      <c r="X469" s="19"/>
      <c r="Y469" s="26">
        <f t="shared" si="77"/>
        <v>17472608</v>
      </c>
      <c r="Z469" s="19"/>
      <c r="AA469" s="19">
        <v>51600</v>
      </c>
      <c r="AB469" s="19"/>
      <c r="AC469" s="19">
        <v>0</v>
      </c>
      <c r="AD469" s="19"/>
      <c r="AE469" s="19">
        <v>2000000</v>
      </c>
      <c r="AF469" s="19"/>
      <c r="AG469" s="19"/>
      <c r="AH469" s="19"/>
      <c r="AI469" s="19"/>
      <c r="AJ469" s="19"/>
      <c r="AK469" s="19">
        <v>515669</v>
      </c>
      <c r="AL469" s="19"/>
      <c r="AM469" s="19">
        <v>0</v>
      </c>
      <c r="AN469" s="19"/>
      <c r="AO469" s="26">
        <f t="shared" si="78"/>
        <v>2567269</v>
      </c>
      <c r="AP469" s="19"/>
      <c r="AQ469" s="26">
        <f t="shared" si="74"/>
        <v>20039877</v>
      </c>
      <c r="AR469" s="26"/>
    </row>
    <row r="470" spans="1:44">
      <c r="A470" s="9" t="s">
        <v>509</v>
      </c>
      <c r="B470" s="9"/>
      <c r="C470" s="9" t="s">
        <v>63</v>
      </c>
      <c r="D470" s="9"/>
      <c r="E470" s="23">
        <v>50054</v>
      </c>
      <c r="F470" s="19"/>
      <c r="G470" s="19">
        <v>27357602</v>
      </c>
      <c r="H470" s="19"/>
      <c r="I470" s="19">
        <v>0</v>
      </c>
      <c r="J470" s="19"/>
      <c r="K470" s="19">
        <v>7918279</v>
      </c>
      <c r="L470" s="19"/>
      <c r="M470" s="19">
        <v>56390</v>
      </c>
      <c r="N470" s="19"/>
      <c r="O470" s="19">
        <f>515829+122466+660378</f>
        <v>1298673</v>
      </c>
      <c r="P470" s="19"/>
      <c r="Q470" s="19">
        <v>419108</v>
      </c>
      <c r="R470" s="19"/>
      <c r="S470" s="19">
        <v>0</v>
      </c>
      <c r="T470" s="19"/>
      <c r="U470" s="19">
        <v>119272</v>
      </c>
      <c r="V470" s="19"/>
      <c r="W470" s="19">
        <v>105152</v>
      </c>
      <c r="X470" s="19"/>
      <c r="Y470" s="26">
        <f t="shared" si="77"/>
        <v>37274476</v>
      </c>
      <c r="Z470" s="19"/>
      <c r="AA470" s="19">
        <v>171000</v>
      </c>
      <c r="AB470" s="19"/>
      <c r="AC470" s="19">
        <v>0</v>
      </c>
      <c r="AD470" s="19"/>
      <c r="AE470" s="19">
        <v>0</v>
      </c>
      <c r="AF470" s="19"/>
      <c r="AG470" s="19"/>
      <c r="AH470" s="19"/>
      <c r="AI470" s="19"/>
      <c r="AJ470" s="19"/>
      <c r="AK470" s="19">
        <f>688351+1100</f>
        <v>689451</v>
      </c>
      <c r="AL470" s="19"/>
      <c r="AM470" s="19">
        <v>0</v>
      </c>
      <c r="AN470" s="19"/>
      <c r="AO470" s="26">
        <f t="shared" si="78"/>
        <v>860451</v>
      </c>
      <c r="AP470" s="19"/>
      <c r="AQ470" s="26">
        <f t="shared" si="74"/>
        <v>38134927</v>
      </c>
      <c r="AR470" s="26"/>
    </row>
    <row r="471" spans="1:44" hidden="1">
      <c r="A471" s="9" t="s">
        <v>819</v>
      </c>
      <c r="B471" s="9"/>
      <c r="C471" s="9" t="s">
        <v>27</v>
      </c>
      <c r="D471" s="9"/>
      <c r="E471" s="23">
        <v>47001</v>
      </c>
      <c r="F471" s="19"/>
      <c r="G471" s="19">
        <v>0</v>
      </c>
      <c r="H471" s="19"/>
      <c r="I471" s="19">
        <v>0</v>
      </c>
      <c r="J471" s="19"/>
      <c r="K471" s="19">
        <v>0</v>
      </c>
      <c r="L471" s="19"/>
      <c r="M471" s="19">
        <v>0</v>
      </c>
      <c r="N471" s="19"/>
      <c r="O471" s="19">
        <v>0</v>
      </c>
      <c r="P471" s="19"/>
      <c r="Q471" s="19">
        <v>0</v>
      </c>
      <c r="R471" s="19"/>
      <c r="S471" s="19">
        <v>0</v>
      </c>
      <c r="T471" s="19"/>
      <c r="U471" s="19">
        <v>0</v>
      </c>
      <c r="V471" s="19"/>
      <c r="W471" s="19">
        <v>0</v>
      </c>
      <c r="X471" s="19"/>
      <c r="Y471" s="26">
        <f t="shared" si="77"/>
        <v>0</v>
      </c>
      <c r="Z471" s="19"/>
      <c r="AA471" s="19">
        <v>0</v>
      </c>
      <c r="AB471" s="19"/>
      <c r="AC471" s="19">
        <v>0</v>
      </c>
      <c r="AD471" s="19"/>
      <c r="AE471" s="19">
        <v>0</v>
      </c>
      <c r="AF471" s="19"/>
      <c r="AG471" s="19"/>
      <c r="AH471" s="19"/>
      <c r="AI471" s="19"/>
      <c r="AJ471" s="19"/>
      <c r="AK471" s="19">
        <v>0</v>
      </c>
      <c r="AL471" s="19"/>
      <c r="AM471" s="19">
        <v>0</v>
      </c>
      <c r="AN471" s="19"/>
      <c r="AO471" s="26">
        <f t="shared" si="78"/>
        <v>0</v>
      </c>
      <c r="AP471" s="19"/>
      <c r="AQ471" s="26">
        <f t="shared" si="74"/>
        <v>0</v>
      </c>
      <c r="AR471" s="26"/>
    </row>
    <row r="472" spans="1:44">
      <c r="A472" s="9" t="s">
        <v>274</v>
      </c>
      <c r="B472" s="9"/>
      <c r="C472" s="9" t="s">
        <v>20</v>
      </c>
      <c r="D472" s="9"/>
      <c r="E472" s="23">
        <v>46599</v>
      </c>
      <c r="F472" s="19"/>
      <c r="G472" s="19">
        <v>10129543</v>
      </c>
      <c r="H472" s="19"/>
      <c r="I472" s="19">
        <v>0</v>
      </c>
      <c r="J472" s="19"/>
      <c r="K472" s="19">
        <v>3713975</v>
      </c>
      <c r="L472" s="19"/>
      <c r="M472" s="19">
        <v>1832</v>
      </c>
      <c r="N472" s="19"/>
      <c r="O472" s="19">
        <f>331679+28143</f>
        <v>359822</v>
      </c>
      <c r="P472" s="19"/>
      <c r="Q472" s="19">
        <v>110805</v>
      </c>
      <c r="R472" s="19"/>
      <c r="S472" s="19">
        <v>0</v>
      </c>
      <c r="T472" s="19"/>
      <c r="U472" s="19">
        <v>3417</v>
      </c>
      <c r="V472" s="19"/>
      <c r="W472" s="19">
        <v>98565</v>
      </c>
      <c r="X472" s="19"/>
      <c r="Y472" s="26">
        <f t="shared" si="77"/>
        <v>14417959</v>
      </c>
      <c r="Z472" s="19"/>
      <c r="AA472" s="19">
        <v>139430</v>
      </c>
      <c r="AB472" s="19"/>
      <c r="AC472" s="19">
        <v>0</v>
      </c>
      <c r="AD472" s="19"/>
      <c r="AE472" s="19">
        <v>0</v>
      </c>
      <c r="AF472" s="19"/>
      <c r="AG472" s="19"/>
      <c r="AH472" s="19"/>
      <c r="AI472" s="19"/>
      <c r="AJ472" s="19"/>
      <c r="AK472" s="19">
        <v>0</v>
      </c>
      <c r="AL472" s="19"/>
      <c r="AM472" s="19">
        <v>0</v>
      </c>
      <c r="AN472" s="19"/>
      <c r="AO472" s="26">
        <f t="shared" si="78"/>
        <v>139430</v>
      </c>
      <c r="AP472" s="19"/>
      <c r="AQ472" s="26">
        <f t="shared" si="74"/>
        <v>14557389</v>
      </c>
      <c r="AR472" s="26"/>
    </row>
    <row r="473" spans="1:44" s="24" customFormat="1">
      <c r="A473" s="51" t="s">
        <v>409</v>
      </c>
      <c r="B473" s="51"/>
      <c r="C473" s="51" t="s">
        <v>46</v>
      </c>
      <c r="D473" s="51"/>
      <c r="E473" s="51">
        <v>48439</v>
      </c>
      <c r="F473" s="66"/>
      <c r="G473" s="66">
        <v>2792601</v>
      </c>
      <c r="H473" s="66"/>
      <c r="I473" s="66">
        <v>0</v>
      </c>
      <c r="J473" s="66"/>
      <c r="K473" s="66">
        <v>3934373</v>
      </c>
      <c r="L473" s="66"/>
      <c r="M473" s="66">
        <v>9231</v>
      </c>
      <c r="N473" s="66"/>
      <c r="O473" s="66">
        <f>1218563+242092</f>
        <v>1460655</v>
      </c>
      <c r="P473" s="66"/>
      <c r="Q473" s="66">
        <v>87588</v>
      </c>
      <c r="R473" s="66"/>
      <c r="S473" s="66">
        <v>139130</v>
      </c>
      <c r="T473" s="66"/>
      <c r="U473" s="66">
        <v>14283</v>
      </c>
      <c r="V473" s="66"/>
      <c r="W473" s="66">
        <v>24379</v>
      </c>
      <c r="X473" s="66"/>
      <c r="Y473" s="67">
        <f t="shared" si="77"/>
        <v>8462240</v>
      </c>
      <c r="Z473" s="66"/>
      <c r="AA473" s="66">
        <v>0</v>
      </c>
      <c r="AB473" s="66"/>
      <c r="AC473" s="66">
        <v>0</v>
      </c>
      <c r="AD473" s="66"/>
      <c r="AE473" s="66">
        <v>0</v>
      </c>
      <c r="AF473" s="66"/>
      <c r="AG473" s="66"/>
      <c r="AH473" s="66"/>
      <c r="AI473" s="66"/>
      <c r="AJ473" s="66"/>
      <c r="AK473" s="66">
        <v>222202</v>
      </c>
      <c r="AL473" s="66"/>
      <c r="AM473" s="66">
        <v>0</v>
      </c>
      <c r="AN473" s="66"/>
      <c r="AO473" s="67">
        <f t="shared" si="78"/>
        <v>222202</v>
      </c>
      <c r="AP473" s="66"/>
      <c r="AQ473" s="67">
        <f t="shared" si="74"/>
        <v>8684442</v>
      </c>
      <c r="AR473" s="67"/>
    </row>
    <row r="474" spans="1:44" hidden="1">
      <c r="A474" s="9" t="s">
        <v>885</v>
      </c>
      <c r="B474" s="9"/>
      <c r="C474" s="9" t="s">
        <v>337</v>
      </c>
      <c r="D474" s="9"/>
      <c r="E474" s="23">
        <v>47506</v>
      </c>
      <c r="F474" s="19"/>
      <c r="G474" s="19">
        <v>0</v>
      </c>
      <c r="H474" s="19"/>
      <c r="I474" s="19">
        <v>0</v>
      </c>
      <c r="J474" s="19"/>
      <c r="K474" s="19">
        <v>0</v>
      </c>
      <c r="L474" s="19"/>
      <c r="M474" s="19">
        <v>0</v>
      </c>
      <c r="N474" s="19"/>
      <c r="O474" s="19">
        <v>0</v>
      </c>
      <c r="P474" s="19"/>
      <c r="Q474" s="19">
        <v>0</v>
      </c>
      <c r="R474" s="19"/>
      <c r="S474" s="19">
        <v>0</v>
      </c>
      <c r="T474" s="19"/>
      <c r="U474" s="19">
        <v>0</v>
      </c>
      <c r="V474" s="19"/>
      <c r="W474" s="19">
        <v>0</v>
      </c>
      <c r="X474" s="19"/>
      <c r="Y474" s="26">
        <f t="shared" si="77"/>
        <v>0</v>
      </c>
      <c r="Z474" s="19"/>
      <c r="AA474" s="19">
        <v>0</v>
      </c>
      <c r="AB474" s="19"/>
      <c r="AC474" s="19">
        <v>0</v>
      </c>
      <c r="AD474" s="19"/>
      <c r="AE474" s="19">
        <v>0</v>
      </c>
      <c r="AF474" s="19"/>
      <c r="AG474" s="19"/>
      <c r="AH474" s="19"/>
      <c r="AI474" s="19"/>
      <c r="AJ474" s="19"/>
      <c r="AK474" s="19">
        <v>0</v>
      </c>
      <c r="AL474" s="19"/>
      <c r="AM474" s="19">
        <v>0</v>
      </c>
      <c r="AN474" s="19"/>
      <c r="AO474" s="26">
        <f t="shared" si="78"/>
        <v>0</v>
      </c>
      <c r="AP474" s="19"/>
      <c r="AQ474" s="26">
        <f t="shared" si="74"/>
        <v>0</v>
      </c>
      <c r="AR474" s="26"/>
    </row>
    <row r="475" spans="1:44">
      <c r="A475" s="9" t="s">
        <v>252</v>
      </c>
      <c r="B475" s="9"/>
      <c r="C475" s="9" t="s">
        <v>19</v>
      </c>
      <c r="D475" s="9"/>
      <c r="E475" s="23">
        <v>46474</v>
      </c>
      <c r="F475" s="19"/>
      <c r="G475" s="19">
        <v>2715441</v>
      </c>
      <c r="H475" s="19"/>
      <c r="I475" s="19">
        <v>0</v>
      </c>
      <c r="J475" s="19"/>
      <c r="K475" s="19">
        <f>7710302+1184375</f>
        <v>8894677</v>
      </c>
      <c r="L475" s="19"/>
      <c r="M475" s="19">
        <v>2841</v>
      </c>
      <c r="N475" s="19"/>
      <c r="O475" s="19">
        <f>365481+211879+26272</f>
        <v>603632</v>
      </c>
      <c r="P475" s="19"/>
      <c r="Q475" s="19">
        <v>208155</v>
      </c>
      <c r="R475" s="19"/>
      <c r="S475" s="19">
        <v>0</v>
      </c>
      <c r="T475" s="19"/>
      <c r="U475" s="19">
        <v>0</v>
      </c>
      <c r="V475" s="19"/>
      <c r="W475" s="19">
        <v>14205</v>
      </c>
      <c r="X475" s="19"/>
      <c r="Y475" s="26">
        <f t="shared" si="77"/>
        <v>12438951</v>
      </c>
      <c r="Z475" s="19"/>
      <c r="AA475" s="19">
        <v>0</v>
      </c>
      <c r="AB475" s="19"/>
      <c r="AC475" s="19">
        <v>0</v>
      </c>
      <c r="AD475" s="19"/>
      <c r="AE475" s="19">
        <v>0</v>
      </c>
      <c r="AF475" s="19"/>
      <c r="AG475" s="19"/>
      <c r="AH475" s="19"/>
      <c r="AI475" s="19"/>
      <c r="AJ475" s="19"/>
      <c r="AK475" s="19">
        <v>0</v>
      </c>
      <c r="AL475" s="19"/>
      <c r="AM475" s="19">
        <v>0</v>
      </c>
      <c r="AN475" s="19"/>
      <c r="AO475" s="26">
        <f t="shared" si="78"/>
        <v>0</v>
      </c>
      <c r="AP475" s="19"/>
      <c r="AQ475" s="26">
        <f t="shared" si="74"/>
        <v>12438951</v>
      </c>
      <c r="AR475" s="26"/>
    </row>
    <row r="476" spans="1:44" hidden="1">
      <c r="A476" s="9" t="s">
        <v>820</v>
      </c>
      <c r="B476" s="9"/>
      <c r="C476" s="9" t="s">
        <v>77</v>
      </c>
      <c r="D476" s="9"/>
      <c r="E476" s="23">
        <v>46078</v>
      </c>
      <c r="F476" s="19"/>
      <c r="G476" s="19">
        <v>0</v>
      </c>
      <c r="H476" s="19"/>
      <c r="I476" s="19">
        <v>0</v>
      </c>
      <c r="J476" s="19"/>
      <c r="K476" s="19">
        <v>0</v>
      </c>
      <c r="L476" s="19"/>
      <c r="M476" s="19">
        <v>0</v>
      </c>
      <c r="N476" s="19"/>
      <c r="O476" s="19">
        <v>0</v>
      </c>
      <c r="P476" s="19"/>
      <c r="Q476" s="19">
        <v>0</v>
      </c>
      <c r="R476" s="19"/>
      <c r="S476" s="19">
        <v>0</v>
      </c>
      <c r="T476" s="19"/>
      <c r="U476" s="19">
        <v>0</v>
      </c>
      <c r="V476" s="19"/>
      <c r="W476" s="19">
        <v>0</v>
      </c>
      <c r="X476" s="19"/>
      <c r="Y476" s="26">
        <f t="shared" si="77"/>
        <v>0</v>
      </c>
      <c r="Z476" s="19"/>
      <c r="AA476" s="19">
        <v>0</v>
      </c>
      <c r="AB476" s="19"/>
      <c r="AC476" s="19">
        <v>0</v>
      </c>
      <c r="AD476" s="19"/>
      <c r="AE476" s="19">
        <v>0</v>
      </c>
      <c r="AF476" s="19"/>
      <c r="AG476" s="19"/>
      <c r="AH476" s="19"/>
      <c r="AI476" s="19"/>
      <c r="AJ476" s="19"/>
      <c r="AK476" s="19">
        <v>0</v>
      </c>
      <c r="AL476" s="19"/>
      <c r="AM476" s="19">
        <v>0</v>
      </c>
      <c r="AN476" s="19"/>
      <c r="AO476" s="26">
        <f t="shared" si="78"/>
        <v>0</v>
      </c>
      <c r="AP476" s="19"/>
      <c r="AQ476" s="26">
        <f t="shared" si="74"/>
        <v>0</v>
      </c>
      <c r="AR476" s="26"/>
    </row>
    <row r="477" spans="1:44" hidden="1">
      <c r="A477" s="9" t="s">
        <v>821</v>
      </c>
      <c r="B477" s="9"/>
      <c r="C477" s="9" t="s">
        <v>71</v>
      </c>
      <c r="D477" s="9"/>
      <c r="E477" s="23">
        <v>45591</v>
      </c>
      <c r="F477" s="19"/>
      <c r="G477" s="19">
        <v>0</v>
      </c>
      <c r="H477" s="19"/>
      <c r="I477" s="19">
        <v>0</v>
      </c>
      <c r="J477" s="19"/>
      <c r="K477" s="19">
        <v>0</v>
      </c>
      <c r="L477" s="19"/>
      <c r="M477" s="19">
        <v>0</v>
      </c>
      <c r="N477" s="19"/>
      <c r="O477" s="19">
        <v>0</v>
      </c>
      <c r="P477" s="19"/>
      <c r="Q477" s="19">
        <v>0</v>
      </c>
      <c r="R477" s="19"/>
      <c r="S477" s="19">
        <v>0</v>
      </c>
      <c r="T477" s="19"/>
      <c r="U477" s="19">
        <v>0</v>
      </c>
      <c r="V477" s="19"/>
      <c r="W477" s="19">
        <v>0</v>
      </c>
      <c r="X477" s="19"/>
      <c r="Y477" s="26">
        <f t="shared" si="77"/>
        <v>0</v>
      </c>
      <c r="Z477" s="19"/>
      <c r="AA477" s="19">
        <v>0</v>
      </c>
      <c r="AB477" s="19"/>
      <c r="AC477" s="19">
        <v>0</v>
      </c>
      <c r="AD477" s="19"/>
      <c r="AE477" s="19">
        <v>0</v>
      </c>
      <c r="AF477" s="19"/>
      <c r="AG477" s="19"/>
      <c r="AH477" s="19"/>
      <c r="AI477" s="19"/>
      <c r="AJ477" s="19"/>
      <c r="AK477" s="19">
        <v>0</v>
      </c>
      <c r="AL477" s="19"/>
      <c r="AM477" s="19">
        <v>0</v>
      </c>
      <c r="AN477" s="19"/>
      <c r="AO477" s="26">
        <f t="shared" si="78"/>
        <v>0</v>
      </c>
      <c r="AP477" s="19"/>
      <c r="AQ477" s="26">
        <f t="shared" si="74"/>
        <v>0</v>
      </c>
      <c r="AR477" s="26"/>
    </row>
    <row r="478" spans="1:44">
      <c r="A478" s="9" t="s">
        <v>410</v>
      </c>
      <c r="B478" s="9"/>
      <c r="C478" s="9" t="s">
        <v>46</v>
      </c>
      <c r="D478" s="9"/>
      <c r="E478" s="23">
        <v>48447</v>
      </c>
      <c r="F478" s="19"/>
      <c r="G478" s="19">
        <v>6619952</v>
      </c>
      <c r="H478" s="19"/>
      <c r="I478" s="19">
        <v>0</v>
      </c>
      <c r="J478" s="19"/>
      <c r="K478" s="19">
        <v>7133941</v>
      </c>
      <c r="L478" s="19"/>
      <c r="M478" s="19">
        <v>2536</v>
      </c>
      <c r="N478" s="19"/>
      <c r="O478" s="19">
        <f>3110827+25837</f>
        <v>3136664</v>
      </c>
      <c r="P478" s="19"/>
      <c r="Q478" s="19">
        <v>323622</v>
      </c>
      <c r="R478" s="19"/>
      <c r="S478" s="19">
        <v>229297</v>
      </c>
      <c r="T478" s="19"/>
      <c r="U478" s="19">
        <v>3621</v>
      </c>
      <c r="V478" s="19"/>
      <c r="W478" s="19">
        <v>221604</v>
      </c>
      <c r="X478" s="19"/>
      <c r="Y478" s="26">
        <f t="shared" si="77"/>
        <v>17671237</v>
      </c>
      <c r="Z478" s="19"/>
      <c r="AA478" s="19">
        <v>45873</v>
      </c>
      <c r="AB478" s="19"/>
      <c r="AC478" s="19">
        <v>0</v>
      </c>
      <c r="AD478" s="19"/>
      <c r="AE478" s="19">
        <v>0</v>
      </c>
      <c r="AF478" s="19"/>
      <c r="AG478" s="19"/>
      <c r="AH478" s="19"/>
      <c r="AI478" s="19"/>
      <c r="AJ478" s="19"/>
      <c r="AK478" s="19">
        <v>54524</v>
      </c>
      <c r="AL478" s="19"/>
      <c r="AM478" s="19">
        <v>0</v>
      </c>
      <c r="AN478" s="19"/>
      <c r="AO478" s="26">
        <f t="shared" si="78"/>
        <v>100397</v>
      </c>
      <c r="AP478" s="19"/>
      <c r="AQ478" s="26">
        <f t="shared" si="74"/>
        <v>17771634</v>
      </c>
      <c r="AR478" s="26"/>
    </row>
    <row r="479" spans="1:44">
      <c r="A479" s="9" t="s">
        <v>253</v>
      </c>
      <c r="B479" s="9"/>
      <c r="C479" s="9" t="s">
        <v>19</v>
      </c>
      <c r="D479" s="9"/>
      <c r="E479" s="23">
        <v>46482</v>
      </c>
      <c r="F479" s="19"/>
      <c r="G479" s="19">
        <v>9109122</v>
      </c>
      <c r="H479" s="19"/>
      <c r="I479" s="19">
        <v>0</v>
      </c>
      <c r="J479" s="19"/>
      <c r="K479" s="19">
        <v>12426031</v>
      </c>
      <c r="L479" s="19"/>
      <c r="M479" s="19">
        <v>16424</v>
      </c>
      <c r="N479" s="19"/>
      <c r="O479" s="19">
        <f>1013805+2573+390971</f>
        <v>1407349</v>
      </c>
      <c r="P479" s="19"/>
      <c r="Q479" s="19">
        <v>161615</v>
      </c>
      <c r="R479" s="19"/>
      <c r="S479" s="19">
        <v>0</v>
      </c>
      <c r="T479" s="19"/>
      <c r="U479" s="19">
        <v>38919</v>
      </c>
      <c r="V479" s="19"/>
      <c r="W479" s="19">
        <v>198470</v>
      </c>
      <c r="X479" s="19"/>
      <c r="Y479" s="26">
        <f t="shared" si="77"/>
        <v>23357930</v>
      </c>
      <c r="Z479" s="19"/>
      <c r="AA479" s="19">
        <v>7015</v>
      </c>
      <c r="AB479" s="19"/>
      <c r="AC479" s="19">
        <v>0</v>
      </c>
      <c r="AD479" s="19"/>
      <c r="AE479" s="19">
        <v>0</v>
      </c>
      <c r="AF479" s="19"/>
      <c r="AG479" s="19"/>
      <c r="AH479" s="19"/>
      <c r="AI479" s="19"/>
      <c r="AJ479" s="19"/>
      <c r="AK479" s="19">
        <f>37+58241</f>
        <v>58278</v>
      </c>
      <c r="AL479" s="19"/>
      <c r="AM479" s="19">
        <v>0</v>
      </c>
      <c r="AN479" s="19"/>
      <c r="AO479" s="26">
        <f t="shared" si="78"/>
        <v>65293</v>
      </c>
      <c r="AP479" s="19"/>
      <c r="AQ479" s="26">
        <f t="shared" si="74"/>
        <v>23423223</v>
      </c>
      <c r="AR479" s="26"/>
    </row>
    <row r="480" spans="1:44" hidden="1">
      <c r="A480" s="9" t="s">
        <v>822</v>
      </c>
      <c r="B480" s="9"/>
      <c r="C480" s="9" t="s">
        <v>337</v>
      </c>
      <c r="D480" s="9"/>
      <c r="E480" s="23">
        <v>47514</v>
      </c>
      <c r="F480" s="19"/>
      <c r="G480" s="19">
        <v>0</v>
      </c>
      <c r="H480" s="19"/>
      <c r="I480" s="19">
        <v>0</v>
      </c>
      <c r="J480" s="19"/>
      <c r="K480" s="19">
        <v>0</v>
      </c>
      <c r="L480" s="19"/>
      <c r="M480" s="19">
        <v>0</v>
      </c>
      <c r="N480" s="19"/>
      <c r="O480" s="19">
        <v>0</v>
      </c>
      <c r="P480" s="19"/>
      <c r="Q480" s="19">
        <v>0</v>
      </c>
      <c r="R480" s="19"/>
      <c r="S480" s="19">
        <v>0</v>
      </c>
      <c r="T480" s="19"/>
      <c r="U480" s="19">
        <v>0</v>
      </c>
      <c r="V480" s="19"/>
      <c r="W480" s="19">
        <v>0</v>
      </c>
      <c r="X480" s="19"/>
      <c r="Y480" s="26">
        <f t="shared" si="77"/>
        <v>0</v>
      </c>
      <c r="Z480" s="19"/>
      <c r="AA480" s="19">
        <v>0</v>
      </c>
      <c r="AB480" s="19"/>
      <c r="AC480" s="19">
        <v>0</v>
      </c>
      <c r="AD480" s="19"/>
      <c r="AE480" s="19">
        <v>0</v>
      </c>
      <c r="AF480" s="19"/>
      <c r="AG480" s="19"/>
      <c r="AH480" s="19"/>
      <c r="AI480" s="19"/>
      <c r="AJ480" s="19"/>
      <c r="AK480" s="19">
        <v>0</v>
      </c>
      <c r="AL480" s="19"/>
      <c r="AM480" s="19">
        <v>0</v>
      </c>
      <c r="AN480" s="19"/>
      <c r="AO480" s="26">
        <f t="shared" si="78"/>
        <v>0</v>
      </c>
      <c r="AP480" s="19"/>
      <c r="AQ480" s="26">
        <f t="shared" si="74"/>
        <v>0</v>
      </c>
      <c r="AR480" s="26"/>
    </row>
    <row r="481" spans="1:44">
      <c r="A481" s="9" t="s">
        <v>377</v>
      </c>
      <c r="B481" s="9"/>
      <c r="C481" s="9" t="s">
        <v>41</v>
      </c>
      <c r="D481" s="9"/>
      <c r="E481" s="23">
        <v>47894</v>
      </c>
      <c r="F481" s="19"/>
      <c r="G481" s="19">
        <v>27201540</v>
      </c>
      <c r="H481" s="19"/>
      <c r="I481" s="19">
        <v>0</v>
      </c>
      <c r="J481" s="19"/>
      <c r="K481" s="19">
        <v>13735507</v>
      </c>
      <c r="L481" s="19"/>
      <c r="M481" s="19">
        <v>1098</v>
      </c>
      <c r="N481" s="19"/>
      <c r="O481" s="19">
        <f>311743+1160348+5269</f>
        <v>1477360</v>
      </c>
      <c r="P481" s="19"/>
      <c r="Q481" s="19">
        <v>474827</v>
      </c>
      <c r="R481" s="19"/>
      <c r="S481" s="19">
        <v>98206</v>
      </c>
      <c r="T481" s="19"/>
      <c r="U481" s="19">
        <v>75483</v>
      </c>
      <c r="V481" s="19"/>
      <c r="W481" s="19">
        <v>297996</v>
      </c>
      <c r="X481" s="19"/>
      <c r="Y481" s="26">
        <f t="shared" si="77"/>
        <v>43362017</v>
      </c>
      <c r="Z481" s="19"/>
      <c r="AA481" s="19">
        <v>62180</v>
      </c>
      <c r="AB481" s="19"/>
      <c r="AC481" s="19">
        <v>0</v>
      </c>
      <c r="AD481" s="19"/>
      <c r="AE481" s="19">
        <v>0</v>
      </c>
      <c r="AF481" s="19"/>
      <c r="AG481" s="19"/>
      <c r="AH481" s="19"/>
      <c r="AI481" s="19"/>
      <c r="AJ481" s="19"/>
      <c r="AK481" s="19">
        <f>17500+22178</f>
        <v>39678</v>
      </c>
      <c r="AL481" s="19"/>
      <c r="AM481" s="19">
        <v>0</v>
      </c>
      <c r="AN481" s="19"/>
      <c r="AO481" s="26">
        <f t="shared" si="78"/>
        <v>101858</v>
      </c>
      <c r="AP481" s="19"/>
      <c r="AQ481" s="26">
        <f t="shared" si="74"/>
        <v>43463875</v>
      </c>
      <c r="AR481" s="26"/>
    </row>
    <row r="482" spans="1:44">
      <c r="A482" s="9" t="s">
        <v>377</v>
      </c>
      <c r="B482" s="9"/>
      <c r="C482" s="9" t="s">
        <v>43</v>
      </c>
      <c r="D482" s="9"/>
      <c r="E482" s="23">
        <v>48090</v>
      </c>
      <c r="F482" s="19"/>
      <c r="G482" s="19">
        <v>1776961</v>
      </c>
      <c r="H482" s="19"/>
      <c r="I482" s="19">
        <v>1354354</v>
      </c>
      <c r="J482" s="19"/>
      <c r="K482" s="19">
        <f>7763+4119413+594948</f>
        <v>4722124</v>
      </c>
      <c r="L482" s="19"/>
      <c r="M482" s="19">
        <v>6260</v>
      </c>
      <c r="N482" s="19"/>
      <c r="O482" s="19">
        <f>403376+3219+151203+27426+50</f>
        <v>585274</v>
      </c>
      <c r="P482" s="19"/>
      <c r="Q482" s="19">
        <v>69105</v>
      </c>
      <c r="R482" s="19"/>
      <c r="S482" s="19">
        <v>0</v>
      </c>
      <c r="T482" s="19"/>
      <c r="U482" s="19">
        <v>4230</v>
      </c>
      <c r="V482" s="19"/>
      <c r="W482" s="19">
        <v>47174</v>
      </c>
      <c r="X482" s="19"/>
      <c r="Y482" s="26">
        <f t="shared" si="77"/>
        <v>8565482</v>
      </c>
      <c r="Z482" s="19"/>
      <c r="AA482" s="19">
        <v>3</v>
      </c>
      <c r="AB482" s="19"/>
      <c r="AC482" s="19">
        <v>0</v>
      </c>
      <c r="AD482" s="19"/>
      <c r="AE482" s="19">
        <v>0</v>
      </c>
      <c r="AF482" s="19"/>
      <c r="AG482" s="19"/>
      <c r="AH482" s="19"/>
      <c r="AI482" s="19"/>
      <c r="AJ482" s="19"/>
      <c r="AK482" s="19">
        <v>158707</v>
      </c>
      <c r="AL482" s="19"/>
      <c r="AM482" s="19">
        <v>0</v>
      </c>
      <c r="AN482" s="19"/>
      <c r="AO482" s="26">
        <f t="shared" si="78"/>
        <v>158710</v>
      </c>
      <c r="AP482" s="19"/>
      <c r="AQ482" s="26">
        <f t="shared" si="74"/>
        <v>8724192</v>
      </c>
      <c r="AR482" s="26"/>
    </row>
    <row r="483" spans="1:44">
      <c r="A483" s="9" t="s">
        <v>368</v>
      </c>
      <c r="B483" s="9"/>
      <c r="C483" s="9" t="s">
        <v>364</v>
      </c>
      <c r="D483" s="9"/>
      <c r="E483" s="23">
        <v>47944</v>
      </c>
      <c r="F483" s="19"/>
      <c r="G483" s="19">
        <v>2283037</v>
      </c>
      <c r="H483" s="19"/>
      <c r="I483" s="19">
        <v>0</v>
      </c>
      <c r="J483" s="19"/>
      <c r="K483" s="19">
        <v>16544621</v>
      </c>
      <c r="L483" s="19"/>
      <c r="M483" s="19">
        <v>14005</v>
      </c>
      <c r="N483" s="19"/>
      <c r="O483" s="19">
        <f>883285+79493</f>
        <v>962778</v>
      </c>
      <c r="P483" s="19"/>
      <c r="Q483" s="19">
        <v>86757</v>
      </c>
      <c r="R483" s="19"/>
      <c r="S483" s="19">
        <v>573500</v>
      </c>
      <c r="T483" s="19"/>
      <c r="U483" s="19">
        <v>94</v>
      </c>
      <c r="V483" s="19"/>
      <c r="W483" s="19">
        <v>277744</v>
      </c>
      <c r="X483" s="19"/>
      <c r="Y483" s="26">
        <f>SUM(G483:W483)</f>
        <v>20742536</v>
      </c>
      <c r="Z483" s="19"/>
      <c r="AA483" s="19">
        <v>170000</v>
      </c>
      <c r="AB483" s="19"/>
      <c r="AC483" s="19">
        <v>0</v>
      </c>
      <c r="AD483" s="19"/>
      <c r="AE483" s="19">
        <v>0</v>
      </c>
      <c r="AF483" s="19"/>
      <c r="AG483" s="19"/>
      <c r="AH483" s="19"/>
      <c r="AI483" s="19"/>
      <c r="AJ483" s="19"/>
      <c r="AK483" s="19">
        <v>0</v>
      </c>
      <c r="AL483" s="19"/>
      <c r="AM483" s="19">
        <v>0</v>
      </c>
      <c r="AN483" s="19"/>
      <c r="AO483" s="26">
        <f t="shared" si="78"/>
        <v>170000</v>
      </c>
      <c r="AP483" s="19"/>
      <c r="AQ483" s="26">
        <f t="shared" si="74"/>
        <v>20912536</v>
      </c>
      <c r="AR483" s="26"/>
    </row>
    <row r="484" spans="1:44">
      <c r="A484" s="9" t="s">
        <v>707</v>
      </c>
      <c r="B484" s="9"/>
      <c r="C484" s="9" t="s">
        <v>20</v>
      </c>
      <c r="D484" s="9"/>
      <c r="E484" s="23">
        <v>44701</v>
      </c>
      <c r="F484" s="19"/>
      <c r="G484" s="19">
        <v>30960931</v>
      </c>
      <c r="H484" s="19"/>
      <c r="I484" s="19">
        <v>0</v>
      </c>
      <c r="J484" s="19"/>
      <c r="K484" s="19">
        <f>6952881+2202342</f>
        <v>9155223</v>
      </c>
      <c r="L484" s="19"/>
      <c r="M484" s="19">
        <v>85906</v>
      </c>
      <c r="N484" s="19"/>
      <c r="O484" s="19">
        <f>84547+78071+303142+200480+245982+116085</f>
        <v>1028307</v>
      </c>
      <c r="P484" s="19"/>
      <c r="Q484" s="19">
        <v>290281</v>
      </c>
      <c r="R484" s="19"/>
      <c r="S484" s="19">
        <v>0</v>
      </c>
      <c r="T484" s="19"/>
      <c r="U484" s="19">
        <v>168669</v>
      </c>
      <c r="V484" s="19"/>
      <c r="W484" s="19">
        <v>786931</v>
      </c>
      <c r="X484" s="19"/>
      <c r="Y484" s="26">
        <f t="shared" si="77"/>
        <v>42476248</v>
      </c>
      <c r="Z484" s="19"/>
      <c r="AA484" s="19">
        <v>60000</v>
      </c>
      <c r="AB484" s="19"/>
      <c r="AC484" s="19">
        <v>0</v>
      </c>
      <c r="AD484" s="19"/>
      <c r="AE484" s="19">
        <v>0</v>
      </c>
      <c r="AF484" s="19"/>
      <c r="AG484" s="19"/>
      <c r="AH484" s="19"/>
      <c r="AI484" s="19"/>
      <c r="AJ484" s="19"/>
      <c r="AK484" s="19">
        <v>459391</v>
      </c>
      <c r="AL484" s="19"/>
      <c r="AM484" s="19">
        <v>0</v>
      </c>
      <c r="AN484" s="19"/>
      <c r="AO484" s="26">
        <f t="shared" si="78"/>
        <v>519391</v>
      </c>
      <c r="AP484" s="19"/>
      <c r="AQ484" s="26">
        <f t="shared" si="74"/>
        <v>42995639</v>
      </c>
      <c r="AR484" s="26"/>
    </row>
    <row r="485" spans="1:44">
      <c r="A485" s="9" t="s">
        <v>319</v>
      </c>
      <c r="B485" s="9"/>
      <c r="C485" s="9" t="s">
        <v>31</v>
      </c>
      <c r="D485" s="9"/>
      <c r="E485" s="23">
        <v>47308</v>
      </c>
      <c r="F485" s="19"/>
      <c r="G485" s="19">
        <v>5756606</v>
      </c>
      <c r="H485" s="19"/>
      <c r="I485" s="19">
        <v>0</v>
      </c>
      <c r="J485" s="19"/>
      <c r="K485" s="19">
        <v>12886051</v>
      </c>
      <c r="L485" s="19"/>
      <c r="M485" s="19">
        <v>9251</v>
      </c>
      <c r="N485" s="19"/>
      <c r="O485" s="19">
        <f>735960+191610+222903</f>
        <v>1150473</v>
      </c>
      <c r="P485" s="19"/>
      <c r="Q485" s="19">
        <v>242390</v>
      </c>
      <c r="R485" s="19"/>
      <c r="S485" s="19">
        <v>0</v>
      </c>
      <c r="T485" s="19"/>
      <c r="U485" s="19">
        <v>19180</v>
      </c>
      <c r="V485" s="19"/>
      <c r="W485" s="19">
        <v>36913</v>
      </c>
      <c r="X485" s="19"/>
      <c r="Y485" s="26">
        <f t="shared" si="77"/>
        <v>20100864</v>
      </c>
      <c r="Z485" s="19"/>
      <c r="AA485" s="19">
        <v>183967</v>
      </c>
      <c r="AB485" s="19"/>
      <c r="AC485" s="19">
        <v>0</v>
      </c>
      <c r="AD485" s="19"/>
      <c r="AE485" s="19">
        <v>0</v>
      </c>
      <c r="AF485" s="19"/>
      <c r="AG485" s="19"/>
      <c r="AH485" s="19"/>
      <c r="AI485" s="19"/>
      <c r="AJ485" s="19"/>
      <c r="AK485" s="19">
        <v>0</v>
      </c>
      <c r="AL485" s="19"/>
      <c r="AM485" s="19">
        <v>0</v>
      </c>
      <c r="AN485" s="19"/>
      <c r="AO485" s="26">
        <f t="shared" si="78"/>
        <v>183967</v>
      </c>
      <c r="AP485" s="19"/>
      <c r="AQ485" s="26">
        <f t="shared" si="74"/>
        <v>20284831</v>
      </c>
      <c r="AR485" s="26"/>
    </row>
    <row r="486" spans="1:44">
      <c r="A486" s="9" t="s">
        <v>459</v>
      </c>
      <c r="B486" s="9"/>
      <c r="C486" s="9" t="s">
        <v>56</v>
      </c>
      <c r="D486" s="9"/>
      <c r="E486" s="23">
        <v>49213</v>
      </c>
      <c r="F486" s="19"/>
      <c r="G486" s="19">
        <v>5791489</v>
      </c>
      <c r="H486" s="19"/>
      <c r="I486" s="19">
        <v>0</v>
      </c>
      <c r="J486" s="19"/>
      <c r="K486" s="19">
        <v>5742654</v>
      </c>
      <c r="L486" s="19"/>
      <c r="M486" s="19">
        <v>941</v>
      </c>
      <c r="N486" s="19"/>
      <c r="O486" s="19">
        <f>474967+2966+223604</f>
        <v>701537</v>
      </c>
      <c r="P486" s="19"/>
      <c r="Q486" s="19">
        <v>85096</v>
      </c>
      <c r="R486" s="19"/>
      <c r="S486" s="19">
        <v>0</v>
      </c>
      <c r="T486" s="19"/>
      <c r="U486" s="19">
        <v>15649</v>
      </c>
      <c r="V486" s="19"/>
      <c r="W486" s="19">
        <v>85599</v>
      </c>
      <c r="X486" s="19"/>
      <c r="Y486" s="26">
        <f t="shared" si="77"/>
        <v>12422965</v>
      </c>
      <c r="Z486" s="19"/>
      <c r="AA486" s="19">
        <v>0</v>
      </c>
      <c r="AB486" s="19"/>
      <c r="AC486" s="19">
        <v>0</v>
      </c>
      <c r="AD486" s="19"/>
      <c r="AE486" s="19">
        <v>0</v>
      </c>
      <c r="AF486" s="19"/>
      <c r="AG486" s="19"/>
      <c r="AH486" s="19"/>
      <c r="AI486" s="19"/>
      <c r="AJ486" s="19"/>
      <c r="AK486" s="19">
        <v>0</v>
      </c>
      <c r="AL486" s="19"/>
      <c r="AM486" s="19">
        <v>0</v>
      </c>
      <c r="AN486" s="19"/>
      <c r="AO486" s="26">
        <f t="shared" si="78"/>
        <v>0</v>
      </c>
      <c r="AP486" s="19"/>
      <c r="AQ486" s="26">
        <f t="shared" si="74"/>
        <v>12422965</v>
      </c>
      <c r="AR486" s="26"/>
    </row>
    <row r="487" spans="1:44">
      <c r="A487" s="9" t="s">
        <v>708</v>
      </c>
      <c r="B487" s="9"/>
      <c r="C487" s="9" t="s">
        <v>220</v>
      </c>
      <c r="D487" s="9"/>
      <c r="E487" s="23">
        <v>46144</v>
      </c>
      <c r="F487" s="19"/>
      <c r="G487" s="19">
        <v>9897505</v>
      </c>
      <c r="H487" s="19"/>
      <c r="I487" s="19">
        <v>2767809</v>
      </c>
      <c r="J487" s="19"/>
      <c r="K487" s="19">
        <v>13676770</v>
      </c>
      <c r="L487" s="19"/>
      <c r="M487" s="19">
        <v>-4688</v>
      </c>
      <c r="N487" s="19"/>
      <c r="O487" s="19">
        <f>131136+765557</f>
        <v>896693</v>
      </c>
      <c r="P487" s="19"/>
      <c r="Q487" s="19">
        <v>675941</v>
      </c>
      <c r="R487" s="19"/>
      <c r="S487" s="19">
        <v>0</v>
      </c>
      <c r="T487" s="19"/>
      <c r="U487" s="19">
        <v>0</v>
      </c>
      <c r="V487" s="19"/>
      <c r="W487" s="19">
        <v>1743092</v>
      </c>
      <c r="X487" s="19"/>
      <c r="Y487" s="26">
        <f>SUM(G487:W487)</f>
        <v>29653122</v>
      </c>
      <c r="Z487" s="19"/>
      <c r="AA487" s="19">
        <v>3000000</v>
      </c>
      <c r="AB487" s="19"/>
      <c r="AC487" s="19">
        <v>0</v>
      </c>
      <c r="AD487" s="19"/>
      <c r="AE487" s="19">
        <v>0</v>
      </c>
      <c r="AF487" s="19"/>
      <c r="AG487" s="19"/>
      <c r="AH487" s="19"/>
      <c r="AI487" s="19"/>
      <c r="AJ487" s="19"/>
      <c r="AK487" s="19">
        <v>0</v>
      </c>
      <c r="AL487" s="19"/>
      <c r="AM487" s="19">
        <v>0</v>
      </c>
      <c r="AN487" s="19"/>
      <c r="AO487" s="26">
        <f t="shared" si="78"/>
        <v>3000000</v>
      </c>
      <c r="AP487" s="19"/>
      <c r="AQ487" s="26">
        <f t="shared" si="74"/>
        <v>32653122</v>
      </c>
      <c r="AR487" s="26"/>
    </row>
    <row r="488" spans="1:44">
      <c r="A488" s="9" t="s">
        <v>771</v>
      </c>
      <c r="B488" s="9"/>
      <c r="C488" s="9" t="s">
        <v>72</v>
      </c>
      <c r="D488" s="9"/>
      <c r="E488" s="23">
        <v>45609</v>
      </c>
      <c r="F488" s="19"/>
      <c r="G488" s="19">
        <v>13051644</v>
      </c>
      <c r="H488" s="19"/>
      <c r="I488" s="19">
        <v>0</v>
      </c>
      <c r="J488" s="19"/>
      <c r="K488" s="19">
        <v>9183607</v>
      </c>
      <c r="L488" s="19"/>
      <c r="M488" s="19">
        <v>0</v>
      </c>
      <c r="N488" s="19"/>
      <c r="O488" s="19">
        <f>493125+265603</f>
        <v>758728</v>
      </c>
      <c r="P488" s="19"/>
      <c r="Q488" s="19">
        <v>212173</v>
      </c>
      <c r="R488" s="19"/>
      <c r="S488" s="19">
        <v>594055</v>
      </c>
      <c r="T488" s="19"/>
      <c r="U488" s="19">
        <v>1572138</v>
      </c>
      <c r="V488" s="19"/>
      <c r="W488" s="19">
        <v>215669</v>
      </c>
      <c r="X488" s="19"/>
      <c r="Y488" s="26">
        <f t="shared" si="77"/>
        <v>25588014</v>
      </c>
      <c r="Z488" s="19"/>
      <c r="AA488" s="19">
        <v>77000</v>
      </c>
      <c r="AB488" s="19"/>
      <c r="AC488" s="19">
        <v>0</v>
      </c>
      <c r="AD488" s="19"/>
      <c r="AE488" s="19">
        <v>0</v>
      </c>
      <c r="AF488" s="19"/>
      <c r="AG488" s="19"/>
      <c r="AH488" s="19"/>
      <c r="AI488" s="19"/>
      <c r="AJ488" s="19"/>
      <c r="AK488" s="19">
        <v>109748</v>
      </c>
      <c r="AL488" s="19"/>
      <c r="AM488" s="19">
        <v>0</v>
      </c>
      <c r="AN488" s="19"/>
      <c r="AO488" s="26">
        <f t="shared" si="78"/>
        <v>186748</v>
      </c>
      <c r="AP488" s="19"/>
      <c r="AQ488" s="26">
        <f t="shared" si="74"/>
        <v>25774762</v>
      </c>
      <c r="AR488" s="26"/>
    </row>
    <row r="489" spans="1:44">
      <c r="A489" s="9" t="s">
        <v>488</v>
      </c>
      <c r="B489" s="9"/>
      <c r="C489" s="9" t="s">
        <v>61</v>
      </c>
      <c r="D489" s="9"/>
      <c r="E489" s="23">
        <v>49817</v>
      </c>
      <c r="F489" s="19"/>
      <c r="G489" s="19">
        <v>1426285</v>
      </c>
      <c r="H489" s="19"/>
      <c r="I489" s="19">
        <v>397139</v>
      </c>
      <c r="J489" s="19"/>
      <c r="K489" s="19">
        <v>2595185</v>
      </c>
      <c r="L489" s="19"/>
      <c r="M489" s="19">
        <v>204</v>
      </c>
      <c r="N489" s="19"/>
      <c r="O489" s="19">
        <f>323272+120234</f>
        <v>443506</v>
      </c>
      <c r="P489" s="19"/>
      <c r="Q489" s="19">
        <v>51352</v>
      </c>
      <c r="R489" s="19"/>
      <c r="S489" s="19">
        <v>0</v>
      </c>
      <c r="T489" s="19"/>
      <c r="U489" s="19">
        <v>10682</v>
      </c>
      <c r="V489" s="19"/>
      <c r="W489" s="19">
        <v>84605</v>
      </c>
      <c r="X489" s="19"/>
      <c r="Y489" s="26">
        <f t="shared" si="77"/>
        <v>5008958</v>
      </c>
      <c r="Z489" s="19"/>
      <c r="AA489" s="19">
        <v>0</v>
      </c>
      <c r="AB489" s="19"/>
      <c r="AC489" s="19">
        <v>0</v>
      </c>
      <c r="AD489" s="19"/>
      <c r="AE489" s="19">
        <v>0</v>
      </c>
      <c r="AF489" s="19"/>
      <c r="AG489" s="19"/>
      <c r="AH489" s="19"/>
      <c r="AI489" s="19"/>
      <c r="AJ489" s="19"/>
      <c r="AK489" s="19">
        <v>5894</v>
      </c>
      <c r="AL489" s="19"/>
      <c r="AM489" s="19">
        <v>0</v>
      </c>
      <c r="AN489" s="19"/>
      <c r="AO489" s="26">
        <f t="shared" si="78"/>
        <v>5894</v>
      </c>
      <c r="AP489" s="19"/>
      <c r="AQ489" s="26">
        <f t="shared" si="74"/>
        <v>5014852</v>
      </c>
      <c r="AR489" s="26"/>
    </row>
    <row r="490" spans="1:44">
      <c r="A490" s="9" t="s">
        <v>602</v>
      </c>
      <c r="B490" s="9"/>
      <c r="C490" s="9" t="s">
        <v>111</v>
      </c>
      <c r="D490" s="9"/>
      <c r="E490" s="23">
        <v>44735</v>
      </c>
      <c r="F490" s="19"/>
      <c r="G490" s="19">
        <v>9089444</v>
      </c>
      <c r="H490" s="19"/>
      <c r="I490" s="19">
        <v>8719</v>
      </c>
      <c r="J490" s="19"/>
      <c r="K490" s="19">
        <f>9211736+2080717</f>
        <v>11292453</v>
      </c>
      <c r="L490" s="19"/>
      <c r="M490" s="19">
        <v>5405</v>
      </c>
      <c r="N490" s="19"/>
      <c r="O490" s="19">
        <f>1074655+128534+179773+5087</f>
        <v>1388049</v>
      </c>
      <c r="P490" s="19"/>
      <c r="Q490" s="19">
        <v>295405</v>
      </c>
      <c r="R490" s="19"/>
      <c r="S490" s="19">
        <v>0</v>
      </c>
      <c r="T490" s="19"/>
      <c r="U490" s="19">
        <v>67620</v>
      </c>
      <c r="V490" s="19"/>
      <c r="W490" s="19">
        <v>597202</v>
      </c>
      <c r="X490" s="19"/>
      <c r="Y490" s="26">
        <f t="shared" ref="Y490:Y539" si="82">SUM(G490:W490)</f>
        <v>22744297</v>
      </c>
      <c r="Z490" s="19"/>
      <c r="AA490" s="19">
        <v>0</v>
      </c>
      <c r="AB490" s="19"/>
      <c r="AC490" s="19">
        <v>0</v>
      </c>
      <c r="AD490" s="19"/>
      <c r="AE490" s="19">
        <v>0</v>
      </c>
      <c r="AF490" s="19"/>
      <c r="AG490" s="19"/>
      <c r="AH490" s="19"/>
      <c r="AI490" s="19"/>
      <c r="AJ490" s="19"/>
      <c r="AK490" s="19">
        <v>0</v>
      </c>
      <c r="AL490" s="19"/>
      <c r="AM490" s="19">
        <v>0</v>
      </c>
      <c r="AN490" s="19"/>
      <c r="AO490" s="26">
        <f>AK490+AE490+AA490</f>
        <v>0</v>
      </c>
      <c r="AP490" s="19"/>
      <c r="AQ490" s="26">
        <f t="shared" ref="AQ490:AQ553" si="83">Y490+AO490</f>
        <v>22744297</v>
      </c>
      <c r="AR490" s="26"/>
    </row>
    <row r="491" spans="1:44">
      <c r="A491" s="9" t="s">
        <v>288</v>
      </c>
      <c r="B491" s="9"/>
      <c r="C491" s="9" t="s">
        <v>24</v>
      </c>
      <c r="D491" s="9"/>
      <c r="E491" s="23">
        <v>44743</v>
      </c>
      <c r="F491" s="19"/>
      <c r="G491" s="19">
        <v>19242753</v>
      </c>
      <c r="H491" s="19"/>
      <c r="I491" s="19">
        <v>0</v>
      </c>
      <c r="J491" s="19"/>
      <c r="K491" s="19">
        <v>26822780</v>
      </c>
      <c r="L491" s="19"/>
      <c r="M491" s="19">
        <v>15592</v>
      </c>
      <c r="N491" s="19"/>
      <c r="O491" s="19">
        <f>1288703+382958</f>
        <v>1671661</v>
      </c>
      <c r="P491" s="19"/>
      <c r="Q491" s="19">
        <v>203122</v>
      </c>
      <c r="R491" s="19"/>
      <c r="S491" s="19">
        <v>0</v>
      </c>
      <c r="T491" s="19"/>
      <c r="U491" s="19">
        <v>0</v>
      </c>
      <c r="V491" s="19"/>
      <c r="W491" s="19">
        <v>685108</v>
      </c>
      <c r="X491" s="19"/>
      <c r="Y491" s="26">
        <f t="shared" si="82"/>
        <v>48641016</v>
      </c>
      <c r="Z491" s="19"/>
      <c r="AA491" s="19">
        <v>40719</v>
      </c>
      <c r="AB491" s="19"/>
      <c r="AC491" s="19">
        <v>0</v>
      </c>
      <c r="AD491" s="19"/>
      <c r="AE491" s="19">
        <v>0</v>
      </c>
      <c r="AF491" s="19"/>
      <c r="AG491" s="19"/>
      <c r="AH491" s="19"/>
      <c r="AI491" s="19"/>
      <c r="AJ491" s="19"/>
      <c r="AK491" s="19">
        <v>1010</v>
      </c>
      <c r="AL491" s="19"/>
      <c r="AM491" s="19">
        <v>0</v>
      </c>
      <c r="AN491" s="19"/>
      <c r="AO491" s="26">
        <f t="shared" si="78"/>
        <v>41729</v>
      </c>
      <c r="AP491" s="19"/>
      <c r="AQ491" s="26">
        <f t="shared" si="83"/>
        <v>48682745</v>
      </c>
      <c r="AR491" s="26"/>
    </row>
    <row r="492" spans="1:44">
      <c r="A492" s="9" t="s">
        <v>500</v>
      </c>
      <c r="B492" s="9"/>
      <c r="C492" s="9" t="s">
        <v>62</v>
      </c>
      <c r="D492" s="9"/>
      <c r="E492" s="23">
        <v>49940</v>
      </c>
      <c r="F492" s="19"/>
      <c r="G492" s="19">
        <v>4556156</v>
      </c>
      <c r="H492" s="19"/>
      <c r="I492" s="19">
        <v>0</v>
      </c>
      <c r="J492" s="19"/>
      <c r="K492" s="19">
        <f>12932+8784568+1314396</f>
        <v>10111896</v>
      </c>
      <c r="L492" s="19"/>
      <c r="M492" s="19">
        <v>8668</v>
      </c>
      <c r="N492" s="19"/>
      <c r="O492" s="19">
        <f>620518+18101+228578+23180+641735+56137</f>
        <v>1588249</v>
      </c>
      <c r="P492" s="19"/>
      <c r="Q492" s="19">
        <v>240120</v>
      </c>
      <c r="R492" s="19"/>
      <c r="S492" s="19">
        <v>0</v>
      </c>
      <c r="T492" s="19"/>
      <c r="U492" s="19">
        <v>39001</v>
      </c>
      <c r="V492" s="19"/>
      <c r="W492" s="19">
        <v>59116</v>
      </c>
      <c r="X492" s="19"/>
      <c r="Y492" s="26">
        <f t="shared" si="82"/>
        <v>16603206</v>
      </c>
      <c r="Z492" s="19"/>
      <c r="AA492" s="19">
        <v>0</v>
      </c>
      <c r="AB492" s="19"/>
      <c r="AC492" s="19">
        <v>0</v>
      </c>
      <c r="AD492" s="19"/>
      <c r="AE492" s="19">
        <f>1558882+9554597</f>
        <v>11113479</v>
      </c>
      <c r="AF492" s="19"/>
      <c r="AG492" s="19"/>
      <c r="AH492" s="19"/>
      <c r="AI492" s="19"/>
      <c r="AJ492" s="19"/>
      <c r="AK492" s="19">
        <v>0</v>
      </c>
      <c r="AL492" s="19"/>
      <c r="AM492" s="19">
        <v>0</v>
      </c>
      <c r="AN492" s="19"/>
      <c r="AO492" s="26">
        <f t="shared" si="78"/>
        <v>11113479</v>
      </c>
      <c r="AP492" s="19"/>
      <c r="AQ492" s="26">
        <f t="shared" si="83"/>
        <v>27716685</v>
      </c>
      <c r="AR492" s="26"/>
    </row>
    <row r="493" spans="1:44">
      <c r="A493" s="9" t="s">
        <v>453</v>
      </c>
      <c r="B493" s="9"/>
      <c r="C493" s="9" t="s">
        <v>55</v>
      </c>
      <c r="D493" s="9"/>
      <c r="E493" s="23">
        <v>49130</v>
      </c>
      <c r="F493" s="19"/>
      <c r="G493" s="19">
        <v>2114580</v>
      </c>
      <c r="H493" s="19"/>
      <c r="I493" s="19">
        <v>0</v>
      </c>
      <c r="J493" s="19"/>
      <c r="K493" s="19">
        <v>12622285</v>
      </c>
      <c r="L493" s="19"/>
      <c r="M493" s="19">
        <v>8162</v>
      </c>
      <c r="N493" s="19"/>
      <c r="O493" s="19">
        <f>3104+695801+178864</f>
        <v>877769</v>
      </c>
      <c r="P493" s="19"/>
      <c r="Q493" s="19">
        <v>99967</v>
      </c>
      <c r="R493" s="19"/>
      <c r="S493" s="19">
        <v>0</v>
      </c>
      <c r="T493" s="19"/>
      <c r="U493" s="19">
        <v>13667</v>
      </c>
      <c r="V493" s="19"/>
      <c r="W493" s="19">
        <v>89674</v>
      </c>
      <c r="X493" s="19"/>
      <c r="Y493" s="26">
        <f t="shared" si="82"/>
        <v>15826104</v>
      </c>
      <c r="Z493" s="19"/>
      <c r="AA493" s="19">
        <v>18083</v>
      </c>
      <c r="AB493" s="19"/>
      <c r="AC493" s="19">
        <v>0</v>
      </c>
      <c r="AD493" s="19"/>
      <c r="AE493" s="19">
        <v>0</v>
      </c>
      <c r="AF493" s="19"/>
      <c r="AG493" s="19"/>
      <c r="AH493" s="19"/>
      <c r="AI493" s="19"/>
      <c r="AJ493" s="19"/>
      <c r="AK493" s="19">
        <v>6000</v>
      </c>
      <c r="AL493" s="19"/>
      <c r="AM493" s="19">
        <v>0</v>
      </c>
      <c r="AN493" s="19"/>
      <c r="AO493" s="26">
        <f t="shared" si="78"/>
        <v>24083</v>
      </c>
      <c r="AP493" s="19"/>
      <c r="AQ493" s="26">
        <f t="shared" si="83"/>
        <v>15850187</v>
      </c>
      <c r="AR493" s="26"/>
    </row>
    <row r="494" spans="1:44">
      <c r="A494" s="9" t="s">
        <v>402</v>
      </c>
      <c r="B494" s="9"/>
      <c r="C494" s="9" t="s">
        <v>45</v>
      </c>
      <c r="D494" s="9"/>
      <c r="E494" s="23">
        <v>48355</v>
      </c>
      <c r="F494" s="19"/>
      <c r="G494" s="19">
        <v>1259906</v>
      </c>
      <c r="H494" s="19"/>
      <c r="I494" s="19">
        <v>464971</v>
      </c>
      <c r="J494" s="19"/>
      <c r="K494" s="19">
        <v>4816421</v>
      </c>
      <c r="L494" s="19"/>
      <c r="M494" s="19">
        <v>398</v>
      </c>
      <c r="N494" s="19"/>
      <c r="O494" s="19">
        <f>308240+85240</f>
        <v>393480</v>
      </c>
      <c r="P494" s="19"/>
      <c r="Q494" s="19">
        <v>83894</v>
      </c>
      <c r="R494" s="19"/>
      <c r="S494" s="19">
        <v>0</v>
      </c>
      <c r="T494" s="19"/>
      <c r="U494" s="19">
        <v>17087</v>
      </c>
      <c r="V494" s="19"/>
      <c r="W494" s="19">
        <v>207327</v>
      </c>
      <c r="X494" s="19"/>
      <c r="Y494" s="26">
        <f t="shared" si="82"/>
        <v>7243484</v>
      </c>
      <c r="Z494" s="19"/>
      <c r="AA494" s="19">
        <v>18281</v>
      </c>
      <c r="AB494" s="19"/>
      <c r="AC494" s="19">
        <v>0</v>
      </c>
      <c r="AD494" s="19"/>
      <c r="AE494" s="19">
        <v>0</v>
      </c>
      <c r="AF494" s="19"/>
      <c r="AG494" s="19"/>
      <c r="AH494" s="19"/>
      <c r="AI494" s="19"/>
      <c r="AJ494" s="19"/>
      <c r="AK494" s="19">
        <v>0</v>
      </c>
      <c r="AL494" s="19"/>
      <c r="AM494" s="19">
        <v>0</v>
      </c>
      <c r="AN494" s="19"/>
      <c r="AO494" s="26">
        <f t="shared" si="78"/>
        <v>18281</v>
      </c>
      <c r="AP494" s="19"/>
      <c r="AQ494" s="26">
        <f t="shared" si="83"/>
        <v>7261765</v>
      </c>
      <c r="AR494" s="26"/>
    </row>
    <row r="495" spans="1:44">
      <c r="A495" s="9" t="s">
        <v>484</v>
      </c>
      <c r="B495" s="9"/>
      <c r="C495" s="9" t="s">
        <v>60</v>
      </c>
      <c r="D495" s="9"/>
      <c r="E495" s="23">
        <v>49684</v>
      </c>
      <c r="F495" s="19"/>
      <c r="G495" s="19">
        <v>3149360</v>
      </c>
      <c r="H495" s="19"/>
      <c r="I495" s="19">
        <v>1079503</v>
      </c>
      <c r="J495" s="19"/>
      <c r="K495" s="19">
        <f>4566530+629204</f>
        <v>5195734</v>
      </c>
      <c r="L495" s="19"/>
      <c r="M495" s="19">
        <v>13171</v>
      </c>
      <c r="N495" s="19"/>
      <c r="O495" s="19">
        <f>733565+242916+36493+16988+13724</f>
        <v>1043686</v>
      </c>
      <c r="P495" s="19"/>
      <c r="Q495" s="19">
        <v>163441</v>
      </c>
      <c r="R495" s="19"/>
      <c r="S495" s="19">
        <v>0</v>
      </c>
      <c r="T495" s="19"/>
      <c r="U495" s="19">
        <v>16773</v>
      </c>
      <c r="V495" s="19"/>
      <c r="W495" s="19">
        <v>2920</v>
      </c>
      <c r="X495" s="19"/>
      <c r="Y495" s="26">
        <f t="shared" si="82"/>
        <v>10664588</v>
      </c>
      <c r="Z495" s="19"/>
      <c r="AA495" s="19">
        <v>15000</v>
      </c>
      <c r="AB495" s="19"/>
      <c r="AC495" s="19">
        <v>0</v>
      </c>
      <c r="AD495" s="19"/>
      <c r="AE495" s="19">
        <f>8549993+1029322+184991</f>
        <v>9764306</v>
      </c>
      <c r="AF495" s="19"/>
      <c r="AG495" s="19"/>
      <c r="AH495" s="19"/>
      <c r="AI495" s="19"/>
      <c r="AJ495" s="19"/>
      <c r="AK495" s="19">
        <v>7500</v>
      </c>
      <c r="AL495" s="19"/>
      <c r="AM495" s="19">
        <v>0</v>
      </c>
      <c r="AN495" s="19"/>
      <c r="AO495" s="26">
        <f t="shared" si="78"/>
        <v>9786806</v>
      </c>
      <c r="AP495" s="19"/>
      <c r="AQ495" s="26">
        <f t="shared" si="83"/>
        <v>20451394</v>
      </c>
      <c r="AR495" s="26"/>
    </row>
    <row r="496" spans="1:44">
      <c r="A496" s="9" t="s">
        <v>216</v>
      </c>
      <c r="B496" s="9"/>
      <c r="C496" s="9" t="s">
        <v>15</v>
      </c>
      <c r="D496" s="9"/>
      <c r="E496" s="23">
        <v>46003</v>
      </c>
      <c r="F496" s="19"/>
      <c r="G496" s="19">
        <v>1864477</v>
      </c>
      <c r="H496" s="19"/>
      <c r="I496" s="19">
        <v>0</v>
      </c>
      <c r="J496" s="19"/>
      <c r="K496" s="19">
        <v>3218756</v>
      </c>
      <c r="L496" s="19"/>
      <c r="M496" s="19">
        <v>2291</v>
      </c>
      <c r="N496" s="19"/>
      <c r="O496" s="19">
        <f>1255102+68482</f>
        <v>1323584</v>
      </c>
      <c r="P496" s="19"/>
      <c r="Q496" s="19">
        <v>216791</v>
      </c>
      <c r="R496" s="19"/>
      <c r="S496" s="19">
        <v>417281</v>
      </c>
      <c r="T496" s="19"/>
      <c r="U496" s="19">
        <v>7437</v>
      </c>
      <c r="V496" s="19"/>
      <c r="W496" s="19">
        <v>9428</v>
      </c>
      <c r="X496" s="19"/>
      <c r="Y496" s="26">
        <f t="shared" si="82"/>
        <v>7060045</v>
      </c>
      <c r="Z496" s="19"/>
      <c r="AA496" s="19">
        <v>13182</v>
      </c>
      <c r="AB496" s="19"/>
      <c r="AC496" s="19">
        <v>0</v>
      </c>
      <c r="AD496" s="19"/>
      <c r="AE496" s="19">
        <v>0</v>
      </c>
      <c r="AF496" s="19"/>
      <c r="AG496" s="19"/>
      <c r="AH496" s="19"/>
      <c r="AI496" s="19"/>
      <c r="AJ496" s="19"/>
      <c r="AK496" s="19">
        <v>0</v>
      </c>
      <c r="AL496" s="19"/>
      <c r="AM496" s="19">
        <v>0</v>
      </c>
      <c r="AN496" s="19"/>
      <c r="AO496" s="26">
        <f t="shared" si="78"/>
        <v>13182</v>
      </c>
      <c r="AP496" s="19"/>
      <c r="AQ496" s="26">
        <f t="shared" si="83"/>
        <v>7073227</v>
      </c>
      <c r="AR496" s="26"/>
    </row>
    <row r="497" spans="1:48">
      <c r="A497" s="9" t="s">
        <v>709</v>
      </c>
      <c r="B497" s="9"/>
      <c r="C497" s="9" t="s">
        <v>20</v>
      </c>
      <c r="D497" s="9"/>
      <c r="E497" s="23">
        <v>44750</v>
      </c>
      <c r="F497" s="19"/>
      <c r="G497" s="19">
        <v>65713209</v>
      </c>
      <c r="H497" s="19"/>
      <c r="I497" s="19">
        <v>0</v>
      </c>
      <c r="J497" s="19"/>
      <c r="K497" s="19">
        <v>28700726</v>
      </c>
      <c r="L497" s="19"/>
      <c r="M497" s="19">
        <v>127601</v>
      </c>
      <c r="N497" s="19"/>
      <c r="O497" s="19">
        <f>1546677+49338+1068914</f>
        <v>2664929</v>
      </c>
      <c r="P497" s="19"/>
      <c r="Q497" s="19">
        <v>240541</v>
      </c>
      <c r="R497" s="19"/>
      <c r="S497" s="19">
        <v>0</v>
      </c>
      <c r="T497" s="19"/>
      <c r="U497" s="19">
        <v>231664</v>
      </c>
      <c r="V497" s="19"/>
      <c r="W497" s="19">
        <v>447119</v>
      </c>
      <c r="X497" s="19"/>
      <c r="Y497" s="26">
        <f t="shared" si="82"/>
        <v>98125789</v>
      </c>
      <c r="Z497" s="19"/>
      <c r="AA497" s="19">
        <v>3420000</v>
      </c>
      <c r="AB497" s="19"/>
      <c r="AC497" s="19">
        <v>0</v>
      </c>
      <c r="AD497" s="19"/>
      <c r="AE497" s="19">
        <f>4170000+4994310+666714</f>
        <v>9831024</v>
      </c>
      <c r="AF497" s="19"/>
      <c r="AG497" s="19"/>
      <c r="AH497" s="19"/>
      <c r="AI497" s="19"/>
      <c r="AJ497" s="19"/>
      <c r="AK497" s="19">
        <v>9343</v>
      </c>
      <c r="AL497" s="19"/>
      <c r="AM497" s="19">
        <v>0</v>
      </c>
      <c r="AN497" s="19"/>
      <c r="AO497" s="26">
        <f t="shared" si="78"/>
        <v>13260367</v>
      </c>
      <c r="AP497" s="19"/>
      <c r="AQ497" s="26">
        <f t="shared" si="83"/>
        <v>111386156</v>
      </c>
      <c r="AR497" s="26"/>
    </row>
    <row r="498" spans="1:48" hidden="1">
      <c r="A498" s="9" t="s">
        <v>694</v>
      </c>
      <c r="B498" s="9"/>
      <c r="C498" s="9" t="s">
        <v>10</v>
      </c>
      <c r="D498" s="9"/>
      <c r="E498" s="23">
        <v>45779</v>
      </c>
      <c r="F498" s="19"/>
      <c r="G498" s="19">
        <v>0</v>
      </c>
      <c r="H498" s="19"/>
      <c r="I498" s="19">
        <v>0</v>
      </c>
      <c r="J498" s="19"/>
      <c r="K498" s="19">
        <v>0</v>
      </c>
      <c r="L498" s="19"/>
      <c r="M498" s="19">
        <v>0</v>
      </c>
      <c r="N498" s="19"/>
      <c r="O498" s="19">
        <v>0</v>
      </c>
      <c r="P498" s="19"/>
      <c r="Q498" s="19">
        <v>0</v>
      </c>
      <c r="R498" s="19"/>
      <c r="S498" s="19">
        <v>0</v>
      </c>
      <c r="T498" s="19"/>
      <c r="U498" s="19">
        <v>0</v>
      </c>
      <c r="V498" s="19"/>
      <c r="W498" s="19">
        <v>0</v>
      </c>
      <c r="X498" s="19"/>
      <c r="Y498" s="26">
        <f t="shared" si="82"/>
        <v>0</v>
      </c>
      <c r="Z498" s="19"/>
      <c r="AA498" s="19">
        <v>0</v>
      </c>
      <c r="AB498" s="19"/>
      <c r="AC498" s="19">
        <v>0</v>
      </c>
      <c r="AD498" s="19"/>
      <c r="AE498" s="19">
        <v>0</v>
      </c>
      <c r="AF498" s="19"/>
      <c r="AG498" s="19"/>
      <c r="AH498" s="19"/>
      <c r="AI498" s="19"/>
      <c r="AJ498" s="19"/>
      <c r="AK498" s="19">
        <v>0</v>
      </c>
      <c r="AL498" s="19"/>
      <c r="AM498" s="19">
        <v>0</v>
      </c>
      <c r="AN498" s="19"/>
      <c r="AO498" s="26"/>
      <c r="AP498" s="19"/>
      <c r="AQ498" s="26">
        <f t="shared" si="83"/>
        <v>0</v>
      </c>
      <c r="AR498" s="26"/>
    </row>
    <row r="499" spans="1:48">
      <c r="A499" s="9" t="s">
        <v>783</v>
      </c>
      <c r="B499" s="9"/>
      <c r="C499" s="9" t="s">
        <v>44</v>
      </c>
      <c r="D499" s="9"/>
      <c r="E499" s="23">
        <v>44768</v>
      </c>
      <c r="F499" s="19"/>
      <c r="G499" s="19">
        <v>11861715</v>
      </c>
      <c r="H499" s="19"/>
      <c r="I499" s="19">
        <v>0</v>
      </c>
      <c r="J499" s="19"/>
      <c r="K499" s="19">
        <v>7915200</v>
      </c>
      <c r="L499" s="19"/>
      <c r="M499" s="19">
        <v>30823</v>
      </c>
      <c r="N499" s="19"/>
      <c r="O499" s="19">
        <f>1400792+180958</f>
        <v>1581750</v>
      </c>
      <c r="P499" s="19"/>
      <c r="Q499" s="19">
        <v>118702</v>
      </c>
      <c r="R499" s="19"/>
      <c r="S499" s="19">
        <v>0</v>
      </c>
      <c r="T499" s="19"/>
      <c r="U499" s="19">
        <v>0</v>
      </c>
      <c r="V499" s="19"/>
      <c r="W499" s="19">
        <v>201577</v>
      </c>
      <c r="X499" s="19"/>
      <c r="Y499" s="26">
        <f t="shared" si="82"/>
        <v>21709767</v>
      </c>
      <c r="Z499" s="19"/>
      <c r="AA499" s="19">
        <v>1100000</v>
      </c>
      <c r="AB499" s="19"/>
      <c r="AC499" s="19">
        <v>0</v>
      </c>
      <c r="AD499" s="19"/>
      <c r="AE499" s="19">
        <v>0</v>
      </c>
      <c r="AF499" s="19"/>
      <c r="AG499" s="19"/>
      <c r="AH499" s="19"/>
      <c r="AI499" s="19"/>
      <c r="AJ499" s="19"/>
      <c r="AK499" s="19">
        <v>0</v>
      </c>
      <c r="AL499" s="19"/>
      <c r="AM499" s="19">
        <v>0</v>
      </c>
      <c r="AN499" s="19"/>
      <c r="AO499" s="26">
        <f t="shared" ref="AO499:AO530" si="84">AK499+AE499+AA499</f>
        <v>1100000</v>
      </c>
      <c r="AP499" s="19"/>
      <c r="AQ499" s="26">
        <f t="shared" si="83"/>
        <v>22809767</v>
      </c>
      <c r="AR499" s="26"/>
    </row>
    <row r="500" spans="1:48">
      <c r="A500" s="9" t="s">
        <v>469</v>
      </c>
      <c r="B500" s="9"/>
      <c r="C500" s="9" t="s">
        <v>109</v>
      </c>
      <c r="D500" s="9"/>
      <c r="E500" s="23">
        <v>44776</v>
      </c>
      <c r="F500" s="19"/>
      <c r="G500" s="19">
        <v>6523328</v>
      </c>
      <c r="H500" s="19"/>
      <c r="I500" s="19">
        <v>2482903</v>
      </c>
      <c r="J500" s="19"/>
      <c r="K500" s="19">
        <f>12315367+2178891</f>
        <v>14494258</v>
      </c>
      <c r="L500" s="19"/>
      <c r="M500" s="19">
        <v>20749</v>
      </c>
      <c r="N500" s="19"/>
      <c r="O500" s="19">
        <f>406504+32143+434744+47366+54931</f>
        <v>975688</v>
      </c>
      <c r="P500" s="19"/>
      <c r="Q500" s="19">
        <v>227977</v>
      </c>
      <c r="R500" s="19"/>
      <c r="S500" s="19">
        <v>0</v>
      </c>
      <c r="T500" s="19"/>
      <c r="U500" s="19">
        <v>437448</v>
      </c>
      <c r="V500" s="19"/>
      <c r="W500" s="19">
        <v>209000</v>
      </c>
      <c r="X500" s="19"/>
      <c r="Y500" s="26">
        <f t="shared" si="82"/>
        <v>25371351</v>
      </c>
      <c r="Z500" s="19"/>
      <c r="AA500" s="19">
        <v>81197</v>
      </c>
      <c r="AB500" s="19"/>
      <c r="AC500" s="19">
        <v>0</v>
      </c>
      <c r="AD500" s="19"/>
      <c r="AE500" s="19">
        <v>0</v>
      </c>
      <c r="AF500" s="19"/>
      <c r="AG500" s="19"/>
      <c r="AH500" s="19"/>
      <c r="AI500" s="19"/>
      <c r="AJ500" s="19"/>
      <c r="AK500" s="19">
        <v>0</v>
      </c>
      <c r="AL500" s="19"/>
      <c r="AM500" s="19">
        <v>0</v>
      </c>
      <c r="AN500" s="19"/>
      <c r="AO500" s="26">
        <f t="shared" si="84"/>
        <v>81197</v>
      </c>
      <c r="AP500" s="19"/>
      <c r="AQ500" s="26">
        <f t="shared" si="83"/>
        <v>25452548</v>
      </c>
      <c r="AR500" s="26"/>
    </row>
    <row r="501" spans="1:48" hidden="1">
      <c r="A501" s="9" t="s">
        <v>827</v>
      </c>
      <c r="B501" s="9"/>
      <c r="C501" s="9" t="s">
        <v>61</v>
      </c>
      <c r="D501" s="9"/>
      <c r="E501" s="23">
        <v>44784</v>
      </c>
      <c r="F501" s="19"/>
      <c r="G501" s="19">
        <v>0</v>
      </c>
      <c r="H501" s="19"/>
      <c r="I501" s="19">
        <v>0</v>
      </c>
      <c r="J501" s="19"/>
      <c r="K501" s="19">
        <v>0</v>
      </c>
      <c r="L501" s="19"/>
      <c r="M501" s="19">
        <v>0</v>
      </c>
      <c r="N501" s="19"/>
      <c r="O501" s="19">
        <v>0</v>
      </c>
      <c r="P501" s="19"/>
      <c r="Q501" s="19">
        <v>0</v>
      </c>
      <c r="R501" s="19"/>
      <c r="S501" s="19">
        <v>0</v>
      </c>
      <c r="T501" s="19"/>
      <c r="U501" s="19">
        <v>0</v>
      </c>
      <c r="V501" s="19"/>
      <c r="W501" s="19">
        <v>0</v>
      </c>
      <c r="X501" s="19"/>
      <c r="Y501" s="26">
        <f t="shared" si="82"/>
        <v>0</v>
      </c>
      <c r="Z501" s="19"/>
      <c r="AA501" s="19">
        <v>0</v>
      </c>
      <c r="AB501" s="19"/>
      <c r="AC501" s="19">
        <v>0</v>
      </c>
      <c r="AD501" s="19"/>
      <c r="AE501" s="19">
        <v>0</v>
      </c>
      <c r="AF501" s="19"/>
      <c r="AG501" s="19"/>
      <c r="AH501" s="19"/>
      <c r="AI501" s="19"/>
      <c r="AJ501" s="19"/>
      <c r="AK501" s="19">
        <v>0</v>
      </c>
      <c r="AL501" s="19"/>
      <c r="AM501" s="19">
        <v>0</v>
      </c>
      <c r="AN501" s="19"/>
      <c r="AO501" s="26">
        <f t="shared" si="84"/>
        <v>0</v>
      </c>
      <c r="AP501" s="19"/>
      <c r="AQ501" s="26">
        <f t="shared" si="83"/>
        <v>0</v>
      </c>
      <c r="AR501" s="26"/>
    </row>
    <row r="502" spans="1:48">
      <c r="A502" s="9" t="s">
        <v>275</v>
      </c>
      <c r="B502" s="9"/>
      <c r="C502" s="9" t="s">
        <v>20</v>
      </c>
      <c r="D502" s="9"/>
      <c r="E502" s="23">
        <v>46607</v>
      </c>
      <c r="F502" s="19"/>
      <c r="G502" s="19">
        <v>52658275</v>
      </c>
      <c r="H502" s="19"/>
      <c r="I502" s="19">
        <v>0</v>
      </c>
      <c r="J502" s="19"/>
      <c r="K502" s="19">
        <f>17130440+1534835</f>
        <v>18665275</v>
      </c>
      <c r="L502" s="19"/>
      <c r="M502" s="19">
        <v>88762</v>
      </c>
      <c r="N502" s="19"/>
      <c r="O502" s="19">
        <f>839360+1435552+167126+209531</f>
        <v>2651569</v>
      </c>
      <c r="P502" s="19"/>
      <c r="Q502" s="19">
        <v>258117</v>
      </c>
      <c r="R502" s="19"/>
      <c r="S502" s="19">
        <v>1092128</v>
      </c>
      <c r="T502" s="19"/>
      <c r="U502" s="19">
        <v>58754</v>
      </c>
      <c r="V502" s="19"/>
      <c r="W502" s="19">
        <v>669244</v>
      </c>
      <c r="X502" s="19"/>
      <c r="Y502" s="26">
        <f t="shared" si="82"/>
        <v>76142124</v>
      </c>
      <c r="Z502" s="19"/>
      <c r="AA502" s="19">
        <v>150000</v>
      </c>
      <c r="AB502" s="19"/>
      <c r="AC502" s="19">
        <v>0</v>
      </c>
      <c r="AD502" s="19"/>
      <c r="AE502" s="19">
        <f>355572+3550000</f>
        <v>3905572</v>
      </c>
      <c r="AF502" s="19"/>
      <c r="AG502" s="19"/>
      <c r="AH502" s="19"/>
      <c r="AI502" s="19"/>
      <c r="AJ502" s="19"/>
      <c r="AK502" s="19">
        <f>8752+90570</f>
        <v>99322</v>
      </c>
      <c r="AL502" s="19"/>
      <c r="AM502" s="19">
        <v>0</v>
      </c>
      <c r="AN502" s="19"/>
      <c r="AO502" s="26">
        <f t="shared" si="84"/>
        <v>4154894</v>
      </c>
      <c r="AP502" s="19"/>
      <c r="AQ502" s="26">
        <f t="shared" si="83"/>
        <v>80297018</v>
      </c>
      <c r="AR502" s="26"/>
    </row>
    <row r="503" spans="1:48">
      <c r="A503" s="9" t="s">
        <v>628</v>
      </c>
      <c r="B503" s="9"/>
      <c r="C503" s="9" t="s">
        <v>37</v>
      </c>
      <c r="D503" s="9"/>
      <c r="E503" s="23">
        <v>47738</v>
      </c>
      <c r="F503" s="19"/>
      <c r="G503" s="19">
        <v>1562742</v>
      </c>
      <c r="H503" s="19"/>
      <c r="I503" s="19">
        <v>951981</v>
      </c>
      <c r="J503" s="19"/>
      <c r="K503" s="19">
        <f>5051351+933751</f>
        <v>5985102</v>
      </c>
      <c r="L503" s="19"/>
      <c r="M503" s="19">
        <v>8104</v>
      </c>
      <c r="N503" s="19"/>
      <c r="O503" s="19">
        <f>325348+3156+123998+17697</f>
        <v>470199</v>
      </c>
      <c r="P503" s="19"/>
      <c r="Q503" s="19">
        <v>123220</v>
      </c>
      <c r="R503" s="19"/>
      <c r="S503" s="19">
        <v>0</v>
      </c>
      <c r="T503" s="19"/>
      <c r="U503" s="19">
        <v>15193</v>
      </c>
      <c r="V503" s="19"/>
      <c r="W503" s="19">
        <v>25454</v>
      </c>
      <c r="X503" s="19"/>
      <c r="Y503" s="26">
        <f t="shared" si="82"/>
        <v>9141995</v>
      </c>
      <c r="Z503" s="19"/>
      <c r="AA503" s="19">
        <v>11293</v>
      </c>
      <c r="AB503" s="19"/>
      <c r="AC503" s="19">
        <v>0</v>
      </c>
      <c r="AD503" s="19"/>
      <c r="AE503" s="19">
        <v>0</v>
      </c>
      <c r="AF503" s="19"/>
      <c r="AG503" s="19"/>
      <c r="AH503" s="19"/>
      <c r="AI503" s="19"/>
      <c r="AJ503" s="19"/>
      <c r="AK503" s="19">
        <v>120007</v>
      </c>
      <c r="AL503" s="19"/>
      <c r="AM503" s="19">
        <v>0</v>
      </c>
      <c r="AN503" s="19"/>
      <c r="AO503" s="26">
        <f t="shared" si="84"/>
        <v>131300</v>
      </c>
      <c r="AP503" s="19"/>
      <c r="AQ503" s="26">
        <f t="shared" si="83"/>
        <v>9273295</v>
      </c>
      <c r="AR503" s="26"/>
    </row>
    <row r="504" spans="1:48">
      <c r="A504" s="9" t="s">
        <v>276</v>
      </c>
      <c r="B504" s="9"/>
      <c r="C504" s="9" t="s">
        <v>20</v>
      </c>
      <c r="D504" s="9"/>
      <c r="E504" s="23">
        <v>44792</v>
      </c>
      <c r="F504" s="19"/>
      <c r="G504" s="19">
        <v>46669005</v>
      </c>
      <c r="H504" s="19"/>
      <c r="I504" s="19">
        <v>0</v>
      </c>
      <c r="J504" s="19"/>
      <c r="K504" s="19">
        <v>17673464</v>
      </c>
      <c r="L504" s="19"/>
      <c r="M504" s="19">
        <v>58384</v>
      </c>
      <c r="N504" s="19"/>
      <c r="O504" s="19">
        <f>1975890+584461+82495</f>
        <v>2642846</v>
      </c>
      <c r="P504" s="19"/>
      <c r="Q504" s="19">
        <v>191967</v>
      </c>
      <c r="R504" s="19"/>
      <c r="S504" s="19">
        <v>504000</v>
      </c>
      <c r="T504" s="19"/>
      <c r="U504" s="19">
        <v>101966</v>
      </c>
      <c r="V504" s="19"/>
      <c r="W504" s="19">
        <v>1104517</v>
      </c>
      <c r="X504" s="19"/>
      <c r="Y504" s="26">
        <f t="shared" si="82"/>
        <v>68946149</v>
      </c>
      <c r="Z504" s="19"/>
      <c r="AA504" s="19">
        <v>332500</v>
      </c>
      <c r="AB504" s="19"/>
      <c r="AC504" s="19">
        <v>0</v>
      </c>
      <c r="AD504" s="19"/>
      <c r="AE504" s="19">
        <v>0</v>
      </c>
      <c r="AF504" s="19"/>
      <c r="AG504" s="19"/>
      <c r="AH504" s="19"/>
      <c r="AI504" s="19"/>
      <c r="AJ504" s="19"/>
      <c r="AK504" s="19">
        <v>615000</v>
      </c>
      <c r="AL504" s="19"/>
      <c r="AM504" s="19">
        <v>0</v>
      </c>
      <c r="AN504" s="19"/>
      <c r="AO504" s="26">
        <f t="shared" si="84"/>
        <v>947500</v>
      </c>
      <c r="AP504" s="19"/>
      <c r="AQ504" s="26">
        <f t="shared" si="83"/>
        <v>69893649</v>
      </c>
      <c r="AR504" s="26"/>
    </row>
    <row r="505" spans="1:48">
      <c r="A505" s="9" t="s">
        <v>369</v>
      </c>
      <c r="B505" s="9"/>
      <c r="C505" s="9" t="s">
        <v>364</v>
      </c>
      <c r="D505" s="9"/>
      <c r="E505" s="23">
        <v>47951</v>
      </c>
      <c r="F505" s="19"/>
      <c r="G505" s="19">
        <v>3725629</v>
      </c>
      <c r="H505" s="19"/>
      <c r="I505" s="19">
        <v>0</v>
      </c>
      <c r="J505" s="19"/>
      <c r="K505" s="19">
        <v>14895506</v>
      </c>
      <c r="L505" s="19"/>
      <c r="M505" s="19">
        <v>20586</v>
      </c>
      <c r="N505" s="19"/>
      <c r="O505" s="19">
        <f>104768+57400+116455</f>
        <v>278623</v>
      </c>
      <c r="P505" s="19"/>
      <c r="Q505" s="19">
        <v>93022</v>
      </c>
      <c r="R505" s="19"/>
      <c r="S505" s="19">
        <v>0</v>
      </c>
      <c r="T505" s="19"/>
      <c r="U505" s="19">
        <v>4078</v>
      </c>
      <c r="V505" s="19"/>
      <c r="W505" s="19">
        <v>93003</v>
      </c>
      <c r="X505" s="19"/>
      <c r="Y505" s="26">
        <f t="shared" si="82"/>
        <v>19110447</v>
      </c>
      <c r="Z505" s="19"/>
      <c r="AA505" s="19">
        <v>189500</v>
      </c>
      <c r="AB505" s="19"/>
      <c r="AC505" s="19">
        <v>0</v>
      </c>
      <c r="AD505" s="19"/>
      <c r="AE505" s="19">
        <f>7784996+994838</f>
        <v>8779834</v>
      </c>
      <c r="AF505" s="19"/>
      <c r="AG505" s="19"/>
      <c r="AH505" s="19"/>
      <c r="AI505" s="19"/>
      <c r="AJ505" s="19"/>
      <c r="AK505" s="19">
        <v>194988</v>
      </c>
      <c r="AL505" s="19"/>
      <c r="AM505" s="19">
        <v>0</v>
      </c>
      <c r="AN505" s="19"/>
      <c r="AO505" s="26">
        <f t="shared" si="84"/>
        <v>9164322</v>
      </c>
      <c r="AP505" s="19"/>
      <c r="AQ505" s="26">
        <f t="shared" si="83"/>
        <v>28274769</v>
      </c>
      <c r="AR505" s="26"/>
    </row>
    <row r="506" spans="1:48">
      <c r="A506" s="9" t="s">
        <v>403</v>
      </c>
      <c r="B506" s="9"/>
      <c r="C506" s="9" t="s">
        <v>45</v>
      </c>
      <c r="D506" s="9"/>
      <c r="E506" s="23">
        <v>48363</v>
      </c>
      <c r="F506" s="19"/>
      <c r="G506" s="19">
        <v>6022597</v>
      </c>
      <c r="H506" s="19"/>
      <c r="I506" s="19">
        <v>0</v>
      </c>
      <c r="J506" s="19"/>
      <c r="K506" s="19">
        <f>5641913+552148</f>
        <v>6194061</v>
      </c>
      <c r="L506" s="19"/>
      <c r="M506" s="19">
        <v>1787</v>
      </c>
      <c r="N506" s="19"/>
      <c r="O506" s="19">
        <f>2391+26956+189931</f>
        <v>219278</v>
      </c>
      <c r="P506" s="19"/>
      <c r="Q506" s="19">
        <v>213471</v>
      </c>
      <c r="R506" s="19"/>
      <c r="S506" s="19">
        <v>0</v>
      </c>
      <c r="T506" s="19"/>
      <c r="U506" s="19">
        <v>36399</v>
      </c>
      <c r="V506" s="19"/>
      <c r="W506" s="19">
        <v>13912</v>
      </c>
      <c r="X506" s="19"/>
      <c r="Y506" s="26">
        <f t="shared" si="82"/>
        <v>12701505</v>
      </c>
      <c r="Z506" s="19"/>
      <c r="AA506" s="19">
        <v>76441</v>
      </c>
      <c r="AB506" s="19"/>
      <c r="AC506" s="19">
        <v>0</v>
      </c>
      <c r="AD506" s="19"/>
      <c r="AE506" s="19">
        <v>0</v>
      </c>
      <c r="AF506" s="19"/>
      <c r="AG506" s="19"/>
      <c r="AH506" s="19"/>
      <c r="AI506" s="19"/>
      <c r="AJ506" s="19"/>
      <c r="AK506" s="19">
        <v>259288</v>
      </c>
      <c r="AL506" s="19"/>
      <c r="AM506" s="19">
        <v>0</v>
      </c>
      <c r="AN506" s="19"/>
      <c r="AO506" s="26">
        <f t="shared" si="84"/>
        <v>335729</v>
      </c>
      <c r="AP506" s="19"/>
      <c r="AQ506" s="26">
        <f t="shared" si="83"/>
        <v>13037234</v>
      </c>
      <c r="AR506" s="26"/>
    </row>
    <row r="507" spans="1:48">
      <c r="A507" s="9" t="s">
        <v>460</v>
      </c>
      <c r="B507" s="9"/>
      <c r="C507" s="9" t="s">
        <v>56</v>
      </c>
      <c r="D507" s="9"/>
      <c r="E507" s="23">
        <v>49221</v>
      </c>
      <c r="F507" s="19"/>
      <c r="G507" s="19">
        <v>6360936</v>
      </c>
      <c r="H507" s="19"/>
      <c r="I507" s="19">
        <v>0</v>
      </c>
      <c r="J507" s="19"/>
      <c r="K507" s="19">
        <v>13893018</v>
      </c>
      <c r="L507" s="19"/>
      <c r="M507" s="19">
        <v>17463</v>
      </c>
      <c r="N507" s="19"/>
      <c r="O507" s="19">
        <f>513595+1648+310000</f>
        <v>825243</v>
      </c>
      <c r="P507" s="19"/>
      <c r="Q507" s="19">
        <v>177484</v>
      </c>
      <c r="R507" s="19"/>
      <c r="S507" s="19">
        <v>0</v>
      </c>
      <c r="T507" s="19"/>
      <c r="U507" s="19">
        <v>3064</v>
      </c>
      <c r="V507" s="19"/>
      <c r="W507" s="19">
        <v>97595</v>
      </c>
      <c r="X507" s="19"/>
      <c r="Y507" s="26">
        <f t="shared" si="82"/>
        <v>21374803</v>
      </c>
      <c r="Z507" s="19"/>
      <c r="AA507" s="19">
        <v>0</v>
      </c>
      <c r="AB507" s="19"/>
      <c r="AC507" s="19">
        <v>0</v>
      </c>
      <c r="AD507" s="19"/>
      <c r="AE507" s="19">
        <v>0</v>
      </c>
      <c r="AF507" s="19"/>
      <c r="AG507" s="19"/>
      <c r="AH507" s="19"/>
      <c r="AI507" s="19"/>
      <c r="AJ507" s="19"/>
      <c r="AK507" s="19">
        <f>2758+72637</f>
        <v>75395</v>
      </c>
      <c r="AL507" s="19"/>
      <c r="AM507" s="19">
        <v>0</v>
      </c>
      <c r="AN507" s="19"/>
      <c r="AO507" s="26">
        <f t="shared" si="84"/>
        <v>75395</v>
      </c>
      <c r="AP507" s="19"/>
      <c r="AQ507" s="26">
        <f t="shared" si="83"/>
        <v>21450198</v>
      </c>
      <c r="AR507" s="26"/>
    </row>
    <row r="508" spans="1:48">
      <c r="A508" s="9" t="s">
        <v>460</v>
      </c>
      <c r="B508" s="9"/>
      <c r="C508" s="9" t="s">
        <v>71</v>
      </c>
      <c r="D508" s="9"/>
      <c r="E508" s="23">
        <v>50583</v>
      </c>
      <c r="F508" s="19"/>
      <c r="G508" s="19">
        <v>7750886</v>
      </c>
      <c r="H508" s="19"/>
      <c r="I508" s="19">
        <v>0</v>
      </c>
      <c r="J508" s="19"/>
      <c r="K508" s="19">
        <v>8455618</v>
      </c>
      <c r="L508" s="19"/>
      <c r="M508" s="19">
        <v>1891</v>
      </c>
      <c r="N508" s="19"/>
      <c r="O508" s="19">
        <f>901958+523006+3655</f>
        <v>1428619</v>
      </c>
      <c r="P508" s="19"/>
      <c r="Q508" s="19">
        <v>147770</v>
      </c>
      <c r="R508" s="19"/>
      <c r="S508" s="19">
        <v>0</v>
      </c>
      <c r="T508" s="19"/>
      <c r="U508" s="19">
        <v>10354</v>
      </c>
      <c r="V508" s="19"/>
      <c r="W508" s="19">
        <v>206077</v>
      </c>
      <c r="X508" s="19"/>
      <c r="Y508" s="26">
        <f t="shared" si="82"/>
        <v>18001215</v>
      </c>
      <c r="Z508" s="19"/>
      <c r="AA508" s="19">
        <v>3778909</v>
      </c>
      <c r="AB508" s="19"/>
      <c r="AC508" s="19">
        <v>0</v>
      </c>
      <c r="AD508" s="19"/>
      <c r="AE508" s="19">
        <v>0</v>
      </c>
      <c r="AF508" s="19"/>
      <c r="AG508" s="19"/>
      <c r="AH508" s="19"/>
      <c r="AI508" s="19"/>
      <c r="AJ508" s="19"/>
      <c r="AK508" s="19">
        <v>0</v>
      </c>
      <c r="AL508" s="19"/>
      <c r="AM508" s="19">
        <v>0</v>
      </c>
      <c r="AN508" s="19"/>
      <c r="AO508" s="26">
        <f t="shared" si="84"/>
        <v>3778909</v>
      </c>
      <c r="AP508" s="19"/>
      <c r="AQ508" s="26">
        <f t="shared" si="83"/>
        <v>21780124</v>
      </c>
      <c r="AR508" s="26"/>
    </row>
    <row r="509" spans="1:48" s="19" customFormat="1">
      <c r="A509" s="9" t="s">
        <v>233</v>
      </c>
      <c r="B509" s="9"/>
      <c r="C509" s="9" t="s">
        <v>17</v>
      </c>
      <c r="D509" s="9"/>
      <c r="E509" s="23">
        <v>46276</v>
      </c>
      <c r="G509" s="19">
        <v>2401875</v>
      </c>
      <c r="I509" s="19">
        <v>936742</v>
      </c>
      <c r="K509" s="19">
        <v>4103678</v>
      </c>
      <c r="M509" s="19">
        <v>17027</v>
      </c>
      <c r="O509" s="19">
        <f>63577+449007</f>
        <v>512584</v>
      </c>
      <c r="Q509" s="19">
        <v>118994</v>
      </c>
      <c r="S509" s="19">
        <v>0</v>
      </c>
      <c r="U509" s="19">
        <v>35007</v>
      </c>
      <c r="W509" s="19">
        <v>8039</v>
      </c>
      <c r="Y509" s="26">
        <f t="shared" si="82"/>
        <v>8133946</v>
      </c>
      <c r="AA509" s="19">
        <v>0</v>
      </c>
      <c r="AC509" s="19">
        <v>0</v>
      </c>
      <c r="AE509" s="19">
        <v>0</v>
      </c>
      <c r="AK509" s="19">
        <f>101280+5000</f>
        <v>106280</v>
      </c>
      <c r="AM509" s="19">
        <v>0</v>
      </c>
      <c r="AO509" s="26">
        <f t="shared" si="84"/>
        <v>106280</v>
      </c>
      <c r="AQ509" s="26">
        <f t="shared" si="83"/>
        <v>8240226</v>
      </c>
      <c r="AR509" s="26"/>
    </row>
    <row r="510" spans="1:48">
      <c r="A510" s="9" t="s">
        <v>233</v>
      </c>
      <c r="B510" s="9"/>
      <c r="C510" s="9" t="s">
        <v>58</v>
      </c>
      <c r="D510" s="9"/>
      <c r="E510" s="23">
        <v>49528</v>
      </c>
      <c r="F510" s="19"/>
      <c r="G510" s="19">
        <v>1973425</v>
      </c>
      <c r="H510" s="19"/>
      <c r="I510" s="19">
        <v>27417</v>
      </c>
      <c r="J510" s="19"/>
      <c r="K510" s="19">
        <v>8863008</v>
      </c>
      <c r="L510" s="19"/>
      <c r="M510" s="19">
        <v>16769</v>
      </c>
      <c r="N510" s="19"/>
      <c r="O510" s="19">
        <f>864056+36252+208591</f>
        <v>1108899</v>
      </c>
      <c r="P510" s="19"/>
      <c r="Q510" s="19">
        <v>107960</v>
      </c>
      <c r="R510" s="19"/>
      <c r="S510" s="19">
        <v>0</v>
      </c>
      <c r="T510" s="19"/>
      <c r="U510" s="19">
        <v>0</v>
      </c>
      <c r="V510" s="19"/>
      <c r="W510" s="19">
        <v>250377</v>
      </c>
      <c r="X510" s="19"/>
      <c r="Y510" s="26">
        <f t="shared" si="82"/>
        <v>12347855</v>
      </c>
      <c r="Z510" s="19"/>
      <c r="AA510" s="19">
        <v>22500</v>
      </c>
      <c r="AB510" s="19"/>
      <c r="AC510" s="19">
        <v>0</v>
      </c>
      <c r="AD510" s="19"/>
      <c r="AE510" s="19">
        <v>0</v>
      </c>
      <c r="AF510" s="19"/>
      <c r="AG510" s="19"/>
      <c r="AH510" s="19"/>
      <c r="AI510" s="19"/>
      <c r="AJ510" s="19"/>
      <c r="AK510" s="19">
        <v>0</v>
      </c>
      <c r="AL510" s="19"/>
      <c r="AM510" s="19">
        <v>0</v>
      </c>
      <c r="AN510" s="19"/>
      <c r="AO510" s="26">
        <f t="shared" si="84"/>
        <v>22500</v>
      </c>
      <c r="AP510" s="19"/>
      <c r="AQ510" s="26">
        <f t="shared" si="83"/>
        <v>12370355</v>
      </c>
      <c r="AR510" s="26"/>
      <c r="AS510" s="19"/>
      <c r="AT510" s="19"/>
      <c r="AU510" s="19"/>
      <c r="AV510" s="19"/>
    </row>
    <row r="511" spans="1:48">
      <c r="A511" s="9" t="s">
        <v>640</v>
      </c>
      <c r="B511" s="9"/>
      <c r="C511" s="9" t="s">
        <v>111</v>
      </c>
      <c r="D511" s="9"/>
      <c r="E511" s="23">
        <v>46441</v>
      </c>
      <c r="F511" s="19"/>
      <c r="G511" s="19">
        <v>1849777</v>
      </c>
      <c r="H511" s="19"/>
      <c r="I511" s="19">
        <v>0</v>
      </c>
      <c r="J511" s="19"/>
      <c r="K511" s="19">
        <f>6415117+1954106</f>
        <v>8369223</v>
      </c>
      <c r="L511" s="19"/>
      <c r="M511" s="19">
        <v>110</v>
      </c>
      <c r="N511" s="19"/>
      <c r="O511" s="19">
        <f>537165+108371+70633</f>
        <v>716169</v>
      </c>
      <c r="P511" s="19"/>
      <c r="Q511" s="19">
        <v>92080</v>
      </c>
      <c r="R511" s="19"/>
      <c r="S511" s="19">
        <v>0</v>
      </c>
      <c r="T511" s="19"/>
      <c r="U511" s="19">
        <v>0</v>
      </c>
      <c r="V511" s="19"/>
      <c r="W511" s="19">
        <v>102369</v>
      </c>
      <c r="X511" s="19"/>
      <c r="Y511" s="26">
        <f>SUM(G511:W511)</f>
        <v>11129728</v>
      </c>
      <c r="Z511" s="19"/>
      <c r="AA511" s="19">
        <v>195000</v>
      </c>
      <c r="AB511" s="19"/>
      <c r="AC511" s="19">
        <v>0</v>
      </c>
      <c r="AD511" s="19"/>
      <c r="AE511" s="19">
        <v>0</v>
      </c>
      <c r="AF511" s="19"/>
      <c r="AG511" s="19"/>
      <c r="AH511" s="19"/>
      <c r="AI511" s="19"/>
      <c r="AJ511" s="19"/>
      <c r="AK511" s="19">
        <v>1045000</v>
      </c>
      <c r="AL511" s="19"/>
      <c r="AM511" s="19">
        <v>0</v>
      </c>
      <c r="AN511" s="19"/>
      <c r="AO511" s="26">
        <f t="shared" si="84"/>
        <v>1240000</v>
      </c>
      <c r="AP511" s="19"/>
      <c r="AQ511" s="26">
        <f t="shared" si="83"/>
        <v>12369728</v>
      </c>
      <c r="AR511" s="26"/>
    </row>
    <row r="512" spans="1:48">
      <c r="A512" s="9" t="s">
        <v>248</v>
      </c>
      <c r="B512" s="9"/>
      <c r="C512" s="9" t="s">
        <v>417</v>
      </c>
      <c r="D512" s="9"/>
      <c r="E512" s="23">
        <v>48538</v>
      </c>
      <c r="F512" s="19"/>
      <c r="G512" s="19">
        <v>2285398</v>
      </c>
      <c r="H512" s="19"/>
      <c r="I512" s="19">
        <v>0</v>
      </c>
      <c r="J512" s="19"/>
      <c r="K512" s="19">
        <v>8387820</v>
      </c>
      <c r="L512" s="19"/>
      <c r="M512" s="19">
        <v>54942</v>
      </c>
      <c r="N512" s="19"/>
      <c r="O512" s="19">
        <f>396026+78014</f>
        <v>474040</v>
      </c>
      <c r="P512" s="19"/>
      <c r="Q512" s="19">
        <v>53717</v>
      </c>
      <c r="R512" s="19"/>
      <c r="S512" s="19">
        <v>0</v>
      </c>
      <c r="T512" s="19"/>
      <c r="U512" s="19">
        <v>7882</v>
      </c>
      <c r="V512" s="19"/>
      <c r="W512" s="19">
        <v>29477</v>
      </c>
      <c r="X512" s="19"/>
      <c r="Y512" s="26">
        <f t="shared" si="82"/>
        <v>11293276</v>
      </c>
      <c r="Z512" s="19"/>
      <c r="AA512" s="19">
        <v>433286</v>
      </c>
      <c r="AB512" s="19"/>
      <c r="AC512" s="19">
        <v>0</v>
      </c>
      <c r="AD512" s="19"/>
      <c r="AE512" s="19">
        <f>122878+161982</f>
        <v>284860</v>
      </c>
      <c r="AF512" s="19"/>
      <c r="AG512" s="19"/>
      <c r="AH512" s="19"/>
      <c r="AI512" s="19"/>
      <c r="AJ512" s="19"/>
      <c r="AK512" s="19">
        <f>76859+10962</f>
        <v>87821</v>
      </c>
      <c r="AL512" s="19"/>
      <c r="AM512" s="19">
        <v>0</v>
      </c>
      <c r="AN512" s="19"/>
      <c r="AO512" s="26">
        <f t="shared" si="84"/>
        <v>805967</v>
      </c>
      <c r="AP512" s="19"/>
      <c r="AQ512" s="26">
        <f t="shared" si="83"/>
        <v>12099243</v>
      </c>
      <c r="AR512" s="26"/>
    </row>
    <row r="513" spans="1:44" hidden="1">
      <c r="A513" s="9" t="s">
        <v>695</v>
      </c>
      <c r="B513" s="9"/>
      <c r="C513" s="9" t="s">
        <v>448</v>
      </c>
      <c r="D513" s="9"/>
      <c r="E513" s="23">
        <v>49064</v>
      </c>
      <c r="F513" s="19"/>
      <c r="G513" s="19">
        <v>0</v>
      </c>
      <c r="H513" s="19"/>
      <c r="I513" s="19">
        <v>0</v>
      </c>
      <c r="J513" s="19"/>
      <c r="K513" s="19">
        <v>0</v>
      </c>
      <c r="L513" s="19"/>
      <c r="M513" s="19">
        <v>0</v>
      </c>
      <c r="N513" s="19"/>
      <c r="O513" s="19">
        <v>0</v>
      </c>
      <c r="P513" s="19"/>
      <c r="Q513" s="19">
        <v>0</v>
      </c>
      <c r="R513" s="19"/>
      <c r="S513" s="19">
        <v>0</v>
      </c>
      <c r="T513" s="19"/>
      <c r="U513" s="19">
        <v>0</v>
      </c>
      <c r="V513" s="19"/>
      <c r="W513" s="19">
        <v>0</v>
      </c>
      <c r="X513" s="19"/>
      <c r="Y513" s="26">
        <f t="shared" si="82"/>
        <v>0</v>
      </c>
      <c r="Z513" s="19"/>
      <c r="AA513" s="19">
        <v>0</v>
      </c>
      <c r="AB513" s="19"/>
      <c r="AC513" s="19">
        <v>0</v>
      </c>
      <c r="AD513" s="19"/>
      <c r="AE513" s="19">
        <v>0</v>
      </c>
      <c r="AF513" s="19"/>
      <c r="AG513" s="19"/>
      <c r="AH513" s="19"/>
      <c r="AI513" s="19"/>
      <c r="AJ513" s="19"/>
      <c r="AK513" s="19">
        <v>0</v>
      </c>
      <c r="AL513" s="19"/>
      <c r="AM513" s="19">
        <v>0</v>
      </c>
      <c r="AN513" s="19"/>
      <c r="AO513" s="26">
        <f t="shared" si="84"/>
        <v>0</v>
      </c>
      <c r="AP513" s="19"/>
      <c r="AQ513" s="26">
        <f t="shared" si="83"/>
        <v>0</v>
      </c>
      <c r="AR513" s="26"/>
    </row>
    <row r="514" spans="1:44">
      <c r="A514" s="9" t="s">
        <v>526</v>
      </c>
      <c r="B514" s="9"/>
      <c r="C514" s="9" t="s">
        <v>64</v>
      </c>
      <c r="D514" s="9"/>
      <c r="E514" s="23">
        <v>50237</v>
      </c>
      <c r="F514" s="19"/>
      <c r="G514" s="19">
        <v>1877888</v>
      </c>
      <c r="H514" s="19"/>
      <c r="I514" s="19">
        <v>0</v>
      </c>
      <c r="J514" s="19"/>
      <c r="K514" s="19">
        <v>3574438</v>
      </c>
      <c r="L514" s="19"/>
      <c r="M514" s="19">
        <v>8511</v>
      </c>
      <c r="N514" s="19"/>
      <c r="O514" s="19">
        <f>375447+168149</f>
        <v>543596</v>
      </c>
      <c r="P514" s="19"/>
      <c r="Q514" s="19">
        <v>98054</v>
      </c>
      <c r="R514" s="19"/>
      <c r="S514" s="19">
        <v>0</v>
      </c>
      <c r="T514" s="19"/>
      <c r="U514" s="19">
        <v>7907</v>
      </c>
      <c r="V514" s="19"/>
      <c r="W514" s="19">
        <f>250261+72890</f>
        <v>323151</v>
      </c>
      <c r="X514" s="19"/>
      <c r="Y514" s="26">
        <f t="shared" si="82"/>
        <v>6433545</v>
      </c>
      <c r="Z514" s="19"/>
      <c r="AA514" s="19">
        <v>48545</v>
      </c>
      <c r="AB514" s="19"/>
      <c r="AC514" s="19">
        <v>0</v>
      </c>
      <c r="AD514" s="19"/>
      <c r="AE514" s="19">
        <v>0</v>
      </c>
      <c r="AF514" s="19"/>
      <c r="AG514" s="19"/>
      <c r="AH514" s="19"/>
      <c r="AI514" s="19"/>
      <c r="AJ514" s="19"/>
      <c r="AK514" s="19">
        <v>4606</v>
      </c>
      <c r="AL514" s="19"/>
      <c r="AM514" s="19">
        <v>0</v>
      </c>
      <c r="AN514" s="19"/>
      <c r="AO514" s="26">
        <f t="shared" si="84"/>
        <v>53151</v>
      </c>
      <c r="AP514" s="19"/>
      <c r="AQ514" s="26">
        <f t="shared" si="83"/>
        <v>6486696</v>
      </c>
      <c r="AR514" s="26"/>
    </row>
    <row r="515" spans="1:44" hidden="1">
      <c r="A515" s="9" t="s">
        <v>823</v>
      </c>
      <c r="B515" s="9"/>
      <c r="C515" s="9" t="s">
        <v>42</v>
      </c>
      <c r="D515" s="9"/>
      <c r="E515" s="23">
        <v>48041</v>
      </c>
      <c r="F515" s="19"/>
      <c r="G515" s="19">
        <v>0</v>
      </c>
      <c r="H515" s="19"/>
      <c r="I515" s="19">
        <v>0</v>
      </c>
      <c r="J515" s="19"/>
      <c r="K515" s="19">
        <v>0</v>
      </c>
      <c r="L515" s="19"/>
      <c r="M515" s="19">
        <v>0</v>
      </c>
      <c r="N515" s="19"/>
      <c r="O515" s="19">
        <v>0</v>
      </c>
      <c r="P515" s="19"/>
      <c r="Q515" s="19">
        <v>0</v>
      </c>
      <c r="R515" s="19"/>
      <c r="S515" s="19">
        <v>0</v>
      </c>
      <c r="T515" s="19"/>
      <c r="U515" s="19">
        <v>0</v>
      </c>
      <c r="V515" s="19"/>
      <c r="W515" s="19">
        <v>0</v>
      </c>
      <c r="X515" s="19"/>
      <c r="Y515" s="26">
        <f t="shared" si="82"/>
        <v>0</v>
      </c>
      <c r="Z515" s="19"/>
      <c r="AA515" s="19">
        <v>0</v>
      </c>
      <c r="AB515" s="19"/>
      <c r="AC515" s="19">
        <v>0</v>
      </c>
      <c r="AD515" s="19"/>
      <c r="AE515" s="19">
        <v>0</v>
      </c>
      <c r="AF515" s="19"/>
      <c r="AG515" s="19"/>
      <c r="AH515" s="19"/>
      <c r="AI515" s="19"/>
      <c r="AJ515" s="19"/>
      <c r="AK515" s="19">
        <v>0</v>
      </c>
      <c r="AL515" s="19"/>
      <c r="AM515" s="19">
        <v>0</v>
      </c>
      <c r="AN515" s="19"/>
      <c r="AO515" s="26">
        <f t="shared" si="84"/>
        <v>0</v>
      </c>
      <c r="AP515" s="19"/>
      <c r="AQ515" s="26">
        <f t="shared" si="83"/>
        <v>0</v>
      </c>
      <c r="AR515" s="26"/>
    </row>
    <row r="516" spans="1:44">
      <c r="A516" s="9" t="s">
        <v>329</v>
      </c>
      <c r="B516" s="9"/>
      <c r="C516" s="9" t="s">
        <v>32</v>
      </c>
      <c r="D516" s="9"/>
      <c r="E516" s="23">
        <v>47381</v>
      </c>
      <c r="F516" s="19"/>
      <c r="G516" s="19">
        <v>14788982</v>
      </c>
      <c r="H516" s="19"/>
      <c r="I516" s="19">
        <v>0</v>
      </c>
      <c r="J516" s="19"/>
      <c r="K516" s="19">
        <v>18333528</v>
      </c>
      <c r="L516" s="19"/>
      <c r="M516" s="19">
        <v>16917</v>
      </c>
      <c r="N516" s="19"/>
      <c r="O516" s="19">
        <f>348540+708997</f>
        <v>1057537</v>
      </c>
      <c r="P516" s="19"/>
      <c r="Q516" s="19">
        <v>317234</v>
      </c>
      <c r="R516" s="19"/>
      <c r="S516" s="19">
        <v>244701</v>
      </c>
      <c r="T516" s="19"/>
      <c r="U516" s="19">
        <v>0</v>
      </c>
      <c r="V516" s="19"/>
      <c r="W516" s="19">
        <v>396055</v>
      </c>
      <c r="X516" s="19"/>
      <c r="Y516" s="26">
        <f t="shared" si="82"/>
        <v>35154954</v>
      </c>
      <c r="Z516" s="19"/>
      <c r="AA516" s="19">
        <v>218416</v>
      </c>
      <c r="AB516" s="19"/>
      <c r="AC516" s="19">
        <v>0</v>
      </c>
      <c r="AD516" s="19"/>
      <c r="AE516" s="19">
        <v>0</v>
      </c>
      <c r="AF516" s="19"/>
      <c r="AG516" s="19"/>
      <c r="AH516" s="19"/>
      <c r="AI516" s="19"/>
      <c r="AJ516" s="19"/>
      <c r="AK516" s="19">
        <v>606</v>
      </c>
      <c r="AL516" s="19"/>
      <c r="AM516" s="19">
        <v>0</v>
      </c>
      <c r="AN516" s="19"/>
      <c r="AO516" s="26">
        <f t="shared" si="84"/>
        <v>219022</v>
      </c>
      <c r="AP516" s="19"/>
      <c r="AQ516" s="26">
        <f t="shared" si="83"/>
        <v>35373976</v>
      </c>
      <c r="AR516" s="26"/>
    </row>
    <row r="517" spans="1:44">
      <c r="A517" s="9" t="s">
        <v>305</v>
      </c>
      <c r="B517" s="9"/>
      <c r="C517" s="9" t="s">
        <v>27</v>
      </c>
      <c r="D517" s="9"/>
      <c r="E517" s="23">
        <v>44800</v>
      </c>
      <c r="F517" s="19"/>
      <c r="G517" s="19">
        <v>100740561</v>
      </c>
      <c r="H517" s="19"/>
      <c r="I517" s="19">
        <v>0</v>
      </c>
      <c r="J517" s="19"/>
      <c r="K517" s="19">
        <f>128467786+21542648</f>
        <v>150010434</v>
      </c>
      <c r="L517" s="19"/>
      <c r="M517" s="19">
        <v>266483</v>
      </c>
      <c r="N517" s="19"/>
      <c r="O517" s="19">
        <v>1603675</v>
      </c>
      <c r="P517" s="19"/>
      <c r="Q517" s="19">
        <v>0</v>
      </c>
      <c r="R517" s="19"/>
      <c r="S517" s="19">
        <v>655252</v>
      </c>
      <c r="T517" s="19"/>
      <c r="U517" s="19">
        <v>0</v>
      </c>
      <c r="V517" s="19"/>
      <c r="W517" s="19">
        <v>7854701</v>
      </c>
      <c r="X517" s="19"/>
      <c r="Y517" s="26">
        <f t="shared" si="82"/>
        <v>261131106</v>
      </c>
      <c r="Z517" s="19"/>
      <c r="AA517" s="19">
        <v>1290220</v>
      </c>
      <c r="AB517" s="19"/>
      <c r="AC517" s="19">
        <v>0</v>
      </c>
      <c r="AD517" s="19"/>
      <c r="AE517" s="19">
        <f>140250000+8711022</f>
        <v>148961022</v>
      </c>
      <c r="AF517" s="19"/>
      <c r="AG517" s="19"/>
      <c r="AH517" s="19"/>
      <c r="AI517" s="19"/>
      <c r="AJ517" s="19"/>
      <c r="AK517" s="19">
        <v>64965</v>
      </c>
      <c r="AL517" s="19"/>
      <c r="AM517" s="19">
        <v>0</v>
      </c>
      <c r="AN517" s="19"/>
      <c r="AO517" s="26">
        <f t="shared" si="84"/>
        <v>150316207</v>
      </c>
      <c r="AP517" s="19"/>
      <c r="AQ517" s="26">
        <f t="shared" si="83"/>
        <v>411447313</v>
      </c>
      <c r="AR517" s="26"/>
    </row>
    <row r="518" spans="1:44" hidden="1">
      <c r="A518" s="9" t="s">
        <v>696</v>
      </c>
      <c r="B518" s="9"/>
      <c r="C518" s="9" t="s">
        <v>10</v>
      </c>
      <c r="D518" s="9"/>
      <c r="E518" s="23">
        <v>45807</v>
      </c>
      <c r="F518" s="21"/>
      <c r="G518" s="19">
        <v>0</v>
      </c>
      <c r="H518" s="19"/>
      <c r="I518" s="19">
        <v>0</v>
      </c>
      <c r="J518" s="19"/>
      <c r="K518" s="19">
        <v>0</v>
      </c>
      <c r="L518" s="19"/>
      <c r="M518" s="19">
        <v>0</v>
      </c>
      <c r="N518" s="19"/>
      <c r="O518" s="19">
        <v>0</v>
      </c>
      <c r="P518" s="19"/>
      <c r="Q518" s="19">
        <v>0</v>
      </c>
      <c r="R518" s="19"/>
      <c r="S518" s="19">
        <v>0</v>
      </c>
      <c r="T518" s="19"/>
      <c r="U518" s="19">
        <v>0</v>
      </c>
      <c r="V518" s="19"/>
      <c r="W518" s="19">
        <v>0</v>
      </c>
      <c r="X518" s="19"/>
      <c r="Y518" s="26">
        <f t="shared" si="82"/>
        <v>0</v>
      </c>
      <c r="Z518" s="19"/>
      <c r="AA518" s="19">
        <v>0</v>
      </c>
      <c r="AB518" s="19"/>
      <c r="AC518" s="19">
        <v>0</v>
      </c>
      <c r="AD518" s="19"/>
      <c r="AE518" s="19">
        <v>0</v>
      </c>
      <c r="AF518" s="19"/>
      <c r="AG518" s="19"/>
      <c r="AH518" s="19"/>
      <c r="AI518" s="19"/>
      <c r="AJ518" s="19"/>
      <c r="AK518" s="19">
        <v>0</v>
      </c>
      <c r="AL518" s="19"/>
      <c r="AM518" s="19">
        <v>0</v>
      </c>
      <c r="AN518" s="19"/>
      <c r="AO518" s="26">
        <f t="shared" si="84"/>
        <v>0</v>
      </c>
      <c r="AP518" s="19"/>
      <c r="AQ518" s="26">
        <f t="shared" si="83"/>
        <v>0</v>
      </c>
      <c r="AR518" s="26"/>
    </row>
    <row r="519" spans="1:44">
      <c r="A519" s="8" t="s">
        <v>838</v>
      </c>
      <c r="B519" s="9"/>
      <c r="C519" s="9" t="s">
        <v>69</v>
      </c>
      <c r="D519" s="9"/>
      <c r="E519" s="23">
        <v>50427</v>
      </c>
      <c r="F519" s="19"/>
      <c r="G519" s="19">
        <v>35312037</v>
      </c>
      <c r="H519" s="19"/>
      <c r="I519" s="19">
        <v>0</v>
      </c>
      <c r="J519" s="19"/>
      <c r="K519" s="19">
        <v>16440050</v>
      </c>
      <c r="L519" s="19"/>
      <c r="M519" s="19">
        <v>20622</v>
      </c>
      <c r="N519" s="19"/>
      <c r="O519" s="19">
        <f>591713+1007289</f>
        <v>1599002</v>
      </c>
      <c r="P519" s="19"/>
      <c r="Q519" s="19">
        <v>977814</v>
      </c>
      <c r="R519" s="19"/>
      <c r="S519" s="19">
        <v>0</v>
      </c>
      <c r="T519" s="19"/>
      <c r="U519" s="19">
        <v>281610</v>
      </c>
      <c r="V519" s="19"/>
      <c r="W519" s="19">
        <f>1027470+692250</f>
        <v>1719720</v>
      </c>
      <c r="X519" s="19"/>
      <c r="Y519" s="26">
        <f t="shared" si="82"/>
        <v>56350855</v>
      </c>
      <c r="Z519" s="19"/>
      <c r="AA519" s="19">
        <v>123077</v>
      </c>
      <c r="AB519" s="19"/>
      <c r="AC519" s="19">
        <v>0</v>
      </c>
      <c r="AD519" s="19"/>
      <c r="AE519" s="19">
        <v>995000</v>
      </c>
      <c r="AF519" s="19"/>
      <c r="AG519" s="19"/>
      <c r="AH519" s="19"/>
      <c r="AI519" s="19"/>
      <c r="AJ519" s="19"/>
      <c r="AK519" s="19">
        <v>21244</v>
      </c>
      <c r="AL519" s="19"/>
      <c r="AM519" s="19">
        <v>0</v>
      </c>
      <c r="AN519" s="19"/>
      <c r="AO519" s="26">
        <f t="shared" si="84"/>
        <v>1139321</v>
      </c>
      <c r="AP519" s="19"/>
      <c r="AQ519" s="26">
        <f t="shared" si="83"/>
        <v>57490176</v>
      </c>
      <c r="AR519" s="26"/>
    </row>
    <row r="520" spans="1:44">
      <c r="A520" s="9" t="s">
        <v>624</v>
      </c>
      <c r="B520" s="9"/>
      <c r="C520" s="9" t="s">
        <v>17</v>
      </c>
      <c r="D520" s="9"/>
      <c r="E520" s="23">
        <v>44818</v>
      </c>
      <c r="F520" s="19"/>
      <c r="G520" s="19">
        <v>23930875</v>
      </c>
      <c r="H520" s="19"/>
      <c r="I520" s="19">
        <v>0</v>
      </c>
      <c r="J520" s="19"/>
      <c r="K520" s="19">
        <v>75646031</v>
      </c>
      <c r="L520" s="19"/>
      <c r="M520" s="19">
        <v>132154</v>
      </c>
      <c r="N520" s="19"/>
      <c r="O520" s="19">
        <f>1368403+28474+868061</f>
        <v>2264938</v>
      </c>
      <c r="P520" s="19"/>
      <c r="Q520" s="19">
        <v>353868</v>
      </c>
      <c r="R520" s="19"/>
      <c r="S520" s="19">
        <v>0</v>
      </c>
      <c r="T520" s="19"/>
      <c r="U520" s="19">
        <v>38975</v>
      </c>
      <c r="V520" s="19"/>
      <c r="W520" s="19">
        <v>711067</v>
      </c>
      <c r="X520" s="19"/>
      <c r="Y520" s="26">
        <f t="shared" si="82"/>
        <v>103077908</v>
      </c>
      <c r="Z520" s="19"/>
      <c r="AA520" s="19">
        <v>533750</v>
      </c>
      <c r="AB520" s="19"/>
      <c r="AC520" s="19">
        <v>0</v>
      </c>
      <c r="AD520" s="19"/>
      <c r="AE520" s="19">
        <v>522753</v>
      </c>
      <c r="AF520" s="19"/>
      <c r="AG520" s="19"/>
      <c r="AH520" s="19"/>
      <c r="AI520" s="19"/>
      <c r="AJ520" s="19"/>
      <c r="AK520" s="19">
        <v>69428</v>
      </c>
      <c r="AL520" s="19"/>
      <c r="AM520" s="19">
        <v>0</v>
      </c>
      <c r="AN520" s="19"/>
      <c r="AO520" s="26">
        <f t="shared" si="84"/>
        <v>1125931</v>
      </c>
      <c r="AP520" s="19"/>
      <c r="AQ520" s="26">
        <f t="shared" si="83"/>
        <v>104203839</v>
      </c>
      <c r="AR520" s="26"/>
    </row>
    <row r="521" spans="1:44">
      <c r="A521" s="9" t="s">
        <v>710</v>
      </c>
      <c r="B521" s="9"/>
      <c r="C521" s="9" t="s">
        <v>114</v>
      </c>
      <c r="D521" s="9"/>
      <c r="E521" s="23">
        <v>48223</v>
      </c>
      <c r="F521" s="19"/>
      <c r="G521" s="19">
        <v>26144655</v>
      </c>
      <c r="H521" s="19"/>
      <c r="I521" s="19">
        <v>0</v>
      </c>
      <c r="J521" s="19"/>
      <c r="K521" s="19">
        <f>16914+11556099+2689215</f>
        <v>14262228</v>
      </c>
      <c r="L521" s="19"/>
      <c r="M521" s="19">
        <v>6244</v>
      </c>
      <c r="N521" s="19"/>
      <c r="O521" s="19">
        <f>756019+586974+202213+137066+46145</f>
        <v>1728417</v>
      </c>
      <c r="P521" s="19"/>
      <c r="Q521" s="19">
        <v>529869</v>
      </c>
      <c r="R521" s="19"/>
      <c r="S521" s="19">
        <v>94952</v>
      </c>
      <c r="T521" s="19"/>
      <c r="U521" s="19">
        <v>25103</v>
      </c>
      <c r="V521" s="19"/>
      <c r="W521" s="19">
        <v>785224</v>
      </c>
      <c r="X521" s="19"/>
      <c r="Y521" s="26">
        <f t="shared" si="82"/>
        <v>43576692</v>
      </c>
      <c r="Z521" s="19"/>
      <c r="AA521" s="19">
        <v>11164</v>
      </c>
      <c r="AB521" s="19"/>
      <c r="AC521" s="19">
        <v>0</v>
      </c>
      <c r="AD521" s="19"/>
      <c r="AE521" s="19">
        <v>0</v>
      </c>
      <c r="AF521" s="19"/>
      <c r="AG521" s="19"/>
      <c r="AH521" s="19"/>
      <c r="AI521" s="19"/>
      <c r="AJ521" s="19"/>
      <c r="AK521" s="19">
        <v>0</v>
      </c>
      <c r="AL521" s="19"/>
      <c r="AM521" s="19">
        <v>0</v>
      </c>
      <c r="AN521" s="19"/>
      <c r="AO521" s="26">
        <f t="shared" si="84"/>
        <v>11164</v>
      </c>
      <c r="AP521" s="19"/>
      <c r="AQ521" s="26">
        <f t="shared" si="83"/>
        <v>43587856</v>
      </c>
      <c r="AR521" s="26"/>
    </row>
    <row r="522" spans="1:44">
      <c r="A522" s="9" t="s">
        <v>390</v>
      </c>
      <c r="B522" s="9"/>
      <c r="C522" s="9" t="s">
        <v>45</v>
      </c>
      <c r="D522" s="9"/>
      <c r="E522" s="23">
        <v>48371</v>
      </c>
      <c r="F522" s="19"/>
      <c r="G522" s="19">
        <v>3309515</v>
      </c>
      <c r="H522" s="19"/>
      <c r="I522" s="19">
        <v>2012517</v>
      </c>
      <c r="J522" s="19"/>
      <c r="K522" s="19">
        <f>17640+5117280+804259</f>
        <v>5939179</v>
      </c>
      <c r="L522" s="19"/>
      <c r="M522" s="19">
        <v>3889</v>
      </c>
      <c r="N522" s="19"/>
      <c r="O522" s="19">
        <f>11778+245353+28682+6000</f>
        <v>291813</v>
      </c>
      <c r="P522" s="19"/>
      <c r="Q522" s="19">
        <v>145030</v>
      </c>
      <c r="R522" s="19"/>
      <c r="S522" s="19">
        <v>0</v>
      </c>
      <c r="T522" s="19"/>
      <c r="U522" s="19">
        <v>82078</v>
      </c>
      <c r="V522" s="19"/>
      <c r="W522" s="19">
        <v>469360</v>
      </c>
      <c r="X522" s="19"/>
      <c r="Y522" s="26">
        <f t="shared" si="82"/>
        <v>12253381</v>
      </c>
      <c r="Z522" s="19"/>
      <c r="AA522" s="19">
        <v>314661</v>
      </c>
      <c r="AB522" s="19"/>
      <c r="AC522" s="19">
        <v>0</v>
      </c>
      <c r="AD522" s="19"/>
      <c r="AE522" s="19">
        <v>0</v>
      </c>
      <c r="AF522" s="19"/>
      <c r="AG522" s="19"/>
      <c r="AH522" s="19"/>
      <c r="AI522" s="19"/>
      <c r="AJ522" s="19"/>
      <c r="AK522" s="19">
        <v>0</v>
      </c>
      <c r="AL522" s="19"/>
      <c r="AM522" s="19">
        <v>0</v>
      </c>
      <c r="AN522" s="19"/>
      <c r="AO522" s="26">
        <f t="shared" si="84"/>
        <v>314661</v>
      </c>
      <c r="AP522" s="19"/>
      <c r="AQ522" s="26">
        <f t="shared" si="83"/>
        <v>12568042</v>
      </c>
      <c r="AR522" s="26"/>
    </row>
    <row r="523" spans="1:44">
      <c r="A523" s="9" t="s">
        <v>390</v>
      </c>
      <c r="B523" s="9"/>
      <c r="C523" s="9" t="s">
        <v>63</v>
      </c>
      <c r="D523" s="9"/>
      <c r="E523" s="23">
        <v>50062</v>
      </c>
      <c r="F523" s="19"/>
      <c r="G523" s="19">
        <v>12276417</v>
      </c>
      <c r="H523" s="19"/>
      <c r="I523" s="19">
        <v>0</v>
      </c>
      <c r="J523" s="19"/>
      <c r="K523" s="19">
        <v>15915153</v>
      </c>
      <c r="L523" s="19"/>
      <c r="M523" s="19">
        <v>154661</v>
      </c>
      <c r="N523" s="19"/>
      <c r="O523" s="19">
        <f>2206257+68839+208916</f>
        <v>2484012</v>
      </c>
      <c r="P523" s="19"/>
      <c r="Q523" s="19">
        <v>272716</v>
      </c>
      <c r="R523" s="19"/>
      <c r="S523" s="19">
        <v>0</v>
      </c>
      <c r="T523" s="19"/>
      <c r="U523" s="19">
        <v>13780</v>
      </c>
      <c r="V523" s="19"/>
      <c r="W523" s="19">
        <v>88965</v>
      </c>
      <c r="X523" s="19"/>
      <c r="Y523" s="26">
        <f t="shared" si="82"/>
        <v>31205704</v>
      </c>
      <c r="Z523" s="19"/>
      <c r="AA523" s="19">
        <v>376780</v>
      </c>
      <c r="AB523" s="19"/>
      <c r="AC523" s="19">
        <v>0</v>
      </c>
      <c r="AD523" s="19"/>
      <c r="AE523" s="19">
        <v>250000</v>
      </c>
      <c r="AF523" s="19"/>
      <c r="AG523" s="19"/>
      <c r="AH523" s="19"/>
      <c r="AI523" s="19"/>
      <c r="AJ523" s="19"/>
      <c r="AK523" s="19">
        <v>1000</v>
      </c>
      <c r="AL523" s="19"/>
      <c r="AM523" s="19">
        <v>0</v>
      </c>
      <c r="AN523" s="19"/>
      <c r="AO523" s="26">
        <f t="shared" si="84"/>
        <v>627780</v>
      </c>
      <c r="AP523" s="19"/>
      <c r="AQ523" s="26">
        <f t="shared" si="83"/>
        <v>31833484</v>
      </c>
      <c r="AR523" s="26"/>
    </row>
    <row r="524" spans="1:44">
      <c r="A524" s="9" t="s">
        <v>780</v>
      </c>
      <c r="B524" s="9"/>
      <c r="C524" s="9" t="s">
        <v>32</v>
      </c>
      <c r="D524" s="9"/>
      <c r="E524" s="23">
        <v>44719</v>
      </c>
      <c r="F524" s="19"/>
      <c r="G524" s="19">
        <v>4373588</v>
      </c>
      <c r="H524" s="19"/>
      <c r="I524" s="19">
        <v>0</v>
      </c>
      <c r="J524" s="19"/>
      <c r="K524" s="19">
        <v>8089215</v>
      </c>
      <c r="L524" s="19"/>
      <c r="M524" s="19">
        <v>2614</v>
      </c>
      <c r="N524" s="19"/>
      <c r="O524" s="19">
        <f>1391774+121130</f>
        <v>1512904</v>
      </c>
      <c r="P524" s="19"/>
      <c r="Q524" s="19">
        <v>80611</v>
      </c>
      <c r="R524" s="19"/>
      <c r="S524" s="19">
        <v>0</v>
      </c>
      <c r="T524" s="19"/>
      <c r="U524" s="19">
        <v>0</v>
      </c>
      <c r="V524" s="19"/>
      <c r="W524" s="19">
        <v>269055</v>
      </c>
      <c r="X524" s="19"/>
      <c r="Y524" s="26">
        <f t="shared" si="82"/>
        <v>14327987</v>
      </c>
      <c r="Z524" s="19"/>
      <c r="AA524" s="19">
        <v>251265</v>
      </c>
      <c r="AB524" s="19"/>
      <c r="AC524" s="19">
        <v>0</v>
      </c>
      <c r="AD524" s="19"/>
      <c r="AE524" s="19">
        <v>0</v>
      </c>
      <c r="AF524" s="19"/>
      <c r="AG524" s="19"/>
      <c r="AH524" s="19"/>
      <c r="AI524" s="19"/>
      <c r="AJ524" s="19"/>
      <c r="AK524" s="19">
        <v>0</v>
      </c>
      <c r="AL524" s="19"/>
      <c r="AM524" s="19">
        <v>0</v>
      </c>
      <c r="AN524" s="19"/>
      <c r="AO524" s="26">
        <f t="shared" si="84"/>
        <v>251265</v>
      </c>
      <c r="AP524" s="19"/>
      <c r="AQ524" s="26">
        <f t="shared" si="83"/>
        <v>14579252</v>
      </c>
      <c r="AR524" s="26"/>
    </row>
    <row r="525" spans="1:44">
      <c r="A525" s="9" t="s">
        <v>781</v>
      </c>
      <c r="B525" s="9"/>
      <c r="C525" s="9" t="s">
        <v>15</v>
      </c>
      <c r="D525" s="9"/>
      <c r="E525" s="23">
        <v>45997</v>
      </c>
      <c r="F525" s="19"/>
      <c r="G525" s="19">
        <v>7976591</v>
      </c>
      <c r="H525" s="19"/>
      <c r="I525" s="19">
        <v>0</v>
      </c>
      <c r="J525" s="19"/>
      <c r="K525" s="19">
        <v>5833439</v>
      </c>
      <c r="L525" s="19"/>
      <c r="M525" s="19">
        <v>1587</v>
      </c>
      <c r="N525" s="19"/>
      <c r="O525" s="19">
        <f>1357971+3250+160321</f>
        <v>1521542</v>
      </c>
      <c r="P525" s="19"/>
      <c r="Q525" s="19">
        <v>375230</v>
      </c>
      <c r="R525" s="19"/>
      <c r="S525" s="19">
        <v>0</v>
      </c>
      <c r="T525" s="19"/>
      <c r="U525" s="19">
        <v>106659</v>
      </c>
      <c r="V525" s="19"/>
      <c r="W525" s="19">
        <v>104844</v>
      </c>
      <c r="X525" s="19"/>
      <c r="Y525" s="26">
        <f t="shared" si="82"/>
        <v>15919892</v>
      </c>
      <c r="Z525" s="19"/>
      <c r="AA525" s="19">
        <v>1706686</v>
      </c>
      <c r="AB525" s="19"/>
      <c r="AC525" s="19">
        <v>0</v>
      </c>
      <c r="AD525" s="19"/>
      <c r="AE525" s="19">
        <v>65356</v>
      </c>
      <c r="AF525" s="19"/>
      <c r="AG525" s="19"/>
      <c r="AH525" s="19"/>
      <c r="AI525" s="19"/>
      <c r="AJ525" s="19"/>
      <c r="AK525" s="19">
        <v>0</v>
      </c>
      <c r="AL525" s="19"/>
      <c r="AM525" s="19">
        <v>0</v>
      </c>
      <c r="AN525" s="19"/>
      <c r="AO525" s="26">
        <f t="shared" si="84"/>
        <v>1772042</v>
      </c>
      <c r="AP525" s="19"/>
      <c r="AQ525" s="26">
        <f t="shared" si="83"/>
        <v>17691934</v>
      </c>
      <c r="AR525" s="26"/>
    </row>
    <row r="526" spans="1:44" hidden="1">
      <c r="A526" s="9" t="s">
        <v>697</v>
      </c>
      <c r="B526" s="9"/>
      <c r="C526" s="9" t="s">
        <v>419</v>
      </c>
      <c r="D526" s="9"/>
      <c r="E526" s="23">
        <v>48587</v>
      </c>
      <c r="F526" s="19"/>
      <c r="G526" s="19">
        <v>0</v>
      </c>
      <c r="H526" s="19"/>
      <c r="I526" s="19">
        <v>0</v>
      </c>
      <c r="J526" s="19"/>
      <c r="K526" s="19">
        <v>0</v>
      </c>
      <c r="L526" s="19"/>
      <c r="M526" s="19">
        <v>0</v>
      </c>
      <c r="N526" s="19"/>
      <c r="O526" s="19">
        <v>0</v>
      </c>
      <c r="P526" s="19"/>
      <c r="Q526" s="19">
        <v>0</v>
      </c>
      <c r="R526" s="19"/>
      <c r="S526" s="19">
        <v>0</v>
      </c>
      <c r="T526" s="19"/>
      <c r="U526" s="19">
        <v>0</v>
      </c>
      <c r="V526" s="19"/>
      <c r="W526" s="19">
        <v>0</v>
      </c>
      <c r="X526" s="19"/>
      <c r="Y526" s="26">
        <f t="shared" si="82"/>
        <v>0</v>
      </c>
      <c r="Z526" s="19"/>
      <c r="AA526" s="19">
        <v>0</v>
      </c>
      <c r="AB526" s="19"/>
      <c r="AC526" s="19">
        <v>0</v>
      </c>
      <c r="AD526" s="19"/>
      <c r="AE526" s="19">
        <v>0</v>
      </c>
      <c r="AF526" s="19"/>
      <c r="AG526" s="19"/>
      <c r="AH526" s="19"/>
      <c r="AI526" s="19"/>
      <c r="AJ526" s="19"/>
      <c r="AK526" s="19">
        <v>0</v>
      </c>
      <c r="AL526" s="19"/>
      <c r="AM526" s="19">
        <v>0</v>
      </c>
      <c r="AN526" s="19"/>
      <c r="AO526" s="26">
        <f t="shared" si="84"/>
        <v>0</v>
      </c>
      <c r="AP526" s="19"/>
      <c r="AQ526" s="26">
        <f t="shared" si="83"/>
        <v>0</v>
      </c>
      <c r="AR526" s="26"/>
    </row>
    <row r="527" spans="1:44" hidden="1">
      <c r="A527" s="9" t="s">
        <v>698</v>
      </c>
      <c r="B527" s="9"/>
      <c r="C527" s="9" t="s">
        <v>14</v>
      </c>
      <c r="D527" s="9"/>
      <c r="E527" s="23">
        <v>44727</v>
      </c>
      <c r="F527" s="19"/>
      <c r="G527" s="19">
        <v>0</v>
      </c>
      <c r="H527" s="19"/>
      <c r="I527" s="19">
        <v>0</v>
      </c>
      <c r="J527" s="19"/>
      <c r="K527" s="19">
        <v>0</v>
      </c>
      <c r="L527" s="19"/>
      <c r="M527" s="19">
        <v>0</v>
      </c>
      <c r="N527" s="19"/>
      <c r="O527" s="19">
        <v>0</v>
      </c>
      <c r="P527" s="19"/>
      <c r="Q527" s="19">
        <v>0</v>
      </c>
      <c r="R527" s="19"/>
      <c r="S527" s="19">
        <v>0</v>
      </c>
      <c r="T527" s="19"/>
      <c r="U527" s="19">
        <v>0</v>
      </c>
      <c r="V527" s="19"/>
      <c r="W527" s="19">
        <v>0</v>
      </c>
      <c r="X527" s="19"/>
      <c r="Y527" s="26">
        <f t="shared" si="82"/>
        <v>0</v>
      </c>
      <c r="Z527" s="19"/>
      <c r="AA527" s="19">
        <v>0</v>
      </c>
      <c r="AB527" s="19"/>
      <c r="AC527" s="19">
        <v>0</v>
      </c>
      <c r="AD527" s="19"/>
      <c r="AE527" s="19">
        <v>0</v>
      </c>
      <c r="AF527" s="19"/>
      <c r="AG527" s="19"/>
      <c r="AH527" s="19"/>
      <c r="AI527" s="19"/>
      <c r="AJ527" s="19"/>
      <c r="AK527" s="19">
        <v>0</v>
      </c>
      <c r="AL527" s="19"/>
      <c r="AM527" s="19">
        <v>0</v>
      </c>
      <c r="AN527" s="19"/>
      <c r="AO527" s="26">
        <f t="shared" si="84"/>
        <v>0</v>
      </c>
      <c r="AP527" s="19"/>
      <c r="AQ527" s="26">
        <f t="shared" si="83"/>
        <v>0</v>
      </c>
      <c r="AR527" s="26"/>
    </row>
    <row r="528" spans="1:44">
      <c r="A528" s="9" t="s">
        <v>362</v>
      </c>
      <c r="B528" s="9"/>
      <c r="C528" s="9" t="s">
        <v>39</v>
      </c>
      <c r="D528" s="9"/>
      <c r="E528" s="23">
        <v>44826</v>
      </c>
      <c r="F528" s="19"/>
      <c r="G528" s="19">
        <v>4360778</v>
      </c>
      <c r="H528" s="19"/>
      <c r="I528" s="19">
        <v>0</v>
      </c>
      <c r="J528" s="19"/>
      <c r="K528" s="19">
        <v>17053531</v>
      </c>
      <c r="L528" s="19"/>
      <c r="M528" s="19">
        <v>85350</v>
      </c>
      <c r="N528" s="19"/>
      <c r="O528" s="19">
        <f>3341610+34883+141431</f>
        <v>3517924</v>
      </c>
      <c r="P528" s="19"/>
      <c r="Q528" s="19">
        <v>272267</v>
      </c>
      <c r="R528" s="19"/>
      <c r="S528" s="19">
        <v>0</v>
      </c>
      <c r="T528" s="19"/>
      <c r="U528" s="19">
        <v>150715</v>
      </c>
      <c r="V528" s="19"/>
      <c r="W528" s="19">
        <v>123923</v>
      </c>
      <c r="X528" s="19"/>
      <c r="Y528" s="26">
        <f t="shared" si="82"/>
        <v>25564488</v>
      </c>
      <c r="Z528" s="19"/>
      <c r="AA528" s="19">
        <v>142742</v>
      </c>
      <c r="AB528" s="19"/>
      <c r="AC528" s="19">
        <v>0</v>
      </c>
      <c r="AD528" s="19"/>
      <c r="AE528" s="19">
        <v>0</v>
      </c>
      <c r="AF528" s="19"/>
      <c r="AG528" s="19"/>
      <c r="AH528" s="19"/>
      <c r="AI528" s="19"/>
      <c r="AJ528" s="19"/>
      <c r="AK528" s="19">
        <v>0</v>
      </c>
      <c r="AL528" s="19"/>
      <c r="AM528" s="19">
        <v>0</v>
      </c>
      <c r="AN528" s="19"/>
      <c r="AO528" s="26">
        <f t="shared" si="84"/>
        <v>142742</v>
      </c>
      <c r="AP528" s="19"/>
      <c r="AQ528" s="26">
        <f t="shared" si="83"/>
        <v>25707230</v>
      </c>
      <c r="AR528" s="26"/>
    </row>
    <row r="529" spans="1:44">
      <c r="A529" s="9" t="s">
        <v>510</v>
      </c>
      <c r="B529" s="9"/>
      <c r="C529" s="9" t="s">
        <v>63</v>
      </c>
      <c r="D529" s="9"/>
      <c r="E529" s="23">
        <v>44834</v>
      </c>
      <c r="F529" s="19"/>
      <c r="G529" s="19">
        <v>31846909</v>
      </c>
      <c r="H529" s="19"/>
      <c r="I529" s="19">
        <v>0</v>
      </c>
      <c r="J529" s="19"/>
      <c r="K529" s="19">
        <f>17091+19096490+2156211</f>
        <v>21269792</v>
      </c>
      <c r="L529" s="19"/>
      <c r="M529" s="19">
        <v>13180</v>
      </c>
      <c r="N529" s="19"/>
      <c r="O529" s="19">
        <f>2264406+633766+130852</f>
        <v>3029024</v>
      </c>
      <c r="P529" s="19"/>
      <c r="Q529" s="19">
        <v>715168</v>
      </c>
      <c r="R529" s="19"/>
      <c r="S529" s="19">
        <v>0</v>
      </c>
      <c r="T529" s="19"/>
      <c r="U529" s="19">
        <v>0</v>
      </c>
      <c r="V529" s="19"/>
      <c r="W529" s="19">
        <v>512302</v>
      </c>
      <c r="X529" s="19"/>
      <c r="Y529" s="26">
        <f t="shared" si="82"/>
        <v>57386375</v>
      </c>
      <c r="Z529" s="19"/>
      <c r="AA529" s="19">
        <v>42988</v>
      </c>
      <c r="AB529" s="19"/>
      <c r="AC529" s="19">
        <v>0</v>
      </c>
      <c r="AD529" s="19"/>
      <c r="AE529" s="19">
        <v>0</v>
      </c>
      <c r="AF529" s="19"/>
      <c r="AG529" s="19"/>
      <c r="AH529" s="19"/>
      <c r="AI529" s="19"/>
      <c r="AJ529" s="19"/>
      <c r="AK529" s="19">
        <v>0</v>
      </c>
      <c r="AL529" s="19"/>
      <c r="AM529" s="19">
        <v>0</v>
      </c>
      <c r="AN529" s="19"/>
      <c r="AO529" s="26">
        <f t="shared" si="84"/>
        <v>42988</v>
      </c>
      <c r="AP529" s="19"/>
      <c r="AQ529" s="26">
        <f t="shared" si="83"/>
        <v>57429363</v>
      </c>
      <c r="AR529" s="26"/>
    </row>
    <row r="530" spans="1:44" hidden="1">
      <c r="A530" s="9" t="s">
        <v>699</v>
      </c>
      <c r="B530" s="9"/>
      <c r="C530" s="9" t="s">
        <v>65</v>
      </c>
      <c r="D530" s="9"/>
      <c r="E530" s="23">
        <v>50294</v>
      </c>
      <c r="F530" s="19"/>
      <c r="G530" s="19">
        <v>0</v>
      </c>
      <c r="H530" s="19"/>
      <c r="I530" s="19">
        <v>0</v>
      </c>
      <c r="J530" s="19"/>
      <c r="K530" s="19">
        <v>0</v>
      </c>
      <c r="L530" s="19"/>
      <c r="M530" s="19">
        <v>0</v>
      </c>
      <c r="N530" s="19"/>
      <c r="O530" s="19">
        <v>0</v>
      </c>
      <c r="P530" s="19"/>
      <c r="Q530" s="19">
        <v>0</v>
      </c>
      <c r="R530" s="19"/>
      <c r="S530" s="19">
        <v>0</v>
      </c>
      <c r="T530" s="19"/>
      <c r="U530" s="19">
        <v>0</v>
      </c>
      <c r="V530" s="19"/>
      <c r="W530" s="19">
        <v>0</v>
      </c>
      <c r="X530" s="19"/>
      <c r="Y530" s="26">
        <f t="shared" si="82"/>
        <v>0</v>
      </c>
      <c r="Z530" s="19"/>
      <c r="AA530" s="19">
        <v>0</v>
      </c>
      <c r="AB530" s="19"/>
      <c r="AC530" s="19">
        <v>0</v>
      </c>
      <c r="AD530" s="19"/>
      <c r="AE530" s="19">
        <v>0</v>
      </c>
      <c r="AF530" s="19"/>
      <c r="AG530" s="19"/>
      <c r="AH530" s="19"/>
      <c r="AI530" s="19"/>
      <c r="AJ530" s="19"/>
      <c r="AK530" s="19">
        <v>0</v>
      </c>
      <c r="AL530" s="19"/>
      <c r="AM530" s="19">
        <v>0</v>
      </c>
      <c r="AN530" s="19"/>
      <c r="AO530" s="26">
        <f t="shared" si="84"/>
        <v>0</v>
      </c>
      <c r="AP530" s="19"/>
      <c r="AQ530" s="26">
        <f t="shared" si="83"/>
        <v>0</v>
      </c>
      <c r="AR530" s="26"/>
    </row>
    <row r="531" spans="1:44">
      <c r="A531" s="9" t="s">
        <v>461</v>
      </c>
      <c r="B531" s="9"/>
      <c r="C531" s="9" t="s">
        <v>56</v>
      </c>
      <c r="D531" s="9"/>
      <c r="E531" s="23">
        <v>49239</v>
      </c>
      <c r="F531" s="19"/>
      <c r="G531" s="19">
        <v>14809836</v>
      </c>
      <c r="H531" s="19"/>
      <c r="I531" s="19">
        <v>0</v>
      </c>
      <c r="J531" s="19"/>
      <c r="K531" s="19">
        <v>9076948</v>
      </c>
      <c r="L531" s="19"/>
      <c r="M531" s="19">
        <v>4513</v>
      </c>
      <c r="N531" s="19"/>
      <c r="O531" s="19">
        <f>282583+4650+423013</f>
        <v>710246</v>
      </c>
      <c r="P531" s="19"/>
      <c r="Q531" s="19">
        <v>325421</v>
      </c>
      <c r="R531" s="19"/>
      <c r="S531" s="19">
        <v>210811</v>
      </c>
      <c r="T531" s="19"/>
      <c r="U531" s="19">
        <v>10142</v>
      </c>
      <c r="V531" s="19"/>
      <c r="W531" s="19">
        <v>139012</v>
      </c>
      <c r="X531" s="19"/>
      <c r="Y531" s="26">
        <f t="shared" si="82"/>
        <v>25286929</v>
      </c>
      <c r="Z531" s="19"/>
      <c r="AA531" s="19">
        <v>23493</v>
      </c>
      <c r="AB531" s="19"/>
      <c r="AC531" s="19">
        <v>0</v>
      </c>
      <c r="AD531" s="19"/>
      <c r="AE531" s="19">
        <v>0</v>
      </c>
      <c r="AF531" s="19"/>
      <c r="AG531" s="19"/>
      <c r="AH531" s="19"/>
      <c r="AI531" s="19"/>
      <c r="AJ531" s="19"/>
      <c r="AK531" s="19">
        <v>726</v>
      </c>
      <c r="AL531" s="19"/>
      <c r="AM531" s="19">
        <v>0</v>
      </c>
      <c r="AN531" s="19"/>
      <c r="AO531" s="26">
        <f t="shared" ref="AO531:AO562" si="85">AK531+AE531+AA531</f>
        <v>24219</v>
      </c>
      <c r="AP531" s="19"/>
      <c r="AQ531" s="26">
        <f t="shared" si="83"/>
        <v>25311148</v>
      </c>
      <c r="AR531" s="26"/>
    </row>
    <row r="532" spans="1:44">
      <c r="A532" s="9" t="s">
        <v>277</v>
      </c>
      <c r="B532" s="9"/>
      <c r="C532" s="9" t="s">
        <v>20</v>
      </c>
      <c r="D532" s="9"/>
      <c r="E532" s="23">
        <v>44842</v>
      </c>
      <c r="F532" s="19"/>
      <c r="G532" s="19">
        <v>50160964</v>
      </c>
      <c r="H532" s="19"/>
      <c r="I532" s="19">
        <v>0</v>
      </c>
      <c r="J532" s="19"/>
      <c r="K532" s="19">
        <v>22916140</v>
      </c>
      <c r="L532" s="19"/>
      <c r="M532" s="19">
        <v>23557</v>
      </c>
      <c r="N532" s="19"/>
      <c r="O532" s="19">
        <f>964944+948649</f>
        <v>1913593</v>
      </c>
      <c r="P532" s="19"/>
      <c r="Q532" s="19">
        <v>614304</v>
      </c>
      <c r="R532" s="19"/>
      <c r="S532" s="19">
        <v>2037264</v>
      </c>
      <c r="T532" s="19"/>
      <c r="U532" s="19">
        <v>0</v>
      </c>
      <c r="V532" s="19"/>
      <c r="W532" s="19">
        <v>396775</v>
      </c>
      <c r="X532" s="19"/>
      <c r="Y532" s="26">
        <f t="shared" si="82"/>
        <v>78062597</v>
      </c>
      <c r="Z532" s="19"/>
      <c r="AA532" s="19">
        <v>422250</v>
      </c>
      <c r="AB532" s="19"/>
      <c r="AC532" s="19">
        <v>0</v>
      </c>
      <c r="AD532" s="19"/>
      <c r="AE532" s="19">
        <v>81000000</v>
      </c>
      <c r="AF532" s="19"/>
      <c r="AG532" s="19"/>
      <c r="AH532" s="19"/>
      <c r="AI532" s="19"/>
      <c r="AJ532" s="19"/>
      <c r="AK532" s="19">
        <f>3578702+23040</f>
        <v>3601742</v>
      </c>
      <c r="AL532" s="19"/>
      <c r="AM532" s="19">
        <v>0</v>
      </c>
      <c r="AN532" s="19"/>
      <c r="AO532" s="26">
        <f t="shared" si="85"/>
        <v>85023992</v>
      </c>
      <c r="AP532" s="19"/>
      <c r="AQ532" s="26">
        <f t="shared" si="83"/>
        <v>163086589</v>
      </c>
      <c r="AR532" s="26"/>
    </row>
    <row r="533" spans="1:44">
      <c r="A533" s="9" t="s">
        <v>404</v>
      </c>
      <c r="B533" s="9"/>
      <c r="C533" s="9" t="s">
        <v>45</v>
      </c>
      <c r="D533" s="9"/>
      <c r="E533" s="23">
        <v>44859</v>
      </c>
      <c r="F533" s="19"/>
      <c r="G533" s="19">
        <v>4580959</v>
      </c>
      <c r="H533" s="19"/>
      <c r="I533" s="19">
        <v>0</v>
      </c>
      <c r="J533" s="19"/>
      <c r="K533" s="19">
        <v>13960950</v>
      </c>
      <c r="L533" s="19"/>
      <c r="M533" s="19">
        <v>7973</v>
      </c>
      <c r="N533" s="19"/>
      <c r="O533" s="19">
        <f>1063300+166821+54381</f>
        <v>1284502</v>
      </c>
      <c r="P533" s="19"/>
      <c r="Q533" s="19">
        <v>296533</v>
      </c>
      <c r="R533" s="19"/>
      <c r="S533" s="19">
        <v>0</v>
      </c>
      <c r="T533" s="19"/>
      <c r="U533" s="19">
        <v>81589</v>
      </c>
      <c r="V533" s="19"/>
      <c r="W533" s="19">
        <v>35333</v>
      </c>
      <c r="X533" s="19"/>
      <c r="Y533" s="26">
        <f t="shared" si="82"/>
        <v>20247839</v>
      </c>
      <c r="Z533" s="19"/>
      <c r="AA533" s="19">
        <v>77912</v>
      </c>
      <c r="AB533" s="19"/>
      <c r="AC533" s="19">
        <v>0</v>
      </c>
      <c r="AD533" s="19"/>
      <c r="AE533" s="19">
        <v>0</v>
      </c>
      <c r="AF533" s="19"/>
      <c r="AG533" s="19"/>
      <c r="AH533" s="19"/>
      <c r="AI533" s="19"/>
      <c r="AJ533" s="19"/>
      <c r="AK533" s="19">
        <v>0</v>
      </c>
      <c r="AL533" s="19"/>
      <c r="AM533" s="19">
        <v>0</v>
      </c>
      <c r="AN533" s="19"/>
      <c r="AO533" s="26">
        <f t="shared" si="85"/>
        <v>77912</v>
      </c>
      <c r="AP533" s="19"/>
      <c r="AQ533" s="26">
        <f t="shared" si="83"/>
        <v>20325751</v>
      </c>
      <c r="AR533" s="26"/>
    </row>
    <row r="534" spans="1:44" hidden="1">
      <c r="A534" s="9" t="s">
        <v>906</v>
      </c>
      <c r="B534" s="9"/>
      <c r="C534" s="9" t="s">
        <v>548</v>
      </c>
      <c r="D534" s="9"/>
      <c r="E534" s="23">
        <v>50658</v>
      </c>
      <c r="F534" s="19"/>
      <c r="G534" s="19">
        <v>0</v>
      </c>
      <c r="H534" s="19"/>
      <c r="I534" s="19">
        <v>0</v>
      </c>
      <c r="J534" s="19"/>
      <c r="K534" s="19">
        <v>0</v>
      </c>
      <c r="L534" s="19"/>
      <c r="M534" s="19">
        <v>0</v>
      </c>
      <c r="N534" s="19"/>
      <c r="O534" s="19">
        <v>0</v>
      </c>
      <c r="P534" s="19"/>
      <c r="Q534" s="19">
        <v>0</v>
      </c>
      <c r="R534" s="19"/>
      <c r="S534" s="19">
        <v>0</v>
      </c>
      <c r="T534" s="19"/>
      <c r="U534" s="19">
        <v>0</v>
      </c>
      <c r="V534" s="19"/>
      <c r="W534" s="19">
        <v>0</v>
      </c>
      <c r="X534" s="19"/>
      <c r="Y534" s="26">
        <f t="shared" si="82"/>
        <v>0</v>
      </c>
      <c r="Z534" s="19"/>
      <c r="AA534" s="19">
        <v>0</v>
      </c>
      <c r="AB534" s="19"/>
      <c r="AC534" s="19">
        <v>0</v>
      </c>
      <c r="AD534" s="19"/>
      <c r="AE534" s="19">
        <v>0</v>
      </c>
      <c r="AF534" s="19"/>
      <c r="AG534" s="19"/>
      <c r="AH534" s="19"/>
      <c r="AI534" s="19"/>
      <c r="AJ534" s="19"/>
      <c r="AK534" s="19">
        <v>0</v>
      </c>
      <c r="AL534" s="19"/>
      <c r="AM534" s="19">
        <v>0</v>
      </c>
      <c r="AN534" s="19"/>
      <c r="AO534" s="26">
        <f t="shared" si="85"/>
        <v>0</v>
      </c>
      <c r="AP534" s="19"/>
      <c r="AQ534" s="26">
        <f t="shared" si="83"/>
        <v>0</v>
      </c>
      <c r="AR534" s="26"/>
    </row>
    <row r="535" spans="1:44">
      <c r="A535" s="9" t="s">
        <v>310</v>
      </c>
      <c r="B535" s="9"/>
      <c r="C535" s="9" t="s">
        <v>28</v>
      </c>
      <c r="D535" s="9"/>
      <c r="E535" s="23">
        <v>47092</v>
      </c>
      <c r="F535" s="19"/>
      <c r="G535" s="19">
        <v>5645504</v>
      </c>
      <c r="H535" s="19"/>
      <c r="I535" s="19">
        <v>1569155</v>
      </c>
      <c r="J535" s="19"/>
      <c r="K535" s="19">
        <v>6111537</v>
      </c>
      <c r="L535" s="19"/>
      <c r="M535" s="19">
        <v>36719</v>
      </c>
      <c r="N535" s="19"/>
      <c r="O535" s="19">
        <f>615586+200147</f>
        <v>815733</v>
      </c>
      <c r="P535" s="19"/>
      <c r="Q535" s="19">
        <v>138828</v>
      </c>
      <c r="R535" s="19"/>
      <c r="S535" s="19">
        <v>0</v>
      </c>
      <c r="T535" s="19"/>
      <c r="U535" s="19">
        <v>15241</v>
      </c>
      <c r="V535" s="19"/>
      <c r="W535" s="19">
        <v>355161</v>
      </c>
      <c r="X535" s="19"/>
      <c r="Y535" s="26">
        <f t="shared" si="82"/>
        <v>14687878</v>
      </c>
      <c r="Z535" s="19"/>
      <c r="AA535" s="19">
        <v>22000</v>
      </c>
      <c r="AB535" s="19"/>
      <c r="AC535" s="19">
        <v>0</v>
      </c>
      <c r="AD535" s="19"/>
      <c r="AE535" s="19">
        <v>1320000</v>
      </c>
      <c r="AF535" s="19"/>
      <c r="AG535" s="19"/>
      <c r="AH535" s="19"/>
      <c r="AI535" s="19"/>
      <c r="AJ535" s="19"/>
      <c r="AK535" s="19">
        <v>1250</v>
      </c>
      <c r="AL535" s="19"/>
      <c r="AM535" s="19">
        <v>0</v>
      </c>
      <c r="AN535" s="19"/>
      <c r="AO535" s="26">
        <f t="shared" si="85"/>
        <v>1343250</v>
      </c>
      <c r="AP535" s="19"/>
      <c r="AQ535" s="26">
        <f t="shared" si="83"/>
        <v>16031128</v>
      </c>
      <c r="AR535" s="26"/>
    </row>
    <row r="536" spans="1:44">
      <c r="A536" s="9" t="s">
        <v>623</v>
      </c>
      <c r="B536" s="9"/>
      <c r="C536" s="9" t="s">
        <v>49</v>
      </c>
      <c r="D536" s="9"/>
      <c r="E536" s="23">
        <v>48652</v>
      </c>
      <c r="F536" s="19"/>
      <c r="G536" s="19">
        <v>12376563</v>
      </c>
      <c r="H536" s="19"/>
      <c r="I536" s="19">
        <v>0</v>
      </c>
      <c r="J536" s="19"/>
      <c r="K536" s="19">
        <v>20897636</v>
      </c>
      <c r="L536" s="19"/>
      <c r="M536" s="19">
        <v>163049</v>
      </c>
      <c r="N536" s="19"/>
      <c r="O536" s="19">
        <f>131522+7716+268288</f>
        <v>407526</v>
      </c>
      <c r="P536" s="19"/>
      <c r="Q536" s="19">
        <v>190873</v>
      </c>
      <c r="R536" s="19"/>
      <c r="S536" s="19">
        <v>0</v>
      </c>
      <c r="T536" s="19"/>
      <c r="U536" s="19">
        <v>55719</v>
      </c>
      <c r="V536" s="19"/>
      <c r="W536" s="19">
        <v>279292</v>
      </c>
      <c r="X536" s="19"/>
      <c r="Y536" s="26">
        <f t="shared" si="82"/>
        <v>34370658</v>
      </c>
      <c r="Z536" s="19"/>
      <c r="AA536" s="19">
        <v>63</v>
      </c>
      <c r="AB536" s="19"/>
      <c r="AC536" s="19">
        <v>0</v>
      </c>
      <c r="AD536" s="19"/>
      <c r="AE536" s="19">
        <f>21915+24500000+578695</f>
        <v>25100610</v>
      </c>
      <c r="AF536" s="19"/>
      <c r="AG536" s="19"/>
      <c r="AH536" s="19"/>
      <c r="AI536" s="19"/>
      <c r="AJ536" s="19"/>
      <c r="AK536" s="19">
        <f>375403+6737</f>
        <v>382140</v>
      </c>
      <c r="AL536" s="19"/>
      <c r="AM536" s="19">
        <v>0</v>
      </c>
      <c r="AN536" s="19"/>
      <c r="AO536" s="26">
        <f t="shared" si="85"/>
        <v>25482813</v>
      </c>
      <c r="AP536" s="19"/>
      <c r="AQ536" s="26">
        <f t="shared" si="83"/>
        <v>59853471</v>
      </c>
      <c r="AR536" s="26"/>
    </row>
    <row r="537" spans="1:44">
      <c r="A537" s="8" t="s">
        <v>828</v>
      </c>
      <c r="B537" s="9"/>
      <c r="C537" s="9" t="s">
        <v>32</v>
      </c>
      <c r="D537" s="9"/>
      <c r="E537" s="23">
        <v>44867</v>
      </c>
      <c r="F537" s="19"/>
      <c r="G537" s="19">
        <v>54114646</v>
      </c>
      <c r="H537" s="19"/>
      <c r="I537" s="19">
        <v>0</v>
      </c>
      <c r="J537" s="19"/>
      <c r="K537" s="19">
        <v>22259688</v>
      </c>
      <c r="L537" s="19"/>
      <c r="M537" s="19">
        <v>20818</v>
      </c>
      <c r="N537" s="19"/>
      <c r="O537" s="19">
        <f>1064693+1642690</f>
        <v>2707383</v>
      </c>
      <c r="P537" s="19"/>
      <c r="Q537" s="19">
        <v>534729</v>
      </c>
      <c r="R537" s="19"/>
      <c r="S537" s="19">
        <v>1439177</v>
      </c>
      <c r="T537" s="19"/>
      <c r="U537" s="19">
        <v>0</v>
      </c>
      <c r="V537" s="19"/>
      <c r="W537" s="19">
        <v>1030639</v>
      </c>
      <c r="X537" s="19"/>
      <c r="Y537" s="26">
        <f t="shared" si="82"/>
        <v>82107080</v>
      </c>
      <c r="Z537" s="19"/>
      <c r="AA537" s="19">
        <v>3421334</v>
      </c>
      <c r="AB537" s="19"/>
      <c r="AC537" s="19">
        <v>0</v>
      </c>
      <c r="AD537" s="19"/>
      <c r="AE537" s="19">
        <v>3965000</v>
      </c>
      <c r="AF537" s="19"/>
      <c r="AG537" s="19"/>
      <c r="AH537" s="19"/>
      <c r="AI537" s="19"/>
      <c r="AJ537" s="19"/>
      <c r="AK537" s="19">
        <f>427256+50518</f>
        <v>477774</v>
      </c>
      <c r="AL537" s="19"/>
      <c r="AM537" s="19">
        <v>0</v>
      </c>
      <c r="AN537" s="19"/>
      <c r="AO537" s="26">
        <f t="shared" si="85"/>
        <v>7864108</v>
      </c>
      <c r="AP537" s="19"/>
      <c r="AQ537" s="26">
        <f t="shared" si="83"/>
        <v>89971188</v>
      </c>
      <c r="AR537" s="26"/>
    </row>
    <row r="538" spans="1:44">
      <c r="A538" s="9" t="s">
        <v>391</v>
      </c>
      <c r="B538" s="9"/>
      <c r="C538" s="9" t="s">
        <v>114</v>
      </c>
      <c r="D538" s="9"/>
      <c r="E538" s="23">
        <v>44875</v>
      </c>
      <c r="F538" s="19"/>
      <c r="G538" s="19">
        <v>61110516</v>
      </c>
      <c r="H538" s="19"/>
      <c r="I538" s="19">
        <v>0</v>
      </c>
      <c r="J538" s="19"/>
      <c r="K538" s="19">
        <f>24021850+3759704</f>
        <v>27781554</v>
      </c>
      <c r="L538" s="19"/>
      <c r="M538" s="19">
        <v>25992</v>
      </c>
      <c r="N538" s="19"/>
      <c r="O538" s="19">
        <f>863327+41078+761741+457932+51828+98837</f>
        <v>2274743</v>
      </c>
      <c r="P538" s="19"/>
      <c r="Q538" s="19">
        <v>804261</v>
      </c>
      <c r="R538" s="19"/>
      <c r="S538" s="19">
        <v>372462</v>
      </c>
      <c r="T538" s="19"/>
      <c r="U538" s="19">
        <v>81859</v>
      </c>
      <c r="V538" s="19"/>
      <c r="W538" s="19">
        <v>1195912</v>
      </c>
      <c r="X538" s="19"/>
      <c r="Y538" s="26">
        <f t="shared" si="82"/>
        <v>93647299</v>
      </c>
      <c r="Z538" s="19"/>
      <c r="AA538" s="19">
        <v>184934</v>
      </c>
      <c r="AB538" s="19"/>
      <c r="AC538" s="19">
        <v>0</v>
      </c>
      <c r="AD538" s="19"/>
      <c r="AE538" s="19">
        <v>0</v>
      </c>
      <c r="AF538" s="19"/>
      <c r="AG538" s="19"/>
      <c r="AH538" s="19"/>
      <c r="AI538" s="19"/>
      <c r="AJ538" s="19"/>
      <c r="AK538" s="19">
        <v>32871</v>
      </c>
      <c r="AL538" s="19"/>
      <c r="AM538" s="19">
        <v>0</v>
      </c>
      <c r="AN538" s="19"/>
      <c r="AO538" s="26">
        <f t="shared" si="85"/>
        <v>217805</v>
      </c>
      <c r="AP538" s="19"/>
      <c r="AQ538" s="26">
        <f t="shared" si="83"/>
        <v>93865104</v>
      </c>
      <c r="AR538" s="26"/>
    </row>
    <row r="539" spans="1:44">
      <c r="A539" s="9" t="s">
        <v>370</v>
      </c>
      <c r="B539" s="9"/>
      <c r="C539" s="9" t="s">
        <v>364</v>
      </c>
      <c r="D539" s="9"/>
      <c r="E539" s="23">
        <v>47969</v>
      </c>
      <c r="F539" s="19"/>
      <c r="G539" s="19">
        <v>1072913</v>
      </c>
      <c r="H539" s="19"/>
      <c r="I539" s="19">
        <v>0</v>
      </c>
      <c r="J539" s="19"/>
      <c r="K539" s="19">
        <v>6960781</v>
      </c>
      <c r="L539" s="19"/>
      <c r="M539" s="19">
        <v>31125</v>
      </c>
      <c r="N539" s="19"/>
      <c r="O539" s="19">
        <f>713945+100250</f>
        <v>814195</v>
      </c>
      <c r="P539" s="19"/>
      <c r="Q539" s="19">
        <v>84234</v>
      </c>
      <c r="R539" s="19"/>
      <c r="S539" s="19">
        <v>4784</v>
      </c>
      <c r="T539" s="19"/>
      <c r="U539" s="19">
        <v>22194</v>
      </c>
      <c r="V539" s="19"/>
      <c r="W539" s="19">
        <v>57039</v>
      </c>
      <c r="X539" s="19"/>
      <c r="Y539" s="26">
        <f t="shared" si="82"/>
        <v>9047265</v>
      </c>
      <c r="Z539" s="19"/>
      <c r="AA539" s="19">
        <v>4401</v>
      </c>
      <c r="AB539" s="19"/>
      <c r="AC539" s="19">
        <v>0</v>
      </c>
      <c r="AD539" s="19"/>
      <c r="AE539" s="19">
        <v>0</v>
      </c>
      <c r="AF539" s="19"/>
      <c r="AG539" s="19"/>
      <c r="AH539" s="19"/>
      <c r="AI539" s="19"/>
      <c r="AJ539" s="19"/>
      <c r="AK539" s="19">
        <v>31205</v>
      </c>
      <c r="AL539" s="19"/>
      <c r="AM539" s="19">
        <v>0</v>
      </c>
      <c r="AN539" s="19"/>
      <c r="AO539" s="26">
        <f t="shared" si="85"/>
        <v>35606</v>
      </c>
      <c r="AP539" s="19"/>
      <c r="AQ539" s="26">
        <f t="shared" si="83"/>
        <v>9082871</v>
      </c>
      <c r="AR539" s="26"/>
    </row>
    <row r="540" spans="1:44">
      <c r="A540" s="9" t="s">
        <v>711</v>
      </c>
      <c r="B540" s="9"/>
      <c r="C540" s="9" t="s">
        <v>220</v>
      </c>
      <c r="D540" s="9"/>
      <c r="E540" s="23">
        <v>46151</v>
      </c>
      <c r="F540" s="19"/>
      <c r="G540" s="19">
        <v>25285609</v>
      </c>
      <c r="H540" s="19"/>
      <c r="I540" s="19">
        <v>0</v>
      </c>
      <c r="J540" s="19"/>
      <c r="K540" s="19">
        <v>12833059</v>
      </c>
      <c r="L540" s="19"/>
      <c r="M540" s="19">
        <v>25740</v>
      </c>
      <c r="N540" s="19"/>
      <c r="O540" s="19">
        <f>1319777+494939</f>
        <v>1814716</v>
      </c>
      <c r="P540" s="19"/>
      <c r="Q540" s="19">
        <v>0</v>
      </c>
      <c r="R540" s="19"/>
      <c r="S540" s="19">
        <v>0</v>
      </c>
      <c r="T540" s="19"/>
      <c r="U540" s="19">
        <v>0</v>
      </c>
      <c r="V540" s="19"/>
      <c r="W540" s="19">
        <v>737767</v>
      </c>
      <c r="X540" s="19"/>
      <c r="Y540" s="26">
        <f t="shared" ref="Y540:Y562" si="86">SUM(G540:W540)</f>
        <v>40696891</v>
      </c>
      <c r="Z540" s="19"/>
      <c r="AA540" s="19">
        <v>0</v>
      </c>
      <c r="AB540" s="19"/>
      <c r="AC540" s="19">
        <v>0</v>
      </c>
      <c r="AD540" s="19"/>
      <c r="AE540" s="19">
        <v>1490000</v>
      </c>
      <c r="AF540" s="19"/>
      <c r="AG540" s="19"/>
      <c r="AH540" s="19"/>
      <c r="AI540" s="19"/>
      <c r="AJ540" s="19"/>
      <c r="AK540" s="19">
        <v>113358</v>
      </c>
      <c r="AL540" s="19"/>
      <c r="AM540" s="19">
        <v>0</v>
      </c>
      <c r="AN540" s="19"/>
      <c r="AO540" s="26">
        <f t="shared" si="85"/>
        <v>1603358</v>
      </c>
      <c r="AP540" s="19"/>
      <c r="AQ540" s="26">
        <f t="shared" si="83"/>
        <v>42300249</v>
      </c>
      <c r="AR540" s="26"/>
    </row>
    <row r="541" spans="1:44">
      <c r="A541" s="9" t="s">
        <v>511</v>
      </c>
      <c r="B541" s="9"/>
      <c r="C541" s="9" t="s">
        <v>63</v>
      </c>
      <c r="D541" s="9"/>
      <c r="E541" s="23">
        <v>44883</v>
      </c>
      <c r="F541" s="19"/>
      <c r="G541" s="19">
        <v>15377728</v>
      </c>
      <c r="H541" s="19"/>
      <c r="I541" s="19">
        <v>0</v>
      </c>
      <c r="J541" s="19"/>
      <c r="K541" s="19">
        <v>12089275</v>
      </c>
      <c r="L541" s="19"/>
      <c r="M541" s="19">
        <v>6673</v>
      </c>
      <c r="N541" s="19"/>
      <c r="O541" s="19">
        <f>461508+77692+758334</f>
        <v>1297534</v>
      </c>
      <c r="P541" s="19"/>
      <c r="Q541" s="19">
        <v>467211</v>
      </c>
      <c r="R541" s="19"/>
      <c r="S541" s="19">
        <v>0</v>
      </c>
      <c r="T541" s="19"/>
      <c r="U541" s="19">
        <v>136875</v>
      </c>
      <c r="V541" s="19"/>
      <c r="W541" s="19">
        <v>609587</v>
      </c>
      <c r="X541" s="19"/>
      <c r="Y541" s="26">
        <f t="shared" si="86"/>
        <v>29984883</v>
      </c>
      <c r="Z541" s="19"/>
      <c r="AA541" s="19">
        <v>300000</v>
      </c>
      <c r="AB541" s="19"/>
      <c r="AC541" s="19">
        <v>0</v>
      </c>
      <c r="AD541" s="19"/>
      <c r="AE541" s="19">
        <v>0</v>
      </c>
      <c r="AF541" s="19"/>
      <c r="AG541" s="19"/>
      <c r="AH541" s="19"/>
      <c r="AI541" s="19"/>
      <c r="AJ541" s="19"/>
      <c r="AK541" s="19">
        <v>2000</v>
      </c>
      <c r="AL541" s="19"/>
      <c r="AM541" s="19">
        <v>0</v>
      </c>
      <c r="AN541" s="19"/>
      <c r="AO541" s="26">
        <f t="shared" si="85"/>
        <v>302000</v>
      </c>
      <c r="AP541" s="19"/>
      <c r="AQ541" s="26">
        <f t="shared" si="83"/>
        <v>30286883</v>
      </c>
      <c r="AR541" s="26"/>
    </row>
    <row r="542" spans="1:44">
      <c r="A542" s="9" t="s">
        <v>451</v>
      </c>
      <c r="B542" s="9"/>
      <c r="C542" s="9" t="s">
        <v>54</v>
      </c>
      <c r="D542" s="9"/>
      <c r="E542" s="23">
        <v>49098</v>
      </c>
      <c r="F542" s="19"/>
      <c r="G542" s="19">
        <v>12257642</v>
      </c>
      <c r="H542" s="19"/>
      <c r="I542" s="19">
        <v>4110494</v>
      </c>
      <c r="J542" s="19"/>
      <c r="K542" s="19">
        <f>108008+17674857+1861747</f>
        <v>19644612</v>
      </c>
      <c r="L542" s="19"/>
      <c r="M542" s="19">
        <v>52018</v>
      </c>
      <c r="N542" s="19"/>
      <c r="O542" s="19">
        <f>673812+722635+311512+14800</f>
        <v>1722759</v>
      </c>
      <c r="P542" s="19"/>
      <c r="Q542" s="19">
        <v>367908</v>
      </c>
      <c r="R542" s="19"/>
      <c r="S542" s="19">
        <v>23873</v>
      </c>
      <c r="T542" s="19"/>
      <c r="U542" s="19">
        <v>145494</v>
      </c>
      <c r="V542" s="19"/>
      <c r="W542" s="19">
        <v>15069</v>
      </c>
      <c r="X542" s="19"/>
      <c r="Y542" s="26">
        <f t="shared" si="86"/>
        <v>38339869</v>
      </c>
      <c r="Z542" s="19"/>
      <c r="AA542" s="19">
        <v>0</v>
      </c>
      <c r="AB542" s="19"/>
      <c r="AC542" s="19">
        <v>0</v>
      </c>
      <c r="AD542" s="19"/>
      <c r="AE542" s="19">
        <v>0</v>
      </c>
      <c r="AF542" s="19"/>
      <c r="AG542" s="19"/>
      <c r="AH542" s="19"/>
      <c r="AI542" s="19"/>
      <c r="AJ542" s="19"/>
      <c r="AK542" s="19">
        <v>7830</v>
      </c>
      <c r="AL542" s="19"/>
      <c r="AM542" s="19">
        <v>0</v>
      </c>
      <c r="AN542" s="19"/>
      <c r="AO542" s="26">
        <f t="shared" si="85"/>
        <v>7830</v>
      </c>
      <c r="AP542" s="19"/>
      <c r="AQ542" s="26">
        <f t="shared" si="83"/>
        <v>38347699</v>
      </c>
      <c r="AR542" s="26"/>
    </row>
    <row r="543" spans="1:44">
      <c r="A543" s="9" t="s">
        <v>234</v>
      </c>
      <c r="B543" s="9"/>
      <c r="C543" s="9" t="s">
        <v>17</v>
      </c>
      <c r="D543" s="9"/>
      <c r="E543" s="23">
        <v>46243</v>
      </c>
      <c r="F543" s="19"/>
      <c r="G543" s="19">
        <v>9213272</v>
      </c>
      <c r="H543" s="19"/>
      <c r="I543" s="19">
        <v>0</v>
      </c>
      <c r="J543" s="19"/>
      <c r="K543" s="19">
        <v>20469559</v>
      </c>
      <c r="L543" s="19"/>
      <c r="M543" s="19">
        <v>9447</v>
      </c>
      <c r="N543" s="19"/>
      <c r="O543" s="19">
        <f>1561651+17112+570352</f>
        <v>2149115</v>
      </c>
      <c r="P543" s="19"/>
      <c r="Q543" s="19">
        <v>252219</v>
      </c>
      <c r="R543" s="19"/>
      <c r="S543" s="19">
        <v>0</v>
      </c>
      <c r="T543" s="19"/>
      <c r="U543" s="19">
        <v>30647</v>
      </c>
      <c r="V543" s="19"/>
      <c r="W543" s="19">
        <v>107806</v>
      </c>
      <c r="X543" s="19"/>
      <c r="Y543" s="26">
        <f t="shared" si="86"/>
        <v>32232065</v>
      </c>
      <c r="Z543" s="19"/>
      <c r="AA543" s="19">
        <v>0</v>
      </c>
      <c r="AB543" s="19"/>
      <c r="AC543" s="19">
        <v>0</v>
      </c>
      <c r="AD543" s="19"/>
      <c r="AE543" s="19">
        <v>14864988</v>
      </c>
      <c r="AF543" s="19"/>
      <c r="AG543" s="19"/>
      <c r="AH543" s="19"/>
      <c r="AI543" s="19"/>
      <c r="AJ543" s="19"/>
      <c r="AK543" s="19">
        <f>18050+1638947+1596450</f>
        <v>3253447</v>
      </c>
      <c r="AL543" s="19"/>
      <c r="AM543" s="19">
        <v>0</v>
      </c>
      <c r="AN543" s="19"/>
      <c r="AO543" s="26">
        <f t="shared" si="85"/>
        <v>18118435</v>
      </c>
      <c r="AP543" s="19"/>
      <c r="AQ543" s="26">
        <f t="shared" si="83"/>
        <v>50350500</v>
      </c>
      <c r="AR543" s="26"/>
    </row>
    <row r="544" spans="1:44">
      <c r="A544" s="9" t="s">
        <v>719</v>
      </c>
      <c r="B544" s="9"/>
      <c r="C544" s="9" t="s">
        <v>32</v>
      </c>
      <c r="D544" s="9"/>
      <c r="E544" s="23">
        <v>47399</v>
      </c>
      <c r="F544" s="19"/>
      <c r="G544" s="19">
        <v>13008681</v>
      </c>
      <c r="H544" s="19"/>
      <c r="I544" s="19">
        <v>0</v>
      </c>
      <c r="J544" s="19"/>
      <c r="K544" s="19">
        <v>9750645</v>
      </c>
      <c r="L544" s="19"/>
      <c r="M544" s="19">
        <v>72414</v>
      </c>
      <c r="N544" s="19"/>
      <c r="O544" s="19">
        <f>498422+351595</f>
        <v>850017</v>
      </c>
      <c r="P544" s="19"/>
      <c r="Q544" s="19">
        <v>218496</v>
      </c>
      <c r="R544" s="19"/>
      <c r="S544" s="19">
        <v>2476254</v>
      </c>
      <c r="T544" s="19"/>
      <c r="U544" s="19">
        <v>0</v>
      </c>
      <c r="V544" s="19"/>
      <c r="W544" s="19">
        <v>2256113</v>
      </c>
      <c r="X544" s="19"/>
      <c r="Y544" s="26">
        <f t="shared" si="86"/>
        <v>28632620</v>
      </c>
      <c r="Z544" s="19"/>
      <c r="AA544" s="19">
        <v>253327</v>
      </c>
      <c r="AB544" s="19"/>
      <c r="AC544" s="19">
        <v>0</v>
      </c>
      <c r="AD544" s="19"/>
      <c r="AE544" s="19">
        <v>0</v>
      </c>
      <c r="AF544" s="19"/>
      <c r="AG544" s="19"/>
      <c r="AH544" s="19"/>
      <c r="AI544" s="19"/>
      <c r="AJ544" s="19"/>
      <c r="AK544" s="19">
        <v>39234</v>
      </c>
      <c r="AL544" s="19"/>
      <c r="AM544" s="19">
        <v>0</v>
      </c>
      <c r="AN544" s="19"/>
      <c r="AO544" s="26">
        <f t="shared" si="85"/>
        <v>292561</v>
      </c>
      <c r="AP544" s="19"/>
      <c r="AQ544" s="26">
        <f t="shared" si="83"/>
        <v>28925181</v>
      </c>
      <c r="AR544" s="26"/>
    </row>
    <row r="545" spans="1:44">
      <c r="A545" s="9" t="s">
        <v>485</v>
      </c>
      <c r="B545" s="9"/>
      <c r="C545" s="9" t="s">
        <v>60</v>
      </c>
      <c r="D545" s="9"/>
      <c r="E545" s="23">
        <v>44891</v>
      </c>
      <c r="F545" s="19"/>
      <c r="G545" s="19">
        <v>7921838</v>
      </c>
      <c r="H545" s="19"/>
      <c r="I545" s="19">
        <v>0</v>
      </c>
      <c r="J545" s="19"/>
      <c r="K545" s="19">
        <f>11866426+2028574</f>
        <v>13895000</v>
      </c>
      <c r="L545" s="19"/>
      <c r="M545" s="19">
        <v>8213</v>
      </c>
      <c r="N545" s="19"/>
      <c r="O545" s="19">
        <f>1054567+65028+238009+73348+30287+126555</f>
        <v>1587794</v>
      </c>
      <c r="P545" s="19"/>
      <c r="Q545" s="19">
        <v>399151</v>
      </c>
      <c r="R545" s="19"/>
      <c r="S545" s="19">
        <v>39957</v>
      </c>
      <c r="T545" s="19"/>
      <c r="U545" s="19">
        <v>156596</v>
      </c>
      <c r="V545" s="19"/>
      <c r="W545" s="19">
        <v>94835</v>
      </c>
      <c r="X545" s="19"/>
      <c r="Y545" s="26">
        <f t="shared" si="86"/>
        <v>24103384</v>
      </c>
      <c r="Z545" s="19"/>
      <c r="AA545" s="19">
        <v>0</v>
      </c>
      <c r="AB545" s="19"/>
      <c r="AC545" s="19">
        <v>0</v>
      </c>
      <c r="AD545" s="19"/>
      <c r="AE545" s="19">
        <v>0</v>
      </c>
      <c r="AF545" s="19"/>
      <c r="AG545" s="19"/>
      <c r="AH545" s="19"/>
      <c r="AI545" s="19"/>
      <c r="AJ545" s="19"/>
      <c r="AK545" s="19">
        <v>235780</v>
      </c>
      <c r="AL545" s="19"/>
      <c r="AM545" s="19">
        <v>0</v>
      </c>
      <c r="AN545" s="19"/>
      <c r="AO545" s="26">
        <f t="shared" si="85"/>
        <v>235780</v>
      </c>
      <c r="AP545" s="19"/>
      <c r="AQ545" s="26">
        <f t="shared" si="83"/>
        <v>24339164</v>
      </c>
      <c r="AR545" s="26"/>
    </row>
    <row r="546" spans="1:44">
      <c r="A546" s="9" t="s">
        <v>772</v>
      </c>
      <c r="B546" s="9"/>
      <c r="C546" s="9" t="s">
        <v>48</v>
      </c>
      <c r="D546" s="9"/>
      <c r="E546" s="23">
        <v>45617</v>
      </c>
      <c r="F546" s="19"/>
      <c r="G546" s="19">
        <v>12520678</v>
      </c>
      <c r="H546" s="19"/>
      <c r="I546" s="19">
        <v>0</v>
      </c>
      <c r="J546" s="19"/>
      <c r="K546" s="19">
        <f>9653381+967616</f>
        <v>10620997</v>
      </c>
      <c r="L546" s="19"/>
      <c r="M546" s="19">
        <v>4377</v>
      </c>
      <c r="N546" s="19"/>
      <c r="O546" s="19">
        <f>817160+465087</f>
        <v>1282247</v>
      </c>
      <c r="P546" s="19"/>
      <c r="Q546" s="19">
        <v>824432</v>
      </c>
      <c r="R546" s="19"/>
      <c r="S546" s="19">
        <v>0</v>
      </c>
      <c r="T546" s="19"/>
      <c r="U546" s="19">
        <v>0</v>
      </c>
      <c r="V546" s="19"/>
      <c r="W546" s="19">
        <v>311881</v>
      </c>
      <c r="X546" s="19"/>
      <c r="Y546" s="26">
        <f t="shared" si="86"/>
        <v>25564612</v>
      </c>
      <c r="Z546" s="19"/>
      <c r="AA546" s="19">
        <v>49</v>
      </c>
      <c r="AB546" s="19"/>
      <c r="AC546" s="19">
        <v>0</v>
      </c>
      <c r="AD546" s="19"/>
      <c r="AE546" s="19">
        <v>1028010</v>
      </c>
      <c r="AF546" s="19"/>
      <c r="AG546" s="19"/>
      <c r="AH546" s="19"/>
      <c r="AI546" s="19"/>
      <c r="AJ546" s="19"/>
      <c r="AK546" s="19">
        <v>401</v>
      </c>
      <c r="AL546" s="19"/>
      <c r="AM546" s="19">
        <v>0</v>
      </c>
      <c r="AN546" s="19"/>
      <c r="AO546" s="26">
        <f t="shared" si="85"/>
        <v>1028460</v>
      </c>
      <c r="AP546" s="19"/>
      <c r="AQ546" s="26">
        <f t="shared" si="83"/>
        <v>26593072</v>
      </c>
      <c r="AR546" s="26"/>
    </row>
    <row r="547" spans="1:44">
      <c r="A547" s="9" t="s">
        <v>392</v>
      </c>
      <c r="B547" s="9"/>
      <c r="C547" s="9" t="s">
        <v>114</v>
      </c>
      <c r="D547" s="9"/>
      <c r="E547" s="23">
        <v>44909</v>
      </c>
      <c r="F547" s="19"/>
      <c r="G547" s="19">
        <v>93893529</v>
      </c>
      <c r="H547" s="19"/>
      <c r="I547" s="19">
        <v>0</v>
      </c>
      <c r="J547" s="19"/>
      <c r="K547" s="19">
        <f>221463606+48000565</f>
        <v>269464171</v>
      </c>
      <c r="L547" s="19"/>
      <c r="M547" s="19">
        <v>241651</v>
      </c>
      <c r="N547" s="19"/>
      <c r="O547" s="19">
        <f>2349810+528656+769247+68329</f>
        <v>3716042</v>
      </c>
      <c r="P547" s="19"/>
      <c r="Q547" s="19">
        <v>526133</v>
      </c>
      <c r="R547" s="19"/>
      <c r="S547" s="19">
        <v>0</v>
      </c>
      <c r="T547" s="19"/>
      <c r="U547" s="19">
        <v>0</v>
      </c>
      <c r="V547" s="19"/>
      <c r="W547" s="19">
        <v>8378570</v>
      </c>
      <c r="X547" s="19"/>
      <c r="Y547" s="26">
        <f t="shared" si="86"/>
        <v>376220096</v>
      </c>
      <c r="Z547" s="19"/>
      <c r="AA547" s="19">
        <v>1250851</v>
      </c>
      <c r="AB547" s="19"/>
      <c r="AC547" s="19">
        <v>0</v>
      </c>
      <c r="AD547" s="19"/>
      <c r="AE547" s="19">
        <f>34265000+4994882</f>
        <v>39259882</v>
      </c>
      <c r="AF547" s="19"/>
      <c r="AG547" s="19"/>
      <c r="AH547" s="19"/>
      <c r="AI547" s="19"/>
      <c r="AJ547" s="19"/>
      <c r="AK547" s="19">
        <v>0</v>
      </c>
      <c r="AL547" s="19"/>
      <c r="AM547" s="19">
        <v>0</v>
      </c>
      <c r="AN547" s="19"/>
      <c r="AO547" s="26">
        <f t="shared" si="85"/>
        <v>40510733</v>
      </c>
      <c r="AP547" s="19"/>
      <c r="AQ547" s="26">
        <f t="shared" si="83"/>
        <v>416730829</v>
      </c>
      <c r="AR547" s="26"/>
    </row>
    <row r="548" spans="1:44" hidden="1">
      <c r="A548" s="9" t="s">
        <v>882</v>
      </c>
      <c r="B548" s="9"/>
      <c r="C548" s="9" t="s">
        <v>114</v>
      </c>
      <c r="D548" s="9"/>
      <c r="E548" s="23"/>
      <c r="F548" s="19"/>
      <c r="G548" s="19">
        <v>0</v>
      </c>
      <c r="H548" s="19"/>
      <c r="I548" s="19">
        <v>0</v>
      </c>
      <c r="J548" s="19"/>
      <c r="K548" s="19">
        <v>0</v>
      </c>
      <c r="L548" s="19"/>
      <c r="M548" s="19">
        <v>0</v>
      </c>
      <c r="N548" s="19"/>
      <c r="O548" s="19">
        <v>0</v>
      </c>
      <c r="P548" s="19"/>
      <c r="Q548" s="19">
        <v>0</v>
      </c>
      <c r="R548" s="19"/>
      <c r="S548" s="19">
        <v>0</v>
      </c>
      <c r="T548" s="19"/>
      <c r="U548" s="19">
        <v>0</v>
      </c>
      <c r="V548" s="19"/>
      <c r="W548" s="19">
        <v>0</v>
      </c>
      <c r="X548" s="19"/>
      <c r="Y548" s="26">
        <f t="shared" si="86"/>
        <v>0</v>
      </c>
      <c r="Z548" s="19"/>
      <c r="AA548" s="19">
        <v>0</v>
      </c>
      <c r="AB548" s="19"/>
      <c r="AC548" s="19">
        <v>0</v>
      </c>
      <c r="AD548" s="19"/>
      <c r="AE548" s="19">
        <v>0</v>
      </c>
      <c r="AF548" s="19"/>
      <c r="AG548" s="19"/>
      <c r="AH548" s="19"/>
      <c r="AI548" s="19"/>
      <c r="AJ548" s="19"/>
      <c r="AK548" s="19">
        <v>0</v>
      </c>
      <c r="AL548" s="19"/>
      <c r="AM548" s="19">
        <v>0</v>
      </c>
      <c r="AN548" s="19"/>
      <c r="AO548" s="26">
        <f t="shared" si="85"/>
        <v>0</v>
      </c>
      <c r="AP548" s="19"/>
      <c r="AQ548" s="26">
        <f t="shared" si="83"/>
        <v>0</v>
      </c>
      <c r="AR548" s="26"/>
    </row>
    <row r="549" spans="1:44">
      <c r="A549" s="9" t="s">
        <v>720</v>
      </c>
      <c r="B549" s="9"/>
      <c r="C549" s="9" t="s">
        <v>39</v>
      </c>
      <c r="D549" s="9"/>
      <c r="E549" s="23">
        <v>44917</v>
      </c>
      <c r="F549" s="19"/>
      <c r="G549" s="19">
        <v>1880221</v>
      </c>
      <c r="H549" s="19"/>
      <c r="I549" s="19">
        <v>0</v>
      </c>
      <c r="J549" s="19"/>
      <c r="K549" s="19">
        <v>7767754</v>
      </c>
      <c r="L549" s="19"/>
      <c r="M549" s="19">
        <v>35303</v>
      </c>
      <c r="N549" s="19"/>
      <c r="O549" s="19">
        <f>773703+400+72822</f>
        <v>846925</v>
      </c>
      <c r="P549" s="19"/>
      <c r="Q549" s="19">
        <v>183241</v>
      </c>
      <c r="R549" s="19"/>
      <c r="S549" s="19">
        <v>0</v>
      </c>
      <c r="T549" s="19"/>
      <c r="U549" s="19">
        <v>126432</v>
      </c>
      <c r="V549" s="19"/>
      <c r="W549" s="19">
        <v>26839</v>
      </c>
      <c r="X549" s="19"/>
      <c r="Y549" s="26">
        <f t="shared" si="86"/>
        <v>10866715</v>
      </c>
      <c r="Z549" s="19"/>
      <c r="AA549" s="19">
        <v>26000</v>
      </c>
      <c r="AB549" s="19"/>
      <c r="AC549" s="19">
        <v>0</v>
      </c>
      <c r="AD549" s="19"/>
      <c r="AE549" s="19">
        <v>0</v>
      </c>
      <c r="AF549" s="19"/>
      <c r="AG549" s="19"/>
      <c r="AH549" s="19"/>
      <c r="AI549" s="19"/>
      <c r="AJ549" s="19"/>
      <c r="AK549" s="19">
        <v>900</v>
      </c>
      <c r="AL549" s="19"/>
      <c r="AM549" s="19">
        <v>0</v>
      </c>
      <c r="AN549" s="19"/>
      <c r="AO549" s="26">
        <f t="shared" si="85"/>
        <v>26900</v>
      </c>
      <c r="AP549" s="19"/>
      <c r="AQ549" s="26">
        <f t="shared" si="83"/>
        <v>10893615</v>
      </c>
      <c r="AR549" s="26"/>
    </row>
    <row r="550" spans="1:44">
      <c r="A550" s="9" t="s">
        <v>228</v>
      </c>
      <c r="B550" s="9"/>
      <c r="C550" s="9" t="s">
        <v>227</v>
      </c>
      <c r="D550" s="9"/>
      <c r="E550" s="23">
        <v>46201</v>
      </c>
      <c r="F550" s="19"/>
      <c r="G550" s="19">
        <v>2382329</v>
      </c>
      <c r="H550" s="19"/>
      <c r="I550" s="19">
        <v>1750882</v>
      </c>
      <c r="J550" s="19"/>
      <c r="K550" s="19">
        <f>5410348+648876</f>
        <v>6059224</v>
      </c>
      <c r="L550" s="19"/>
      <c r="M550" s="19">
        <v>1763</v>
      </c>
      <c r="N550" s="19"/>
      <c r="O550" s="19">
        <f>583126+213770+33038+4077</f>
        <v>834011</v>
      </c>
      <c r="P550" s="19"/>
      <c r="Q550" s="19">
        <v>168517</v>
      </c>
      <c r="R550" s="19"/>
      <c r="S550" s="19">
        <v>0</v>
      </c>
      <c r="T550" s="19"/>
      <c r="U550" s="19">
        <v>36187</v>
      </c>
      <c r="V550" s="19"/>
      <c r="W550" s="19">
        <v>0</v>
      </c>
      <c r="X550" s="19"/>
      <c r="Y550" s="26">
        <f t="shared" si="86"/>
        <v>11232913</v>
      </c>
      <c r="Z550" s="19"/>
      <c r="AA550" s="19">
        <v>218067</v>
      </c>
      <c r="AB550" s="19"/>
      <c r="AC550" s="19">
        <v>0</v>
      </c>
      <c r="AD550" s="19"/>
      <c r="AE550" s="19">
        <v>0</v>
      </c>
      <c r="AF550" s="19"/>
      <c r="AG550" s="19"/>
      <c r="AH550" s="19"/>
      <c r="AI550" s="19"/>
      <c r="AJ550" s="19"/>
      <c r="AK550" s="19">
        <v>0</v>
      </c>
      <c r="AL550" s="19"/>
      <c r="AM550" s="19">
        <v>0</v>
      </c>
      <c r="AN550" s="19"/>
      <c r="AO550" s="26">
        <f t="shared" si="85"/>
        <v>218067</v>
      </c>
      <c r="AP550" s="19"/>
      <c r="AQ550" s="26">
        <f t="shared" si="83"/>
        <v>11450980</v>
      </c>
      <c r="AR550" s="26"/>
    </row>
    <row r="551" spans="1:44" s="24" customFormat="1">
      <c r="A551" s="51" t="s">
        <v>463</v>
      </c>
      <c r="B551" s="51"/>
      <c r="C551" s="51" t="s">
        <v>57</v>
      </c>
      <c r="D551" s="51"/>
      <c r="E551" s="23">
        <v>91397</v>
      </c>
      <c r="F551" s="66"/>
      <c r="G551" s="19">
        <v>3642599</v>
      </c>
      <c r="H551" s="19"/>
      <c r="I551" s="19">
        <v>0</v>
      </c>
      <c r="J551" s="19"/>
      <c r="K551" s="19">
        <v>5104981</v>
      </c>
      <c r="L551" s="19"/>
      <c r="M551" s="19">
        <v>4329</v>
      </c>
      <c r="N551" s="19"/>
      <c r="O551" s="19">
        <f>325979+9650+168900</f>
        <v>504529</v>
      </c>
      <c r="P551" s="19"/>
      <c r="Q551" s="19">
        <v>187428</v>
      </c>
      <c r="R551" s="19"/>
      <c r="S551" s="19">
        <v>0</v>
      </c>
      <c r="T551" s="19"/>
      <c r="U551" s="19">
        <v>2823</v>
      </c>
      <c r="V551" s="19"/>
      <c r="W551" s="19">
        <v>81658</v>
      </c>
      <c r="X551" s="19"/>
      <c r="Y551" s="26">
        <f t="shared" si="86"/>
        <v>9528347</v>
      </c>
      <c r="Z551" s="19"/>
      <c r="AA551" s="19">
        <v>30553</v>
      </c>
      <c r="AB551" s="19"/>
      <c r="AC551" s="19">
        <v>0</v>
      </c>
      <c r="AD551" s="19"/>
      <c r="AE551" s="19">
        <v>0</v>
      </c>
      <c r="AF551" s="19"/>
      <c r="AG551" s="19"/>
      <c r="AH551" s="19"/>
      <c r="AI551" s="19"/>
      <c r="AJ551" s="19"/>
      <c r="AK551" s="19">
        <v>0</v>
      </c>
      <c r="AL551" s="19"/>
      <c r="AM551" s="19">
        <v>0</v>
      </c>
      <c r="AN551" s="19"/>
      <c r="AO551" s="26">
        <f t="shared" si="85"/>
        <v>30553</v>
      </c>
      <c r="AP551" s="19"/>
      <c r="AQ551" s="26">
        <f t="shared" si="83"/>
        <v>9558900</v>
      </c>
      <c r="AR551" s="67"/>
    </row>
    <row r="552" spans="1:44">
      <c r="A552" s="9" t="s">
        <v>211</v>
      </c>
      <c r="B552" s="9"/>
      <c r="C552" s="9" t="s">
        <v>13</v>
      </c>
      <c r="D552" s="9"/>
      <c r="E552" s="23">
        <v>45922</v>
      </c>
      <c r="F552" s="19"/>
      <c r="G552" s="19">
        <v>808576</v>
      </c>
      <c r="H552" s="19"/>
      <c r="I552" s="19">
        <v>0</v>
      </c>
      <c r="J552" s="19"/>
      <c r="K552" s="19">
        <v>8880752</v>
      </c>
      <c r="L552" s="19"/>
      <c r="M552" s="19">
        <v>3658</v>
      </c>
      <c r="N552" s="19"/>
      <c r="O552" s="19">
        <f>641979+70+64114</f>
        <v>706163</v>
      </c>
      <c r="P552" s="19"/>
      <c r="Q552" s="19">
        <v>67139</v>
      </c>
      <c r="R552" s="19"/>
      <c r="S552" s="19">
        <v>0</v>
      </c>
      <c r="T552" s="19"/>
      <c r="U552" s="19">
        <v>59586</v>
      </c>
      <c r="V552" s="19"/>
      <c r="W552" s="19">
        <v>61918</v>
      </c>
      <c r="X552" s="19"/>
      <c r="Y552" s="26">
        <f t="shared" si="86"/>
        <v>10587792</v>
      </c>
      <c r="Z552" s="19"/>
      <c r="AA552" s="19">
        <v>68839</v>
      </c>
      <c r="AB552" s="19"/>
      <c r="AC552" s="19">
        <v>0</v>
      </c>
      <c r="AD552" s="19"/>
      <c r="AE552" s="19">
        <v>37260</v>
      </c>
      <c r="AF552" s="19"/>
      <c r="AG552" s="19"/>
      <c r="AH552" s="19"/>
      <c r="AI552" s="19"/>
      <c r="AJ552" s="19"/>
      <c r="AK552" s="19">
        <v>6068</v>
      </c>
      <c r="AL552" s="19"/>
      <c r="AM552" s="19">
        <v>0</v>
      </c>
      <c r="AN552" s="19"/>
      <c r="AO552" s="26">
        <f t="shared" si="85"/>
        <v>112167</v>
      </c>
      <c r="AP552" s="19"/>
      <c r="AQ552" s="26">
        <f t="shared" si="83"/>
        <v>10699959</v>
      </c>
      <c r="AR552" s="26"/>
    </row>
    <row r="553" spans="1:44">
      <c r="A553" s="9" t="s">
        <v>443</v>
      </c>
      <c r="B553" s="9"/>
      <c r="C553" s="9" t="s">
        <v>51</v>
      </c>
      <c r="D553" s="9"/>
      <c r="E553" s="23">
        <v>48876</v>
      </c>
      <c r="F553" s="19"/>
      <c r="G553" s="19">
        <v>6920408</v>
      </c>
      <c r="H553" s="19"/>
      <c r="I553" s="19">
        <v>0</v>
      </c>
      <c r="J553" s="19"/>
      <c r="K553" s="19">
        <v>17976082</v>
      </c>
      <c r="L553" s="19"/>
      <c r="M553" s="19">
        <v>0</v>
      </c>
      <c r="N553" s="19"/>
      <c r="O553" s="19">
        <f>1499431+486337</f>
        <v>1985768</v>
      </c>
      <c r="P553" s="19"/>
      <c r="Q553" s="19">
        <v>412198</v>
      </c>
      <c r="R553" s="19"/>
      <c r="S553" s="19">
        <v>390167</v>
      </c>
      <c r="T553" s="19"/>
      <c r="U553" s="19">
        <v>12556</v>
      </c>
      <c r="V553" s="19"/>
      <c r="W553" s="19">
        <v>87927</v>
      </c>
      <c r="X553" s="19"/>
      <c r="Y553" s="26">
        <f t="shared" si="86"/>
        <v>27785106</v>
      </c>
      <c r="Z553" s="19"/>
      <c r="AA553" s="19">
        <v>0</v>
      </c>
      <c r="AB553" s="19"/>
      <c r="AC553" s="19">
        <v>0</v>
      </c>
      <c r="AD553" s="19"/>
      <c r="AE553" s="19">
        <v>0</v>
      </c>
      <c r="AF553" s="19"/>
      <c r="AG553" s="19"/>
      <c r="AH553" s="19"/>
      <c r="AI553" s="19"/>
      <c r="AJ553" s="19"/>
      <c r="AK553" s="19">
        <v>0</v>
      </c>
      <c r="AL553" s="19"/>
      <c r="AM553" s="19">
        <v>0</v>
      </c>
      <c r="AN553" s="19"/>
      <c r="AO553" s="26">
        <f t="shared" si="85"/>
        <v>0</v>
      </c>
      <c r="AP553" s="19"/>
      <c r="AQ553" s="26">
        <f t="shared" si="83"/>
        <v>27785106</v>
      </c>
      <c r="AR553" s="26"/>
    </row>
    <row r="554" spans="1:44" hidden="1">
      <c r="A554" s="9" t="s">
        <v>685</v>
      </c>
      <c r="B554" s="9"/>
      <c r="C554" s="9" t="s">
        <v>21</v>
      </c>
      <c r="D554" s="9"/>
      <c r="E554" s="23">
        <v>46680</v>
      </c>
      <c r="F554" s="19"/>
      <c r="G554" s="19">
        <v>0</v>
      </c>
      <c r="H554" s="19"/>
      <c r="I554" s="19">
        <v>0</v>
      </c>
      <c r="J554" s="19"/>
      <c r="K554" s="19">
        <v>0</v>
      </c>
      <c r="L554" s="19"/>
      <c r="M554" s="19">
        <v>0</v>
      </c>
      <c r="N554" s="19"/>
      <c r="O554" s="19">
        <v>0</v>
      </c>
      <c r="P554" s="19"/>
      <c r="Q554" s="19">
        <v>0</v>
      </c>
      <c r="R554" s="19"/>
      <c r="S554" s="19">
        <v>0</v>
      </c>
      <c r="T554" s="19"/>
      <c r="U554" s="19">
        <v>0</v>
      </c>
      <c r="V554" s="19"/>
      <c r="W554" s="19">
        <v>0</v>
      </c>
      <c r="X554" s="19"/>
      <c r="Y554" s="26">
        <f t="shared" si="86"/>
        <v>0</v>
      </c>
      <c r="Z554" s="19"/>
      <c r="AA554" s="19">
        <v>0</v>
      </c>
      <c r="AB554" s="19"/>
      <c r="AC554" s="19">
        <v>0</v>
      </c>
      <c r="AD554" s="19"/>
      <c r="AE554" s="19">
        <v>0</v>
      </c>
      <c r="AF554" s="19"/>
      <c r="AG554" s="19"/>
      <c r="AH554" s="19"/>
      <c r="AI554" s="19"/>
      <c r="AJ554" s="19"/>
      <c r="AK554" s="19">
        <v>0</v>
      </c>
      <c r="AL554" s="19"/>
      <c r="AM554" s="19">
        <v>0</v>
      </c>
      <c r="AN554" s="19"/>
      <c r="AO554" s="26">
        <f t="shared" si="85"/>
        <v>0</v>
      </c>
      <c r="AP554" s="19"/>
      <c r="AQ554" s="26">
        <f t="shared" ref="AQ554:AQ620" si="87">Y554+AO554</f>
        <v>0</v>
      </c>
      <c r="AR554" s="26"/>
    </row>
    <row r="555" spans="1:44" hidden="1">
      <c r="A555" s="8" t="s">
        <v>829</v>
      </c>
      <c r="B555" s="9"/>
      <c r="C555" s="9" t="s">
        <v>71</v>
      </c>
      <c r="D555" s="9"/>
      <c r="E555" s="23">
        <v>50591</v>
      </c>
      <c r="F555" s="19"/>
      <c r="G555" s="19">
        <v>0</v>
      </c>
      <c r="H555" s="19"/>
      <c r="I555" s="19">
        <v>0</v>
      </c>
      <c r="J555" s="19"/>
      <c r="K555" s="19">
        <v>0</v>
      </c>
      <c r="L555" s="19"/>
      <c r="M555" s="19">
        <v>0</v>
      </c>
      <c r="N555" s="19"/>
      <c r="O555" s="19">
        <v>0</v>
      </c>
      <c r="P555" s="19"/>
      <c r="Q555" s="19">
        <v>0</v>
      </c>
      <c r="R555" s="19"/>
      <c r="S555" s="19">
        <v>0</v>
      </c>
      <c r="T555" s="19"/>
      <c r="U555" s="19">
        <v>0</v>
      </c>
      <c r="V555" s="19"/>
      <c r="W555" s="19">
        <v>0</v>
      </c>
      <c r="X555" s="19"/>
      <c r="Y555" s="26">
        <f t="shared" si="86"/>
        <v>0</v>
      </c>
      <c r="Z555" s="19"/>
      <c r="AA555" s="19">
        <v>0</v>
      </c>
      <c r="AB555" s="19"/>
      <c r="AC555" s="19">
        <v>0</v>
      </c>
      <c r="AD555" s="19"/>
      <c r="AE555" s="19">
        <v>0</v>
      </c>
      <c r="AF555" s="19"/>
      <c r="AG555" s="19"/>
      <c r="AH555" s="19"/>
      <c r="AI555" s="19"/>
      <c r="AJ555" s="19"/>
      <c r="AK555" s="19">
        <v>0</v>
      </c>
      <c r="AL555" s="19"/>
      <c r="AM555" s="19">
        <v>0</v>
      </c>
      <c r="AN555" s="19"/>
      <c r="AO555" s="26">
        <f t="shared" si="85"/>
        <v>0</v>
      </c>
      <c r="AP555" s="19"/>
      <c r="AQ555" s="26">
        <f t="shared" si="87"/>
        <v>0</v>
      </c>
      <c r="AR555" s="26"/>
    </row>
    <row r="556" spans="1:44">
      <c r="A556" s="9" t="s">
        <v>433</v>
      </c>
      <c r="B556" s="9"/>
      <c r="C556" s="9" t="s">
        <v>50</v>
      </c>
      <c r="D556" s="9"/>
      <c r="E556" s="23">
        <v>48694</v>
      </c>
      <c r="F556" s="19"/>
      <c r="G556" s="19">
        <v>8999932</v>
      </c>
      <c r="H556" s="19"/>
      <c r="I556" s="19">
        <v>0</v>
      </c>
      <c r="J556" s="19"/>
      <c r="K556" s="19">
        <v>28125988</v>
      </c>
      <c r="L556" s="19"/>
      <c r="M556" s="19">
        <v>16492</v>
      </c>
      <c r="N556" s="19"/>
      <c r="O556" s="19">
        <f>366673+258728</f>
        <v>625401</v>
      </c>
      <c r="P556" s="19"/>
      <c r="Q556" s="19">
        <v>157743</v>
      </c>
      <c r="R556" s="19"/>
      <c r="S556" s="19">
        <v>0</v>
      </c>
      <c r="T556" s="19"/>
      <c r="U556" s="19">
        <v>0</v>
      </c>
      <c r="V556" s="19"/>
      <c r="W556" s="19">
        <v>524686</v>
      </c>
      <c r="X556" s="19"/>
      <c r="Y556" s="26">
        <f t="shared" si="86"/>
        <v>38450242</v>
      </c>
      <c r="Z556" s="19"/>
      <c r="AA556" s="19">
        <v>369116</v>
      </c>
      <c r="AB556" s="19"/>
      <c r="AC556" s="19">
        <v>0</v>
      </c>
      <c r="AD556" s="19"/>
      <c r="AE556" s="19">
        <v>0</v>
      </c>
      <c r="AF556" s="19"/>
      <c r="AG556" s="19"/>
      <c r="AH556" s="19"/>
      <c r="AI556" s="19"/>
      <c r="AJ556" s="19"/>
      <c r="AK556" s="19">
        <v>650</v>
      </c>
      <c r="AL556" s="19"/>
      <c r="AM556" s="19">
        <v>0</v>
      </c>
      <c r="AN556" s="19"/>
      <c r="AO556" s="26">
        <f t="shared" si="85"/>
        <v>369766</v>
      </c>
      <c r="AP556" s="19"/>
      <c r="AQ556" s="26">
        <f t="shared" si="87"/>
        <v>38820008</v>
      </c>
      <c r="AR556" s="26"/>
    </row>
    <row r="557" spans="1:44" s="24" customFormat="1">
      <c r="A557" s="51" t="s">
        <v>423</v>
      </c>
      <c r="B557" s="51"/>
      <c r="C557" s="51" t="s">
        <v>48</v>
      </c>
      <c r="D557" s="51"/>
      <c r="E557" s="51">
        <v>44925</v>
      </c>
      <c r="F557" s="66"/>
      <c r="G557" s="66">
        <v>16495563</v>
      </c>
      <c r="H557" s="66"/>
      <c r="I557" s="66">
        <v>9674986</v>
      </c>
      <c r="J557" s="66"/>
      <c r="K557" s="66">
        <v>19663701</v>
      </c>
      <c r="L557" s="66"/>
      <c r="M557" s="66">
        <v>13225</v>
      </c>
      <c r="N557" s="66"/>
      <c r="O557" s="66">
        <f>994951+943818</f>
        <v>1938769</v>
      </c>
      <c r="P557" s="66"/>
      <c r="Q557" s="66">
        <v>1175752</v>
      </c>
      <c r="R557" s="66"/>
      <c r="S557" s="66">
        <v>0</v>
      </c>
      <c r="T557" s="66"/>
      <c r="U557" s="66">
        <v>0</v>
      </c>
      <c r="V557" s="66"/>
      <c r="W557" s="66">
        <v>445108</v>
      </c>
      <c r="X557" s="66"/>
      <c r="Y557" s="67">
        <f t="shared" si="86"/>
        <v>49407104</v>
      </c>
      <c r="Z557" s="66"/>
      <c r="AA557" s="66">
        <v>250000</v>
      </c>
      <c r="AB557" s="66"/>
      <c r="AC557" s="66">
        <v>0</v>
      </c>
      <c r="AD557" s="66"/>
      <c r="AE557" s="66">
        <f>15754990+1882317</f>
        <v>17637307</v>
      </c>
      <c r="AF557" s="66"/>
      <c r="AG557" s="66"/>
      <c r="AH557" s="66"/>
      <c r="AI557" s="66"/>
      <c r="AJ557" s="66"/>
      <c r="AK557" s="66">
        <f>7491+1560</f>
        <v>9051</v>
      </c>
      <c r="AL557" s="66"/>
      <c r="AM557" s="66">
        <v>0</v>
      </c>
      <c r="AN557" s="66"/>
      <c r="AO557" s="67">
        <f t="shared" si="85"/>
        <v>17896358</v>
      </c>
      <c r="AP557" s="66"/>
      <c r="AQ557" s="67">
        <f t="shared" si="87"/>
        <v>67303462</v>
      </c>
      <c r="AR557" s="67"/>
    </row>
    <row r="558" spans="1:44">
      <c r="A558" s="9" t="s">
        <v>534</v>
      </c>
      <c r="B558" s="9"/>
      <c r="C558" s="9" t="s">
        <v>65</v>
      </c>
      <c r="D558" s="9"/>
      <c r="E558" s="23">
        <v>50302</v>
      </c>
      <c r="F558" s="19"/>
      <c r="G558" s="19">
        <v>5652649</v>
      </c>
      <c r="H558" s="19"/>
      <c r="I558" s="19">
        <v>0</v>
      </c>
      <c r="J558" s="19"/>
      <c r="K558" s="19">
        <f>42277+6567711+749217</f>
        <v>7359205</v>
      </c>
      <c r="L558" s="19"/>
      <c r="M558" s="19">
        <v>2230</v>
      </c>
      <c r="N558" s="19"/>
      <c r="O558" s="19">
        <f>467118+228159+59504+1549</f>
        <v>756330</v>
      </c>
      <c r="P558" s="19"/>
      <c r="Q558" s="19">
        <v>136048</v>
      </c>
      <c r="R558" s="19"/>
      <c r="S558" s="19">
        <v>0</v>
      </c>
      <c r="T558" s="19"/>
      <c r="U558" s="19">
        <v>85893</v>
      </c>
      <c r="V558" s="19"/>
      <c r="W558" s="19">
        <v>40796</v>
      </c>
      <c r="X558" s="19"/>
      <c r="Y558" s="26">
        <f t="shared" si="86"/>
        <v>14033151</v>
      </c>
      <c r="Z558" s="19"/>
      <c r="AA558" s="19">
        <v>79887</v>
      </c>
      <c r="AB558" s="19"/>
      <c r="AC558" s="19">
        <v>0</v>
      </c>
      <c r="AD558" s="19"/>
      <c r="AE558" s="19">
        <v>0</v>
      </c>
      <c r="AF558" s="19"/>
      <c r="AG558" s="19"/>
      <c r="AH558" s="19"/>
      <c r="AI558" s="19"/>
      <c r="AJ558" s="19"/>
      <c r="AK558" s="19">
        <v>0</v>
      </c>
      <c r="AL558" s="19"/>
      <c r="AM558" s="19">
        <v>0</v>
      </c>
      <c r="AN558" s="19"/>
      <c r="AO558" s="26">
        <f t="shared" si="85"/>
        <v>79887</v>
      </c>
      <c r="AP558" s="19"/>
      <c r="AQ558" s="26">
        <f t="shared" si="87"/>
        <v>14113038</v>
      </c>
      <c r="AR558" s="26"/>
    </row>
    <row r="559" spans="1:44">
      <c r="A559" s="9" t="s">
        <v>501</v>
      </c>
      <c r="B559" s="9"/>
      <c r="C559" s="9" t="s">
        <v>62</v>
      </c>
      <c r="D559" s="9"/>
      <c r="E559" s="23">
        <v>49957</v>
      </c>
      <c r="F559" s="19"/>
      <c r="G559" s="19">
        <v>5331210</v>
      </c>
      <c r="H559" s="19"/>
      <c r="I559" s="19">
        <v>0</v>
      </c>
      <c r="J559" s="19"/>
      <c r="K559" s="19">
        <v>7366156</v>
      </c>
      <c r="L559" s="19"/>
      <c r="M559" s="19">
        <v>12164</v>
      </c>
      <c r="N559" s="19"/>
      <c r="O559" s="19">
        <f>1022995+2417+325796</f>
        <v>1351208</v>
      </c>
      <c r="P559" s="19"/>
      <c r="Q559" s="19">
        <v>364804</v>
      </c>
      <c r="R559" s="19"/>
      <c r="S559" s="19">
        <v>0</v>
      </c>
      <c r="T559" s="19"/>
      <c r="U559" s="19">
        <v>19635</v>
      </c>
      <c r="V559" s="19"/>
      <c r="W559" s="19">
        <v>10095</v>
      </c>
      <c r="X559" s="19"/>
      <c r="Y559" s="26">
        <f t="shared" si="86"/>
        <v>14455272</v>
      </c>
      <c r="Z559" s="19"/>
      <c r="AA559" s="19">
        <v>0</v>
      </c>
      <c r="AB559" s="19"/>
      <c r="AC559" s="19">
        <v>0</v>
      </c>
      <c r="AD559" s="19"/>
      <c r="AE559" s="19">
        <v>0</v>
      </c>
      <c r="AF559" s="19"/>
      <c r="AG559" s="19"/>
      <c r="AH559" s="19"/>
      <c r="AI559" s="19"/>
      <c r="AJ559" s="19"/>
      <c r="AK559" s="19">
        <v>0</v>
      </c>
      <c r="AL559" s="19"/>
      <c r="AM559" s="19">
        <v>0</v>
      </c>
      <c r="AN559" s="19"/>
      <c r="AO559" s="26">
        <f t="shared" si="85"/>
        <v>0</v>
      </c>
      <c r="AP559" s="19"/>
      <c r="AQ559" s="26">
        <f t="shared" si="87"/>
        <v>14455272</v>
      </c>
      <c r="AR559" s="26"/>
    </row>
    <row r="560" spans="1:44" hidden="1">
      <c r="A560" s="9" t="s">
        <v>689</v>
      </c>
      <c r="B560" s="9"/>
      <c r="C560" s="9" t="s">
        <v>57</v>
      </c>
      <c r="D560" s="9"/>
      <c r="E560" s="23">
        <v>49296</v>
      </c>
      <c r="F560" s="19"/>
      <c r="G560" s="19">
        <v>0</v>
      </c>
      <c r="H560" s="19"/>
      <c r="I560" s="19">
        <v>0</v>
      </c>
      <c r="J560" s="19"/>
      <c r="K560" s="19">
        <v>0</v>
      </c>
      <c r="L560" s="19"/>
      <c r="M560" s="19">
        <v>0</v>
      </c>
      <c r="N560" s="19"/>
      <c r="O560" s="19">
        <v>0</v>
      </c>
      <c r="P560" s="19"/>
      <c r="Q560" s="19">
        <v>0</v>
      </c>
      <c r="R560" s="19"/>
      <c r="S560" s="19">
        <v>0</v>
      </c>
      <c r="T560" s="19"/>
      <c r="U560" s="19">
        <v>0</v>
      </c>
      <c r="V560" s="19"/>
      <c r="W560" s="19">
        <v>0</v>
      </c>
      <c r="X560" s="19"/>
      <c r="Y560" s="26">
        <f t="shared" si="86"/>
        <v>0</v>
      </c>
      <c r="Z560" s="19"/>
      <c r="AA560" s="19">
        <v>0</v>
      </c>
      <c r="AB560" s="19"/>
      <c r="AC560" s="19">
        <v>0</v>
      </c>
      <c r="AD560" s="19"/>
      <c r="AE560" s="19">
        <v>0</v>
      </c>
      <c r="AF560" s="19"/>
      <c r="AG560" s="19"/>
      <c r="AH560" s="19"/>
      <c r="AI560" s="19"/>
      <c r="AJ560" s="19"/>
      <c r="AK560" s="19">
        <v>0</v>
      </c>
      <c r="AL560" s="19"/>
      <c r="AM560" s="19">
        <v>0</v>
      </c>
      <c r="AN560" s="19"/>
      <c r="AO560" s="26">
        <f t="shared" si="85"/>
        <v>0</v>
      </c>
      <c r="AP560" s="19"/>
      <c r="AQ560" s="26">
        <f t="shared" si="87"/>
        <v>0</v>
      </c>
      <c r="AR560" s="26"/>
    </row>
    <row r="561" spans="1:44">
      <c r="A561" s="9" t="s">
        <v>512</v>
      </c>
      <c r="B561" s="9"/>
      <c r="C561" s="9" t="s">
        <v>63</v>
      </c>
      <c r="D561" s="9"/>
      <c r="E561" s="23">
        <v>50070</v>
      </c>
      <c r="F561" s="19"/>
      <c r="G561" s="19">
        <v>26404695</v>
      </c>
      <c r="H561" s="19"/>
      <c r="I561" s="19">
        <v>0</v>
      </c>
      <c r="J561" s="19"/>
      <c r="K561" s="19">
        <v>15897634</v>
      </c>
      <c r="L561" s="19"/>
      <c r="M561" s="19">
        <v>36060</v>
      </c>
      <c r="N561" s="19"/>
      <c r="O561" s="19">
        <f>1082238+684692+71665</f>
        <v>1838595</v>
      </c>
      <c r="P561" s="19"/>
      <c r="Q561" s="19">
        <v>436589</v>
      </c>
      <c r="R561" s="19"/>
      <c r="S561" s="19">
        <v>63290</v>
      </c>
      <c r="T561" s="19"/>
      <c r="U561" s="19">
        <v>18275</v>
      </c>
      <c r="V561" s="19"/>
      <c r="W561" s="19">
        <v>45554</v>
      </c>
      <c r="X561" s="19"/>
      <c r="Y561" s="26">
        <f t="shared" si="86"/>
        <v>44740692</v>
      </c>
      <c r="Z561" s="19"/>
      <c r="AA561" s="19">
        <v>0</v>
      </c>
      <c r="AB561" s="19"/>
      <c r="AC561" s="19">
        <v>0</v>
      </c>
      <c r="AD561" s="19"/>
      <c r="AE561" s="19">
        <v>0</v>
      </c>
      <c r="AF561" s="19"/>
      <c r="AG561" s="19"/>
      <c r="AH561" s="19"/>
      <c r="AI561" s="19"/>
      <c r="AJ561" s="19"/>
      <c r="AK561" s="19">
        <v>0</v>
      </c>
      <c r="AL561" s="19"/>
      <c r="AM561" s="19">
        <v>0</v>
      </c>
      <c r="AN561" s="19"/>
      <c r="AO561" s="26">
        <f t="shared" si="85"/>
        <v>0</v>
      </c>
      <c r="AP561" s="19"/>
      <c r="AQ561" s="26">
        <f t="shared" si="87"/>
        <v>44740692</v>
      </c>
      <c r="AR561" s="26"/>
    </row>
    <row r="562" spans="1:44">
      <c r="A562" s="8" t="s">
        <v>907</v>
      </c>
      <c r="B562" s="9"/>
      <c r="C562" s="9" t="s">
        <v>15</v>
      </c>
      <c r="D562" s="9"/>
      <c r="E562" s="23">
        <v>46011</v>
      </c>
      <c r="F562" s="19"/>
      <c r="G562" s="19">
        <v>3364860</v>
      </c>
      <c r="H562" s="19"/>
      <c r="I562" s="19">
        <v>0</v>
      </c>
      <c r="J562" s="19"/>
      <c r="K562" s="19">
        <v>9981381</v>
      </c>
      <c r="L562" s="19"/>
      <c r="M562" s="19">
        <v>5055</v>
      </c>
      <c r="N562" s="19"/>
      <c r="O562" s="19">
        <f>1482943+7005+107374</f>
        <v>1597322</v>
      </c>
      <c r="P562" s="19"/>
      <c r="Q562" s="19">
        <v>68923</v>
      </c>
      <c r="R562" s="19"/>
      <c r="S562" s="19">
        <v>0</v>
      </c>
      <c r="T562" s="19"/>
      <c r="U562" s="19">
        <v>19702</v>
      </c>
      <c r="V562" s="19"/>
      <c r="W562" s="19">
        <v>158792</v>
      </c>
      <c r="X562" s="19"/>
      <c r="Y562" s="26">
        <f t="shared" si="86"/>
        <v>15196035</v>
      </c>
      <c r="Z562" s="19"/>
      <c r="AA562" s="19">
        <v>6414</v>
      </c>
      <c r="AB562" s="19"/>
      <c r="AC562" s="19">
        <v>0</v>
      </c>
      <c r="AD562" s="19"/>
      <c r="AE562" s="19">
        <v>60591</v>
      </c>
      <c r="AF562" s="19"/>
      <c r="AG562" s="19"/>
      <c r="AH562" s="19"/>
      <c r="AI562" s="19"/>
      <c r="AJ562" s="19"/>
      <c r="AK562" s="19">
        <v>0</v>
      </c>
      <c r="AL562" s="19"/>
      <c r="AM562" s="19">
        <v>0</v>
      </c>
      <c r="AN562" s="19"/>
      <c r="AO562" s="26">
        <f t="shared" si="85"/>
        <v>67005</v>
      </c>
      <c r="AP562" s="19"/>
      <c r="AQ562" s="26">
        <f t="shared" si="87"/>
        <v>15263040</v>
      </c>
      <c r="AR562" s="26"/>
    </row>
    <row r="563" spans="1:44">
      <c r="A563" s="9" t="s">
        <v>473</v>
      </c>
      <c r="B563" s="9"/>
      <c r="C563" s="9" t="s">
        <v>58</v>
      </c>
      <c r="D563" s="9"/>
      <c r="E563" s="23">
        <v>49536</v>
      </c>
      <c r="F563" s="19"/>
      <c r="G563" s="19">
        <v>3646444</v>
      </c>
      <c r="H563" s="19"/>
      <c r="I563" s="19">
        <v>1191006</v>
      </c>
      <c r="J563" s="19"/>
      <c r="K563" s="19">
        <v>11850225</v>
      </c>
      <c r="L563" s="19"/>
      <c r="M563" s="19">
        <v>0</v>
      </c>
      <c r="N563" s="19"/>
      <c r="O563" s="19">
        <f>3191306+12599+530290</f>
        <v>3734195</v>
      </c>
      <c r="P563" s="19"/>
      <c r="Q563" s="19">
        <v>122480</v>
      </c>
      <c r="R563" s="19"/>
      <c r="S563" s="19">
        <v>0</v>
      </c>
      <c r="T563" s="19"/>
      <c r="U563" s="19">
        <v>6350</v>
      </c>
      <c r="V563" s="19"/>
      <c r="W563" s="19">
        <v>163292</v>
      </c>
      <c r="X563" s="19"/>
      <c r="Y563" s="26">
        <f t="shared" ref="Y563:Y631" si="88">SUM(G563:W563)</f>
        <v>20713992</v>
      </c>
      <c r="Z563" s="19"/>
      <c r="AA563" s="19">
        <v>126718</v>
      </c>
      <c r="AB563" s="19"/>
      <c r="AC563" s="19">
        <v>0</v>
      </c>
      <c r="AD563" s="19"/>
      <c r="AE563" s="19">
        <v>3250000</v>
      </c>
      <c r="AF563" s="19"/>
      <c r="AG563" s="19"/>
      <c r="AH563" s="19"/>
      <c r="AI563" s="19"/>
      <c r="AJ563" s="19"/>
      <c r="AK563" s="19">
        <v>0</v>
      </c>
      <c r="AL563" s="19"/>
      <c r="AM563" s="19">
        <v>0</v>
      </c>
      <c r="AN563" s="19"/>
      <c r="AO563" s="26">
        <f t="shared" ref="AO563:AO575" si="89">AK563+AE563+AA563</f>
        <v>3376718</v>
      </c>
      <c r="AP563" s="19"/>
      <c r="AQ563" s="26">
        <f t="shared" si="87"/>
        <v>24090710</v>
      </c>
      <c r="AR563" s="26"/>
    </row>
    <row r="564" spans="1:44">
      <c r="A564" s="9" t="s">
        <v>249</v>
      </c>
      <c r="B564" s="9"/>
      <c r="C564" s="9" t="s">
        <v>111</v>
      </c>
      <c r="D564" s="9"/>
      <c r="E564" s="23">
        <v>46458</v>
      </c>
      <c r="F564" s="19"/>
      <c r="G564" s="19">
        <v>2671176</v>
      </c>
      <c r="H564" s="19"/>
      <c r="I564" s="19">
        <v>828769</v>
      </c>
      <c r="J564" s="19"/>
      <c r="K564" s="19">
        <f>100+7192818+871015</f>
        <v>8063933</v>
      </c>
      <c r="L564" s="19"/>
      <c r="M564" s="19">
        <v>50175</v>
      </c>
      <c r="N564" s="19"/>
      <c r="O564" s="19">
        <f>795870+14133+305641+21114+15122</f>
        <v>1151880</v>
      </c>
      <c r="P564" s="19"/>
      <c r="Q564" s="19">
        <v>247973</v>
      </c>
      <c r="R564" s="19"/>
      <c r="S564" s="19">
        <v>0</v>
      </c>
      <c r="T564" s="19"/>
      <c r="U564" s="19">
        <v>10862</v>
      </c>
      <c r="V564" s="19"/>
      <c r="W564" s="19">
        <v>12077</v>
      </c>
      <c r="X564" s="19"/>
      <c r="Y564" s="26">
        <f t="shared" si="88"/>
        <v>13036845</v>
      </c>
      <c r="Z564" s="19"/>
      <c r="AA564" s="19">
        <v>289355</v>
      </c>
      <c r="AB564" s="19"/>
      <c r="AC564" s="19">
        <v>0</v>
      </c>
      <c r="AD564" s="19"/>
      <c r="AE564" s="19">
        <v>0</v>
      </c>
      <c r="AF564" s="19"/>
      <c r="AG564" s="19"/>
      <c r="AH564" s="19"/>
      <c r="AI564" s="19"/>
      <c r="AJ564" s="19"/>
      <c r="AK564" s="19">
        <v>19000</v>
      </c>
      <c r="AL564" s="19"/>
      <c r="AM564" s="19">
        <v>0</v>
      </c>
      <c r="AN564" s="19"/>
      <c r="AO564" s="26">
        <f t="shared" si="89"/>
        <v>308355</v>
      </c>
      <c r="AP564" s="19"/>
      <c r="AQ564" s="26">
        <f t="shared" si="87"/>
        <v>13345200</v>
      </c>
      <c r="AR564" s="26"/>
    </row>
    <row r="565" spans="1:44">
      <c r="A565" s="9" t="s">
        <v>306</v>
      </c>
      <c r="B565" s="9"/>
      <c r="C565" s="9" t="s">
        <v>27</v>
      </c>
      <c r="D565" s="9"/>
      <c r="E565" s="23">
        <v>44933</v>
      </c>
      <c r="F565" s="19"/>
      <c r="G565" s="19">
        <v>66808928</v>
      </c>
      <c r="H565" s="19"/>
      <c r="I565" s="19">
        <v>0</v>
      </c>
      <c r="J565" s="19"/>
      <c r="K565" s="19">
        <f>1691298+13292463+979314</f>
        <v>15963075</v>
      </c>
      <c r="L565" s="19"/>
      <c r="M565" s="19">
        <v>134688</v>
      </c>
      <c r="N565" s="19"/>
      <c r="O565" s="19">
        <f>3693474+353147</f>
        <v>4046621</v>
      </c>
      <c r="P565" s="19"/>
      <c r="Q565" s="19">
        <v>1399242</v>
      </c>
      <c r="R565" s="19"/>
      <c r="S565" s="19">
        <v>1510212</v>
      </c>
      <c r="T565" s="19"/>
      <c r="U565" s="19">
        <v>0</v>
      </c>
      <c r="V565" s="19"/>
      <c r="W565" s="19">
        <v>1358305</v>
      </c>
      <c r="X565" s="19"/>
      <c r="Y565" s="26">
        <f t="shared" si="88"/>
        <v>91221071</v>
      </c>
      <c r="Z565" s="19"/>
      <c r="AA565" s="19">
        <v>676250</v>
      </c>
      <c r="AB565" s="19"/>
      <c r="AC565" s="19">
        <v>0</v>
      </c>
      <c r="AD565" s="19"/>
      <c r="AE565" s="19">
        <f>1973000+2527916+19220000</f>
        <v>23720916</v>
      </c>
      <c r="AF565" s="19"/>
      <c r="AG565" s="19"/>
      <c r="AH565" s="19"/>
      <c r="AI565" s="19"/>
      <c r="AJ565" s="19"/>
      <c r="AK565" s="19">
        <v>1329814</v>
      </c>
      <c r="AL565" s="19"/>
      <c r="AM565" s="19">
        <v>0</v>
      </c>
      <c r="AN565" s="19"/>
      <c r="AO565" s="26">
        <f t="shared" si="89"/>
        <v>25726980</v>
      </c>
      <c r="AP565" s="19"/>
      <c r="AQ565" s="26">
        <f t="shared" si="87"/>
        <v>116948051</v>
      </c>
      <c r="AR565" s="26"/>
    </row>
    <row r="566" spans="1:44" hidden="1">
      <c r="A566" s="9" t="s">
        <v>773</v>
      </c>
      <c r="B566" s="9"/>
      <c r="C566" s="9" t="s">
        <v>553</v>
      </c>
      <c r="D566" s="9"/>
      <c r="E566" s="23">
        <v>45625</v>
      </c>
      <c r="F566" s="19"/>
      <c r="G566" s="19">
        <v>0</v>
      </c>
      <c r="H566" s="19"/>
      <c r="I566" s="19">
        <v>0</v>
      </c>
      <c r="J566" s="19"/>
      <c r="K566" s="19">
        <v>0</v>
      </c>
      <c r="L566" s="19"/>
      <c r="M566" s="19">
        <v>0</v>
      </c>
      <c r="N566" s="19"/>
      <c r="O566" s="19">
        <v>0</v>
      </c>
      <c r="P566" s="19"/>
      <c r="Q566" s="19">
        <v>0</v>
      </c>
      <c r="R566" s="19"/>
      <c r="S566" s="19">
        <v>0</v>
      </c>
      <c r="T566" s="19"/>
      <c r="U566" s="19">
        <v>0</v>
      </c>
      <c r="V566" s="19"/>
      <c r="W566" s="19">
        <v>0</v>
      </c>
      <c r="X566" s="19"/>
      <c r="Y566" s="26">
        <f t="shared" si="88"/>
        <v>0</v>
      </c>
      <c r="Z566" s="19"/>
      <c r="AA566" s="19">
        <v>0</v>
      </c>
      <c r="AB566" s="19"/>
      <c r="AC566" s="19">
        <v>0</v>
      </c>
      <c r="AD566" s="19"/>
      <c r="AE566" s="19">
        <v>0</v>
      </c>
      <c r="AF566" s="19"/>
      <c r="AG566" s="19"/>
      <c r="AH566" s="19"/>
      <c r="AI566" s="19"/>
      <c r="AJ566" s="19"/>
      <c r="AK566" s="19">
        <v>0</v>
      </c>
      <c r="AL566" s="19"/>
      <c r="AM566" s="19">
        <v>0</v>
      </c>
      <c r="AN566" s="19"/>
      <c r="AO566" s="26">
        <f t="shared" si="89"/>
        <v>0</v>
      </c>
      <c r="AP566" s="19"/>
      <c r="AQ566" s="26">
        <f t="shared" si="87"/>
        <v>0</v>
      </c>
      <c r="AR566" s="26"/>
    </row>
    <row r="567" spans="1:44" hidden="1">
      <c r="A567" s="9" t="s">
        <v>690</v>
      </c>
      <c r="B567" s="9"/>
      <c r="C567" s="9" t="s">
        <v>337</v>
      </c>
      <c r="D567" s="9"/>
      <c r="E567" s="23">
        <v>47522</v>
      </c>
      <c r="F567" s="19"/>
      <c r="G567" s="19">
        <v>0</v>
      </c>
      <c r="H567" s="19"/>
      <c r="I567" s="19">
        <v>0</v>
      </c>
      <c r="J567" s="19"/>
      <c r="K567" s="19">
        <v>0</v>
      </c>
      <c r="L567" s="19"/>
      <c r="M567" s="19">
        <v>0</v>
      </c>
      <c r="N567" s="19"/>
      <c r="O567" s="19">
        <v>0</v>
      </c>
      <c r="P567" s="19"/>
      <c r="Q567" s="19">
        <v>0</v>
      </c>
      <c r="R567" s="19"/>
      <c r="S567" s="19">
        <v>0</v>
      </c>
      <c r="T567" s="19"/>
      <c r="U567" s="19">
        <v>0</v>
      </c>
      <c r="V567" s="19"/>
      <c r="W567" s="19">
        <v>0</v>
      </c>
      <c r="X567" s="19"/>
      <c r="Y567" s="26">
        <f t="shared" si="88"/>
        <v>0</v>
      </c>
      <c r="Z567" s="19"/>
      <c r="AA567" s="19">
        <v>0</v>
      </c>
      <c r="AB567" s="19"/>
      <c r="AC567" s="19">
        <v>0</v>
      </c>
      <c r="AD567" s="19"/>
      <c r="AE567" s="19">
        <v>0</v>
      </c>
      <c r="AF567" s="19"/>
      <c r="AG567" s="19"/>
      <c r="AH567" s="19"/>
      <c r="AI567" s="19"/>
      <c r="AJ567" s="19"/>
      <c r="AK567" s="19">
        <v>0</v>
      </c>
      <c r="AL567" s="19"/>
      <c r="AM567" s="19">
        <v>0</v>
      </c>
      <c r="AN567" s="19"/>
      <c r="AO567" s="26">
        <f t="shared" si="89"/>
        <v>0</v>
      </c>
      <c r="AP567" s="19"/>
      <c r="AQ567" s="26">
        <f t="shared" si="87"/>
        <v>0</v>
      </c>
      <c r="AR567" s="26"/>
    </row>
    <row r="568" spans="1:44" hidden="1">
      <c r="A568" s="9" t="s">
        <v>883</v>
      </c>
      <c r="B568" s="9"/>
      <c r="C568" s="9" t="s">
        <v>227</v>
      </c>
      <c r="D568" s="9"/>
      <c r="E568" s="23">
        <v>44941</v>
      </c>
      <c r="F568" s="19"/>
      <c r="G568" s="19">
        <v>0</v>
      </c>
      <c r="H568" s="19"/>
      <c r="I568" s="19">
        <v>0</v>
      </c>
      <c r="J568" s="19"/>
      <c r="K568" s="19">
        <v>0</v>
      </c>
      <c r="L568" s="19"/>
      <c r="M568" s="19">
        <v>0</v>
      </c>
      <c r="N568" s="19"/>
      <c r="O568" s="19">
        <v>0</v>
      </c>
      <c r="P568" s="19"/>
      <c r="Q568" s="19">
        <v>0</v>
      </c>
      <c r="R568" s="19"/>
      <c r="S568" s="19">
        <v>0</v>
      </c>
      <c r="T568" s="19"/>
      <c r="U568" s="19">
        <v>0</v>
      </c>
      <c r="V568" s="19"/>
      <c r="W568" s="19">
        <v>0</v>
      </c>
      <c r="X568" s="19"/>
      <c r="Y568" s="26">
        <f t="shared" si="88"/>
        <v>0</v>
      </c>
      <c r="Z568" s="19"/>
      <c r="AA568" s="19">
        <v>0</v>
      </c>
      <c r="AB568" s="19"/>
      <c r="AC568" s="19">
        <v>0</v>
      </c>
      <c r="AD568" s="19"/>
      <c r="AE568" s="19">
        <v>0</v>
      </c>
      <c r="AF568" s="19"/>
      <c r="AG568" s="19"/>
      <c r="AH568" s="19"/>
      <c r="AI568" s="19"/>
      <c r="AJ568" s="19"/>
      <c r="AK568" s="19">
        <v>0</v>
      </c>
      <c r="AL568" s="19"/>
      <c r="AM568" s="19">
        <v>0</v>
      </c>
      <c r="AN568" s="19"/>
      <c r="AO568" s="26">
        <f t="shared" si="89"/>
        <v>0</v>
      </c>
      <c r="AP568" s="19"/>
      <c r="AQ568" s="26">
        <f t="shared" si="87"/>
        <v>0</v>
      </c>
      <c r="AR568" s="26"/>
    </row>
    <row r="569" spans="1:44" hidden="1">
      <c r="A569" s="9" t="s">
        <v>691</v>
      </c>
      <c r="B569" s="9"/>
      <c r="C569" s="9" t="s">
        <v>59</v>
      </c>
      <c r="D569" s="9"/>
      <c r="E569" s="23">
        <v>49643</v>
      </c>
      <c r="F569" s="19"/>
      <c r="G569" s="19">
        <v>0</v>
      </c>
      <c r="H569" s="19"/>
      <c r="I569" s="19">
        <v>0</v>
      </c>
      <c r="J569" s="19"/>
      <c r="K569" s="19">
        <v>0</v>
      </c>
      <c r="L569" s="19"/>
      <c r="M569" s="19">
        <v>0</v>
      </c>
      <c r="N569" s="19"/>
      <c r="O569" s="19">
        <v>0</v>
      </c>
      <c r="P569" s="19"/>
      <c r="Q569" s="19">
        <v>0</v>
      </c>
      <c r="R569" s="19"/>
      <c r="S569" s="19">
        <v>0</v>
      </c>
      <c r="T569" s="19"/>
      <c r="U569" s="19">
        <v>0</v>
      </c>
      <c r="V569" s="19"/>
      <c r="W569" s="19">
        <v>0</v>
      </c>
      <c r="X569" s="19"/>
      <c r="Y569" s="26">
        <f t="shared" si="88"/>
        <v>0</v>
      </c>
      <c r="Z569" s="19"/>
      <c r="AA569" s="19">
        <v>0</v>
      </c>
      <c r="AB569" s="19"/>
      <c r="AC569" s="19">
        <v>0</v>
      </c>
      <c r="AD569" s="19"/>
      <c r="AE569" s="19">
        <v>0</v>
      </c>
      <c r="AF569" s="19"/>
      <c r="AG569" s="19"/>
      <c r="AH569" s="19"/>
      <c r="AI569" s="19"/>
      <c r="AJ569" s="19"/>
      <c r="AK569" s="19">
        <v>0</v>
      </c>
      <c r="AL569" s="19"/>
      <c r="AM569" s="19">
        <v>0</v>
      </c>
      <c r="AN569" s="19"/>
      <c r="AO569" s="26">
        <f t="shared" si="89"/>
        <v>0</v>
      </c>
      <c r="AP569" s="19"/>
      <c r="AQ569" s="26">
        <f t="shared" si="87"/>
        <v>0</v>
      </c>
      <c r="AR569" s="26"/>
    </row>
    <row r="570" spans="1:44">
      <c r="A570" s="9" t="s">
        <v>434</v>
      </c>
      <c r="B570" s="9"/>
      <c r="C570" s="9" t="s">
        <v>50</v>
      </c>
      <c r="D570" s="9"/>
      <c r="E570" s="23">
        <v>48744</v>
      </c>
      <c r="F570" s="19"/>
      <c r="G570" s="19">
        <v>4413058</v>
      </c>
      <c r="H570" s="19"/>
      <c r="I570" s="19">
        <v>3064122</v>
      </c>
      <c r="J570" s="19"/>
      <c r="K570" s="19">
        <f>8764855+955863</f>
        <v>9720718</v>
      </c>
      <c r="L570" s="19"/>
      <c r="M570" s="19">
        <v>1929</v>
      </c>
      <c r="N570" s="19"/>
      <c r="O570" s="19">
        <f>218498+382389+99848+23922</f>
        <v>724657</v>
      </c>
      <c r="P570" s="19"/>
      <c r="Q570" s="19">
        <v>78882</v>
      </c>
      <c r="R570" s="19"/>
      <c r="S570" s="19">
        <v>0</v>
      </c>
      <c r="T570" s="19"/>
      <c r="U570" s="19">
        <v>4189</v>
      </c>
      <c r="V570" s="19"/>
      <c r="W570" s="19">
        <v>329011</v>
      </c>
      <c r="X570" s="19"/>
      <c r="Y570" s="26">
        <f t="shared" si="88"/>
        <v>18336566</v>
      </c>
      <c r="Z570" s="19"/>
      <c r="AA570" s="19">
        <v>0</v>
      </c>
      <c r="AB570" s="19"/>
      <c r="AC570" s="19">
        <v>0</v>
      </c>
      <c r="AD570" s="19"/>
      <c r="AE570" s="19">
        <v>0</v>
      </c>
      <c r="AF570" s="19"/>
      <c r="AG570" s="19"/>
      <c r="AH570" s="19"/>
      <c r="AI570" s="19"/>
      <c r="AJ570" s="19"/>
      <c r="AK570" s="19">
        <v>0</v>
      </c>
      <c r="AL570" s="19"/>
      <c r="AM570" s="19">
        <v>0</v>
      </c>
      <c r="AN570" s="19"/>
      <c r="AO570" s="26">
        <f>AK570+AE570+AA570</f>
        <v>0</v>
      </c>
      <c r="AP570" s="19"/>
      <c r="AQ570" s="26">
        <f>Y570+AO570+AM570</f>
        <v>18336566</v>
      </c>
      <c r="AR570" s="26"/>
    </row>
    <row r="571" spans="1:44">
      <c r="A571" s="9" t="s">
        <v>336</v>
      </c>
      <c r="B571" s="9"/>
      <c r="C571" s="9" t="s">
        <v>33</v>
      </c>
      <c r="D571" s="9"/>
      <c r="E571" s="23">
        <v>47464</v>
      </c>
      <c r="F571" s="19"/>
      <c r="G571" s="19">
        <v>6833427</v>
      </c>
      <c r="H571" s="19"/>
      <c r="I571" s="19">
        <v>0</v>
      </c>
      <c r="J571" s="19"/>
      <c r="K571" s="19">
        <v>3795083</v>
      </c>
      <c r="L571" s="19"/>
      <c r="M571" s="19">
        <v>34674</v>
      </c>
      <c r="N571" s="19"/>
      <c r="O571" s="19">
        <f>1063195+184311</f>
        <v>1247506</v>
      </c>
      <c r="P571" s="19"/>
      <c r="Q571" s="19">
        <v>112620</v>
      </c>
      <c r="R571" s="19"/>
      <c r="S571" s="19">
        <v>114609</v>
      </c>
      <c r="T571" s="19"/>
      <c r="U571" s="19">
        <v>19536</v>
      </c>
      <c r="V571" s="19"/>
      <c r="W571" s="19">
        <v>72570</v>
      </c>
      <c r="X571" s="19"/>
      <c r="Y571" s="26">
        <f t="shared" si="88"/>
        <v>12230025</v>
      </c>
      <c r="Z571" s="19"/>
      <c r="AA571" s="19">
        <v>21500</v>
      </c>
      <c r="AB571" s="19"/>
      <c r="AC571" s="19">
        <v>0</v>
      </c>
      <c r="AD571" s="19"/>
      <c r="AE571" s="19">
        <v>0</v>
      </c>
      <c r="AF571" s="19"/>
      <c r="AG571" s="19"/>
      <c r="AH571" s="19"/>
      <c r="AI571" s="19"/>
      <c r="AJ571" s="19"/>
      <c r="AK571" s="19">
        <v>1500</v>
      </c>
      <c r="AL571" s="19"/>
      <c r="AM571" s="19">
        <v>0</v>
      </c>
      <c r="AN571" s="19"/>
      <c r="AO571" s="26">
        <f t="shared" si="89"/>
        <v>23000</v>
      </c>
      <c r="AP571" s="19"/>
      <c r="AQ571" s="26">
        <f t="shared" si="87"/>
        <v>12253025</v>
      </c>
      <c r="AR571" s="26"/>
    </row>
    <row r="572" spans="1:44" hidden="1">
      <c r="A572" s="9" t="s">
        <v>824</v>
      </c>
      <c r="B572" s="9"/>
      <c r="C572" s="9" t="s">
        <v>67</v>
      </c>
      <c r="D572" s="9"/>
      <c r="E572" s="23">
        <v>44966</v>
      </c>
      <c r="F572" s="19"/>
      <c r="G572" s="19">
        <v>0</v>
      </c>
      <c r="H572" s="19"/>
      <c r="I572" s="19">
        <v>0</v>
      </c>
      <c r="J572" s="19"/>
      <c r="K572" s="19">
        <v>0</v>
      </c>
      <c r="L572" s="19"/>
      <c r="M572" s="19">
        <v>0</v>
      </c>
      <c r="N572" s="19"/>
      <c r="O572" s="19">
        <v>0</v>
      </c>
      <c r="P572" s="19"/>
      <c r="Q572" s="19">
        <v>0</v>
      </c>
      <c r="R572" s="19"/>
      <c r="S572" s="19">
        <v>0</v>
      </c>
      <c r="T572" s="19"/>
      <c r="U572" s="19">
        <v>0</v>
      </c>
      <c r="V572" s="19"/>
      <c r="W572" s="19">
        <v>0</v>
      </c>
      <c r="X572" s="19"/>
      <c r="Y572" s="26">
        <f t="shared" si="88"/>
        <v>0</v>
      </c>
      <c r="Z572" s="19"/>
      <c r="AA572" s="19">
        <v>0</v>
      </c>
      <c r="AB572" s="19"/>
      <c r="AC572" s="19">
        <v>0</v>
      </c>
      <c r="AD572" s="19"/>
      <c r="AE572" s="19">
        <v>0</v>
      </c>
      <c r="AF572" s="19"/>
      <c r="AG572" s="19"/>
      <c r="AH572" s="19"/>
      <c r="AI572" s="19"/>
      <c r="AJ572" s="19"/>
      <c r="AK572" s="19">
        <v>0</v>
      </c>
      <c r="AL572" s="19"/>
      <c r="AM572" s="19">
        <v>0</v>
      </c>
      <c r="AN572" s="19"/>
      <c r="AO572" s="26">
        <f t="shared" si="89"/>
        <v>0</v>
      </c>
      <c r="AP572" s="19"/>
      <c r="AQ572" s="26">
        <f t="shared" si="87"/>
        <v>0</v>
      </c>
      <c r="AR572" s="26"/>
    </row>
    <row r="573" spans="1:44">
      <c r="A573" s="9" t="s">
        <v>435</v>
      </c>
      <c r="B573" s="9"/>
      <c r="C573" s="9" t="s">
        <v>50</v>
      </c>
      <c r="D573" s="9"/>
      <c r="E573" s="23">
        <v>44958</v>
      </c>
      <c r="F573" s="19"/>
      <c r="G573" s="19">
        <v>19315037</v>
      </c>
      <c r="H573" s="19"/>
      <c r="I573" s="19">
        <v>0</v>
      </c>
      <c r="J573" s="19"/>
      <c r="K573" s="19">
        <f>9838941+1828917</f>
        <v>11667858</v>
      </c>
      <c r="L573" s="19"/>
      <c r="M573" s="19">
        <v>57965</v>
      </c>
      <c r="N573" s="19"/>
      <c r="O573" s="19">
        <f>291393+67251+651714+154104+15220+433559</f>
        <v>1613241</v>
      </c>
      <c r="P573" s="19"/>
      <c r="Q573" s="19">
        <v>444982</v>
      </c>
      <c r="R573" s="19"/>
      <c r="S573" s="19">
        <v>865818</v>
      </c>
      <c r="T573" s="19"/>
      <c r="U573" s="19">
        <v>126865</v>
      </c>
      <c r="V573" s="19"/>
      <c r="W573" s="19">
        <v>76731</v>
      </c>
      <c r="X573" s="19"/>
      <c r="Y573" s="26">
        <f t="shared" si="88"/>
        <v>34168497</v>
      </c>
      <c r="Z573" s="19"/>
      <c r="AA573" s="19">
        <v>2161733</v>
      </c>
      <c r="AB573" s="19"/>
      <c r="AC573" s="19">
        <v>0</v>
      </c>
      <c r="AD573" s="19"/>
      <c r="AE573" s="19">
        <v>0</v>
      </c>
      <c r="AF573" s="19"/>
      <c r="AG573" s="19"/>
      <c r="AH573" s="19"/>
      <c r="AI573" s="19"/>
      <c r="AJ573" s="19"/>
      <c r="AK573" s="19">
        <v>0</v>
      </c>
      <c r="AL573" s="19"/>
      <c r="AM573" s="19">
        <v>0</v>
      </c>
      <c r="AN573" s="19"/>
      <c r="AO573" s="26">
        <f t="shared" si="89"/>
        <v>2161733</v>
      </c>
      <c r="AP573" s="19"/>
      <c r="AQ573" s="26">
        <f t="shared" si="87"/>
        <v>36330230</v>
      </c>
      <c r="AR573" s="26"/>
    </row>
    <row r="574" spans="1:44" hidden="1">
      <c r="A574" s="9" t="s">
        <v>692</v>
      </c>
      <c r="B574" s="9"/>
      <c r="C574" s="9" t="s">
        <v>33</v>
      </c>
      <c r="D574" s="9"/>
      <c r="E574" s="23">
        <v>47472</v>
      </c>
      <c r="F574" s="19"/>
      <c r="G574" s="19">
        <v>0</v>
      </c>
      <c r="H574" s="19"/>
      <c r="I574" s="19">
        <v>0</v>
      </c>
      <c r="J574" s="19"/>
      <c r="K574" s="19">
        <v>0</v>
      </c>
      <c r="L574" s="19"/>
      <c r="M574" s="19">
        <v>0</v>
      </c>
      <c r="N574" s="19"/>
      <c r="O574" s="19">
        <v>0</v>
      </c>
      <c r="P574" s="19"/>
      <c r="Q574" s="19">
        <v>0</v>
      </c>
      <c r="R574" s="19"/>
      <c r="S574" s="19">
        <v>0</v>
      </c>
      <c r="T574" s="19"/>
      <c r="U574" s="19">
        <v>0</v>
      </c>
      <c r="V574" s="19"/>
      <c r="W574" s="19">
        <v>0</v>
      </c>
      <c r="X574" s="19"/>
      <c r="Y574" s="26">
        <f t="shared" si="88"/>
        <v>0</v>
      </c>
      <c r="Z574" s="19"/>
      <c r="AA574" s="19">
        <v>0</v>
      </c>
      <c r="AB574" s="19"/>
      <c r="AC574" s="19">
        <v>0</v>
      </c>
      <c r="AD574" s="19"/>
      <c r="AE574" s="19">
        <v>0</v>
      </c>
      <c r="AF574" s="19"/>
      <c r="AG574" s="19"/>
      <c r="AH574" s="19"/>
      <c r="AI574" s="19"/>
      <c r="AJ574" s="19"/>
      <c r="AK574" s="19">
        <v>0</v>
      </c>
      <c r="AL574" s="19"/>
      <c r="AM574" s="19">
        <v>0</v>
      </c>
      <c r="AN574" s="19"/>
      <c r="AO574" s="26">
        <f t="shared" si="89"/>
        <v>0</v>
      </c>
      <c r="AP574" s="19"/>
      <c r="AQ574" s="26">
        <f t="shared" si="87"/>
        <v>0</v>
      </c>
      <c r="AR574" s="26"/>
    </row>
    <row r="575" spans="1:44">
      <c r="A575" s="9" t="s">
        <v>289</v>
      </c>
      <c r="B575" s="9"/>
      <c r="C575" s="9" t="s">
        <v>24</v>
      </c>
      <c r="D575" s="9"/>
      <c r="E575" s="23">
        <v>46821</v>
      </c>
      <c r="F575" s="19"/>
      <c r="G575" s="19">
        <v>14711496</v>
      </c>
      <c r="H575" s="19"/>
      <c r="I575" s="19">
        <v>0</v>
      </c>
      <c r="J575" s="19"/>
      <c r="K575" s="19">
        <v>8002766</v>
      </c>
      <c r="L575" s="19"/>
      <c r="M575" s="19">
        <v>0</v>
      </c>
      <c r="N575" s="19"/>
      <c r="O575" s="19">
        <f>647852+300892+466+123082</f>
        <v>1072292</v>
      </c>
      <c r="P575" s="19"/>
      <c r="Q575" s="19">
        <v>206303</v>
      </c>
      <c r="R575" s="19"/>
      <c r="S575" s="19">
        <v>0</v>
      </c>
      <c r="T575" s="19"/>
      <c r="U575" s="19">
        <v>0</v>
      </c>
      <c r="V575" s="19"/>
      <c r="W575" s="19">
        <v>483970</v>
      </c>
      <c r="X575" s="19"/>
      <c r="Y575" s="26">
        <f t="shared" si="88"/>
        <v>24476827</v>
      </c>
      <c r="Z575" s="19"/>
      <c r="AA575" s="19">
        <v>149427</v>
      </c>
      <c r="AB575" s="19"/>
      <c r="AC575" s="19">
        <v>0</v>
      </c>
      <c r="AD575" s="19"/>
      <c r="AE575" s="19">
        <f>20000000+850107</f>
        <v>20850107</v>
      </c>
      <c r="AF575" s="19"/>
      <c r="AG575" s="19"/>
      <c r="AH575" s="19"/>
      <c r="AI575" s="19"/>
      <c r="AJ575" s="19"/>
      <c r="AK575" s="19">
        <v>0</v>
      </c>
      <c r="AL575" s="19"/>
      <c r="AM575" s="19">
        <v>0</v>
      </c>
      <c r="AN575" s="19"/>
      <c r="AO575" s="26">
        <f t="shared" si="89"/>
        <v>20999534</v>
      </c>
      <c r="AP575" s="19"/>
      <c r="AQ575" s="26">
        <f t="shared" si="87"/>
        <v>45476361</v>
      </c>
      <c r="AR575" s="26"/>
    </row>
    <row r="576" spans="1:44" hidden="1">
      <c r="A576" s="9" t="s">
        <v>693</v>
      </c>
      <c r="B576" s="9"/>
      <c r="C576" s="9" t="s">
        <v>21</v>
      </c>
      <c r="D576" s="9"/>
      <c r="E576" s="23">
        <v>45633</v>
      </c>
      <c r="F576" s="19"/>
      <c r="G576" s="19">
        <v>0</v>
      </c>
      <c r="H576" s="19"/>
      <c r="I576" s="19">
        <v>0</v>
      </c>
      <c r="J576" s="19"/>
      <c r="K576" s="19">
        <v>0</v>
      </c>
      <c r="L576" s="19"/>
      <c r="M576" s="19">
        <v>0</v>
      </c>
      <c r="N576" s="19"/>
      <c r="O576" s="19">
        <v>0</v>
      </c>
      <c r="P576" s="19"/>
      <c r="Q576" s="19">
        <v>0</v>
      </c>
      <c r="R576" s="19"/>
      <c r="S576" s="19">
        <v>0</v>
      </c>
      <c r="T576" s="19"/>
      <c r="U576" s="19">
        <v>0</v>
      </c>
      <c r="V576" s="19"/>
      <c r="W576" s="19">
        <v>0</v>
      </c>
      <c r="X576" s="19"/>
      <c r="Y576" s="26">
        <v>0</v>
      </c>
      <c r="Z576" s="19"/>
      <c r="AA576" s="19">
        <v>0</v>
      </c>
      <c r="AB576" s="19"/>
      <c r="AC576" s="19">
        <v>0</v>
      </c>
      <c r="AD576" s="19"/>
      <c r="AE576" s="19">
        <v>0</v>
      </c>
      <c r="AF576" s="19"/>
      <c r="AG576" s="19"/>
      <c r="AH576" s="19"/>
      <c r="AI576" s="19"/>
      <c r="AJ576" s="19"/>
      <c r="AK576" s="19">
        <v>0</v>
      </c>
      <c r="AL576" s="19"/>
      <c r="AM576" s="19">
        <v>0</v>
      </c>
      <c r="AN576" s="19"/>
      <c r="AO576" s="26"/>
      <c r="AP576" s="19"/>
      <c r="AQ576" s="26">
        <f t="shared" si="87"/>
        <v>0</v>
      </c>
      <c r="AR576" s="26"/>
    </row>
    <row r="577" spans="1:44">
      <c r="A577" s="9" t="s">
        <v>538</v>
      </c>
      <c r="B577" s="9"/>
      <c r="C577" s="9" t="s">
        <v>68</v>
      </c>
      <c r="D577" s="9"/>
      <c r="E577" s="23">
        <v>50393</v>
      </c>
      <c r="F577" s="19"/>
      <c r="G577" s="19">
        <v>3865877</v>
      </c>
      <c r="H577" s="19"/>
      <c r="I577" s="19">
        <v>0</v>
      </c>
      <c r="J577" s="19"/>
      <c r="K577" s="19">
        <v>20634134</v>
      </c>
      <c r="L577" s="19"/>
      <c r="M577" s="19">
        <v>46042</v>
      </c>
      <c r="N577" s="19"/>
      <c r="O577" s="19">
        <f>451875+522917</f>
        <v>974792</v>
      </c>
      <c r="P577" s="19"/>
      <c r="Q577" s="19">
        <v>126535</v>
      </c>
      <c r="R577" s="19"/>
      <c r="S577" s="19">
        <v>743375</v>
      </c>
      <c r="T577" s="19"/>
      <c r="U577" s="19">
        <v>29412</v>
      </c>
      <c r="V577" s="19"/>
      <c r="W577" s="19">
        <v>14589</v>
      </c>
      <c r="X577" s="19"/>
      <c r="Y577" s="26">
        <f t="shared" si="88"/>
        <v>26434756</v>
      </c>
      <c r="Z577" s="19"/>
      <c r="AA577" s="19">
        <v>4645095</v>
      </c>
      <c r="AB577" s="19"/>
      <c r="AC577" s="19">
        <v>0</v>
      </c>
      <c r="AD577" s="19"/>
      <c r="AE577" s="19">
        <f>546037+115990+535411</f>
        <v>1197438</v>
      </c>
      <c r="AF577" s="19"/>
      <c r="AG577" s="19"/>
      <c r="AH577" s="19"/>
      <c r="AI577" s="19"/>
      <c r="AJ577" s="19"/>
      <c r="AK577" s="19">
        <v>27333</v>
      </c>
      <c r="AL577" s="19"/>
      <c r="AM577" s="19">
        <v>0</v>
      </c>
      <c r="AN577" s="19"/>
      <c r="AO577" s="26">
        <f t="shared" ref="AO577:AO611" si="90">AK577+AE577+AA577</f>
        <v>5869866</v>
      </c>
      <c r="AP577" s="19"/>
      <c r="AQ577" s="26">
        <f t="shared" si="87"/>
        <v>32304622</v>
      </c>
      <c r="AR577" s="26"/>
    </row>
    <row r="578" spans="1:44">
      <c r="A578" s="9" t="s">
        <v>416</v>
      </c>
      <c r="B578" s="9"/>
      <c r="C578" s="9" t="s">
        <v>47</v>
      </c>
      <c r="D578" s="9"/>
      <c r="E578" s="23">
        <v>44974</v>
      </c>
      <c r="F578" s="19"/>
      <c r="G578" s="19">
        <v>24323083</v>
      </c>
      <c r="H578" s="19"/>
      <c r="I578" s="19">
        <v>0</v>
      </c>
      <c r="J578" s="19"/>
      <c r="K578" s="19">
        <f>416292+19599758+3216825</f>
        <v>23232875</v>
      </c>
      <c r="L578" s="19"/>
      <c r="M578" s="19">
        <v>309060</v>
      </c>
      <c r="N578" s="19"/>
      <c r="O578" s="19">
        <f>966020+21308+793866+215037+56032+255074</f>
        <v>2307337</v>
      </c>
      <c r="P578" s="19"/>
      <c r="Q578" s="19">
        <v>602034</v>
      </c>
      <c r="R578" s="19"/>
      <c r="S578" s="19">
        <v>1373353</v>
      </c>
      <c r="T578" s="19"/>
      <c r="U578" s="19">
        <v>291945</v>
      </c>
      <c r="V578" s="19"/>
      <c r="W578" s="19">
        <v>248288</v>
      </c>
      <c r="X578" s="19"/>
      <c r="Y578" s="26">
        <f t="shared" si="88"/>
        <v>52687975</v>
      </c>
      <c r="Z578" s="19"/>
      <c r="AA578" s="19">
        <v>1504030</v>
      </c>
      <c r="AB578" s="19"/>
      <c r="AC578" s="19">
        <v>0</v>
      </c>
      <c r="AD578" s="19"/>
      <c r="AE578" s="19">
        <v>0</v>
      </c>
      <c r="AF578" s="19"/>
      <c r="AG578" s="19"/>
      <c r="AH578" s="19"/>
      <c r="AI578" s="19"/>
      <c r="AJ578" s="19"/>
      <c r="AK578" s="19">
        <v>8520</v>
      </c>
      <c r="AL578" s="19"/>
      <c r="AM578" s="19">
        <v>0</v>
      </c>
      <c r="AN578" s="19"/>
      <c r="AO578" s="26">
        <f t="shared" si="90"/>
        <v>1512550</v>
      </c>
      <c r="AP578" s="19"/>
      <c r="AQ578" s="26">
        <f t="shared" si="87"/>
        <v>54200525</v>
      </c>
      <c r="AR578" s="26"/>
    </row>
    <row r="579" spans="1:44" hidden="1">
      <c r="A579" s="9" t="s">
        <v>862</v>
      </c>
      <c r="B579" s="9"/>
      <c r="C579" s="9" t="s">
        <v>25</v>
      </c>
      <c r="D579" s="9"/>
      <c r="E579" s="23">
        <v>46904</v>
      </c>
      <c r="F579" s="19"/>
      <c r="G579" s="19">
        <v>0</v>
      </c>
      <c r="H579" s="19"/>
      <c r="I579" s="19">
        <v>0</v>
      </c>
      <c r="J579" s="19"/>
      <c r="K579" s="19">
        <v>0</v>
      </c>
      <c r="L579" s="19"/>
      <c r="M579" s="19">
        <v>0</v>
      </c>
      <c r="N579" s="19"/>
      <c r="O579" s="19">
        <v>0</v>
      </c>
      <c r="P579" s="19"/>
      <c r="Q579" s="19">
        <v>0</v>
      </c>
      <c r="R579" s="19"/>
      <c r="S579" s="19">
        <v>0</v>
      </c>
      <c r="T579" s="19"/>
      <c r="U579" s="19">
        <v>0</v>
      </c>
      <c r="V579" s="19"/>
      <c r="W579" s="19">
        <v>0</v>
      </c>
      <c r="X579" s="19"/>
      <c r="Y579" s="26">
        <f t="shared" ref="Y579:Y581" si="91">SUM(G579:W579)</f>
        <v>0</v>
      </c>
      <c r="Z579" s="19"/>
      <c r="AA579" s="19">
        <v>0</v>
      </c>
      <c r="AB579" s="19"/>
      <c r="AC579" s="19">
        <v>0</v>
      </c>
      <c r="AD579" s="19"/>
      <c r="AE579" s="19">
        <v>0</v>
      </c>
      <c r="AF579" s="19"/>
      <c r="AG579" s="19"/>
      <c r="AH579" s="19"/>
      <c r="AI579" s="19"/>
      <c r="AJ579" s="19"/>
      <c r="AK579" s="19">
        <v>0</v>
      </c>
      <c r="AL579" s="19"/>
      <c r="AM579" s="19">
        <v>0</v>
      </c>
      <c r="AN579" s="19"/>
      <c r="AO579" s="26">
        <f t="shared" ref="AO579:AO581" si="92">AK579+AE579+AA579</f>
        <v>0</v>
      </c>
      <c r="AP579" s="19"/>
      <c r="AQ579" s="26">
        <f t="shared" ref="AQ579:AQ581" si="93">Y579+AO579</f>
        <v>0</v>
      </c>
      <c r="AR579" s="26"/>
    </row>
    <row r="580" spans="1:44" hidden="1">
      <c r="A580" s="9" t="s">
        <v>863</v>
      </c>
      <c r="B580" s="9"/>
      <c r="C580" s="9" t="s">
        <v>14</v>
      </c>
      <c r="D580" s="9"/>
      <c r="E580" s="23">
        <v>44982</v>
      </c>
      <c r="F580" s="19"/>
      <c r="G580" s="19">
        <v>0</v>
      </c>
      <c r="H580" s="19"/>
      <c r="I580" s="19">
        <v>0</v>
      </c>
      <c r="J580" s="19"/>
      <c r="K580" s="19">
        <v>0</v>
      </c>
      <c r="L580" s="19"/>
      <c r="M580" s="19">
        <v>0</v>
      </c>
      <c r="N580" s="19"/>
      <c r="O580" s="19">
        <v>0</v>
      </c>
      <c r="P580" s="19"/>
      <c r="Q580" s="19">
        <v>0</v>
      </c>
      <c r="R580" s="19"/>
      <c r="S580" s="19">
        <v>0</v>
      </c>
      <c r="T580" s="19"/>
      <c r="U580" s="19">
        <v>0</v>
      </c>
      <c r="V580" s="19"/>
      <c r="W580" s="19">
        <v>0</v>
      </c>
      <c r="X580" s="19"/>
      <c r="Y580" s="26">
        <f t="shared" si="91"/>
        <v>0</v>
      </c>
      <c r="Z580" s="19"/>
      <c r="AA580" s="19">
        <v>0</v>
      </c>
      <c r="AB580" s="19"/>
      <c r="AC580" s="19">
        <v>0</v>
      </c>
      <c r="AD580" s="19"/>
      <c r="AE580" s="19">
        <v>0</v>
      </c>
      <c r="AF580" s="19"/>
      <c r="AG580" s="19"/>
      <c r="AH580" s="19"/>
      <c r="AI580" s="19"/>
      <c r="AJ580" s="19"/>
      <c r="AK580" s="19">
        <v>0</v>
      </c>
      <c r="AL580" s="19"/>
      <c r="AM580" s="19">
        <v>0</v>
      </c>
      <c r="AN580" s="19"/>
      <c r="AO580" s="26">
        <f t="shared" si="92"/>
        <v>0</v>
      </c>
      <c r="AP580" s="19"/>
      <c r="AQ580" s="26">
        <f t="shared" si="93"/>
        <v>0</v>
      </c>
      <c r="AR580" s="26"/>
    </row>
    <row r="581" spans="1:44" hidden="1">
      <c r="A581" s="8" t="s">
        <v>864</v>
      </c>
      <c r="B581" s="8"/>
      <c r="C581" s="8" t="s">
        <v>63</v>
      </c>
      <c r="D581" s="9"/>
      <c r="E581" s="23"/>
      <c r="F581" s="19"/>
      <c r="G581" s="19">
        <v>0</v>
      </c>
      <c r="H581" s="19"/>
      <c r="I581" s="19">
        <v>0</v>
      </c>
      <c r="J581" s="19"/>
      <c r="K581" s="19">
        <v>0</v>
      </c>
      <c r="L581" s="19"/>
      <c r="M581" s="19">
        <v>0</v>
      </c>
      <c r="N581" s="19"/>
      <c r="O581" s="19">
        <v>0</v>
      </c>
      <c r="P581" s="19"/>
      <c r="Q581" s="19">
        <v>0</v>
      </c>
      <c r="R581" s="19"/>
      <c r="S581" s="19">
        <v>0</v>
      </c>
      <c r="T581" s="19"/>
      <c r="U581" s="19">
        <v>0</v>
      </c>
      <c r="V581" s="19"/>
      <c r="W581" s="19">
        <v>0</v>
      </c>
      <c r="X581" s="19"/>
      <c r="Y581" s="26">
        <f t="shared" si="91"/>
        <v>0</v>
      </c>
      <c r="Z581" s="19"/>
      <c r="AA581" s="19">
        <v>0</v>
      </c>
      <c r="AB581" s="19"/>
      <c r="AC581" s="19">
        <v>0</v>
      </c>
      <c r="AD581" s="19"/>
      <c r="AE581" s="19">
        <v>0</v>
      </c>
      <c r="AF581" s="19"/>
      <c r="AG581" s="19"/>
      <c r="AH581" s="19"/>
      <c r="AI581" s="19"/>
      <c r="AJ581" s="19"/>
      <c r="AK581" s="19">
        <v>0</v>
      </c>
      <c r="AL581" s="19"/>
      <c r="AM581" s="19">
        <v>0</v>
      </c>
      <c r="AN581" s="19"/>
      <c r="AO581" s="26">
        <f t="shared" si="92"/>
        <v>0</v>
      </c>
      <c r="AP581" s="19"/>
      <c r="AQ581" s="26">
        <f t="shared" si="93"/>
        <v>0</v>
      </c>
      <c r="AR581" s="26"/>
    </row>
    <row r="582" spans="1:44">
      <c r="A582" s="9" t="s">
        <v>527</v>
      </c>
      <c r="B582" s="9"/>
      <c r="C582" s="9" t="s">
        <v>64</v>
      </c>
      <c r="D582" s="9"/>
      <c r="E582" s="23">
        <v>44990</v>
      </c>
      <c r="F582" s="19"/>
      <c r="G582" s="19">
        <v>13265967</v>
      </c>
      <c r="H582" s="19"/>
      <c r="I582" s="19">
        <v>0</v>
      </c>
      <c r="J582" s="19"/>
      <c r="K582" s="19">
        <f>46759676+10556728</f>
        <v>57316404</v>
      </c>
      <c r="L582" s="19"/>
      <c r="M582" s="19">
        <v>383630</v>
      </c>
      <c r="N582" s="19"/>
      <c r="O582" s="19">
        <f>1210512+37536+276940+16635</f>
        <v>1541623</v>
      </c>
      <c r="P582" s="19"/>
      <c r="Q582" s="19">
        <v>230286</v>
      </c>
      <c r="R582" s="19"/>
      <c r="S582" s="19">
        <v>0</v>
      </c>
      <c r="T582" s="19"/>
      <c r="U582" s="19">
        <v>0</v>
      </c>
      <c r="V582" s="19"/>
      <c r="W582" s="19">
        <v>454433</v>
      </c>
      <c r="X582" s="19"/>
      <c r="Y582" s="26">
        <f t="shared" si="88"/>
        <v>73192343</v>
      </c>
      <c r="Z582" s="19"/>
      <c r="AA582" s="19">
        <v>8931081</v>
      </c>
      <c r="AB582" s="19"/>
      <c r="AC582" s="19">
        <v>0</v>
      </c>
      <c r="AD582" s="19"/>
      <c r="AE582" s="19">
        <v>0</v>
      </c>
      <c r="AF582" s="19"/>
      <c r="AG582" s="19"/>
      <c r="AH582" s="19"/>
      <c r="AI582" s="19"/>
      <c r="AJ582" s="19"/>
      <c r="AK582" s="19">
        <v>259447</v>
      </c>
      <c r="AL582" s="19"/>
      <c r="AM582" s="19">
        <v>0</v>
      </c>
      <c r="AN582" s="19"/>
      <c r="AO582" s="26">
        <f t="shared" si="90"/>
        <v>9190528</v>
      </c>
      <c r="AP582" s="19"/>
      <c r="AQ582" s="26">
        <f t="shared" si="87"/>
        <v>82382871</v>
      </c>
      <c r="AR582" s="26"/>
    </row>
    <row r="583" spans="1:44">
      <c r="A583" s="9" t="s">
        <v>545</v>
      </c>
      <c r="B583" s="9"/>
      <c r="C583" s="9" t="s">
        <v>70</v>
      </c>
      <c r="D583" s="9"/>
      <c r="E583" s="23">
        <v>50500</v>
      </c>
      <c r="F583" s="19"/>
      <c r="G583" s="19">
        <v>5728401</v>
      </c>
      <c r="H583" s="19"/>
      <c r="I583" s="19">
        <v>0</v>
      </c>
      <c r="J583" s="19"/>
      <c r="K583" s="19">
        <v>13327272</v>
      </c>
      <c r="L583" s="19"/>
      <c r="M583" s="19">
        <v>60378</v>
      </c>
      <c r="N583" s="19"/>
      <c r="O583" s="19">
        <v>1223151</v>
      </c>
      <c r="P583" s="19"/>
      <c r="Q583" s="19">
        <v>228991</v>
      </c>
      <c r="R583" s="19"/>
      <c r="S583" s="19">
        <v>0</v>
      </c>
      <c r="T583" s="19"/>
      <c r="U583" s="19">
        <v>40555</v>
      </c>
      <c r="V583" s="19"/>
      <c r="W583" s="19">
        <v>185857</v>
      </c>
      <c r="X583" s="19"/>
      <c r="Y583" s="26">
        <f t="shared" si="88"/>
        <v>20794605</v>
      </c>
      <c r="Z583" s="19"/>
      <c r="AA583" s="19">
        <v>0</v>
      </c>
      <c r="AB583" s="19"/>
      <c r="AC583" s="19">
        <v>0</v>
      </c>
      <c r="AD583" s="19"/>
      <c r="AE583" s="19">
        <v>0</v>
      </c>
      <c r="AF583" s="19"/>
      <c r="AG583" s="19"/>
      <c r="AH583" s="19"/>
      <c r="AI583" s="19"/>
      <c r="AJ583" s="19"/>
      <c r="AK583" s="19">
        <v>198</v>
      </c>
      <c r="AL583" s="19"/>
      <c r="AM583" s="19">
        <v>0</v>
      </c>
      <c r="AN583" s="19"/>
      <c r="AO583" s="26">
        <f t="shared" si="90"/>
        <v>198</v>
      </c>
      <c r="AP583" s="19"/>
      <c r="AQ583" s="26">
        <f t="shared" si="87"/>
        <v>20794803</v>
      </c>
      <c r="AR583" s="26"/>
    </row>
    <row r="584" spans="1:44">
      <c r="A584" s="9" t="s">
        <v>278</v>
      </c>
      <c r="B584" s="9"/>
      <c r="C584" s="9" t="s">
        <v>20</v>
      </c>
      <c r="D584" s="9"/>
      <c r="E584" s="23">
        <v>45005</v>
      </c>
      <c r="F584" s="19"/>
      <c r="G584" s="19">
        <v>21878565</v>
      </c>
      <c r="H584" s="19"/>
      <c r="I584" s="19">
        <v>0</v>
      </c>
      <c r="J584" s="19"/>
      <c r="K584" s="19">
        <v>17218616</v>
      </c>
      <c r="L584" s="19"/>
      <c r="M584" s="19">
        <v>32289</v>
      </c>
      <c r="N584" s="19"/>
      <c r="O584" s="19">
        <f>165548+120713+8857</f>
        <v>295118</v>
      </c>
      <c r="P584" s="19"/>
      <c r="Q584" s="19">
        <v>27950</v>
      </c>
      <c r="R584" s="19"/>
      <c r="S584" s="19">
        <v>0</v>
      </c>
      <c r="T584" s="19"/>
      <c r="U584" s="19">
        <v>7584</v>
      </c>
      <c r="V584" s="19"/>
      <c r="W584" s="19">
        <v>106834</v>
      </c>
      <c r="X584" s="19"/>
      <c r="Y584" s="26">
        <f t="shared" si="88"/>
        <v>39566956</v>
      </c>
      <c r="Z584" s="19"/>
      <c r="AA584" s="19">
        <v>110400</v>
      </c>
      <c r="AB584" s="19"/>
      <c r="AC584" s="19">
        <v>0</v>
      </c>
      <c r="AD584" s="19"/>
      <c r="AE584" s="19">
        <v>0</v>
      </c>
      <c r="AF584" s="19"/>
      <c r="AG584" s="19"/>
      <c r="AH584" s="19"/>
      <c r="AI584" s="19"/>
      <c r="AJ584" s="19"/>
      <c r="AK584" s="19">
        <v>0</v>
      </c>
      <c r="AL584" s="19"/>
      <c r="AM584" s="19">
        <v>0</v>
      </c>
      <c r="AN584" s="19"/>
      <c r="AO584" s="26">
        <f t="shared" si="90"/>
        <v>110400</v>
      </c>
      <c r="AP584" s="19"/>
      <c r="AQ584" s="26">
        <f t="shared" si="87"/>
        <v>39677356</v>
      </c>
      <c r="AR584" s="26"/>
    </row>
    <row r="585" spans="1:44" ht="12" customHeight="1">
      <c r="A585" s="9" t="s">
        <v>296</v>
      </c>
      <c r="B585" s="9"/>
      <c r="C585" s="9" t="s">
        <v>26</v>
      </c>
      <c r="D585" s="9"/>
      <c r="E585" s="23">
        <v>45013</v>
      </c>
      <c r="F585" s="19"/>
      <c r="G585" s="19">
        <v>5392642</v>
      </c>
      <c r="H585" s="19"/>
      <c r="I585" s="19">
        <v>0</v>
      </c>
      <c r="J585" s="19"/>
      <c r="K585" s="19">
        <v>15537567</v>
      </c>
      <c r="L585" s="19"/>
      <c r="M585" s="19">
        <v>11676</v>
      </c>
      <c r="N585" s="19"/>
      <c r="O585" s="19">
        <f>905229+26410+279404</f>
        <v>1211043</v>
      </c>
      <c r="P585" s="19"/>
      <c r="Q585" s="19">
        <v>259596</v>
      </c>
      <c r="R585" s="19"/>
      <c r="S585" s="19">
        <v>20108</v>
      </c>
      <c r="T585" s="19"/>
      <c r="U585" s="19">
        <v>68660</v>
      </c>
      <c r="V585" s="19"/>
      <c r="W585" s="19">
        <v>378136</v>
      </c>
      <c r="X585" s="19"/>
      <c r="Y585" s="26">
        <f t="shared" si="88"/>
        <v>22879428</v>
      </c>
      <c r="Z585" s="19"/>
      <c r="AA585" s="19">
        <v>45469</v>
      </c>
      <c r="AB585" s="19"/>
      <c r="AC585" s="19">
        <v>0</v>
      </c>
      <c r="AD585" s="19"/>
      <c r="AE585" s="19">
        <v>0</v>
      </c>
      <c r="AF585" s="19"/>
      <c r="AG585" s="19"/>
      <c r="AH585" s="19"/>
      <c r="AI585" s="19"/>
      <c r="AJ585" s="19"/>
      <c r="AK585" s="19">
        <v>0</v>
      </c>
      <c r="AL585" s="19"/>
      <c r="AM585" s="19">
        <v>0</v>
      </c>
      <c r="AN585" s="19"/>
      <c r="AO585" s="26">
        <f t="shared" si="90"/>
        <v>45469</v>
      </c>
      <c r="AP585" s="19"/>
      <c r="AQ585" s="26">
        <f t="shared" si="87"/>
        <v>22924897</v>
      </c>
      <c r="AR585" s="26"/>
    </row>
    <row r="586" spans="1:44">
      <c r="A586" s="9" t="s">
        <v>393</v>
      </c>
      <c r="B586" s="9"/>
      <c r="C586" s="9" t="s">
        <v>114</v>
      </c>
      <c r="D586" s="9"/>
      <c r="E586" s="23">
        <v>48231</v>
      </c>
      <c r="F586" s="19"/>
      <c r="G586" s="19">
        <v>35494458</v>
      </c>
      <c r="H586" s="19"/>
      <c r="I586" s="19">
        <v>0</v>
      </c>
      <c r="J586" s="19"/>
      <c r="K586" s="19">
        <f>2910+33152585+6042884</f>
        <v>39198379</v>
      </c>
      <c r="L586" s="19"/>
      <c r="M586" s="19">
        <v>68899</v>
      </c>
      <c r="N586" s="19"/>
      <c r="O586" s="19">
        <f>508820+772369+149155+136550+60365+85398</f>
        <v>1712657</v>
      </c>
      <c r="P586" s="19"/>
      <c r="Q586" s="19">
        <v>739218</v>
      </c>
      <c r="R586" s="19"/>
      <c r="S586" s="19">
        <v>3968132</v>
      </c>
      <c r="T586" s="19"/>
      <c r="U586" s="19">
        <v>36515</v>
      </c>
      <c r="V586" s="19"/>
      <c r="W586" s="19">
        <v>537678</v>
      </c>
      <c r="X586" s="19"/>
      <c r="Y586" s="26">
        <f t="shared" si="88"/>
        <v>81755936</v>
      </c>
      <c r="Z586" s="19"/>
      <c r="AA586" s="19">
        <v>642236</v>
      </c>
      <c r="AB586" s="19"/>
      <c r="AC586" s="19">
        <v>0</v>
      </c>
      <c r="AD586" s="19"/>
      <c r="AE586" s="19">
        <f>190036+10000000</f>
        <v>10190036</v>
      </c>
      <c r="AF586" s="19"/>
      <c r="AG586" s="19"/>
      <c r="AH586" s="19"/>
      <c r="AI586" s="19"/>
      <c r="AJ586" s="19"/>
      <c r="AK586" s="19">
        <v>222515</v>
      </c>
      <c r="AL586" s="19"/>
      <c r="AM586" s="19">
        <v>0</v>
      </c>
      <c r="AN586" s="19"/>
      <c r="AO586" s="26">
        <f t="shared" si="90"/>
        <v>11054787</v>
      </c>
      <c r="AP586" s="19"/>
      <c r="AQ586" s="26">
        <f t="shared" si="87"/>
        <v>92810723</v>
      </c>
      <c r="AR586" s="26"/>
    </row>
    <row r="587" spans="1:44">
      <c r="A587" s="9" t="s">
        <v>482</v>
      </c>
      <c r="B587" s="9"/>
      <c r="C587" s="9" t="s">
        <v>59</v>
      </c>
      <c r="D587" s="9"/>
      <c r="E587" s="23">
        <v>49650</v>
      </c>
      <c r="F587" s="19"/>
      <c r="G587" s="19">
        <v>1596192</v>
      </c>
      <c r="H587" s="19"/>
      <c r="I587" s="19">
        <v>0</v>
      </c>
      <c r="J587" s="19"/>
      <c r="K587" s="19">
        <v>12401973</v>
      </c>
      <c r="L587" s="19"/>
      <c r="M587" s="19">
        <v>19762</v>
      </c>
      <c r="N587" s="19"/>
      <c r="O587" s="19">
        <f>1196303+212006</f>
        <v>1408309</v>
      </c>
      <c r="P587" s="19"/>
      <c r="Q587" s="19">
        <v>293836</v>
      </c>
      <c r="R587" s="19"/>
      <c r="S587" s="19">
        <v>0</v>
      </c>
      <c r="T587" s="19"/>
      <c r="U587" s="19">
        <v>0</v>
      </c>
      <c r="V587" s="19"/>
      <c r="W587" s="19">
        <v>206166</v>
      </c>
      <c r="X587" s="19"/>
      <c r="Y587" s="26">
        <f t="shared" si="88"/>
        <v>15926238</v>
      </c>
      <c r="Z587" s="19"/>
      <c r="AA587" s="19">
        <v>28904</v>
      </c>
      <c r="AB587" s="19"/>
      <c r="AC587" s="19">
        <v>0</v>
      </c>
      <c r="AD587" s="19"/>
      <c r="AE587" s="19">
        <v>745000</v>
      </c>
      <c r="AF587" s="19"/>
      <c r="AG587" s="19"/>
      <c r="AH587" s="19"/>
      <c r="AI587" s="19"/>
      <c r="AJ587" s="19"/>
      <c r="AK587" s="19">
        <v>0</v>
      </c>
      <c r="AL587" s="19"/>
      <c r="AM587" s="19">
        <v>0</v>
      </c>
      <c r="AN587" s="19"/>
      <c r="AO587" s="26">
        <f t="shared" si="90"/>
        <v>773904</v>
      </c>
      <c r="AP587" s="19"/>
      <c r="AQ587" s="26">
        <f t="shared" si="87"/>
        <v>16700142</v>
      </c>
      <c r="AR587" s="26"/>
    </row>
    <row r="588" spans="1:44">
      <c r="A588" s="9" t="s">
        <v>462</v>
      </c>
      <c r="B588" s="9"/>
      <c r="C588" s="9" t="s">
        <v>56</v>
      </c>
      <c r="D588" s="9"/>
      <c r="E588" s="23">
        <v>49247</v>
      </c>
      <c r="F588" s="19"/>
      <c r="G588" s="19">
        <v>3813856</v>
      </c>
      <c r="H588" s="19"/>
      <c r="I588" s="19">
        <v>0</v>
      </c>
      <c r="J588" s="19"/>
      <c r="K588" s="19">
        <f>6586145+697431</f>
        <v>7283576</v>
      </c>
      <c r="L588" s="19"/>
      <c r="M588" s="19">
        <v>6055</v>
      </c>
      <c r="N588" s="19"/>
      <c r="O588" s="19">
        <f>349241+156627+34243+20900</f>
        <v>561011</v>
      </c>
      <c r="P588" s="19"/>
      <c r="Q588" s="19">
        <v>287946</v>
      </c>
      <c r="R588" s="19"/>
      <c r="S588" s="19">
        <v>0</v>
      </c>
      <c r="T588" s="19"/>
      <c r="U588" s="19">
        <v>10156</v>
      </c>
      <c r="V588" s="19"/>
      <c r="W588" s="19">
        <v>47142</v>
      </c>
      <c r="X588" s="19"/>
      <c r="Y588" s="26">
        <f t="shared" si="88"/>
        <v>12009742</v>
      </c>
      <c r="Z588" s="19"/>
      <c r="AA588" s="19">
        <v>0</v>
      </c>
      <c r="AB588" s="19"/>
      <c r="AC588" s="19">
        <v>0</v>
      </c>
      <c r="AD588" s="19"/>
      <c r="AE588" s="19">
        <v>0</v>
      </c>
      <c r="AF588" s="19"/>
      <c r="AG588" s="19"/>
      <c r="AH588" s="19"/>
      <c r="AI588" s="19"/>
      <c r="AJ588" s="19"/>
      <c r="AK588" s="19">
        <v>0</v>
      </c>
      <c r="AL588" s="19"/>
      <c r="AM588" s="19">
        <v>0</v>
      </c>
      <c r="AN588" s="19"/>
      <c r="AO588" s="26">
        <f t="shared" si="90"/>
        <v>0</v>
      </c>
      <c r="AP588" s="19"/>
      <c r="AQ588" s="26">
        <f t="shared" si="87"/>
        <v>12009742</v>
      </c>
      <c r="AR588" s="26"/>
    </row>
    <row r="589" spans="1:44">
      <c r="A589" s="9" t="s">
        <v>774</v>
      </c>
      <c r="B589" s="9"/>
      <c r="C589" s="9" t="s">
        <v>28</v>
      </c>
      <c r="D589" s="9"/>
      <c r="E589" s="23">
        <v>45641</v>
      </c>
      <c r="F589" s="19"/>
      <c r="G589" s="19">
        <v>6702483</v>
      </c>
      <c r="H589" s="19"/>
      <c r="I589" s="19">
        <v>0</v>
      </c>
      <c r="J589" s="19"/>
      <c r="K589" s="19">
        <f>3700+9544883+1150059</f>
        <v>10698642</v>
      </c>
      <c r="L589" s="19"/>
      <c r="M589" s="19">
        <v>22319</v>
      </c>
      <c r="N589" s="19"/>
      <c r="O589" s="19">
        <f>752800+16537+365212+52451</f>
        <v>1187000</v>
      </c>
      <c r="P589" s="19"/>
      <c r="Q589" s="19">
        <v>129201</v>
      </c>
      <c r="R589" s="19"/>
      <c r="S589" s="19">
        <v>0</v>
      </c>
      <c r="T589" s="19"/>
      <c r="U589" s="19">
        <v>0</v>
      </c>
      <c r="V589" s="19"/>
      <c r="W589" s="19">
        <v>177898</v>
      </c>
      <c r="X589" s="19"/>
      <c r="Y589" s="26">
        <f t="shared" si="88"/>
        <v>18917543</v>
      </c>
      <c r="Z589" s="19"/>
      <c r="AA589" s="19">
        <v>1117642</v>
      </c>
      <c r="AB589" s="19"/>
      <c r="AC589" s="19">
        <v>0</v>
      </c>
      <c r="AD589" s="19"/>
      <c r="AE589" s="19">
        <v>0</v>
      </c>
      <c r="AF589" s="19"/>
      <c r="AG589" s="19"/>
      <c r="AH589" s="19"/>
      <c r="AI589" s="19"/>
      <c r="AJ589" s="19"/>
      <c r="AK589" s="19">
        <v>0</v>
      </c>
      <c r="AL589" s="19"/>
      <c r="AM589" s="19">
        <v>0</v>
      </c>
      <c r="AN589" s="19"/>
      <c r="AO589" s="26">
        <f t="shared" si="90"/>
        <v>1117642</v>
      </c>
      <c r="AP589" s="19"/>
      <c r="AQ589" s="26">
        <f t="shared" si="87"/>
        <v>20035185</v>
      </c>
      <c r="AR589" s="26"/>
    </row>
    <row r="590" spans="1:44">
      <c r="A590" s="9" t="s">
        <v>454</v>
      </c>
      <c r="B590" s="9"/>
      <c r="C590" s="9" t="s">
        <v>55</v>
      </c>
      <c r="D590" s="9"/>
      <c r="E590" s="23">
        <v>49148</v>
      </c>
      <c r="F590" s="19"/>
      <c r="G590" s="19">
        <v>3839409</v>
      </c>
      <c r="H590" s="19"/>
      <c r="I590" s="19">
        <v>0</v>
      </c>
      <c r="J590" s="19"/>
      <c r="K590" s="19">
        <v>18805297</v>
      </c>
      <c r="L590" s="19"/>
      <c r="M590" s="19">
        <v>14488</v>
      </c>
      <c r="N590" s="19"/>
      <c r="O590" s="19">
        <f>736547+140407+3200</f>
        <v>880154</v>
      </c>
      <c r="P590" s="19"/>
      <c r="Q590" s="19">
        <v>260775</v>
      </c>
      <c r="R590" s="19"/>
      <c r="S590" s="19">
        <v>0</v>
      </c>
      <c r="T590" s="19"/>
      <c r="U590" s="19">
        <v>72378</v>
      </c>
      <c r="V590" s="19"/>
      <c r="W590" s="19">
        <v>61806</v>
      </c>
      <c r="X590" s="19"/>
      <c r="Y590" s="26">
        <f t="shared" si="88"/>
        <v>23934307</v>
      </c>
      <c r="Z590" s="19"/>
      <c r="AA590" s="19">
        <v>131672</v>
      </c>
      <c r="AB590" s="19"/>
      <c r="AC590" s="19">
        <v>0</v>
      </c>
      <c r="AD590" s="19"/>
      <c r="AE590" s="19">
        <v>1354629</v>
      </c>
      <c r="AF590" s="19"/>
      <c r="AG590" s="19"/>
      <c r="AH590" s="19"/>
      <c r="AI590" s="19"/>
      <c r="AJ590" s="19"/>
      <c r="AK590" s="19">
        <v>0</v>
      </c>
      <c r="AL590" s="19"/>
      <c r="AM590" s="19">
        <v>0</v>
      </c>
      <c r="AN590" s="19"/>
      <c r="AO590" s="26">
        <f>AK590+AE590+AA590+AM590</f>
        <v>1486301</v>
      </c>
      <c r="AP590" s="19"/>
      <c r="AQ590" s="26">
        <f t="shared" si="87"/>
        <v>25420608</v>
      </c>
      <c r="AR590" s="26"/>
    </row>
    <row r="591" spans="1:44" hidden="1">
      <c r="A591" s="9" t="s">
        <v>702</v>
      </c>
      <c r="B591" s="9"/>
      <c r="C591" s="9" t="s">
        <v>69</v>
      </c>
      <c r="D591" s="9"/>
      <c r="E591" s="23">
        <v>50468</v>
      </c>
      <c r="F591" s="19"/>
      <c r="G591" s="19">
        <v>0</v>
      </c>
      <c r="H591" s="19"/>
      <c r="I591" s="19">
        <v>0</v>
      </c>
      <c r="J591" s="19"/>
      <c r="K591" s="19">
        <v>0</v>
      </c>
      <c r="L591" s="19"/>
      <c r="M591" s="19">
        <v>0</v>
      </c>
      <c r="N591" s="19"/>
      <c r="O591" s="19">
        <v>0</v>
      </c>
      <c r="P591" s="19"/>
      <c r="Q591" s="19">
        <v>0</v>
      </c>
      <c r="R591" s="19"/>
      <c r="S591" s="19">
        <v>0</v>
      </c>
      <c r="T591" s="19"/>
      <c r="U591" s="19">
        <v>0</v>
      </c>
      <c r="V591" s="19"/>
      <c r="W591" s="19">
        <v>0</v>
      </c>
      <c r="X591" s="19"/>
      <c r="Y591" s="26">
        <f t="shared" si="88"/>
        <v>0</v>
      </c>
      <c r="Z591" s="19"/>
      <c r="AA591" s="19">
        <v>0</v>
      </c>
      <c r="AB591" s="19"/>
      <c r="AC591" s="19">
        <v>0</v>
      </c>
      <c r="AD591" s="19"/>
      <c r="AE591" s="19">
        <v>0</v>
      </c>
      <c r="AF591" s="19"/>
      <c r="AG591" s="19"/>
      <c r="AH591" s="19"/>
      <c r="AI591" s="19"/>
      <c r="AJ591" s="19"/>
      <c r="AK591" s="19">
        <v>0</v>
      </c>
      <c r="AL591" s="19"/>
      <c r="AM591" s="19">
        <v>0</v>
      </c>
      <c r="AN591" s="19"/>
      <c r="AO591" s="26">
        <f t="shared" si="90"/>
        <v>0</v>
      </c>
      <c r="AP591" s="19"/>
      <c r="AQ591" s="26">
        <f t="shared" si="87"/>
        <v>0</v>
      </c>
      <c r="AR591" s="26"/>
    </row>
    <row r="592" spans="1:44" hidden="1">
      <c r="A592" s="9" t="s">
        <v>797</v>
      </c>
      <c r="B592" s="9"/>
      <c r="C592" s="9" t="s">
        <v>447</v>
      </c>
      <c r="D592" s="9"/>
      <c r="E592" s="23">
        <v>49031</v>
      </c>
      <c r="F592" s="19"/>
      <c r="G592" s="19">
        <v>0</v>
      </c>
      <c r="H592" s="19"/>
      <c r="I592" s="19">
        <v>0</v>
      </c>
      <c r="J592" s="19"/>
      <c r="K592" s="19">
        <v>0</v>
      </c>
      <c r="L592" s="19"/>
      <c r="M592" s="19">
        <v>0</v>
      </c>
      <c r="N592" s="19"/>
      <c r="O592" s="19">
        <v>0</v>
      </c>
      <c r="P592" s="19"/>
      <c r="Q592" s="19">
        <v>0</v>
      </c>
      <c r="R592" s="19"/>
      <c r="S592" s="19">
        <v>0</v>
      </c>
      <c r="T592" s="19"/>
      <c r="U592" s="19">
        <v>0</v>
      </c>
      <c r="V592" s="19"/>
      <c r="W592" s="19">
        <v>0</v>
      </c>
      <c r="X592" s="19"/>
      <c r="Y592" s="26">
        <f t="shared" si="88"/>
        <v>0</v>
      </c>
      <c r="Z592" s="19"/>
      <c r="AA592" s="19">
        <v>0</v>
      </c>
      <c r="AB592" s="19"/>
      <c r="AC592" s="19">
        <v>0</v>
      </c>
      <c r="AD592" s="19"/>
      <c r="AE592" s="19">
        <v>0</v>
      </c>
      <c r="AF592" s="19"/>
      <c r="AG592" s="19"/>
      <c r="AH592" s="19"/>
      <c r="AI592" s="19"/>
      <c r="AJ592" s="19"/>
      <c r="AK592" s="19">
        <v>0</v>
      </c>
      <c r="AL592" s="19"/>
      <c r="AM592" s="19">
        <v>0</v>
      </c>
      <c r="AN592" s="19"/>
      <c r="AO592" s="26">
        <f t="shared" si="90"/>
        <v>0</v>
      </c>
      <c r="AP592" s="19"/>
      <c r="AQ592" s="26">
        <f t="shared" si="87"/>
        <v>0</v>
      </c>
      <c r="AR592" s="26"/>
    </row>
    <row r="593" spans="1:44" hidden="1">
      <c r="A593" s="9" t="s">
        <v>641</v>
      </c>
      <c r="B593" s="9"/>
      <c r="C593" s="9" t="s">
        <v>14</v>
      </c>
      <c r="D593" s="9"/>
      <c r="E593" s="23">
        <v>45971</v>
      </c>
      <c r="F593" s="19"/>
      <c r="G593" s="19">
        <v>0</v>
      </c>
      <c r="H593" s="19"/>
      <c r="I593" s="19">
        <v>0</v>
      </c>
      <c r="J593" s="19"/>
      <c r="K593" s="19">
        <v>0</v>
      </c>
      <c r="L593" s="19"/>
      <c r="M593" s="19">
        <v>0</v>
      </c>
      <c r="N593" s="19"/>
      <c r="O593" s="19">
        <v>0</v>
      </c>
      <c r="P593" s="19"/>
      <c r="Q593" s="19">
        <v>0</v>
      </c>
      <c r="R593" s="19"/>
      <c r="S593" s="19">
        <v>0</v>
      </c>
      <c r="T593" s="19"/>
      <c r="U593" s="19">
        <v>0</v>
      </c>
      <c r="V593" s="19"/>
      <c r="W593" s="19">
        <v>0</v>
      </c>
      <c r="X593" s="19"/>
      <c r="Y593" s="26">
        <f t="shared" si="88"/>
        <v>0</v>
      </c>
      <c r="Z593" s="19"/>
      <c r="AA593" s="19">
        <v>0</v>
      </c>
      <c r="AB593" s="19"/>
      <c r="AC593" s="19">
        <v>0</v>
      </c>
      <c r="AD593" s="19"/>
      <c r="AE593" s="19">
        <v>0</v>
      </c>
      <c r="AF593" s="19"/>
      <c r="AG593" s="19"/>
      <c r="AH593" s="19"/>
      <c r="AI593" s="19"/>
      <c r="AJ593" s="19"/>
      <c r="AK593" s="19">
        <v>0</v>
      </c>
      <c r="AL593" s="19"/>
      <c r="AM593" s="19">
        <v>0</v>
      </c>
      <c r="AN593" s="19"/>
      <c r="AO593" s="26">
        <f t="shared" si="90"/>
        <v>0</v>
      </c>
      <c r="AP593" s="19"/>
      <c r="AQ593" s="26">
        <f t="shared" si="87"/>
        <v>0</v>
      </c>
      <c r="AR593" s="26"/>
    </row>
    <row r="594" spans="1:44">
      <c r="A594" s="9" t="s">
        <v>528</v>
      </c>
      <c r="B594" s="9"/>
      <c r="C594" s="9" t="s">
        <v>64</v>
      </c>
      <c r="D594" s="9"/>
      <c r="E594" s="23">
        <v>50252</v>
      </c>
      <c r="F594" s="19"/>
      <c r="G594" s="19">
        <v>2722558</v>
      </c>
      <c r="H594" s="19"/>
      <c r="I594" s="19">
        <v>0</v>
      </c>
      <c r="J594" s="19"/>
      <c r="K594" s="19">
        <f>12770733+668562</f>
        <v>13439295</v>
      </c>
      <c r="L594" s="19"/>
      <c r="M594" s="19">
        <v>4958</v>
      </c>
      <c r="N594" s="19"/>
      <c r="O594" s="19">
        <f>1595627+129607+25355</f>
        <v>1750589</v>
      </c>
      <c r="P594" s="19"/>
      <c r="Q594" s="19">
        <v>84683</v>
      </c>
      <c r="R594" s="19"/>
      <c r="S594" s="19">
        <v>0</v>
      </c>
      <c r="T594" s="19"/>
      <c r="U594" s="19">
        <v>84070</v>
      </c>
      <c r="V594" s="19"/>
      <c r="W594" s="19">
        <v>37881</v>
      </c>
      <c r="X594" s="19"/>
      <c r="Y594" s="26">
        <f t="shared" si="88"/>
        <v>18124034</v>
      </c>
      <c r="Z594" s="19"/>
      <c r="AA594" s="19">
        <v>153235</v>
      </c>
      <c r="AB594" s="19"/>
      <c r="AC594" s="19">
        <v>0</v>
      </c>
      <c r="AD594" s="19"/>
      <c r="AE594" s="19">
        <f>231572+9991935</f>
        <v>10223507</v>
      </c>
      <c r="AF594" s="19"/>
      <c r="AG594" s="19"/>
      <c r="AH594" s="19"/>
      <c r="AI594" s="19"/>
      <c r="AJ594" s="19"/>
      <c r="AK594" s="19">
        <v>0</v>
      </c>
      <c r="AL594" s="19"/>
      <c r="AM594" s="19">
        <v>0</v>
      </c>
      <c r="AN594" s="19"/>
      <c r="AO594" s="26">
        <f t="shared" si="90"/>
        <v>10376742</v>
      </c>
      <c r="AP594" s="19"/>
      <c r="AQ594" s="26">
        <f t="shared" si="87"/>
        <v>28500776</v>
      </c>
      <c r="AR594" s="26"/>
    </row>
    <row r="595" spans="1:44">
      <c r="A595" s="9" t="s">
        <v>775</v>
      </c>
      <c r="B595" s="9"/>
      <c r="C595" s="9" t="s">
        <v>44</v>
      </c>
      <c r="D595" s="9"/>
      <c r="E595" s="23">
        <v>45658</v>
      </c>
      <c r="F595" s="19"/>
      <c r="G595" s="19">
        <v>4880403</v>
      </c>
      <c r="H595" s="19"/>
      <c r="I595" s="19">
        <v>1774556</v>
      </c>
      <c r="J595" s="19"/>
      <c r="K595" s="19">
        <v>7031888</v>
      </c>
      <c r="L595" s="19"/>
      <c r="M595" s="19">
        <v>14559</v>
      </c>
      <c r="N595" s="19"/>
      <c r="O595" s="19">
        <f>398407+192327</f>
        <v>590734</v>
      </c>
      <c r="P595" s="19"/>
      <c r="Q595" s="19">
        <v>295831</v>
      </c>
      <c r="R595" s="19"/>
      <c r="S595" s="19">
        <v>8340</v>
      </c>
      <c r="T595" s="19"/>
      <c r="U595" s="19">
        <v>86095</v>
      </c>
      <c r="V595" s="19"/>
      <c r="W595" s="19">
        <v>62957</v>
      </c>
      <c r="X595" s="19"/>
      <c r="Y595" s="26">
        <f t="shared" si="88"/>
        <v>14745363</v>
      </c>
      <c r="Z595" s="19"/>
      <c r="AA595" s="19">
        <v>242392</v>
      </c>
      <c r="AB595" s="19"/>
      <c r="AC595" s="19">
        <v>0</v>
      </c>
      <c r="AD595" s="19"/>
      <c r="AE595" s="19">
        <f>11574933+93021+274000</f>
        <v>11941954</v>
      </c>
      <c r="AF595" s="19"/>
      <c r="AG595" s="19"/>
      <c r="AH595" s="19"/>
      <c r="AI595" s="19"/>
      <c r="AJ595" s="19"/>
      <c r="AK595" s="19">
        <v>0</v>
      </c>
      <c r="AL595" s="19"/>
      <c r="AM595" s="19">
        <v>0</v>
      </c>
      <c r="AN595" s="19"/>
      <c r="AO595" s="26">
        <f t="shared" si="90"/>
        <v>12184346</v>
      </c>
      <c r="AP595" s="19"/>
      <c r="AQ595" s="26">
        <f t="shared" si="87"/>
        <v>26929709</v>
      </c>
      <c r="AR595" s="26"/>
    </row>
    <row r="596" spans="1:44">
      <c r="A596" s="9" t="s">
        <v>359</v>
      </c>
      <c r="B596" s="9"/>
      <c r="C596" s="9" t="s">
        <v>38</v>
      </c>
      <c r="D596" s="9"/>
      <c r="E596" s="23">
        <v>45021</v>
      </c>
      <c r="F596" s="19"/>
      <c r="G596" s="19">
        <v>2193094</v>
      </c>
      <c r="H596" s="19"/>
      <c r="I596" s="19">
        <v>0</v>
      </c>
      <c r="J596" s="19"/>
      <c r="K596" s="19">
        <v>13862401</v>
      </c>
      <c r="L596" s="19"/>
      <c r="M596" s="19">
        <v>18397</v>
      </c>
      <c r="N596" s="19"/>
      <c r="O596" s="19">
        <f>419097+3196+154347</f>
        <v>576640</v>
      </c>
      <c r="P596" s="19"/>
      <c r="Q596" s="19">
        <v>106182</v>
      </c>
      <c r="R596" s="19"/>
      <c r="S596" s="19">
        <v>0</v>
      </c>
      <c r="T596" s="19"/>
      <c r="U596" s="19">
        <v>45683</v>
      </c>
      <c r="V596" s="19"/>
      <c r="W596" s="19">
        <v>235616</v>
      </c>
      <c r="X596" s="19"/>
      <c r="Y596" s="26">
        <f t="shared" si="88"/>
        <v>17038013</v>
      </c>
      <c r="Z596" s="19"/>
      <c r="AA596" s="19">
        <v>0</v>
      </c>
      <c r="AB596" s="19"/>
      <c r="AC596" s="19">
        <v>0</v>
      </c>
      <c r="AD596" s="19"/>
      <c r="AE596" s="19">
        <v>0</v>
      </c>
      <c r="AF596" s="19"/>
      <c r="AG596" s="19"/>
      <c r="AH596" s="19"/>
      <c r="AI596" s="19"/>
      <c r="AJ596" s="19"/>
      <c r="AK596" s="19">
        <f>17500+110342</f>
        <v>127842</v>
      </c>
      <c r="AL596" s="19"/>
      <c r="AM596" s="19">
        <v>0</v>
      </c>
      <c r="AN596" s="19"/>
      <c r="AO596" s="26">
        <f t="shared" si="90"/>
        <v>127842</v>
      </c>
      <c r="AP596" s="19"/>
      <c r="AQ596" s="26">
        <f t="shared" si="87"/>
        <v>17165855</v>
      </c>
      <c r="AR596" s="26"/>
    </row>
    <row r="597" spans="1:44">
      <c r="A597" s="9" t="s">
        <v>250</v>
      </c>
      <c r="B597" s="9"/>
      <c r="C597" s="9" t="s">
        <v>111</v>
      </c>
      <c r="D597" s="9"/>
      <c r="E597" s="23">
        <v>45039</v>
      </c>
      <c r="F597" s="19"/>
      <c r="G597" s="19">
        <v>1061835</v>
      </c>
      <c r="H597" s="19"/>
      <c r="I597" s="19">
        <v>0</v>
      </c>
      <c r="J597" s="19"/>
      <c r="K597" s="19">
        <f>6160684+982840</f>
        <v>7143524</v>
      </c>
      <c r="L597" s="19"/>
      <c r="M597" s="19">
        <v>10628</v>
      </c>
      <c r="N597" s="19"/>
      <c r="O597" s="19">
        <f>628715+31948+788</f>
        <v>661451</v>
      </c>
      <c r="P597" s="19"/>
      <c r="Q597" s="19">
        <v>75606</v>
      </c>
      <c r="R597" s="19"/>
      <c r="S597" s="19">
        <v>0</v>
      </c>
      <c r="T597" s="19"/>
      <c r="U597" s="19">
        <v>21932</v>
      </c>
      <c r="V597" s="19"/>
      <c r="W597" s="19">
        <v>4770</v>
      </c>
      <c r="X597" s="19"/>
      <c r="Y597" s="26">
        <f t="shared" si="88"/>
        <v>8979746</v>
      </c>
      <c r="Z597" s="19"/>
      <c r="AA597" s="19">
        <v>60483</v>
      </c>
      <c r="AB597" s="19"/>
      <c r="AC597" s="19">
        <v>0</v>
      </c>
      <c r="AD597" s="19"/>
      <c r="AE597" s="19">
        <v>0</v>
      </c>
      <c r="AF597" s="19"/>
      <c r="AG597" s="19"/>
      <c r="AH597" s="19"/>
      <c r="AI597" s="19"/>
      <c r="AJ597" s="19"/>
      <c r="AK597" s="19">
        <v>0</v>
      </c>
      <c r="AL597" s="19"/>
      <c r="AM597" s="19">
        <v>0</v>
      </c>
      <c r="AN597" s="19"/>
      <c r="AO597" s="26">
        <f t="shared" si="90"/>
        <v>60483</v>
      </c>
      <c r="AP597" s="19"/>
      <c r="AQ597" s="26">
        <f t="shared" si="87"/>
        <v>9040229</v>
      </c>
      <c r="AR597" s="26"/>
    </row>
    <row r="598" spans="1:44">
      <c r="A598" s="9" t="s">
        <v>405</v>
      </c>
      <c r="B598" s="9"/>
      <c r="C598" s="9" t="s">
        <v>45</v>
      </c>
      <c r="D598" s="9"/>
      <c r="E598" s="23">
        <v>48389</v>
      </c>
      <c r="F598" s="19"/>
      <c r="G598" s="19">
        <v>4853673</v>
      </c>
      <c r="H598" s="19"/>
      <c r="I598" s="19">
        <v>0</v>
      </c>
      <c r="J598" s="19"/>
      <c r="K598" s="19">
        <f>2323+11913123+1641424</f>
        <v>13556870</v>
      </c>
      <c r="L598" s="19"/>
      <c r="M598" s="19">
        <v>4691</v>
      </c>
      <c r="N598" s="19"/>
      <c r="O598" s="19">
        <f>1938015+513600+26884+1712+852</f>
        <v>2481063</v>
      </c>
      <c r="P598" s="19"/>
      <c r="Q598" s="19">
        <v>393582</v>
      </c>
      <c r="R598" s="19"/>
      <c r="S598" s="19">
        <v>0</v>
      </c>
      <c r="T598" s="19"/>
      <c r="U598" s="19">
        <v>109777</v>
      </c>
      <c r="V598" s="19"/>
      <c r="W598" s="19">
        <v>339389</v>
      </c>
      <c r="X598" s="19"/>
      <c r="Y598" s="26">
        <f t="shared" si="88"/>
        <v>21739045</v>
      </c>
      <c r="Z598" s="19"/>
      <c r="AA598" s="19">
        <v>159304</v>
      </c>
      <c r="AB598" s="19"/>
      <c r="AC598" s="19">
        <v>0</v>
      </c>
      <c r="AD598" s="19"/>
      <c r="AE598" s="19">
        <v>0</v>
      </c>
      <c r="AF598" s="19"/>
      <c r="AG598" s="19"/>
      <c r="AH598" s="19"/>
      <c r="AI598" s="19"/>
      <c r="AJ598" s="19"/>
      <c r="AK598" s="19">
        <v>0</v>
      </c>
      <c r="AL598" s="19"/>
      <c r="AM598" s="19">
        <v>0</v>
      </c>
      <c r="AN598" s="19"/>
      <c r="AO598" s="26">
        <f t="shared" si="90"/>
        <v>159304</v>
      </c>
      <c r="AP598" s="19"/>
      <c r="AQ598" s="26">
        <f t="shared" si="87"/>
        <v>21898349</v>
      </c>
      <c r="AR598" s="26"/>
    </row>
    <row r="599" spans="1:44">
      <c r="A599" s="9" t="s">
        <v>701</v>
      </c>
      <c r="B599" s="9"/>
      <c r="C599" s="9" t="s">
        <v>50</v>
      </c>
      <c r="D599" s="9"/>
      <c r="E599" s="23">
        <v>45054</v>
      </c>
      <c r="F599" s="19"/>
      <c r="G599" s="19">
        <v>15959396</v>
      </c>
      <c r="H599" s="19"/>
      <c r="I599" s="19">
        <v>0</v>
      </c>
      <c r="J599" s="19"/>
      <c r="K599" s="19">
        <f>18561770+3659514</f>
        <v>22221284</v>
      </c>
      <c r="L599" s="19"/>
      <c r="M599" s="19">
        <v>89566</v>
      </c>
      <c r="N599" s="19"/>
      <c r="O599" s="19">
        <f>345155+20582+398891+104674+79905+70000</f>
        <v>1019207</v>
      </c>
      <c r="P599" s="19"/>
      <c r="Q599" s="19">
        <v>147946</v>
      </c>
      <c r="R599" s="19"/>
      <c r="S599" s="19">
        <v>26926</v>
      </c>
      <c r="T599" s="19"/>
      <c r="U599" s="19">
        <v>57473</v>
      </c>
      <c r="V599" s="19"/>
      <c r="W599" s="19">
        <v>246329</v>
      </c>
      <c r="X599" s="19"/>
      <c r="Y599" s="26">
        <f t="shared" si="88"/>
        <v>39768127</v>
      </c>
      <c r="Z599" s="19"/>
      <c r="AA599" s="19">
        <v>0</v>
      </c>
      <c r="AB599" s="19"/>
      <c r="AC599" s="19">
        <v>0</v>
      </c>
      <c r="AD599" s="19"/>
      <c r="AE599" s="19">
        <v>0</v>
      </c>
      <c r="AF599" s="19"/>
      <c r="AG599" s="19"/>
      <c r="AH599" s="19"/>
      <c r="AI599" s="19"/>
      <c r="AJ599" s="19"/>
      <c r="AK599" s="19">
        <v>0</v>
      </c>
      <c r="AL599" s="19"/>
      <c r="AM599" s="19">
        <v>0</v>
      </c>
      <c r="AN599" s="19"/>
      <c r="AO599" s="26">
        <f t="shared" si="90"/>
        <v>0</v>
      </c>
      <c r="AP599" s="19"/>
      <c r="AQ599" s="26">
        <f t="shared" si="87"/>
        <v>39768127</v>
      </c>
      <c r="AR599" s="26"/>
    </row>
    <row r="600" spans="1:44">
      <c r="A600" s="9" t="s">
        <v>239</v>
      </c>
      <c r="B600" s="9"/>
      <c r="C600" s="9" t="s">
        <v>112</v>
      </c>
      <c r="D600" s="9"/>
      <c r="E600" s="23">
        <v>46359</v>
      </c>
      <c r="F600" s="19"/>
      <c r="G600" s="19">
        <v>42561713</v>
      </c>
      <c r="H600" s="19"/>
      <c r="I600" s="19">
        <v>0</v>
      </c>
      <c r="J600" s="19"/>
      <c r="K600" s="19">
        <v>35743587</v>
      </c>
      <c r="L600" s="19"/>
      <c r="M600" s="19">
        <v>8424</v>
      </c>
      <c r="N600" s="19"/>
      <c r="O600" s="19">
        <f>1316998+1116931</f>
        <v>2433929</v>
      </c>
      <c r="P600" s="19"/>
      <c r="Q600" s="19">
        <v>734891</v>
      </c>
      <c r="R600" s="19"/>
      <c r="S600" s="19">
        <v>0</v>
      </c>
      <c r="T600" s="19"/>
      <c r="U600" s="19">
        <v>0</v>
      </c>
      <c r="V600" s="19"/>
      <c r="W600" s="19">
        <v>1194583</v>
      </c>
      <c r="X600" s="19"/>
      <c r="Y600" s="26">
        <f t="shared" si="88"/>
        <v>82677127</v>
      </c>
      <c r="Z600" s="19"/>
      <c r="AA600" s="19">
        <v>119076</v>
      </c>
      <c r="AB600" s="19"/>
      <c r="AC600" s="19">
        <v>0</v>
      </c>
      <c r="AD600" s="19"/>
      <c r="AE600" s="19">
        <f>3740000+385921</f>
        <v>4125921</v>
      </c>
      <c r="AF600" s="19"/>
      <c r="AG600" s="19"/>
      <c r="AH600" s="19"/>
      <c r="AI600" s="19"/>
      <c r="AJ600" s="19"/>
      <c r="AK600" s="19">
        <v>0</v>
      </c>
      <c r="AL600" s="19"/>
      <c r="AM600" s="19">
        <v>0</v>
      </c>
      <c r="AN600" s="19"/>
      <c r="AO600" s="26">
        <f t="shared" si="90"/>
        <v>4244997</v>
      </c>
      <c r="AP600" s="19"/>
      <c r="AQ600" s="26">
        <f t="shared" si="87"/>
        <v>86922124</v>
      </c>
      <c r="AR600" s="26"/>
    </row>
    <row r="601" spans="1:44">
      <c r="A601" s="9" t="s">
        <v>314</v>
      </c>
      <c r="B601" s="9"/>
      <c r="C601" s="9" t="s">
        <v>30</v>
      </c>
      <c r="D601" s="9"/>
      <c r="E601" s="23">
        <v>47225</v>
      </c>
      <c r="F601" s="19"/>
      <c r="G601" s="19">
        <v>19505485</v>
      </c>
      <c r="H601" s="19"/>
      <c r="I601" s="19">
        <v>0</v>
      </c>
      <c r="J601" s="19"/>
      <c r="K601" s="19">
        <v>7882291</v>
      </c>
      <c r="L601" s="19"/>
      <c r="M601" s="19">
        <v>63891</v>
      </c>
      <c r="N601" s="19"/>
      <c r="O601" s="19">
        <f>2036527+8282+279047</f>
        <v>2323856</v>
      </c>
      <c r="P601" s="19"/>
      <c r="Q601" s="19">
        <v>282086</v>
      </c>
      <c r="R601" s="19"/>
      <c r="S601" s="19">
        <v>0</v>
      </c>
      <c r="T601" s="19"/>
      <c r="U601" s="19">
        <v>128049</v>
      </c>
      <c r="V601" s="19"/>
      <c r="W601" s="19">
        <v>27785</v>
      </c>
      <c r="X601" s="19"/>
      <c r="Y601" s="26">
        <f t="shared" si="88"/>
        <v>30213443</v>
      </c>
      <c r="Z601" s="19"/>
      <c r="AA601" s="19">
        <v>45000</v>
      </c>
      <c r="AB601" s="19"/>
      <c r="AC601" s="19">
        <v>0</v>
      </c>
      <c r="AD601" s="19"/>
      <c r="AE601" s="19">
        <v>0</v>
      </c>
      <c r="AF601" s="19"/>
      <c r="AG601" s="19"/>
      <c r="AH601" s="19"/>
      <c r="AI601" s="19"/>
      <c r="AJ601" s="19"/>
      <c r="AK601" s="19">
        <v>9860</v>
      </c>
      <c r="AL601" s="19"/>
      <c r="AM601" s="19">
        <v>0</v>
      </c>
      <c r="AN601" s="19"/>
      <c r="AO601" s="26">
        <f t="shared" si="90"/>
        <v>54860</v>
      </c>
      <c r="AP601" s="19"/>
      <c r="AQ601" s="26">
        <f t="shared" si="87"/>
        <v>30268303</v>
      </c>
      <c r="AR601" s="26"/>
    </row>
    <row r="602" spans="1:44">
      <c r="A602" s="9" t="s">
        <v>352</v>
      </c>
      <c r="B602" s="9"/>
      <c r="C602" s="9" t="s">
        <v>36</v>
      </c>
      <c r="D602" s="9"/>
      <c r="E602" s="23">
        <v>47696</v>
      </c>
      <c r="F602" s="19"/>
      <c r="G602" s="19">
        <v>9811406</v>
      </c>
      <c r="H602" s="19"/>
      <c r="I602" s="19">
        <v>0</v>
      </c>
      <c r="J602" s="19"/>
      <c r="K602" s="19">
        <v>13889125</v>
      </c>
      <c r="L602" s="19"/>
      <c r="M602" s="19">
        <v>27159</v>
      </c>
      <c r="N602" s="19"/>
      <c r="O602" s="19">
        <f>638801+12071+438909</f>
        <v>1089781</v>
      </c>
      <c r="P602" s="19"/>
      <c r="Q602" s="19">
        <v>321673</v>
      </c>
      <c r="R602" s="19"/>
      <c r="S602" s="19">
        <v>0</v>
      </c>
      <c r="T602" s="19"/>
      <c r="U602" s="19">
        <v>2071</v>
      </c>
      <c r="V602" s="19"/>
      <c r="W602" s="19">
        <v>160599</v>
      </c>
      <c r="X602" s="19"/>
      <c r="Y602" s="26">
        <f t="shared" si="88"/>
        <v>25301814</v>
      </c>
      <c r="Z602" s="19"/>
      <c r="AA602" s="19">
        <v>0</v>
      </c>
      <c r="AB602" s="19"/>
      <c r="AC602" s="19">
        <v>0</v>
      </c>
      <c r="AD602" s="19"/>
      <c r="AE602" s="19">
        <v>0</v>
      </c>
      <c r="AF602" s="19"/>
      <c r="AG602" s="19"/>
      <c r="AH602" s="19"/>
      <c r="AI602" s="19"/>
      <c r="AJ602" s="19"/>
      <c r="AK602" s="19">
        <v>0</v>
      </c>
      <c r="AL602" s="19"/>
      <c r="AM602" s="19">
        <v>0</v>
      </c>
      <c r="AN602" s="19"/>
      <c r="AO602" s="26">
        <f t="shared" si="90"/>
        <v>0</v>
      </c>
      <c r="AP602" s="19"/>
      <c r="AQ602" s="26">
        <f t="shared" si="87"/>
        <v>25301814</v>
      </c>
      <c r="AR602" s="26"/>
    </row>
    <row r="603" spans="1:44" hidden="1">
      <c r="A603" s="8" t="s">
        <v>908</v>
      </c>
      <c r="B603" s="9"/>
      <c r="C603" s="9" t="s">
        <v>227</v>
      </c>
      <c r="D603" s="9"/>
      <c r="E603" s="23">
        <v>46219</v>
      </c>
      <c r="F603" s="19"/>
      <c r="G603" s="19">
        <v>0</v>
      </c>
      <c r="H603" s="19"/>
      <c r="I603" s="19">
        <v>0</v>
      </c>
      <c r="J603" s="19"/>
      <c r="K603" s="19">
        <v>0</v>
      </c>
      <c r="L603" s="19"/>
      <c r="M603" s="19">
        <v>0</v>
      </c>
      <c r="N603" s="19"/>
      <c r="O603" s="19">
        <v>0</v>
      </c>
      <c r="P603" s="19"/>
      <c r="Q603" s="19">
        <v>0</v>
      </c>
      <c r="R603" s="19"/>
      <c r="S603" s="19">
        <v>0</v>
      </c>
      <c r="T603" s="19"/>
      <c r="U603" s="19">
        <v>0</v>
      </c>
      <c r="V603" s="19"/>
      <c r="W603" s="19">
        <v>0</v>
      </c>
      <c r="X603" s="19"/>
      <c r="Y603" s="26">
        <f t="shared" si="88"/>
        <v>0</v>
      </c>
      <c r="Z603" s="19"/>
      <c r="AA603" s="19">
        <v>0</v>
      </c>
      <c r="AB603" s="19"/>
      <c r="AC603" s="19">
        <v>0</v>
      </c>
      <c r="AD603" s="19"/>
      <c r="AE603" s="19">
        <v>0</v>
      </c>
      <c r="AF603" s="19"/>
      <c r="AG603" s="19"/>
      <c r="AH603" s="19"/>
      <c r="AI603" s="19"/>
      <c r="AJ603" s="19"/>
      <c r="AK603" s="19">
        <v>0</v>
      </c>
      <c r="AL603" s="19"/>
      <c r="AM603" s="19">
        <v>0</v>
      </c>
      <c r="AN603" s="19"/>
      <c r="AO603" s="26">
        <f t="shared" si="90"/>
        <v>0</v>
      </c>
      <c r="AP603" s="19"/>
      <c r="AQ603" s="26">
        <f t="shared" si="87"/>
        <v>0</v>
      </c>
      <c r="AR603" s="26"/>
    </row>
    <row r="604" spans="1:44">
      <c r="A604" s="9" t="s">
        <v>444</v>
      </c>
      <c r="B604" s="9"/>
      <c r="C604" s="9" t="s">
        <v>51</v>
      </c>
      <c r="D604" s="9"/>
      <c r="E604" s="23">
        <v>48884</v>
      </c>
      <c r="F604" s="19"/>
      <c r="G604" s="19">
        <v>6641352</v>
      </c>
      <c r="H604" s="19"/>
      <c r="I604" s="19">
        <v>0</v>
      </c>
      <c r="J604" s="19"/>
      <c r="K604" s="19">
        <v>8972467</v>
      </c>
      <c r="L604" s="19"/>
      <c r="M604" s="19">
        <v>12781</v>
      </c>
      <c r="N604" s="19"/>
      <c r="O604" s="19">
        <f>1581312+1055+244067</f>
        <v>1826434</v>
      </c>
      <c r="P604" s="19"/>
      <c r="Q604" s="19">
        <v>218529</v>
      </c>
      <c r="R604" s="19"/>
      <c r="S604" s="19">
        <v>158919</v>
      </c>
      <c r="T604" s="19"/>
      <c r="U604" s="19">
        <v>37844</v>
      </c>
      <c r="V604" s="19"/>
      <c r="W604" s="19">
        <v>53337</v>
      </c>
      <c r="X604" s="19"/>
      <c r="Y604" s="26">
        <f t="shared" si="88"/>
        <v>17921663</v>
      </c>
      <c r="Z604" s="19"/>
      <c r="AA604" s="19">
        <v>35000</v>
      </c>
      <c r="AB604" s="19"/>
      <c r="AC604" s="19">
        <v>0</v>
      </c>
      <c r="AD604" s="19"/>
      <c r="AE604" s="19">
        <f>11024312+761370+79500</f>
        <v>11865182</v>
      </c>
      <c r="AF604" s="19"/>
      <c r="AG604" s="19"/>
      <c r="AH604" s="19"/>
      <c r="AI604" s="19"/>
      <c r="AJ604" s="19"/>
      <c r="AK604" s="19">
        <v>33250</v>
      </c>
      <c r="AL604" s="19"/>
      <c r="AM604" s="19">
        <v>0</v>
      </c>
      <c r="AN604" s="19"/>
      <c r="AO604" s="26">
        <f t="shared" si="90"/>
        <v>11933432</v>
      </c>
      <c r="AP604" s="19"/>
      <c r="AQ604" s="26">
        <f t="shared" si="87"/>
        <v>29855095</v>
      </c>
      <c r="AR604" s="26"/>
    </row>
    <row r="605" spans="1:44">
      <c r="A605" s="9" t="s">
        <v>219</v>
      </c>
      <c r="B605" s="9"/>
      <c r="C605" s="9" t="s">
        <v>77</v>
      </c>
      <c r="D605" s="9"/>
      <c r="E605" s="23">
        <v>46060</v>
      </c>
      <c r="F605" s="19"/>
      <c r="G605" s="19">
        <v>4844003</v>
      </c>
      <c r="H605" s="19"/>
      <c r="I605" s="19">
        <v>0</v>
      </c>
      <c r="J605" s="19"/>
      <c r="K605" s="19">
        <v>21604858</v>
      </c>
      <c r="L605" s="19"/>
      <c r="M605" s="19">
        <v>12024</v>
      </c>
      <c r="N605" s="19"/>
      <c r="O605" s="19">
        <f>1602627+19780+22293</f>
        <v>1644700</v>
      </c>
      <c r="P605" s="19"/>
      <c r="Q605" s="19">
        <v>348914</v>
      </c>
      <c r="R605" s="19"/>
      <c r="S605" s="19">
        <v>102547</v>
      </c>
      <c r="T605" s="19"/>
      <c r="U605" s="19">
        <v>83281</v>
      </c>
      <c r="V605" s="19"/>
      <c r="W605" s="19">
        <v>112064</v>
      </c>
      <c r="X605" s="19"/>
      <c r="Y605" s="26">
        <f t="shared" si="88"/>
        <v>28752391</v>
      </c>
      <c r="Z605" s="19"/>
      <c r="AA605" s="19">
        <v>0</v>
      </c>
      <c r="AB605" s="19"/>
      <c r="AC605" s="19">
        <v>0</v>
      </c>
      <c r="AD605" s="19"/>
      <c r="AE605" s="19">
        <v>0</v>
      </c>
      <c r="AF605" s="19"/>
      <c r="AG605" s="19"/>
      <c r="AH605" s="19"/>
      <c r="AI605" s="19"/>
      <c r="AJ605" s="19"/>
      <c r="AK605" s="19">
        <v>0</v>
      </c>
      <c r="AL605" s="19"/>
      <c r="AM605" s="19">
        <v>0</v>
      </c>
      <c r="AN605" s="19"/>
      <c r="AO605" s="26">
        <f t="shared" si="90"/>
        <v>0</v>
      </c>
      <c r="AP605" s="19"/>
      <c r="AQ605" s="26">
        <f t="shared" si="87"/>
        <v>28752391</v>
      </c>
      <c r="AR605" s="26"/>
    </row>
    <row r="606" spans="1:44">
      <c r="A606" s="9" t="s">
        <v>455</v>
      </c>
      <c r="B606" s="9"/>
      <c r="C606" s="9" t="s">
        <v>55</v>
      </c>
      <c r="D606" s="9"/>
      <c r="E606" s="23">
        <v>49155</v>
      </c>
      <c r="F606" s="19"/>
      <c r="G606" s="19">
        <v>932845</v>
      </c>
      <c r="H606" s="19"/>
      <c r="I606" s="19">
        <v>0</v>
      </c>
      <c r="J606" s="19"/>
      <c r="K606" s="19">
        <v>7916130</v>
      </c>
      <c r="L606" s="19"/>
      <c r="M606" s="19">
        <v>11036</v>
      </c>
      <c r="N606" s="19"/>
      <c r="O606" s="19">
        <f>520+238866+43849</f>
        <v>283235</v>
      </c>
      <c r="P606" s="19"/>
      <c r="Q606" s="19">
        <v>31736</v>
      </c>
      <c r="R606" s="19"/>
      <c r="S606" s="19">
        <v>0</v>
      </c>
      <c r="T606" s="19"/>
      <c r="U606" s="19">
        <v>3600</v>
      </c>
      <c r="V606" s="19"/>
      <c r="W606" s="19">
        <v>38613</v>
      </c>
      <c r="X606" s="19"/>
      <c r="Y606" s="26">
        <f t="shared" si="88"/>
        <v>9217195</v>
      </c>
      <c r="Z606" s="19"/>
      <c r="AA606" s="19">
        <v>5486</v>
      </c>
      <c r="AB606" s="19"/>
      <c r="AC606" s="19">
        <v>0</v>
      </c>
      <c r="AD606" s="19"/>
      <c r="AE606" s="19">
        <v>0</v>
      </c>
      <c r="AF606" s="19"/>
      <c r="AG606" s="19"/>
      <c r="AH606" s="19"/>
      <c r="AI606" s="19"/>
      <c r="AJ606" s="19"/>
      <c r="AK606" s="19">
        <v>0</v>
      </c>
      <c r="AL606" s="19"/>
      <c r="AM606" s="19">
        <v>0</v>
      </c>
      <c r="AN606" s="19"/>
      <c r="AO606" s="26">
        <f t="shared" si="90"/>
        <v>5486</v>
      </c>
      <c r="AP606" s="19"/>
      <c r="AQ606" s="26">
        <f t="shared" si="87"/>
        <v>9222681</v>
      </c>
      <c r="AR606" s="26"/>
    </row>
    <row r="607" spans="1:44">
      <c r="A607" s="9" t="s">
        <v>357</v>
      </c>
      <c r="B607" s="9"/>
      <c r="C607" s="9" t="s">
        <v>37</v>
      </c>
      <c r="D607" s="9"/>
      <c r="E607" s="23">
        <v>47746</v>
      </c>
      <c r="F607" s="19"/>
      <c r="G607" s="19">
        <v>2578126</v>
      </c>
      <c r="H607" s="19"/>
      <c r="I607" s="19">
        <v>1812995</v>
      </c>
      <c r="J607" s="19"/>
      <c r="K607" s="19">
        <f>49696+6429484+750974</f>
        <v>7230154</v>
      </c>
      <c r="L607" s="19"/>
      <c r="M607" s="19">
        <v>3089</v>
      </c>
      <c r="N607" s="19"/>
      <c r="O607" s="19">
        <f>728890+149209+21903+13652</f>
        <v>913654</v>
      </c>
      <c r="P607" s="19"/>
      <c r="Q607" s="19">
        <v>245817</v>
      </c>
      <c r="R607" s="19"/>
      <c r="S607" s="19">
        <v>0</v>
      </c>
      <c r="T607" s="19"/>
      <c r="U607" s="19">
        <v>775</v>
      </c>
      <c r="V607" s="19"/>
      <c r="W607" s="19">
        <v>57180</v>
      </c>
      <c r="X607" s="19"/>
      <c r="Y607" s="26">
        <f t="shared" si="88"/>
        <v>12841790</v>
      </c>
      <c r="Z607" s="19"/>
      <c r="AA607" s="19">
        <v>0</v>
      </c>
      <c r="AB607" s="19"/>
      <c r="AC607" s="19">
        <v>0</v>
      </c>
      <c r="AD607" s="19"/>
      <c r="AE607" s="19">
        <v>75680</v>
      </c>
      <c r="AF607" s="19"/>
      <c r="AG607" s="19"/>
      <c r="AH607" s="19"/>
      <c r="AI607" s="19"/>
      <c r="AJ607" s="19"/>
      <c r="AK607" s="19">
        <v>0</v>
      </c>
      <c r="AL607" s="19"/>
      <c r="AM607" s="19">
        <v>0</v>
      </c>
      <c r="AN607" s="19"/>
      <c r="AO607" s="26">
        <f t="shared" si="90"/>
        <v>75680</v>
      </c>
      <c r="AP607" s="19"/>
      <c r="AQ607" s="26">
        <f t="shared" si="87"/>
        <v>12917470</v>
      </c>
      <c r="AR607" s="26"/>
    </row>
    <row r="608" spans="1:44">
      <c r="A608" s="9" t="s">
        <v>357</v>
      </c>
      <c r="B608" s="9"/>
      <c r="C608" s="9" t="s">
        <v>45</v>
      </c>
      <c r="D608" s="9"/>
      <c r="E608" s="23">
        <v>48397</v>
      </c>
      <c r="F608" s="19"/>
      <c r="G608" s="19">
        <v>3188636</v>
      </c>
      <c r="H608" s="19"/>
      <c r="I608" s="19">
        <v>0</v>
      </c>
      <c r="J608" s="19"/>
      <c r="K608" s="19">
        <v>3250762</v>
      </c>
      <c r="L608" s="19"/>
      <c r="M608" s="19">
        <v>5772</v>
      </c>
      <c r="N608" s="19"/>
      <c r="O608" s="19">
        <f>887057+156523+3164</f>
        <v>1046744</v>
      </c>
      <c r="P608" s="19"/>
      <c r="Q608" s="19">
        <v>159159</v>
      </c>
      <c r="R608" s="19"/>
      <c r="S608" s="19">
        <v>0</v>
      </c>
      <c r="T608" s="19"/>
      <c r="U608" s="19">
        <v>37867</v>
      </c>
      <c r="V608" s="19"/>
      <c r="W608" s="19">
        <v>106424</v>
      </c>
      <c r="X608" s="19"/>
      <c r="Y608" s="26">
        <f t="shared" si="88"/>
        <v>7795364</v>
      </c>
      <c r="Z608" s="19"/>
      <c r="AA608" s="19">
        <v>76849</v>
      </c>
      <c r="AB608" s="19"/>
      <c r="AC608" s="19">
        <v>0</v>
      </c>
      <c r="AD608" s="19"/>
      <c r="AE608" s="19">
        <v>0</v>
      </c>
      <c r="AF608" s="19"/>
      <c r="AG608" s="19"/>
      <c r="AH608" s="19"/>
      <c r="AI608" s="19"/>
      <c r="AJ608" s="19"/>
      <c r="AK608" s="19">
        <v>0</v>
      </c>
      <c r="AL608" s="19"/>
      <c r="AM608" s="19">
        <v>0</v>
      </c>
      <c r="AN608" s="19"/>
      <c r="AO608" s="26">
        <f t="shared" si="90"/>
        <v>76849</v>
      </c>
      <c r="AP608" s="19"/>
      <c r="AQ608" s="26">
        <f t="shared" si="87"/>
        <v>7872213</v>
      </c>
      <c r="AR608" s="26"/>
    </row>
    <row r="609" spans="1:44">
      <c r="A609" s="9" t="s">
        <v>307</v>
      </c>
      <c r="B609" s="9"/>
      <c r="C609" s="9" t="s">
        <v>27</v>
      </c>
      <c r="D609" s="9"/>
      <c r="E609" s="23">
        <v>45047</v>
      </c>
      <c r="F609" s="19"/>
      <c r="G609" s="19">
        <v>118280521</v>
      </c>
      <c r="H609" s="19"/>
      <c r="I609" s="19">
        <v>0</v>
      </c>
      <c r="J609" s="19"/>
      <c r="K609" s="19">
        <f>47565426+7515865</f>
        <v>55081291</v>
      </c>
      <c r="L609" s="19"/>
      <c r="M609" s="19">
        <v>27589</v>
      </c>
      <c r="N609" s="19"/>
      <c r="O609" s="19">
        <f>1079589+2192185+528321+659830</f>
        <v>4459925</v>
      </c>
      <c r="P609" s="19"/>
      <c r="Q609" s="19">
        <v>1678517</v>
      </c>
      <c r="R609" s="19"/>
      <c r="S609" s="19">
        <v>2878328</v>
      </c>
      <c r="T609" s="19"/>
      <c r="U609" s="19">
        <v>269022</v>
      </c>
      <c r="V609" s="19"/>
      <c r="W609" s="19">
        <v>136918</v>
      </c>
      <c r="X609" s="19"/>
      <c r="Y609" s="26">
        <f t="shared" si="88"/>
        <v>182812111</v>
      </c>
      <c r="Z609" s="19"/>
      <c r="AA609" s="19">
        <v>2979300</v>
      </c>
      <c r="AB609" s="19"/>
      <c r="AC609" s="19">
        <v>0</v>
      </c>
      <c r="AD609" s="19"/>
      <c r="AE609" s="19">
        <f>3492263+27320000</f>
        <v>30812263</v>
      </c>
      <c r="AF609" s="19"/>
      <c r="AG609" s="19"/>
      <c r="AH609" s="19"/>
      <c r="AI609" s="19"/>
      <c r="AJ609" s="19"/>
      <c r="AK609" s="19">
        <v>65258</v>
      </c>
      <c r="AL609" s="19"/>
      <c r="AM609" s="19">
        <v>0</v>
      </c>
      <c r="AN609" s="19"/>
      <c r="AO609" s="26">
        <f t="shared" si="90"/>
        <v>33856821</v>
      </c>
      <c r="AP609" s="19"/>
      <c r="AQ609" s="26">
        <f t="shared" si="87"/>
        <v>216668932</v>
      </c>
      <c r="AR609" s="26"/>
    </row>
    <row r="610" spans="1:44">
      <c r="A610" s="9" t="s">
        <v>452</v>
      </c>
      <c r="B610" s="9"/>
      <c r="C610" s="9" t="s">
        <v>54</v>
      </c>
      <c r="D610" s="9"/>
      <c r="E610" s="23">
        <v>49106</v>
      </c>
      <c r="F610" s="19"/>
      <c r="G610" s="19">
        <v>7887073</v>
      </c>
      <c r="H610" s="19"/>
      <c r="I610" s="19">
        <v>0</v>
      </c>
      <c r="J610" s="19"/>
      <c r="K610" s="19">
        <v>9648048</v>
      </c>
      <c r="L610" s="19"/>
      <c r="M610" s="19">
        <v>47512</v>
      </c>
      <c r="N610" s="19"/>
      <c r="O610" s="19">
        <f>440851+207991</f>
        <v>648842</v>
      </c>
      <c r="P610" s="19"/>
      <c r="Q610" s="19">
        <v>338757</v>
      </c>
      <c r="R610" s="19"/>
      <c r="S610" s="19">
        <v>561</v>
      </c>
      <c r="T610" s="19"/>
      <c r="U610" s="19">
        <v>117565</v>
      </c>
      <c r="V610" s="19"/>
      <c r="W610" s="19">
        <v>205574</v>
      </c>
      <c r="X610" s="19"/>
      <c r="Y610" s="26">
        <f t="shared" si="88"/>
        <v>18893932</v>
      </c>
      <c r="Z610" s="19"/>
      <c r="AA610" s="19">
        <v>242789</v>
      </c>
      <c r="AB610" s="19"/>
      <c r="AC610" s="19">
        <v>0</v>
      </c>
      <c r="AD610" s="19"/>
      <c r="AE610" s="19">
        <v>0</v>
      </c>
      <c r="AF610" s="19"/>
      <c r="AG610" s="19"/>
      <c r="AH610" s="19"/>
      <c r="AI610" s="19"/>
      <c r="AJ610" s="19"/>
      <c r="AK610" s="19">
        <v>133276</v>
      </c>
      <c r="AL610" s="19"/>
      <c r="AM610" s="19">
        <v>0</v>
      </c>
      <c r="AN610" s="19"/>
      <c r="AO610" s="26">
        <f t="shared" si="90"/>
        <v>376065</v>
      </c>
      <c r="AP610" s="19"/>
      <c r="AQ610" s="26">
        <f t="shared" si="87"/>
        <v>19269997</v>
      </c>
      <c r="AR610" s="26"/>
    </row>
    <row r="611" spans="1:44">
      <c r="A611" s="9" t="s">
        <v>279</v>
      </c>
      <c r="B611" s="9"/>
      <c r="C611" s="9" t="s">
        <v>20</v>
      </c>
      <c r="D611" s="9"/>
      <c r="E611" s="23">
        <v>45062</v>
      </c>
      <c r="F611" s="19"/>
      <c r="G611" s="19">
        <v>46029492</v>
      </c>
      <c r="H611" s="19"/>
      <c r="I611" s="19">
        <v>0</v>
      </c>
      <c r="J611" s="19"/>
      <c r="K611" s="19">
        <f>9775883+3429879</f>
        <v>13205762</v>
      </c>
      <c r="L611" s="19"/>
      <c r="M611" s="19">
        <v>172815</v>
      </c>
      <c r="N611" s="19"/>
      <c r="O611" s="19">
        <f>698154+23789+926508+245786+85532+18823</f>
        <v>1998592</v>
      </c>
      <c r="P611" s="19"/>
      <c r="Q611" s="19">
        <v>332604</v>
      </c>
      <c r="R611" s="19"/>
      <c r="S611" s="19">
        <v>0</v>
      </c>
      <c r="T611" s="19"/>
      <c r="U611" s="19">
        <v>155672</v>
      </c>
      <c r="V611" s="19"/>
      <c r="W611" s="19">
        <v>324743</v>
      </c>
      <c r="X611" s="19"/>
      <c r="Y611" s="26">
        <f t="shared" si="88"/>
        <v>62219680</v>
      </c>
      <c r="Z611" s="19"/>
      <c r="AA611" s="19">
        <v>10000</v>
      </c>
      <c r="AB611" s="19"/>
      <c r="AC611" s="19">
        <v>0</v>
      </c>
      <c r="AD611" s="19"/>
      <c r="AE611" s="19">
        <v>0</v>
      </c>
      <c r="AF611" s="19"/>
      <c r="AG611" s="19"/>
      <c r="AH611" s="19"/>
      <c r="AI611" s="19"/>
      <c r="AJ611" s="19"/>
      <c r="AK611" s="19">
        <v>0</v>
      </c>
      <c r="AL611" s="19"/>
      <c r="AM611" s="19">
        <v>0</v>
      </c>
      <c r="AN611" s="19"/>
      <c r="AO611" s="26">
        <f t="shared" si="90"/>
        <v>10000</v>
      </c>
      <c r="AP611" s="19"/>
      <c r="AQ611" s="26">
        <f t="shared" si="87"/>
        <v>62229680</v>
      </c>
      <c r="AR611" s="26"/>
    </row>
    <row r="612" spans="1:44">
      <c r="A612" s="9" t="s">
        <v>483</v>
      </c>
      <c r="B612" s="9"/>
      <c r="C612" s="9" t="s">
        <v>59</v>
      </c>
      <c r="D612" s="9"/>
      <c r="E612" s="23">
        <v>49668</v>
      </c>
      <c r="F612" s="19"/>
      <c r="G612" s="19">
        <v>3515044</v>
      </c>
      <c r="H612" s="19"/>
      <c r="I612" s="19">
        <v>0</v>
      </c>
      <c r="J612" s="19"/>
      <c r="K612" s="19">
        <v>8476551</v>
      </c>
      <c r="L612" s="19"/>
      <c r="M612" s="19">
        <v>20996</v>
      </c>
      <c r="N612" s="19"/>
      <c r="O612" s="19">
        <f>2084139+117+343486</f>
        <v>2427742</v>
      </c>
      <c r="P612" s="19"/>
      <c r="Q612" s="19">
        <v>378826</v>
      </c>
      <c r="R612" s="19"/>
      <c r="S612" s="19">
        <v>0</v>
      </c>
      <c r="T612" s="19"/>
      <c r="U612" s="19">
        <v>191152</v>
      </c>
      <c r="V612" s="19"/>
      <c r="W612" s="19">
        <v>91072</v>
      </c>
      <c r="X612" s="19"/>
      <c r="Y612" s="26">
        <f t="shared" si="88"/>
        <v>15101383</v>
      </c>
      <c r="Z612" s="19"/>
      <c r="AA612" s="19">
        <v>131500</v>
      </c>
      <c r="AB612" s="19"/>
      <c r="AC612" s="19">
        <v>0</v>
      </c>
      <c r="AD612" s="19"/>
      <c r="AE612" s="19">
        <f>7075000+1072018+1348048</f>
        <v>9495066</v>
      </c>
      <c r="AF612" s="19"/>
      <c r="AG612" s="19"/>
      <c r="AH612" s="19"/>
      <c r="AI612" s="19"/>
      <c r="AJ612" s="19"/>
      <c r="AK612" s="19">
        <v>0</v>
      </c>
      <c r="AL612" s="19"/>
      <c r="AM612" s="19">
        <v>0</v>
      </c>
      <c r="AN612" s="19"/>
      <c r="AO612" s="26">
        <f t="shared" ref="AO612:AO632" si="94">AK612+AE612+AA612</f>
        <v>9626566</v>
      </c>
      <c r="AP612" s="19"/>
      <c r="AQ612" s="26">
        <f t="shared" si="87"/>
        <v>24727949</v>
      </c>
      <c r="AR612" s="26"/>
    </row>
    <row r="613" spans="1:44">
      <c r="A613" s="9" t="s">
        <v>308</v>
      </c>
      <c r="B613" s="9"/>
      <c r="C613" s="9" t="s">
        <v>27</v>
      </c>
      <c r="D613" s="9"/>
      <c r="E613" s="23">
        <v>45070</v>
      </c>
      <c r="F613" s="19"/>
      <c r="G613" s="19">
        <v>9612928</v>
      </c>
      <c r="H613" s="19"/>
      <c r="I613" s="19">
        <v>0</v>
      </c>
      <c r="J613" s="19"/>
      <c r="K613" s="19">
        <f>4453031+19957428+2568778</f>
        <v>26979237</v>
      </c>
      <c r="L613" s="19"/>
      <c r="M613" s="19">
        <v>106883</v>
      </c>
      <c r="N613" s="19"/>
      <c r="O613" s="19">
        <f>113584+390071</f>
        <v>503655</v>
      </c>
      <c r="P613" s="19"/>
      <c r="Q613" s="19">
        <v>73019</v>
      </c>
      <c r="R613" s="19"/>
      <c r="S613" s="19">
        <v>1225600</v>
      </c>
      <c r="T613" s="19"/>
      <c r="U613" s="19">
        <v>0</v>
      </c>
      <c r="V613" s="19"/>
      <c r="W613" s="19">
        <v>320086</v>
      </c>
      <c r="X613" s="19"/>
      <c r="Y613" s="26">
        <f t="shared" si="88"/>
        <v>38821408</v>
      </c>
      <c r="Z613" s="19"/>
      <c r="AA613" s="19">
        <v>0</v>
      </c>
      <c r="AB613" s="19"/>
      <c r="AC613" s="19">
        <v>0</v>
      </c>
      <c r="AD613" s="19"/>
      <c r="AE613" s="19">
        <v>0</v>
      </c>
      <c r="AF613" s="19"/>
      <c r="AG613" s="19"/>
      <c r="AH613" s="19"/>
      <c r="AI613" s="19"/>
      <c r="AJ613" s="19"/>
      <c r="AK613" s="19">
        <v>0</v>
      </c>
      <c r="AL613" s="19"/>
      <c r="AM613" s="19">
        <v>0</v>
      </c>
      <c r="AN613" s="19"/>
      <c r="AO613" s="26">
        <f t="shared" si="94"/>
        <v>0</v>
      </c>
      <c r="AP613" s="19"/>
      <c r="AQ613" s="26">
        <f t="shared" si="87"/>
        <v>38821408</v>
      </c>
      <c r="AR613" s="26"/>
    </row>
    <row r="614" spans="1:44" hidden="1">
      <c r="A614" s="9" t="s">
        <v>617</v>
      </c>
      <c r="B614" s="9"/>
      <c r="C614" s="9" t="s">
        <v>41</v>
      </c>
      <c r="D614" s="9"/>
      <c r="E614" s="23">
        <v>45088</v>
      </c>
      <c r="F614" s="19"/>
      <c r="G614" s="19">
        <v>0</v>
      </c>
      <c r="H614" s="19"/>
      <c r="I614" s="19">
        <v>0</v>
      </c>
      <c r="J614" s="19"/>
      <c r="K614" s="19">
        <v>0</v>
      </c>
      <c r="L614" s="19"/>
      <c r="M614" s="19">
        <v>0</v>
      </c>
      <c r="N614" s="19"/>
      <c r="O614" s="19">
        <v>0</v>
      </c>
      <c r="P614" s="19"/>
      <c r="Q614" s="19">
        <v>0</v>
      </c>
      <c r="R614" s="19"/>
      <c r="S614" s="19">
        <v>0</v>
      </c>
      <c r="T614" s="19"/>
      <c r="U614" s="19">
        <v>0</v>
      </c>
      <c r="V614" s="19"/>
      <c r="W614" s="19">
        <v>0</v>
      </c>
      <c r="X614" s="19"/>
      <c r="Y614" s="26">
        <f t="shared" si="88"/>
        <v>0</v>
      </c>
      <c r="Z614" s="19"/>
      <c r="AA614" s="19">
        <v>0</v>
      </c>
      <c r="AB614" s="19"/>
      <c r="AC614" s="19">
        <v>0</v>
      </c>
      <c r="AD614" s="19"/>
      <c r="AE614" s="19">
        <v>0</v>
      </c>
      <c r="AF614" s="19"/>
      <c r="AG614" s="19"/>
      <c r="AH614" s="19"/>
      <c r="AI614" s="19"/>
      <c r="AJ614" s="19"/>
      <c r="AK614" s="19">
        <v>0</v>
      </c>
      <c r="AL614" s="19"/>
      <c r="AM614" s="19">
        <v>0</v>
      </c>
      <c r="AN614" s="19"/>
      <c r="AO614" s="26">
        <f t="shared" si="94"/>
        <v>0</v>
      </c>
      <c r="AP614" s="19"/>
      <c r="AQ614" s="26">
        <f t="shared" si="87"/>
        <v>0</v>
      </c>
      <c r="AR614" s="26"/>
    </row>
    <row r="615" spans="1:44">
      <c r="A615" s="9" t="s">
        <v>358</v>
      </c>
      <c r="B615" s="9"/>
      <c r="C615" s="9" t="s">
        <v>37</v>
      </c>
      <c r="D615" s="9"/>
      <c r="E615" s="23">
        <v>45096</v>
      </c>
      <c r="F615" s="19"/>
      <c r="G615" s="19">
        <v>5396099</v>
      </c>
      <c r="H615" s="19"/>
      <c r="I615" s="19">
        <v>1195414</v>
      </c>
      <c r="J615" s="19"/>
      <c r="K615" s="19">
        <f>18457+23862161+1876424</f>
        <v>25757042</v>
      </c>
      <c r="L615" s="19"/>
      <c r="M615" s="19">
        <v>69234</v>
      </c>
      <c r="N615" s="19"/>
      <c r="O615" s="19">
        <f>162962+10071+330513+28055+8300+1840</f>
        <v>541741</v>
      </c>
      <c r="P615" s="19"/>
      <c r="Q615" s="19">
        <v>244109</v>
      </c>
      <c r="R615" s="19"/>
      <c r="S615" s="19">
        <v>0</v>
      </c>
      <c r="T615" s="19"/>
      <c r="U615" s="19">
        <v>14803</v>
      </c>
      <c r="V615" s="19"/>
      <c r="W615" s="19">
        <v>191972</v>
      </c>
      <c r="X615" s="19"/>
      <c r="Y615" s="26">
        <f t="shared" si="88"/>
        <v>33410414</v>
      </c>
      <c r="Z615" s="19"/>
      <c r="AA615" s="19">
        <v>211228</v>
      </c>
      <c r="AB615" s="19"/>
      <c r="AC615" s="19">
        <v>0</v>
      </c>
      <c r="AD615" s="19"/>
      <c r="AE615" s="19">
        <f>300000+144987</f>
        <v>444987</v>
      </c>
      <c r="AF615" s="19"/>
      <c r="AG615" s="19"/>
      <c r="AH615" s="19"/>
      <c r="AI615" s="19"/>
      <c r="AJ615" s="19"/>
      <c r="AK615" s="19">
        <v>1000</v>
      </c>
      <c r="AL615" s="19"/>
      <c r="AM615" s="19">
        <v>0</v>
      </c>
      <c r="AN615" s="19"/>
      <c r="AO615" s="26">
        <f t="shared" si="94"/>
        <v>657215</v>
      </c>
      <c r="AP615" s="19"/>
      <c r="AQ615" s="26">
        <f t="shared" si="87"/>
        <v>34067629</v>
      </c>
      <c r="AR615" s="26"/>
    </row>
    <row r="616" spans="1:44" hidden="1">
      <c r="A616" s="9" t="s">
        <v>881</v>
      </c>
      <c r="B616" s="9"/>
      <c r="C616" s="9" t="s">
        <v>112</v>
      </c>
      <c r="D616" s="9"/>
      <c r="E616" s="23">
        <v>46367</v>
      </c>
      <c r="F616" s="19"/>
      <c r="G616" s="19">
        <v>0</v>
      </c>
      <c r="H616" s="19"/>
      <c r="I616" s="19">
        <v>0</v>
      </c>
      <c r="J616" s="19"/>
      <c r="K616" s="19">
        <v>0</v>
      </c>
      <c r="L616" s="19"/>
      <c r="M616" s="19">
        <v>0</v>
      </c>
      <c r="N616" s="19"/>
      <c r="O616" s="19">
        <v>0</v>
      </c>
      <c r="P616" s="19"/>
      <c r="Q616" s="19">
        <v>0</v>
      </c>
      <c r="R616" s="19"/>
      <c r="S616" s="19">
        <v>0</v>
      </c>
      <c r="T616" s="19"/>
      <c r="U616" s="19">
        <v>0</v>
      </c>
      <c r="V616" s="19"/>
      <c r="W616" s="19">
        <v>0</v>
      </c>
      <c r="X616" s="19"/>
      <c r="Y616" s="26">
        <f t="shared" si="88"/>
        <v>0</v>
      </c>
      <c r="Z616" s="19"/>
      <c r="AA616" s="19">
        <v>0</v>
      </c>
      <c r="AB616" s="19"/>
      <c r="AC616" s="19">
        <v>0</v>
      </c>
      <c r="AD616" s="19"/>
      <c r="AE616" s="19">
        <v>0</v>
      </c>
      <c r="AF616" s="19"/>
      <c r="AG616" s="19"/>
      <c r="AH616" s="19"/>
      <c r="AI616" s="19"/>
      <c r="AJ616" s="19"/>
      <c r="AK616" s="19">
        <v>0</v>
      </c>
      <c r="AL616" s="19"/>
      <c r="AM616" s="19">
        <v>0</v>
      </c>
      <c r="AN616" s="19"/>
      <c r="AO616" s="26">
        <f t="shared" si="94"/>
        <v>0</v>
      </c>
      <c r="AP616" s="19"/>
      <c r="AQ616" s="26">
        <f t="shared" si="87"/>
        <v>0</v>
      </c>
      <c r="AR616" s="26"/>
    </row>
    <row r="617" spans="1:44">
      <c r="A617" s="9" t="s">
        <v>363</v>
      </c>
      <c r="B617" s="9"/>
      <c r="C617" s="9" t="s">
        <v>41</v>
      </c>
      <c r="D617" s="9"/>
      <c r="E617" s="23">
        <v>45104</v>
      </c>
      <c r="F617" s="19"/>
      <c r="G617" s="19">
        <v>59026888</v>
      </c>
      <c r="H617" s="19"/>
      <c r="I617" s="19">
        <v>0</v>
      </c>
      <c r="J617" s="19"/>
      <c r="K617" s="19">
        <v>30766038</v>
      </c>
      <c r="L617" s="19"/>
      <c r="M617" s="19">
        <v>30694</v>
      </c>
      <c r="N617" s="19"/>
      <c r="O617" s="19">
        <f>1516976+316643+1917192</f>
        <v>3750811</v>
      </c>
      <c r="P617" s="19"/>
      <c r="Q617" s="19">
        <v>528023</v>
      </c>
      <c r="R617" s="19"/>
      <c r="S617" s="19">
        <v>0</v>
      </c>
      <c r="T617" s="19"/>
      <c r="U617" s="19">
        <v>136350</v>
      </c>
      <c r="V617" s="19"/>
      <c r="W617" s="19">
        <v>740134</v>
      </c>
      <c r="X617" s="19"/>
      <c r="Y617" s="26">
        <f t="shared" si="88"/>
        <v>94978938</v>
      </c>
      <c r="Z617" s="19"/>
      <c r="AA617" s="19">
        <v>6034188</v>
      </c>
      <c r="AB617" s="19"/>
      <c r="AC617" s="19">
        <v>0</v>
      </c>
      <c r="AD617" s="19"/>
      <c r="AE617" s="19">
        <v>0</v>
      </c>
      <c r="AF617" s="19"/>
      <c r="AG617" s="19"/>
      <c r="AH617" s="19"/>
      <c r="AI617" s="19"/>
      <c r="AJ617" s="19"/>
      <c r="AK617" s="19">
        <v>0</v>
      </c>
      <c r="AL617" s="19"/>
      <c r="AM617" s="19">
        <v>0</v>
      </c>
      <c r="AN617" s="19"/>
      <c r="AO617" s="26">
        <f t="shared" si="94"/>
        <v>6034188</v>
      </c>
      <c r="AP617" s="19"/>
      <c r="AQ617" s="26">
        <f t="shared" si="87"/>
        <v>101013126</v>
      </c>
      <c r="AR617" s="26"/>
    </row>
    <row r="618" spans="1:44" ht="13.5" customHeight="1">
      <c r="A618" s="9" t="s">
        <v>243</v>
      </c>
      <c r="B618" s="9"/>
      <c r="C618" s="9" t="s">
        <v>18</v>
      </c>
      <c r="D618" s="9"/>
      <c r="E618" s="23">
        <v>45112</v>
      </c>
      <c r="F618" s="19"/>
      <c r="G618" s="19">
        <v>13540137</v>
      </c>
      <c r="H618" s="19"/>
      <c r="I618" s="19">
        <v>0</v>
      </c>
      <c r="J618" s="19"/>
      <c r="K618" s="19">
        <v>12825955</v>
      </c>
      <c r="L618" s="19"/>
      <c r="M618" s="19">
        <v>8865</v>
      </c>
      <c r="N618" s="19"/>
      <c r="O618" s="19">
        <f>693197+454891</f>
        <v>1148088</v>
      </c>
      <c r="P618" s="19"/>
      <c r="Q618" s="19">
        <v>118035</v>
      </c>
      <c r="R618" s="19"/>
      <c r="S618" s="19">
        <v>5096</v>
      </c>
      <c r="T618" s="19"/>
      <c r="U618" s="19">
        <v>0</v>
      </c>
      <c r="V618" s="19"/>
      <c r="W618" s="19">
        <v>711370</v>
      </c>
      <c r="X618" s="19"/>
      <c r="Y618" s="26">
        <f t="shared" si="88"/>
        <v>28357546</v>
      </c>
      <c r="Z618" s="19"/>
      <c r="AA618" s="19">
        <v>43543</v>
      </c>
      <c r="AB618" s="19"/>
      <c r="AC618" s="19">
        <v>0</v>
      </c>
      <c r="AD618" s="19"/>
      <c r="AE618" s="19">
        <v>0</v>
      </c>
      <c r="AF618" s="19"/>
      <c r="AG618" s="19"/>
      <c r="AH618" s="19"/>
      <c r="AI618" s="19"/>
      <c r="AJ618" s="19"/>
      <c r="AK618" s="19">
        <v>345</v>
      </c>
      <c r="AL618" s="19"/>
      <c r="AM618" s="19">
        <v>0</v>
      </c>
      <c r="AN618" s="19"/>
      <c r="AO618" s="26">
        <f t="shared" si="94"/>
        <v>43888</v>
      </c>
      <c r="AP618" s="19"/>
      <c r="AQ618" s="26">
        <f t="shared" si="87"/>
        <v>28401434</v>
      </c>
      <c r="AR618" s="26"/>
    </row>
    <row r="619" spans="1:44">
      <c r="A619" s="9" t="s">
        <v>776</v>
      </c>
      <c r="B619" s="9"/>
      <c r="C619" s="9" t="s">
        <v>56</v>
      </c>
      <c r="D619" s="9"/>
      <c r="E619" s="23">
        <v>45666</v>
      </c>
      <c r="F619" s="19"/>
      <c r="G619" s="19">
        <v>1452666</v>
      </c>
      <c r="H619" s="19"/>
      <c r="I619" s="19">
        <v>0</v>
      </c>
      <c r="J619" s="19"/>
      <c r="K619" s="19">
        <f>6047409+977427</f>
        <v>7024836</v>
      </c>
      <c r="L619" s="19"/>
      <c r="M619" s="19">
        <v>11624</v>
      </c>
      <c r="N619" s="19"/>
      <c r="O619" s="19">
        <f>282525+63038</f>
        <v>345563</v>
      </c>
      <c r="P619" s="19"/>
      <c r="Q619" s="19">
        <v>89607</v>
      </c>
      <c r="R619" s="19"/>
      <c r="S619" s="19">
        <v>155683</v>
      </c>
      <c r="T619" s="19"/>
      <c r="U619" s="19">
        <v>15561</v>
      </c>
      <c r="V619" s="19"/>
      <c r="W619" s="19">
        <v>30734</v>
      </c>
      <c r="X619" s="19"/>
      <c r="Y619" s="26">
        <f t="shared" si="88"/>
        <v>9126274</v>
      </c>
      <c r="Z619" s="19"/>
      <c r="AA619" s="19">
        <v>0</v>
      </c>
      <c r="AB619" s="19"/>
      <c r="AC619" s="19">
        <v>0</v>
      </c>
      <c r="AD619" s="19"/>
      <c r="AE619" s="19">
        <v>0</v>
      </c>
      <c r="AF619" s="19"/>
      <c r="AG619" s="19"/>
      <c r="AH619" s="19"/>
      <c r="AI619" s="19"/>
      <c r="AJ619" s="19"/>
      <c r="AK619" s="19">
        <v>0</v>
      </c>
      <c r="AL619" s="19"/>
      <c r="AM619" s="19">
        <v>0</v>
      </c>
      <c r="AN619" s="19"/>
      <c r="AO619" s="26">
        <f t="shared" si="94"/>
        <v>0</v>
      </c>
      <c r="AP619" s="19"/>
      <c r="AQ619" s="26">
        <f t="shared" si="87"/>
        <v>9126274</v>
      </c>
      <c r="AR619" s="26"/>
    </row>
    <row r="620" spans="1:44">
      <c r="A620" s="9" t="s">
        <v>330</v>
      </c>
      <c r="B620" s="9"/>
      <c r="C620" s="9" t="s">
        <v>32</v>
      </c>
      <c r="D620" s="9"/>
      <c r="E620" s="23">
        <v>44081</v>
      </c>
      <c r="F620" s="19"/>
      <c r="G620" s="19">
        <v>22330918</v>
      </c>
      <c r="H620" s="19"/>
      <c r="I620" s="19">
        <v>0</v>
      </c>
      <c r="J620" s="19"/>
      <c r="K620" s="19">
        <v>22467181</v>
      </c>
      <c r="L620" s="19"/>
      <c r="M620" s="19">
        <v>38152</v>
      </c>
      <c r="N620" s="19"/>
      <c r="O620" s="19">
        <f>1768835+629820</f>
        <v>2398655</v>
      </c>
      <c r="P620" s="19"/>
      <c r="Q620" s="19">
        <v>216021</v>
      </c>
      <c r="R620" s="19"/>
      <c r="S620" s="19">
        <v>348208</v>
      </c>
      <c r="T620" s="19"/>
      <c r="U620" s="19">
        <v>0</v>
      </c>
      <c r="V620" s="19"/>
      <c r="W620" s="19">
        <v>945024</v>
      </c>
      <c r="X620" s="19"/>
      <c r="Y620" s="26">
        <f t="shared" si="88"/>
        <v>48744159</v>
      </c>
      <c r="Z620" s="19"/>
      <c r="AA620" s="19">
        <v>0</v>
      </c>
      <c r="AB620" s="19"/>
      <c r="AC620" s="19">
        <v>0</v>
      </c>
      <c r="AD620" s="19"/>
      <c r="AE620" s="19">
        <v>0</v>
      </c>
      <c r="AF620" s="19"/>
      <c r="AG620" s="19"/>
      <c r="AH620" s="19"/>
      <c r="AI620" s="19"/>
      <c r="AJ620" s="19"/>
      <c r="AK620" s="19">
        <v>0</v>
      </c>
      <c r="AL620" s="19"/>
      <c r="AM620" s="19">
        <v>0</v>
      </c>
      <c r="AN620" s="19"/>
      <c r="AO620" s="26">
        <f t="shared" si="94"/>
        <v>0</v>
      </c>
      <c r="AP620" s="19"/>
      <c r="AQ620" s="26">
        <f t="shared" si="87"/>
        <v>48744159</v>
      </c>
      <c r="AR620" s="26"/>
    </row>
    <row r="621" spans="1:44">
      <c r="A621" s="9" t="s">
        <v>546</v>
      </c>
      <c r="B621" s="9"/>
      <c r="C621" s="9" t="s">
        <v>70</v>
      </c>
      <c r="D621" s="9"/>
      <c r="E621" s="23">
        <v>50518</v>
      </c>
      <c r="F621" s="19"/>
      <c r="G621" s="19">
        <v>4932959</v>
      </c>
      <c r="H621" s="19"/>
      <c r="I621" s="19">
        <v>0</v>
      </c>
      <c r="J621" s="19"/>
      <c r="K621" s="19">
        <v>2584263</v>
      </c>
      <c r="L621" s="19"/>
      <c r="M621" s="19">
        <v>45211</v>
      </c>
      <c r="N621" s="19"/>
      <c r="O621" s="19">
        <f>92271+342087</f>
        <v>434358</v>
      </c>
      <c r="P621" s="19"/>
      <c r="Q621" s="19">
        <v>129405</v>
      </c>
      <c r="R621" s="19"/>
      <c r="S621" s="19">
        <v>0</v>
      </c>
      <c r="T621" s="19"/>
      <c r="U621" s="19">
        <v>17500</v>
      </c>
      <c r="V621" s="19"/>
      <c r="W621" s="19">
        <v>430559</v>
      </c>
      <c r="X621" s="19"/>
      <c r="Y621" s="26">
        <f t="shared" si="88"/>
        <v>8574255</v>
      </c>
      <c r="Z621" s="19"/>
      <c r="AA621" s="19">
        <v>500000</v>
      </c>
      <c r="AB621" s="19"/>
      <c r="AC621" s="19">
        <v>0</v>
      </c>
      <c r="AD621" s="19"/>
      <c r="AE621" s="19">
        <v>0</v>
      </c>
      <c r="AF621" s="19"/>
      <c r="AG621" s="19"/>
      <c r="AH621" s="19"/>
      <c r="AI621" s="19"/>
      <c r="AJ621" s="19"/>
      <c r="AK621" s="19">
        <v>0</v>
      </c>
      <c r="AL621" s="19"/>
      <c r="AM621" s="19">
        <v>0</v>
      </c>
      <c r="AN621" s="19"/>
      <c r="AO621" s="26">
        <f t="shared" si="94"/>
        <v>500000</v>
      </c>
      <c r="AP621" s="19"/>
      <c r="AQ621" s="26">
        <f t="shared" ref="AQ621:AQ632" si="95">Y621+AO621</f>
        <v>9074255</v>
      </c>
      <c r="AR621" s="26"/>
    </row>
    <row r="622" spans="1:44">
      <c r="A622" s="9" t="s">
        <v>475</v>
      </c>
      <c r="B622" s="9"/>
      <c r="C622" s="9" t="s">
        <v>79</v>
      </c>
      <c r="D622" s="9"/>
      <c r="E622" s="23">
        <v>49577</v>
      </c>
      <c r="F622" s="19"/>
      <c r="G622" s="19">
        <v>5167589</v>
      </c>
      <c r="H622" s="19"/>
      <c r="I622" s="19">
        <v>0</v>
      </c>
      <c r="J622" s="19"/>
      <c r="K622" s="19">
        <f>5364787+635928</f>
        <v>6000715</v>
      </c>
      <c r="L622" s="19"/>
      <c r="M622" s="19">
        <v>72642</v>
      </c>
      <c r="N622" s="19"/>
      <c r="O622" s="19">
        <f>362694+319030+76966+14640</f>
        <v>773330</v>
      </c>
      <c r="P622" s="19"/>
      <c r="Q622" s="19">
        <v>202280</v>
      </c>
      <c r="R622" s="19"/>
      <c r="S622" s="19">
        <v>0</v>
      </c>
      <c r="T622" s="19"/>
      <c r="U622" s="19">
        <v>25935</v>
      </c>
      <c r="V622" s="19"/>
      <c r="W622" s="19">
        <v>0</v>
      </c>
      <c r="X622" s="19"/>
      <c r="Y622" s="26">
        <f t="shared" si="88"/>
        <v>12242491</v>
      </c>
      <c r="Z622" s="19"/>
      <c r="AA622" s="19">
        <v>0</v>
      </c>
      <c r="AB622" s="19"/>
      <c r="AC622" s="19">
        <v>0</v>
      </c>
      <c r="AD622" s="19"/>
      <c r="AE622" s="19">
        <v>15709822</v>
      </c>
      <c r="AF622" s="19"/>
      <c r="AG622" s="19"/>
      <c r="AH622" s="19"/>
      <c r="AI622" s="19"/>
      <c r="AJ622" s="19"/>
      <c r="AK622" s="19">
        <v>0</v>
      </c>
      <c r="AL622" s="19"/>
      <c r="AM622" s="19">
        <v>0</v>
      </c>
      <c r="AN622" s="19"/>
      <c r="AO622" s="26">
        <f t="shared" si="94"/>
        <v>15709822</v>
      </c>
      <c r="AP622" s="19"/>
      <c r="AQ622" s="26">
        <f t="shared" si="95"/>
        <v>27952313</v>
      </c>
      <c r="AR622" s="26"/>
    </row>
    <row r="623" spans="1:44">
      <c r="A623" s="9" t="s">
        <v>513</v>
      </c>
      <c r="B623" s="9"/>
      <c r="C623" s="9" t="s">
        <v>63</v>
      </c>
      <c r="D623" s="9"/>
      <c r="E623" s="23">
        <v>49973</v>
      </c>
      <c r="F623" s="19"/>
      <c r="G623" s="19">
        <v>15952243</v>
      </c>
      <c r="H623" s="19"/>
      <c r="I623" s="19">
        <v>0</v>
      </c>
      <c r="J623" s="19"/>
      <c r="K623" s="19">
        <v>6866787</v>
      </c>
      <c r="L623" s="19"/>
      <c r="M623" s="19">
        <v>6646</v>
      </c>
      <c r="N623" s="19"/>
      <c r="O623" s="19">
        <f>1316170+259021+4852</f>
        <v>1580043</v>
      </c>
      <c r="P623" s="19"/>
      <c r="Q623" s="19">
        <v>228972</v>
      </c>
      <c r="R623" s="19"/>
      <c r="S623" s="19">
        <v>182941</v>
      </c>
      <c r="T623" s="19"/>
      <c r="U623" s="19">
        <v>177335</v>
      </c>
      <c r="V623" s="19"/>
      <c r="W623" s="19">
        <v>52055</v>
      </c>
      <c r="X623" s="19"/>
      <c r="Y623" s="26">
        <f t="shared" si="88"/>
        <v>25047022</v>
      </c>
      <c r="Z623" s="19"/>
      <c r="AA623" s="19">
        <v>132600</v>
      </c>
      <c r="AB623" s="19"/>
      <c r="AC623" s="19">
        <v>0</v>
      </c>
      <c r="AD623" s="19"/>
      <c r="AE623" s="19">
        <v>48526</v>
      </c>
      <c r="AF623" s="19"/>
      <c r="AG623" s="19"/>
      <c r="AH623" s="19"/>
      <c r="AI623" s="19"/>
      <c r="AJ623" s="19"/>
      <c r="AK623" s="19">
        <v>0</v>
      </c>
      <c r="AL623" s="19"/>
      <c r="AM623" s="19">
        <v>0</v>
      </c>
      <c r="AN623" s="19"/>
      <c r="AO623" s="26">
        <f t="shared" si="94"/>
        <v>181126</v>
      </c>
      <c r="AP623" s="19"/>
      <c r="AQ623" s="26">
        <f t="shared" si="95"/>
        <v>25228148</v>
      </c>
      <c r="AR623" s="26"/>
    </row>
    <row r="624" spans="1:44">
      <c r="A624" s="9" t="s">
        <v>618</v>
      </c>
      <c r="B624" s="9"/>
      <c r="C624" s="9" t="s">
        <v>71</v>
      </c>
      <c r="D624" s="9"/>
      <c r="E624" s="23">
        <v>45120</v>
      </c>
      <c r="F624" s="19"/>
      <c r="G624" s="19">
        <v>25834313</v>
      </c>
      <c r="H624" s="19"/>
      <c r="I624" s="19">
        <v>0</v>
      </c>
      <c r="J624" s="19"/>
      <c r="K624" s="19">
        <v>18530802</v>
      </c>
      <c r="L624" s="19"/>
      <c r="M624" s="19">
        <v>118060</v>
      </c>
      <c r="N624" s="19"/>
      <c r="O624" s="19">
        <f>808492+71219</f>
        <v>879711</v>
      </c>
      <c r="P624" s="19"/>
      <c r="Q624" s="19">
        <v>309175</v>
      </c>
      <c r="R624" s="19"/>
      <c r="S624" s="19">
        <v>0</v>
      </c>
      <c r="T624" s="19"/>
      <c r="U624" s="19">
        <v>86124</v>
      </c>
      <c r="V624" s="19"/>
      <c r="W624" s="19">
        <v>13617</v>
      </c>
      <c r="X624" s="19"/>
      <c r="Y624" s="26">
        <f t="shared" si="88"/>
        <v>45771802</v>
      </c>
      <c r="Z624" s="19"/>
      <c r="AA624" s="19">
        <v>0</v>
      </c>
      <c r="AB624" s="19"/>
      <c r="AC624" s="19">
        <v>0</v>
      </c>
      <c r="AD624" s="19"/>
      <c r="AE624" s="19">
        <v>0</v>
      </c>
      <c r="AF624" s="19"/>
      <c r="AG624" s="19"/>
      <c r="AH624" s="19"/>
      <c r="AI624" s="19"/>
      <c r="AJ624" s="19"/>
      <c r="AK624" s="19">
        <v>155618</v>
      </c>
      <c r="AL624" s="19"/>
      <c r="AM624" s="19">
        <v>0</v>
      </c>
      <c r="AN624" s="19"/>
      <c r="AO624" s="26">
        <f t="shared" si="94"/>
        <v>155618</v>
      </c>
      <c r="AP624" s="19"/>
      <c r="AQ624" s="26">
        <f t="shared" si="95"/>
        <v>45927420</v>
      </c>
      <c r="AR624" s="26"/>
    </row>
    <row r="625" spans="1:44">
      <c r="A625" s="9" t="s">
        <v>309</v>
      </c>
      <c r="B625" s="9"/>
      <c r="C625" s="9" t="s">
        <v>27</v>
      </c>
      <c r="D625" s="9"/>
      <c r="E625" s="23">
        <v>45138</v>
      </c>
      <c r="F625" s="19"/>
      <c r="G625" s="19">
        <v>90345882</v>
      </c>
      <c r="H625" s="19"/>
      <c r="I625" s="19">
        <v>0</v>
      </c>
      <c r="J625" s="19"/>
      <c r="K625" s="19">
        <v>40837573</v>
      </c>
      <c r="L625" s="19"/>
      <c r="M625" s="19">
        <v>84634</v>
      </c>
      <c r="N625" s="19"/>
      <c r="O625" s="19">
        <f>1981192+2030879</f>
        <v>4012071</v>
      </c>
      <c r="P625" s="19"/>
      <c r="Q625" s="19">
        <v>669730</v>
      </c>
      <c r="R625" s="19"/>
      <c r="S625" s="19">
        <v>0</v>
      </c>
      <c r="T625" s="19"/>
      <c r="U625" s="19">
        <v>0</v>
      </c>
      <c r="V625" s="19"/>
      <c r="W625" s="19">
        <v>933835</v>
      </c>
      <c r="X625" s="19"/>
      <c r="Y625" s="26">
        <f t="shared" si="88"/>
        <v>136883725</v>
      </c>
      <c r="Z625" s="19"/>
      <c r="AA625" s="19">
        <v>2267322</v>
      </c>
      <c r="AB625" s="19"/>
      <c r="AC625" s="19">
        <v>0</v>
      </c>
      <c r="AD625" s="19"/>
      <c r="AE625" s="19">
        <f>37240000+3171892</f>
        <v>40411892</v>
      </c>
      <c r="AF625" s="19"/>
      <c r="AG625" s="19"/>
      <c r="AH625" s="19"/>
      <c r="AI625" s="19"/>
      <c r="AJ625" s="19"/>
      <c r="AK625" s="19">
        <v>71428</v>
      </c>
      <c r="AL625" s="19"/>
      <c r="AM625" s="19">
        <v>0</v>
      </c>
      <c r="AN625" s="19"/>
      <c r="AO625" s="26">
        <f t="shared" si="94"/>
        <v>42750642</v>
      </c>
      <c r="AP625" s="19"/>
      <c r="AQ625" s="26">
        <f t="shared" si="95"/>
        <v>179634367</v>
      </c>
      <c r="AR625" s="26"/>
    </row>
    <row r="626" spans="1:44">
      <c r="A626" s="9" t="s">
        <v>258</v>
      </c>
      <c r="B626" s="9"/>
      <c r="C626" s="9" t="s">
        <v>110</v>
      </c>
      <c r="D626" s="9"/>
      <c r="E626" s="23">
        <v>46524</v>
      </c>
      <c r="F626" s="19"/>
      <c r="G626" s="19">
        <v>3692276</v>
      </c>
      <c r="H626" s="19"/>
      <c r="I626" s="19">
        <v>0</v>
      </c>
      <c r="J626" s="19"/>
      <c r="K626" s="19">
        <f>5614631+867679</f>
        <v>6482310</v>
      </c>
      <c r="L626" s="19"/>
      <c r="M626" s="19">
        <v>10263</v>
      </c>
      <c r="N626" s="19"/>
      <c r="O626" s="19">
        <f>1116305+221451+46165+1600+4800</f>
        <v>1390321</v>
      </c>
      <c r="P626" s="19"/>
      <c r="Q626" s="19">
        <v>85498</v>
      </c>
      <c r="R626" s="19"/>
      <c r="S626" s="19">
        <v>0</v>
      </c>
      <c r="T626" s="19"/>
      <c r="U626" s="19">
        <v>11537</v>
      </c>
      <c r="V626" s="19"/>
      <c r="W626" s="19">
        <v>47345</v>
      </c>
      <c r="X626" s="19"/>
      <c r="Y626" s="26">
        <f t="shared" si="88"/>
        <v>11719550</v>
      </c>
      <c r="Z626" s="19"/>
      <c r="AA626" s="19">
        <v>55888</v>
      </c>
      <c r="AB626" s="19"/>
      <c r="AC626" s="19">
        <v>0</v>
      </c>
      <c r="AD626" s="19"/>
      <c r="AE626" s="19">
        <v>0</v>
      </c>
      <c r="AF626" s="19"/>
      <c r="AG626" s="19"/>
      <c r="AH626" s="19"/>
      <c r="AI626" s="19"/>
      <c r="AJ626" s="19"/>
      <c r="AK626" s="19">
        <v>0</v>
      </c>
      <c r="AL626" s="19"/>
      <c r="AM626" s="19">
        <v>0</v>
      </c>
      <c r="AN626" s="19"/>
      <c r="AO626" s="26">
        <f t="shared" si="94"/>
        <v>55888</v>
      </c>
      <c r="AP626" s="19"/>
      <c r="AQ626" s="26">
        <f t="shared" si="95"/>
        <v>11775438</v>
      </c>
      <c r="AR626" s="26"/>
    </row>
    <row r="627" spans="1:44">
      <c r="A627" s="9" t="s">
        <v>331</v>
      </c>
      <c r="B627" s="9"/>
      <c r="C627" s="9" t="s">
        <v>32</v>
      </c>
      <c r="D627" s="9"/>
      <c r="E627" s="23">
        <v>45146</v>
      </c>
      <c r="F627" s="19"/>
      <c r="G627" s="19">
        <v>9882113</v>
      </c>
      <c r="H627" s="19"/>
      <c r="I627" s="19">
        <v>0</v>
      </c>
      <c r="J627" s="19"/>
      <c r="K627" s="19">
        <v>7388946</v>
      </c>
      <c r="L627" s="19"/>
      <c r="M627" s="19">
        <v>68483</v>
      </c>
      <c r="N627" s="19"/>
      <c r="O627" s="19">
        <f>527945+41221</f>
        <v>569166</v>
      </c>
      <c r="P627" s="19"/>
      <c r="Q627" s="19">
        <v>228279</v>
      </c>
      <c r="R627" s="19"/>
      <c r="S627" s="19">
        <v>8297282</v>
      </c>
      <c r="T627" s="19"/>
      <c r="U627" s="19">
        <v>0</v>
      </c>
      <c r="V627" s="19"/>
      <c r="W627" s="19">
        <v>571089</v>
      </c>
      <c r="X627" s="19"/>
      <c r="Y627" s="26">
        <f>SUM(G627:W627)</f>
        <v>27005358</v>
      </c>
      <c r="Z627" s="19"/>
      <c r="AA627" s="19">
        <v>0</v>
      </c>
      <c r="AB627" s="19"/>
      <c r="AC627" s="19">
        <v>0</v>
      </c>
      <c r="AD627" s="19"/>
      <c r="AE627" s="19">
        <f>25035000+1899362</f>
        <v>26934362</v>
      </c>
      <c r="AF627" s="19"/>
      <c r="AG627" s="19"/>
      <c r="AH627" s="19"/>
      <c r="AI627" s="19"/>
      <c r="AJ627" s="19"/>
      <c r="AK627" s="19">
        <v>0</v>
      </c>
      <c r="AL627" s="19"/>
      <c r="AM627" s="19">
        <v>0</v>
      </c>
      <c r="AN627" s="19"/>
      <c r="AO627" s="26">
        <f>AK627+AE627+AA627</f>
        <v>26934362</v>
      </c>
      <c r="AP627" s="19"/>
      <c r="AQ627" s="26">
        <f t="shared" si="95"/>
        <v>53939720</v>
      </c>
      <c r="AR627" s="26"/>
    </row>
    <row r="628" spans="1:44">
      <c r="A628" s="8" t="s">
        <v>872</v>
      </c>
      <c r="B628" s="8"/>
      <c r="C628" s="8" t="s">
        <v>113</v>
      </c>
      <c r="D628" s="8"/>
      <c r="E628" s="23">
        <v>45153</v>
      </c>
      <c r="F628" s="19"/>
      <c r="G628" s="19">
        <v>19966943</v>
      </c>
      <c r="H628" s="19"/>
      <c r="I628" s="19">
        <v>3241175</v>
      </c>
      <c r="J628" s="19"/>
      <c r="K628" s="19">
        <f>23012785+7532059</f>
        <v>30544844</v>
      </c>
      <c r="L628" s="19"/>
      <c r="M628" s="19">
        <v>33387</v>
      </c>
      <c r="N628" s="19"/>
      <c r="O628" s="19">
        <f>759664+2050+453451+164735+7432+56149</f>
        <v>1443481</v>
      </c>
      <c r="P628" s="19"/>
      <c r="Q628" s="19">
        <v>227529</v>
      </c>
      <c r="R628" s="19"/>
      <c r="S628" s="19">
        <v>26409</v>
      </c>
      <c r="T628" s="19"/>
      <c r="U628" s="19">
        <v>58174</v>
      </c>
      <c r="V628" s="19"/>
      <c r="W628" s="19">
        <v>102687</v>
      </c>
      <c r="X628" s="19"/>
      <c r="Y628" s="26">
        <f>SUM(G628:W628)</f>
        <v>55644629</v>
      </c>
      <c r="Z628" s="19"/>
      <c r="AA628" s="19">
        <v>0</v>
      </c>
      <c r="AB628" s="19"/>
      <c r="AC628" s="19">
        <v>0</v>
      </c>
      <c r="AD628" s="19"/>
      <c r="AE628" s="19">
        <v>0</v>
      </c>
      <c r="AF628" s="19"/>
      <c r="AG628" s="19"/>
      <c r="AH628" s="19"/>
      <c r="AI628" s="19"/>
      <c r="AJ628" s="19"/>
      <c r="AK628" s="19">
        <v>0</v>
      </c>
      <c r="AL628" s="19"/>
      <c r="AM628" s="19">
        <v>1304343</v>
      </c>
      <c r="AN628" s="19"/>
      <c r="AO628" s="26">
        <f>AK628+AE628+AA628+AM628</f>
        <v>1304343</v>
      </c>
      <c r="AP628" s="19"/>
      <c r="AQ628" s="26">
        <f t="shared" ref="AQ628" si="96">Y628+AO628</f>
        <v>56948972</v>
      </c>
      <c r="AR628" s="26"/>
    </row>
    <row r="629" spans="1:44">
      <c r="A629" s="9" t="s">
        <v>777</v>
      </c>
      <c r="B629" s="9"/>
      <c r="C629" s="9" t="s">
        <v>113</v>
      </c>
      <c r="D629" s="9"/>
      <c r="E629" s="23">
        <v>45674</v>
      </c>
      <c r="F629" s="19"/>
      <c r="G629" s="19">
        <v>4149259</v>
      </c>
      <c r="H629" s="19"/>
      <c r="I629" s="19">
        <v>1287299</v>
      </c>
      <c r="J629" s="19"/>
      <c r="K629" s="19">
        <v>2289066</v>
      </c>
      <c r="L629" s="19"/>
      <c r="M629" s="19">
        <v>1555</v>
      </c>
      <c r="N629" s="19"/>
      <c r="O629" s="19">
        <f>890277+9350+97799</f>
        <v>997426</v>
      </c>
      <c r="P629" s="19"/>
      <c r="Q629" s="19">
        <v>66637</v>
      </c>
      <c r="R629" s="19"/>
      <c r="S629" s="19">
        <v>0</v>
      </c>
      <c r="T629" s="19"/>
      <c r="U629" s="19">
        <v>38238</v>
      </c>
      <c r="V629" s="19"/>
      <c r="W629" s="19">
        <v>78623</v>
      </c>
      <c r="X629" s="19"/>
      <c r="Y629" s="26">
        <f t="shared" si="88"/>
        <v>8908103</v>
      </c>
      <c r="Z629" s="19"/>
      <c r="AA629" s="19">
        <v>6881</v>
      </c>
      <c r="AB629" s="19"/>
      <c r="AC629" s="19">
        <v>0</v>
      </c>
      <c r="AD629" s="19"/>
      <c r="AE629" s="19">
        <v>0</v>
      </c>
      <c r="AF629" s="19"/>
      <c r="AG629" s="19"/>
      <c r="AH629" s="19"/>
      <c r="AI629" s="19"/>
      <c r="AJ629" s="19"/>
      <c r="AK629" s="19">
        <v>0</v>
      </c>
      <c r="AL629" s="19"/>
      <c r="AM629" s="19">
        <v>0</v>
      </c>
      <c r="AN629" s="19"/>
      <c r="AO629" s="26">
        <f t="shared" si="94"/>
        <v>6881</v>
      </c>
      <c r="AP629" s="19"/>
      <c r="AQ629" s="26">
        <f t="shared" si="95"/>
        <v>8914984</v>
      </c>
      <c r="AR629" s="26"/>
    </row>
    <row r="630" spans="1:44">
      <c r="A630" s="9" t="s">
        <v>406</v>
      </c>
      <c r="B630" s="9"/>
      <c r="C630" s="9" t="s">
        <v>45</v>
      </c>
      <c r="D630" s="9"/>
      <c r="E630" s="23">
        <v>45161</v>
      </c>
      <c r="F630" s="19"/>
      <c r="G630" s="19">
        <v>22189186</v>
      </c>
      <c r="H630" s="19"/>
      <c r="I630" s="19">
        <v>0</v>
      </c>
      <c r="J630" s="19"/>
      <c r="K630" s="19">
        <v>101504759</v>
      </c>
      <c r="L630" s="19"/>
      <c r="M630" s="19">
        <v>108863</v>
      </c>
      <c r="N630" s="19"/>
      <c r="O630" s="19">
        <f>1266055+250912+78888</f>
        <v>1595855</v>
      </c>
      <c r="P630" s="19"/>
      <c r="Q630" s="19">
        <v>103429</v>
      </c>
      <c r="R630" s="19"/>
      <c r="S630" s="19">
        <v>1416740</v>
      </c>
      <c r="T630" s="19"/>
      <c r="U630" s="19">
        <v>447400</v>
      </c>
      <c r="V630" s="19"/>
      <c r="W630" s="19">
        <v>356524</v>
      </c>
      <c r="X630" s="19"/>
      <c r="Y630" s="26">
        <f t="shared" si="88"/>
        <v>127722756</v>
      </c>
      <c r="Z630" s="19"/>
      <c r="AA630" s="19">
        <v>159826</v>
      </c>
      <c r="AB630" s="19"/>
      <c r="AC630" s="19">
        <v>0</v>
      </c>
      <c r="AD630" s="19"/>
      <c r="AE630" s="19">
        <f>23389988+2577761</f>
        <v>25967749</v>
      </c>
      <c r="AF630" s="19"/>
      <c r="AG630" s="19"/>
      <c r="AH630" s="19"/>
      <c r="AI630" s="19"/>
      <c r="AJ630" s="19"/>
      <c r="AK630" s="19">
        <v>0</v>
      </c>
      <c r="AL630" s="19"/>
      <c r="AM630" s="19">
        <v>0</v>
      </c>
      <c r="AN630" s="19"/>
      <c r="AO630" s="26">
        <f t="shared" si="94"/>
        <v>26127575</v>
      </c>
      <c r="AP630" s="19"/>
      <c r="AQ630" s="26">
        <f t="shared" si="95"/>
        <v>153850331</v>
      </c>
      <c r="AR630" s="26"/>
    </row>
    <row r="631" spans="1:44">
      <c r="A631" s="9" t="s">
        <v>474</v>
      </c>
      <c r="B631" s="9"/>
      <c r="C631" s="9" t="s">
        <v>58</v>
      </c>
      <c r="D631" s="9"/>
      <c r="E631" s="23">
        <v>49544</v>
      </c>
      <c r="F631" s="19"/>
      <c r="G631" s="19">
        <v>4025693</v>
      </c>
      <c r="H631" s="19"/>
      <c r="I631" s="19">
        <v>2177</v>
      </c>
      <c r="J631" s="19"/>
      <c r="K631" s="19">
        <v>8123845</v>
      </c>
      <c r="L631" s="19"/>
      <c r="M631" s="19">
        <v>15928</v>
      </c>
      <c r="N631" s="19"/>
      <c r="O631" s="19">
        <f>540561+324148</f>
        <v>864709</v>
      </c>
      <c r="P631" s="19"/>
      <c r="Q631" s="19">
        <v>277474</v>
      </c>
      <c r="R631" s="19"/>
      <c r="S631" s="19">
        <v>0</v>
      </c>
      <c r="T631" s="19"/>
      <c r="U631" s="19">
        <v>41186</v>
      </c>
      <c r="V631" s="19"/>
      <c r="W631" s="19">
        <v>234455</v>
      </c>
      <c r="X631" s="19"/>
      <c r="Y631" s="26">
        <f t="shared" si="88"/>
        <v>13585467</v>
      </c>
      <c r="Z631" s="19"/>
      <c r="AA631" s="19">
        <v>0</v>
      </c>
      <c r="AB631" s="19"/>
      <c r="AC631" s="19">
        <v>0</v>
      </c>
      <c r="AD631" s="19"/>
      <c r="AE631" s="19">
        <v>0</v>
      </c>
      <c r="AF631" s="19"/>
      <c r="AG631" s="19"/>
      <c r="AH631" s="19"/>
      <c r="AI631" s="19"/>
      <c r="AJ631" s="19"/>
      <c r="AK631" s="19">
        <v>3800</v>
      </c>
      <c r="AL631" s="19"/>
      <c r="AM631" s="19">
        <v>0</v>
      </c>
      <c r="AN631" s="19"/>
      <c r="AO631" s="26">
        <f t="shared" si="94"/>
        <v>3800</v>
      </c>
      <c r="AP631" s="19"/>
      <c r="AQ631" s="26">
        <f t="shared" si="95"/>
        <v>13589267</v>
      </c>
      <c r="AR631" s="26"/>
    </row>
    <row r="632" spans="1:44">
      <c r="A632" s="9" t="s">
        <v>445</v>
      </c>
      <c r="B632" s="9"/>
      <c r="C632" s="9" t="s">
        <v>51</v>
      </c>
      <c r="D632" s="9"/>
      <c r="E632" s="23">
        <v>45179</v>
      </c>
      <c r="F632" s="19"/>
      <c r="G632" s="19">
        <v>9977923</v>
      </c>
      <c r="H632" s="19"/>
      <c r="I632" s="19">
        <v>0</v>
      </c>
      <c r="J632" s="19"/>
      <c r="K632" s="19">
        <v>31488729</v>
      </c>
      <c r="L632" s="19"/>
      <c r="M632" s="19">
        <v>36568</v>
      </c>
      <c r="N632" s="19"/>
      <c r="O632" s="19">
        <f>1090955+95835+420543</f>
        <v>1607333</v>
      </c>
      <c r="P632" s="19"/>
      <c r="Q632" s="19">
        <v>273002</v>
      </c>
      <c r="R632" s="19"/>
      <c r="S632" s="19">
        <v>25151</v>
      </c>
      <c r="T632" s="19"/>
      <c r="U632" s="19">
        <v>148754</v>
      </c>
      <c r="V632" s="19"/>
      <c r="W632" s="19">
        <v>229973</v>
      </c>
      <c r="X632" s="19"/>
      <c r="Y632" s="26">
        <f>SUM(G632:W632)</f>
        <v>43787433</v>
      </c>
      <c r="Z632" s="19"/>
      <c r="AA632" s="19">
        <v>750000</v>
      </c>
      <c r="AB632" s="19"/>
      <c r="AC632" s="19">
        <v>0</v>
      </c>
      <c r="AD632" s="19"/>
      <c r="AE632" s="19">
        <v>0</v>
      </c>
      <c r="AF632" s="19"/>
      <c r="AG632" s="19"/>
      <c r="AH632" s="19"/>
      <c r="AI632" s="19"/>
      <c r="AJ632" s="19"/>
      <c r="AK632" s="19">
        <v>0</v>
      </c>
      <c r="AL632" s="19"/>
      <c r="AM632" s="19">
        <v>0</v>
      </c>
      <c r="AN632" s="19"/>
      <c r="AO632" s="26">
        <f t="shared" si="94"/>
        <v>750000</v>
      </c>
      <c r="AP632" s="19"/>
      <c r="AQ632" s="26">
        <f t="shared" si="95"/>
        <v>44537433</v>
      </c>
      <c r="AR632" s="26"/>
    </row>
    <row r="633" spans="1:44">
      <c r="A633" s="9"/>
      <c r="B633" s="9"/>
      <c r="C633" s="9"/>
      <c r="D633" s="9"/>
    </row>
    <row r="636" spans="1:44">
      <c r="G636" s="42"/>
      <c r="H636" s="42"/>
      <c r="I636" s="42"/>
    </row>
  </sheetData>
  <mergeCells count="1">
    <mergeCell ref="AA8:AK8"/>
  </mergeCells>
  <pageMargins left="0.75" right="0.5" top="0.5" bottom="0.5" header="0.25" footer="0.25"/>
  <pageSetup scale="76" firstPageNumber="162" pageOrder="overThenDown" orientation="portrait" useFirstPageNumber="1" r:id="rId1"/>
  <headerFooter scaleWithDoc="0" alignWithMargins="0"/>
  <rowBreaks count="4" manualBreakCount="4">
    <brk id="192" max="42" man="1"/>
    <brk id="371" max="42" man="1"/>
    <brk id="472" max="42" man="1"/>
    <brk id="556" max="4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35"/>
  <sheetViews>
    <sheetView zoomScaleNormal="100" zoomScaleSheetLayoutView="100" workbookViewId="0">
      <pane xSplit="6" ySplit="11" topLeftCell="G12" activePane="bottomRight" state="frozen"/>
      <selection activeCell="K503" sqref="K503"/>
      <selection pane="topRight" activeCell="K503" sqref="K503"/>
      <selection pane="bottomLeft" activeCell="K503" sqref="K503"/>
      <selection pane="bottomRight" activeCell="G12" sqref="G12"/>
    </sheetView>
  </sheetViews>
  <sheetFormatPr defaultColWidth="9.140625" defaultRowHeight="12"/>
  <cols>
    <col min="1" max="1" width="33.7109375" style="42" customWidth="1"/>
    <col min="2" max="2" width="1.7109375" style="42" customWidth="1"/>
    <col min="3" max="3" width="11.7109375" style="42" customWidth="1"/>
    <col min="4" max="4" width="1.7109375" style="42" hidden="1" customWidth="1"/>
    <col min="5" max="5" width="11.7109375" style="42" hidden="1" customWidth="1"/>
    <col min="6" max="6" width="1.7109375" style="42" customWidth="1"/>
    <col min="7" max="7" width="10.28515625" style="42" bestFit="1" customWidth="1"/>
    <col min="8" max="8" width="1.42578125" style="42" customWidth="1"/>
    <col min="9" max="9" width="10.28515625" style="42" bestFit="1" customWidth="1"/>
    <col min="10" max="10" width="1.42578125" style="42" customWidth="1"/>
    <col min="11" max="11" width="9.42578125" style="42" bestFit="1" customWidth="1"/>
    <col min="12" max="12" width="1.42578125" style="42" customWidth="1"/>
    <col min="13" max="13" width="9.5703125" style="42" customWidth="1"/>
    <col min="14" max="14" width="1.42578125" style="42" customWidth="1"/>
    <col min="15" max="15" width="9.42578125" style="42" bestFit="1" customWidth="1"/>
    <col min="16" max="16" width="1.42578125" style="42" customWidth="1"/>
    <col min="17" max="17" width="10.28515625" style="42" bestFit="1" customWidth="1"/>
    <col min="18" max="18" width="1.7109375" style="42" customWidth="1"/>
    <col min="19" max="19" width="9.85546875" style="42" bestFit="1" customWidth="1"/>
    <col min="20" max="20" width="1.7109375" style="42" customWidth="1"/>
    <col min="21" max="21" width="8.5703125" style="42" bestFit="1" customWidth="1"/>
    <col min="22" max="22" width="1.7109375" style="42" customWidth="1"/>
    <col min="23" max="23" width="11.5703125" style="42" bestFit="1" customWidth="1"/>
    <col min="24" max="24" width="1.7109375" style="42" customWidth="1"/>
    <col min="25" max="25" width="9.42578125" style="42" bestFit="1" customWidth="1"/>
    <col min="26" max="26" width="1.7109375" style="42" customWidth="1"/>
    <col min="27" max="27" width="8.5703125" style="42" bestFit="1" customWidth="1"/>
    <col min="28" max="28" width="1.7109375" style="42" customWidth="1"/>
    <col min="29" max="29" width="11" style="42" bestFit="1" customWidth="1"/>
    <col min="30" max="30" width="1.7109375" style="42" customWidth="1"/>
    <col min="31" max="31" width="11.5703125" style="42" bestFit="1" customWidth="1"/>
    <col min="32" max="32" width="1.7109375" style="42" customWidth="1"/>
    <col min="33" max="33" width="9.42578125" style="42" bestFit="1" customWidth="1"/>
    <col min="34" max="34" width="1.7109375" style="42" customWidth="1"/>
    <col min="35" max="35" width="9.28515625" style="42" bestFit="1" customWidth="1"/>
    <col min="36" max="36" width="1.7109375" style="42" customWidth="1"/>
    <col min="37" max="37" width="9.42578125" style="42" bestFit="1" customWidth="1"/>
    <col min="38" max="38" width="33.7109375" style="42" customWidth="1"/>
    <col min="39" max="39" width="1.7109375" style="42" customWidth="1"/>
    <col min="40" max="40" width="11.7109375" style="42" customWidth="1"/>
    <col min="41" max="41" width="1.42578125" style="42" customWidth="1"/>
    <col min="42" max="42" width="11.140625" style="42" bestFit="1" customWidth="1"/>
    <col min="43" max="43" width="1.42578125" style="42" customWidth="1"/>
    <col min="44" max="44" width="10.28515625" style="42" bestFit="1" customWidth="1"/>
    <col min="45" max="45" width="1.42578125" style="42" customWidth="1"/>
    <col min="46" max="46" width="10.28515625" style="42" bestFit="1" customWidth="1"/>
    <col min="47" max="47" width="1.42578125" style="42" customWidth="1"/>
    <col min="48" max="48" width="11.140625" style="42" bestFit="1" customWidth="1"/>
    <col min="49" max="49" width="1.42578125" style="42" customWidth="1"/>
    <col min="50" max="50" width="9.42578125" style="42" bestFit="1" customWidth="1"/>
    <col min="51" max="51" width="1.7109375" style="42" customWidth="1"/>
    <col min="52" max="52" width="10.140625" style="42" bestFit="1" customWidth="1"/>
    <col min="53" max="53" width="1.42578125" style="42" customWidth="1"/>
    <col min="54" max="54" width="11" style="42" bestFit="1" customWidth="1"/>
    <col min="55" max="55" width="1.42578125" style="42" customWidth="1"/>
    <col min="56" max="56" width="10.28515625" style="42" bestFit="1" customWidth="1"/>
    <col min="57" max="57" width="1.42578125" style="42" customWidth="1"/>
    <col min="58" max="58" width="7.7109375" style="42" hidden="1" customWidth="1"/>
    <col min="59" max="59" width="1.7109375" style="42" hidden="1" customWidth="1"/>
    <col min="60" max="60" width="11.7109375" style="42" hidden="1" customWidth="1"/>
    <col min="61" max="61" width="1.7109375" style="42" hidden="1" customWidth="1"/>
    <col min="62" max="62" width="10.140625" style="42" bestFit="1" customWidth="1"/>
    <col min="63" max="63" width="1.42578125" style="42" customWidth="1"/>
    <col min="64" max="64" width="11.42578125" style="42" customWidth="1"/>
    <col min="65" max="65" width="1.42578125" style="42" customWidth="1"/>
    <col min="66" max="66" width="10.28515625" style="42" bestFit="1" customWidth="1"/>
    <col min="67" max="67" width="1.42578125" style="42" customWidth="1"/>
    <col min="68" max="68" width="10.28515625" style="42" bestFit="1" customWidth="1"/>
    <col min="69" max="69" width="1.42578125" style="42" customWidth="1"/>
    <col min="70" max="70" width="10.7109375" style="42" bestFit="1" customWidth="1"/>
    <col min="71" max="71" width="1.42578125" style="42" customWidth="1"/>
    <col min="72" max="72" width="10.5703125" style="42" bestFit="1" customWidth="1"/>
    <col min="73" max="73" width="1.42578125" style="42" customWidth="1"/>
    <col min="74" max="74" width="10.28515625" style="42" bestFit="1" customWidth="1"/>
    <col min="75" max="75" width="1.7109375" style="42" hidden="1" customWidth="1"/>
    <col min="76" max="76" width="11.7109375" style="42" customWidth="1"/>
    <col min="77" max="16384" width="9.140625" style="42"/>
  </cols>
  <sheetData>
    <row r="1" spans="1:76" s="11" customFormat="1">
      <c r="A1" s="27" t="s">
        <v>594</v>
      </c>
      <c r="B1" s="27"/>
      <c r="C1" s="27"/>
      <c r="D1" s="27"/>
      <c r="E1" s="27"/>
      <c r="F1" s="27"/>
      <c r="G1" s="27"/>
      <c r="H1" s="27"/>
      <c r="I1" s="28"/>
      <c r="J1" s="28"/>
      <c r="K1" s="28"/>
      <c r="L1" s="28"/>
      <c r="M1" s="28"/>
      <c r="N1" s="28"/>
      <c r="O1" s="28"/>
      <c r="P1" s="2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27" t="s">
        <v>594</v>
      </c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20"/>
    </row>
    <row r="2" spans="1:76" s="11" customFormat="1">
      <c r="A2" s="25" t="s">
        <v>899</v>
      </c>
      <c r="B2" s="27"/>
      <c r="C2" s="27"/>
      <c r="D2" s="27"/>
      <c r="E2" s="27"/>
      <c r="F2" s="27"/>
      <c r="G2" s="27"/>
      <c r="H2" s="27"/>
      <c r="J2" s="28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27" t="s">
        <v>899</v>
      </c>
      <c r="AM2" s="27"/>
      <c r="AN2" s="27"/>
      <c r="AO2" s="17"/>
      <c r="AP2" s="17"/>
      <c r="AQ2" s="17"/>
      <c r="AR2" s="17"/>
      <c r="AS2" s="17"/>
      <c r="AT2" s="17"/>
      <c r="AU2" s="17"/>
      <c r="AV2" s="17"/>
      <c r="AW2" s="20"/>
    </row>
    <row r="3" spans="1:76" s="11" customFormat="1">
      <c r="A3" s="27"/>
      <c r="B3" s="27"/>
      <c r="C3" s="27"/>
      <c r="D3" s="27"/>
      <c r="E3" s="27"/>
      <c r="F3" s="27"/>
      <c r="G3" s="27"/>
      <c r="H3" s="27"/>
      <c r="I3" s="28"/>
      <c r="J3" s="28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20" t="s">
        <v>593</v>
      </c>
      <c r="AM3" s="27"/>
      <c r="AN3" s="27"/>
      <c r="AO3" s="17"/>
      <c r="AP3" s="17"/>
      <c r="AQ3" s="17"/>
      <c r="AR3" s="17"/>
      <c r="AS3" s="17"/>
      <c r="AT3" s="17"/>
      <c r="AU3" s="17"/>
      <c r="AV3" s="17"/>
      <c r="AW3" s="20"/>
    </row>
    <row r="4" spans="1:76">
      <c r="A4" s="20" t="s">
        <v>167</v>
      </c>
      <c r="B4" s="20"/>
      <c r="C4" s="20"/>
      <c r="D4" s="20"/>
      <c r="E4" s="20"/>
      <c r="F4" s="20"/>
      <c r="G4" s="7"/>
      <c r="H4" s="7"/>
      <c r="I4" s="1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20" t="s">
        <v>167</v>
      </c>
      <c r="AM4" s="20"/>
      <c r="AN4" s="20"/>
      <c r="AO4" s="7"/>
      <c r="AP4" s="7"/>
      <c r="AQ4" s="7"/>
      <c r="AR4" s="7"/>
      <c r="AS4" s="7"/>
      <c r="AT4" s="7"/>
      <c r="AU4" s="7"/>
      <c r="AV4" s="7"/>
      <c r="AW4" s="7"/>
    </row>
    <row r="5" spans="1:76">
      <c r="A5" s="20"/>
      <c r="B5" s="20"/>
      <c r="C5" s="20"/>
      <c r="D5" s="20"/>
      <c r="E5" s="20"/>
      <c r="F5" s="20"/>
      <c r="G5" s="7"/>
      <c r="H5" s="7"/>
      <c r="I5" s="1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20"/>
      <c r="AM5" s="20"/>
      <c r="AN5" s="20"/>
      <c r="AO5" s="7"/>
      <c r="AP5" s="7"/>
      <c r="AQ5" s="7"/>
      <c r="AR5" s="7"/>
      <c r="AS5" s="7"/>
      <c r="AT5" s="7"/>
      <c r="AU5" s="7"/>
      <c r="AV5" s="7"/>
      <c r="AW5" s="7"/>
    </row>
    <row r="6" spans="1:76">
      <c r="A6" s="38" t="s">
        <v>721</v>
      </c>
      <c r="B6" s="20"/>
      <c r="C6" s="20"/>
      <c r="D6" s="20"/>
      <c r="E6" s="20"/>
      <c r="F6" s="20"/>
      <c r="G6" s="7"/>
      <c r="H6" s="7"/>
      <c r="I6" s="1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38" t="s">
        <v>721</v>
      </c>
      <c r="AM6" s="20"/>
      <c r="AN6" s="20"/>
      <c r="AO6" s="7"/>
      <c r="AP6" s="7"/>
      <c r="AQ6" s="7"/>
      <c r="AR6" s="7"/>
      <c r="AS6" s="7"/>
      <c r="AT6" s="7"/>
      <c r="AU6" s="7"/>
      <c r="AV6" s="7"/>
      <c r="AW6" s="7"/>
    </row>
    <row r="7" spans="1:76" s="11" customFormat="1">
      <c r="B7" s="7"/>
      <c r="C7" s="7"/>
      <c r="D7" s="7"/>
      <c r="E7" s="7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7" t="s">
        <v>833</v>
      </c>
      <c r="R7" s="49"/>
      <c r="S7" s="49"/>
      <c r="T7" s="49"/>
      <c r="U7" s="49"/>
      <c r="V7" s="49"/>
      <c r="W7" s="49"/>
      <c r="AM7" s="7"/>
      <c r="AN7" s="7"/>
    </row>
    <row r="8" spans="1:76">
      <c r="A8" s="38"/>
      <c r="B8" s="11"/>
      <c r="C8" s="11"/>
      <c r="D8" s="11"/>
      <c r="E8" s="11"/>
      <c r="F8" s="11"/>
      <c r="G8" s="13" t="s">
        <v>141</v>
      </c>
      <c r="H8" s="13"/>
      <c r="I8" s="13"/>
      <c r="J8" s="13"/>
      <c r="K8" s="13"/>
      <c r="L8" s="13"/>
      <c r="M8" s="13"/>
      <c r="N8" s="13"/>
      <c r="O8" s="13"/>
      <c r="Q8" s="48" t="s">
        <v>6</v>
      </c>
      <c r="R8" s="17"/>
      <c r="S8" s="13" t="s">
        <v>834</v>
      </c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I8" s="13" t="s">
        <v>154</v>
      </c>
      <c r="AJ8" s="13"/>
      <c r="AK8" s="13"/>
      <c r="AL8" s="38"/>
      <c r="AM8" s="11"/>
      <c r="AN8" s="11"/>
      <c r="AV8" s="74" t="s">
        <v>177</v>
      </c>
      <c r="AW8" s="74"/>
      <c r="AX8" s="74"/>
      <c r="AY8" s="7"/>
      <c r="AZ8" s="7"/>
      <c r="BD8" s="13" t="s">
        <v>178</v>
      </c>
      <c r="BE8" s="13"/>
      <c r="BF8" s="13"/>
      <c r="BG8" s="13"/>
      <c r="BH8" s="13"/>
      <c r="BI8" s="13"/>
      <c r="BJ8" s="13"/>
      <c r="BL8" s="47" t="s">
        <v>3</v>
      </c>
      <c r="BM8" s="47"/>
      <c r="BN8" s="47" t="s">
        <v>182</v>
      </c>
      <c r="BO8" s="47"/>
      <c r="BP8" s="47" t="s">
        <v>90</v>
      </c>
      <c r="BQ8" s="47"/>
      <c r="BR8" s="47" t="s">
        <v>583</v>
      </c>
      <c r="BS8" s="47"/>
      <c r="BT8" s="47"/>
      <c r="BU8" s="47"/>
      <c r="BV8" s="47" t="s">
        <v>90</v>
      </c>
      <c r="BW8" s="47"/>
      <c r="BX8" s="47" t="s">
        <v>131</v>
      </c>
    </row>
    <row r="9" spans="1:76">
      <c r="A9" s="38"/>
      <c r="O9" s="47"/>
      <c r="AC9" s="47" t="s">
        <v>149</v>
      </c>
      <c r="AL9" s="38"/>
      <c r="AT9" s="47" t="s">
        <v>1</v>
      </c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 t="s">
        <v>578</v>
      </c>
      <c r="BI9" s="47"/>
      <c r="BJ9" s="47" t="s">
        <v>181</v>
      </c>
      <c r="BL9" s="47" t="s">
        <v>74</v>
      </c>
      <c r="BM9" s="47"/>
      <c r="BN9" s="47" t="s">
        <v>118</v>
      </c>
      <c r="BO9" s="47"/>
      <c r="BP9" s="47" t="s">
        <v>183</v>
      </c>
      <c r="BQ9" s="47"/>
      <c r="BR9" s="47" t="s">
        <v>584</v>
      </c>
      <c r="BS9" s="47"/>
      <c r="BT9" s="47"/>
      <c r="BU9" s="47"/>
      <c r="BV9" s="47" t="s">
        <v>183</v>
      </c>
      <c r="BW9" s="47"/>
      <c r="BX9" s="47" t="s">
        <v>132</v>
      </c>
    </row>
    <row r="10" spans="1:76">
      <c r="A10" s="47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 t="s">
        <v>848</v>
      </c>
      <c r="N10" s="50"/>
      <c r="O10" s="50"/>
      <c r="P10" s="50"/>
      <c r="Q10" s="50"/>
      <c r="R10" s="50"/>
      <c r="S10" s="50" t="s">
        <v>143</v>
      </c>
      <c r="T10" s="50"/>
      <c r="U10" s="50" t="s">
        <v>145</v>
      </c>
      <c r="V10" s="50"/>
      <c r="W10" s="50"/>
      <c r="X10" s="50"/>
      <c r="Y10" s="50"/>
      <c r="Z10" s="50"/>
      <c r="AA10" s="50"/>
      <c r="AB10" s="50"/>
      <c r="AC10" s="50" t="s">
        <v>150</v>
      </c>
      <c r="AD10" s="50"/>
      <c r="AE10" s="50" t="s">
        <v>152</v>
      </c>
      <c r="AF10" s="50"/>
      <c r="AG10" s="50"/>
      <c r="AH10" s="50"/>
      <c r="AI10" s="47" t="s">
        <v>155</v>
      </c>
      <c r="AJ10" s="47"/>
      <c r="AK10" s="47"/>
      <c r="AL10" s="47"/>
      <c r="AM10" s="50"/>
      <c r="AN10" s="50"/>
      <c r="AO10" s="47"/>
      <c r="AP10" s="47" t="s">
        <v>157</v>
      </c>
      <c r="AQ10" s="47"/>
      <c r="AR10" s="47" t="s">
        <v>73</v>
      </c>
      <c r="AS10" s="47"/>
      <c r="AT10" s="47" t="s">
        <v>7</v>
      </c>
      <c r="AU10" s="47"/>
      <c r="AV10" s="47" t="s">
        <v>76</v>
      </c>
      <c r="AW10" s="47"/>
      <c r="AX10" s="47"/>
      <c r="AY10" s="47"/>
      <c r="AZ10" s="47" t="s">
        <v>125</v>
      </c>
      <c r="BA10" s="47"/>
      <c r="BB10" s="47" t="s">
        <v>3</v>
      </c>
      <c r="BC10" s="47"/>
      <c r="BD10" s="47" t="s">
        <v>160</v>
      </c>
      <c r="BE10" s="47"/>
      <c r="BF10" s="47" t="s">
        <v>179</v>
      </c>
      <c r="BG10" s="47"/>
      <c r="BH10" s="47" t="s">
        <v>579</v>
      </c>
      <c r="BI10" s="47"/>
      <c r="BJ10" s="47" t="s">
        <v>82</v>
      </c>
      <c r="BK10" s="47"/>
      <c r="BL10" s="47" t="s">
        <v>175</v>
      </c>
      <c r="BM10" s="47"/>
      <c r="BN10" s="47" t="s">
        <v>90</v>
      </c>
      <c r="BO10" s="47"/>
      <c r="BP10" s="50" t="s">
        <v>161</v>
      </c>
      <c r="BQ10" s="47"/>
      <c r="BR10" s="47" t="s">
        <v>575</v>
      </c>
      <c r="BS10" s="47"/>
      <c r="BT10" s="47" t="s">
        <v>590</v>
      </c>
      <c r="BU10" s="47"/>
      <c r="BV10" s="50" t="s">
        <v>184</v>
      </c>
      <c r="BW10" s="47"/>
      <c r="BX10" s="47" t="s">
        <v>194</v>
      </c>
    </row>
    <row r="11" spans="1:76">
      <c r="A11" s="48" t="s">
        <v>198</v>
      </c>
      <c r="B11" s="47"/>
      <c r="C11" s="48" t="s">
        <v>4</v>
      </c>
      <c r="D11" s="47"/>
      <c r="E11" s="48" t="s">
        <v>197</v>
      </c>
      <c r="F11" s="50"/>
      <c r="G11" s="1" t="s">
        <v>842</v>
      </c>
      <c r="I11" s="1" t="s">
        <v>2</v>
      </c>
      <c r="K11" s="1" t="s">
        <v>140</v>
      </c>
      <c r="M11" s="1" t="s">
        <v>832</v>
      </c>
      <c r="O11" s="1" t="s">
        <v>82</v>
      </c>
      <c r="Q11" s="1" t="s">
        <v>843</v>
      </c>
      <c r="S11" s="1" t="s">
        <v>144</v>
      </c>
      <c r="U11" s="1" t="s">
        <v>146</v>
      </c>
      <c r="W11" s="1" t="s">
        <v>147</v>
      </c>
      <c r="Y11" s="1" t="s">
        <v>148</v>
      </c>
      <c r="Z11" s="50"/>
      <c r="AA11" s="48" t="s">
        <v>554</v>
      </c>
      <c r="AC11" s="1" t="s">
        <v>151</v>
      </c>
      <c r="AD11" s="50"/>
      <c r="AE11" s="48" t="s">
        <v>153</v>
      </c>
      <c r="AF11" s="50"/>
      <c r="AG11" s="48" t="s">
        <v>555</v>
      </c>
      <c r="AI11" s="48" t="s">
        <v>156</v>
      </c>
      <c r="AK11" s="48" t="s">
        <v>82</v>
      </c>
      <c r="AL11" s="48" t="s">
        <v>198</v>
      </c>
      <c r="AM11" s="47"/>
      <c r="AN11" s="48" t="s">
        <v>4</v>
      </c>
      <c r="AO11" s="50"/>
      <c r="AP11" s="48" t="s">
        <v>158</v>
      </c>
      <c r="AQ11" s="50"/>
      <c r="AR11" s="48" t="s">
        <v>75</v>
      </c>
      <c r="AS11" s="50"/>
      <c r="AT11" s="48" t="s">
        <v>576</v>
      </c>
      <c r="AU11" s="50"/>
      <c r="AV11" s="48" t="s">
        <v>844</v>
      </c>
      <c r="AW11" s="50"/>
      <c r="AX11" s="48" t="s">
        <v>159</v>
      </c>
      <c r="AY11" s="50"/>
      <c r="AZ11" s="48" t="s">
        <v>74</v>
      </c>
      <c r="BA11" s="50"/>
      <c r="BB11" s="48" t="s">
        <v>74</v>
      </c>
      <c r="BC11" s="50"/>
      <c r="BD11" s="48" t="s">
        <v>117</v>
      </c>
      <c r="BE11" s="50"/>
      <c r="BF11" s="48" t="s">
        <v>117</v>
      </c>
      <c r="BG11" s="50"/>
      <c r="BH11" s="50" t="s">
        <v>581</v>
      </c>
      <c r="BI11" s="50"/>
      <c r="BJ11" s="48" t="s">
        <v>180</v>
      </c>
      <c r="BK11" s="50"/>
      <c r="BL11" s="48" t="s">
        <v>185</v>
      </c>
      <c r="BM11" s="50"/>
      <c r="BN11" s="48" t="s">
        <v>183</v>
      </c>
      <c r="BO11" s="47"/>
      <c r="BP11" s="48" t="s">
        <v>162</v>
      </c>
      <c r="BQ11" s="47"/>
      <c r="BR11" s="48" t="s">
        <v>574</v>
      </c>
      <c r="BS11" s="47"/>
      <c r="BT11" s="48" t="s">
        <v>589</v>
      </c>
      <c r="BU11" s="47"/>
      <c r="BV11" s="48" t="s">
        <v>162</v>
      </c>
      <c r="BW11" s="47"/>
      <c r="BX11" s="48" t="s">
        <v>133</v>
      </c>
    </row>
    <row r="12" spans="1:76">
      <c r="A12" s="9"/>
      <c r="B12" s="9"/>
      <c r="C12" s="9"/>
      <c r="D12" s="9"/>
      <c r="E12" s="9"/>
      <c r="F12" s="7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9"/>
      <c r="AM12" s="9"/>
      <c r="AN12" s="9"/>
      <c r="AO12" s="10"/>
      <c r="AP12" s="10"/>
      <c r="AQ12" s="10"/>
      <c r="AR12" s="10"/>
      <c r="AS12" s="10"/>
      <c r="AT12" s="10"/>
      <c r="AU12" s="10"/>
      <c r="AV12" s="10"/>
      <c r="AW12" s="15"/>
    </row>
    <row r="13" spans="1:76" hidden="1">
      <c r="A13" s="9" t="s">
        <v>851</v>
      </c>
      <c r="B13" s="9"/>
      <c r="C13" s="9" t="s">
        <v>337</v>
      </c>
      <c r="D13" s="9"/>
      <c r="E13" s="23">
        <v>45187</v>
      </c>
      <c r="G13" s="42">
        <v>0</v>
      </c>
      <c r="I13" s="42">
        <v>0</v>
      </c>
      <c r="K13" s="42">
        <v>0</v>
      </c>
      <c r="M13" s="42">
        <v>0</v>
      </c>
      <c r="O13" s="42">
        <v>0</v>
      </c>
      <c r="Q13" s="42">
        <v>0</v>
      </c>
      <c r="S13" s="42">
        <v>0</v>
      </c>
      <c r="U13" s="42">
        <v>0</v>
      </c>
      <c r="W13" s="42">
        <v>0</v>
      </c>
      <c r="Y13" s="42">
        <v>0</v>
      </c>
      <c r="AA13" s="42">
        <v>0</v>
      </c>
      <c r="AC13" s="42">
        <v>0</v>
      </c>
      <c r="AE13" s="42">
        <v>0</v>
      </c>
      <c r="AG13" s="42">
        <v>0</v>
      </c>
      <c r="AI13" s="42">
        <v>0</v>
      </c>
      <c r="AK13" s="42">
        <v>0</v>
      </c>
      <c r="AL13" s="9" t="s">
        <v>851</v>
      </c>
      <c r="AM13" s="9"/>
      <c r="AN13" s="9" t="s">
        <v>337</v>
      </c>
      <c r="AP13" s="42">
        <v>0</v>
      </c>
      <c r="AR13" s="42">
        <v>0</v>
      </c>
      <c r="AT13" s="42">
        <v>0</v>
      </c>
      <c r="AV13" s="42">
        <v>0</v>
      </c>
      <c r="AX13" s="42">
        <v>0</v>
      </c>
      <c r="AZ13" s="42">
        <v>0</v>
      </c>
      <c r="BB13" s="5">
        <f>SUM(G13:AZ13)</f>
        <v>0</v>
      </c>
      <c r="BD13" s="42">
        <v>0</v>
      </c>
      <c r="BF13" s="42">
        <v>0</v>
      </c>
      <c r="BH13" s="42">
        <v>0</v>
      </c>
      <c r="BJ13" s="42">
        <v>0</v>
      </c>
      <c r="BL13" s="5">
        <f t="shared" ref="BL13" si="0">BB13+BD13+BJ13</f>
        <v>0</v>
      </c>
      <c r="BN13" s="5">
        <f>'Gov Fd Rev'!AQ13-'Gov Fd Exp'!BL13</f>
        <v>0</v>
      </c>
      <c r="BP13" s="42">
        <v>0</v>
      </c>
      <c r="BR13" s="42">
        <v>0</v>
      </c>
      <c r="BT13" s="42">
        <v>0</v>
      </c>
      <c r="BV13" s="5">
        <f>BN13+BP13+BR13+BT13</f>
        <v>0</v>
      </c>
      <c r="BW13" s="5"/>
      <c r="BX13" s="5">
        <f>BV13-'Gov Fd BS'!AI13</f>
        <v>0</v>
      </c>
    </row>
    <row r="14" spans="1:76" s="64" customFormat="1">
      <c r="A14" s="51" t="s">
        <v>782</v>
      </c>
      <c r="B14" s="70"/>
      <c r="C14" s="71" t="s">
        <v>199</v>
      </c>
      <c r="D14" s="70"/>
      <c r="E14" s="70">
        <v>61903</v>
      </c>
      <c r="F14" s="60"/>
      <c r="G14" s="24">
        <v>15334711</v>
      </c>
      <c r="H14" s="24"/>
      <c r="I14" s="24">
        <v>5053006</v>
      </c>
      <c r="J14" s="24"/>
      <c r="K14" s="24">
        <v>1787298</v>
      </c>
      <c r="L14" s="24"/>
      <c r="M14" s="24">
        <v>398792</v>
      </c>
      <c r="N14" s="24"/>
      <c r="O14" s="24">
        <v>558032</v>
      </c>
      <c r="P14" s="24"/>
      <c r="Q14" s="24">
        <v>1527860</v>
      </c>
      <c r="R14" s="24"/>
      <c r="S14" s="24">
        <v>2471227</v>
      </c>
      <c r="T14" s="24"/>
      <c r="U14" s="24">
        <v>0</v>
      </c>
      <c r="V14" s="24"/>
      <c r="W14" s="24">
        <f>83997+2231429</f>
        <v>2315426</v>
      </c>
      <c r="X14" s="24"/>
      <c r="Y14" s="24">
        <v>1135821</v>
      </c>
      <c r="Z14" s="24"/>
      <c r="AA14" s="24">
        <v>241755</v>
      </c>
      <c r="AB14" s="24"/>
      <c r="AC14" s="24">
        <v>2491985</v>
      </c>
      <c r="AD14" s="24"/>
      <c r="AE14" s="24">
        <v>2530621</v>
      </c>
      <c r="AF14" s="24"/>
      <c r="AG14" s="24">
        <v>264380</v>
      </c>
      <c r="AH14" s="24"/>
      <c r="AI14" s="24">
        <v>0</v>
      </c>
      <c r="AJ14" s="24"/>
      <c r="AK14" s="24">
        <v>1974653</v>
      </c>
      <c r="AL14" s="51" t="s">
        <v>782</v>
      </c>
      <c r="AM14" s="70"/>
      <c r="AN14" s="71" t="s">
        <v>199</v>
      </c>
      <c r="AO14" s="24"/>
      <c r="AP14" s="24">
        <v>480558</v>
      </c>
      <c r="AQ14" s="24"/>
      <c r="AR14" s="24">
        <v>235597</v>
      </c>
      <c r="AS14" s="24"/>
      <c r="AT14" s="24">
        <v>0</v>
      </c>
      <c r="AU14" s="24"/>
      <c r="AV14" s="24">
        <v>1620180</v>
      </c>
      <c r="AW14" s="24"/>
      <c r="AX14" s="24">
        <v>1170914</v>
      </c>
      <c r="AY14" s="24"/>
      <c r="AZ14" s="24">
        <v>178689</v>
      </c>
      <c r="BA14" s="24"/>
      <c r="BB14" s="64">
        <f>SUM(G14:AZ14)</f>
        <v>41771505</v>
      </c>
      <c r="BC14" s="24"/>
      <c r="BD14" s="24">
        <v>1104771</v>
      </c>
      <c r="BE14" s="24"/>
      <c r="BF14" s="24">
        <v>0</v>
      </c>
      <c r="BG14" s="24"/>
      <c r="BH14" s="24">
        <v>0</v>
      </c>
      <c r="BI14" s="24"/>
      <c r="BJ14" s="24">
        <v>9821002</v>
      </c>
      <c r="BK14" s="24"/>
      <c r="BL14" s="64">
        <f>BB14+BD14+BJ14</f>
        <v>52697278</v>
      </c>
      <c r="BM14" s="24"/>
      <c r="BN14" s="64">
        <f>'Gov Fd Rev'!AQ14-'Gov Fd Exp'!BL14</f>
        <v>3089358</v>
      </c>
      <c r="BO14" s="24"/>
      <c r="BP14" s="24">
        <v>14716996</v>
      </c>
      <c r="BQ14" s="24"/>
      <c r="BR14" s="24">
        <v>0</v>
      </c>
      <c r="BS14" s="24"/>
      <c r="BT14" s="24">
        <v>0</v>
      </c>
      <c r="BU14" s="24"/>
      <c r="BV14" s="64">
        <f>BN14+BP14+BR14+BT14</f>
        <v>17806354</v>
      </c>
      <c r="BX14" s="64">
        <f>BV14-'Gov Fd BS'!AI14</f>
        <v>0</v>
      </c>
    </row>
    <row r="15" spans="1:76">
      <c r="A15" s="9" t="s">
        <v>582</v>
      </c>
      <c r="B15" s="9"/>
      <c r="C15" s="9" t="s">
        <v>58</v>
      </c>
      <c r="D15" s="9"/>
      <c r="E15" s="23">
        <v>49494</v>
      </c>
      <c r="G15" s="42">
        <v>4553572</v>
      </c>
      <c r="I15" s="42">
        <v>1325654</v>
      </c>
      <c r="K15" s="42">
        <v>2749</v>
      </c>
      <c r="M15" s="42">
        <v>0</v>
      </c>
      <c r="O15" s="42">
        <v>1001505</v>
      </c>
      <c r="Q15" s="42">
        <v>441617</v>
      </c>
      <c r="S15" s="42">
        <v>647877</v>
      </c>
      <c r="U15" s="42">
        <v>72701</v>
      </c>
      <c r="W15" s="42">
        <v>814880</v>
      </c>
      <c r="Y15" s="42">
        <v>309616</v>
      </c>
      <c r="AA15" s="42">
        <v>0</v>
      </c>
      <c r="AC15" s="42">
        <v>854812</v>
      </c>
      <c r="AE15" s="42">
        <v>825559</v>
      </c>
      <c r="AG15" s="42">
        <v>158582</v>
      </c>
      <c r="AI15" s="42">
        <v>0</v>
      </c>
      <c r="AK15" s="42">
        <v>444883</v>
      </c>
      <c r="AL15" s="9" t="s">
        <v>582</v>
      </c>
      <c r="AM15" s="9"/>
      <c r="AN15" s="9" t="s">
        <v>58</v>
      </c>
      <c r="AP15" s="42">
        <v>291371</v>
      </c>
      <c r="AR15" s="42">
        <v>355664</v>
      </c>
      <c r="AT15" s="42">
        <v>0</v>
      </c>
      <c r="AV15" s="42">
        <v>240650</v>
      </c>
      <c r="AX15" s="42">
        <v>121419</v>
      </c>
      <c r="AZ15" s="42">
        <v>0</v>
      </c>
      <c r="BB15" s="5">
        <f>SUM(G15:AZ15)</f>
        <v>12463111</v>
      </c>
      <c r="BD15" s="42">
        <v>116178</v>
      </c>
      <c r="BF15" s="42">
        <v>0</v>
      </c>
      <c r="BH15" s="42">
        <v>0</v>
      </c>
      <c r="BJ15" s="42">
        <v>0</v>
      </c>
      <c r="BL15" s="5">
        <f>BB15+BD15+BJ15</f>
        <v>12579289</v>
      </c>
      <c r="BN15" s="5">
        <f>'Gov Fd Rev'!AQ15-'Gov Fd Exp'!BL15</f>
        <v>1561372</v>
      </c>
      <c r="BP15" s="42">
        <v>5076508</v>
      </c>
      <c r="BR15" s="42">
        <v>0</v>
      </c>
      <c r="BT15" s="42">
        <v>0</v>
      </c>
      <c r="BV15" s="5">
        <f>BN15+BP15+BR15+BT15</f>
        <v>6637880</v>
      </c>
      <c r="BW15" s="5"/>
      <c r="BX15" s="5">
        <f>BV15-'Gov Fd BS'!AI15</f>
        <v>0</v>
      </c>
    </row>
    <row r="16" spans="1:76">
      <c r="A16" s="9" t="s">
        <v>502</v>
      </c>
      <c r="B16" s="9"/>
      <c r="C16" s="9" t="s">
        <v>63</v>
      </c>
      <c r="D16" s="9"/>
      <c r="E16" s="23">
        <v>43489</v>
      </c>
      <c r="G16" s="42">
        <v>144415458</v>
      </c>
      <c r="I16" s="42">
        <v>43287552</v>
      </c>
      <c r="K16" s="42">
        <v>11632325</v>
      </c>
      <c r="M16" s="42">
        <v>708541</v>
      </c>
      <c r="O16" s="42">
        <v>6941828</v>
      </c>
      <c r="Q16" s="42">
        <v>20515094</v>
      </c>
      <c r="S16" s="42">
        <v>19130393</v>
      </c>
      <c r="U16" s="42">
        <v>222741</v>
      </c>
      <c r="W16" s="42">
        <v>20281728</v>
      </c>
      <c r="Y16" s="42">
        <v>4784388</v>
      </c>
      <c r="AA16" s="42">
        <v>3660295</v>
      </c>
      <c r="AC16" s="42">
        <v>29850912</v>
      </c>
      <c r="AE16" s="42">
        <v>11889359</v>
      </c>
      <c r="AG16" s="42">
        <v>9634268</v>
      </c>
      <c r="AI16" s="42">
        <v>11117562</v>
      </c>
      <c r="AK16" s="42">
        <v>3616149</v>
      </c>
      <c r="AL16" s="9" t="s">
        <v>502</v>
      </c>
      <c r="AM16" s="9"/>
      <c r="AN16" s="9" t="s">
        <v>63</v>
      </c>
      <c r="AP16" s="42">
        <v>3191678</v>
      </c>
      <c r="AR16" s="42">
        <v>20904682</v>
      </c>
      <c r="AT16" s="42">
        <v>0</v>
      </c>
      <c r="AV16" s="42">
        <v>0</v>
      </c>
      <c r="AX16" s="42">
        <v>0</v>
      </c>
      <c r="AZ16" s="42">
        <v>0</v>
      </c>
      <c r="BB16" s="5">
        <f>SUM(G16:AZ16)</f>
        <v>365784953</v>
      </c>
      <c r="BD16" s="42">
        <v>60405</v>
      </c>
      <c r="BF16" s="42">
        <v>0</v>
      </c>
      <c r="BH16" s="42">
        <v>0</v>
      </c>
      <c r="BJ16" s="42">
        <v>0</v>
      </c>
      <c r="BL16" s="5">
        <f t="shared" ref="BL16:BL86" si="1">BB16+BD16+BJ16</f>
        <v>365845358</v>
      </c>
      <c r="BN16" s="5">
        <f>'Gov Fd Rev'!AQ16-'Gov Fd Exp'!BL16</f>
        <v>-12290211</v>
      </c>
      <c r="BP16" s="42">
        <v>60572852</v>
      </c>
      <c r="BR16" s="42">
        <v>0</v>
      </c>
      <c r="BT16" s="42">
        <v>0</v>
      </c>
      <c r="BV16" s="5">
        <f>BN16+BP16+BR16+BT16</f>
        <v>48282641</v>
      </c>
      <c r="BW16" s="5"/>
      <c r="BX16" s="5">
        <f>BV16-'Gov Fd BS'!AI16</f>
        <v>0</v>
      </c>
    </row>
    <row r="17" spans="1:76" hidden="1">
      <c r="A17" s="9" t="s">
        <v>612</v>
      </c>
      <c r="B17" s="9"/>
      <c r="C17" s="9" t="s">
        <v>13</v>
      </c>
      <c r="D17" s="9"/>
      <c r="E17" s="23">
        <v>45906</v>
      </c>
      <c r="G17" s="42">
        <v>0</v>
      </c>
      <c r="I17" s="42">
        <v>0</v>
      </c>
      <c r="K17" s="42">
        <v>0</v>
      </c>
      <c r="M17" s="42">
        <v>0</v>
      </c>
      <c r="O17" s="42">
        <v>0</v>
      </c>
      <c r="Q17" s="42">
        <v>0</v>
      </c>
      <c r="S17" s="42">
        <v>0</v>
      </c>
      <c r="U17" s="42">
        <v>0</v>
      </c>
      <c r="W17" s="42">
        <v>0</v>
      </c>
      <c r="Y17" s="42">
        <v>0</v>
      </c>
      <c r="AA17" s="42">
        <v>0</v>
      </c>
      <c r="AC17" s="42">
        <v>0</v>
      </c>
      <c r="AE17" s="42">
        <v>0</v>
      </c>
      <c r="AG17" s="42">
        <v>0</v>
      </c>
      <c r="AI17" s="42">
        <v>0</v>
      </c>
      <c r="AK17" s="42">
        <v>0</v>
      </c>
      <c r="AL17" s="9" t="s">
        <v>612</v>
      </c>
      <c r="AM17" s="9"/>
      <c r="AN17" s="9" t="s">
        <v>13</v>
      </c>
      <c r="AP17" s="42">
        <v>0</v>
      </c>
      <c r="AR17" s="42">
        <v>0</v>
      </c>
      <c r="AT17" s="42">
        <v>0</v>
      </c>
      <c r="AV17" s="42">
        <v>0</v>
      </c>
      <c r="AX17" s="42">
        <v>0</v>
      </c>
      <c r="AZ17" s="42">
        <v>0</v>
      </c>
      <c r="BB17" s="5">
        <f t="shared" ref="BB17:BB37" si="2">SUM(G17:AZ17)</f>
        <v>0</v>
      </c>
      <c r="BD17" s="42">
        <v>0</v>
      </c>
      <c r="BF17" s="42">
        <v>0</v>
      </c>
      <c r="BH17" s="42">
        <v>0</v>
      </c>
      <c r="BJ17" s="42">
        <v>0</v>
      </c>
      <c r="BL17" s="5">
        <f t="shared" si="1"/>
        <v>0</v>
      </c>
      <c r="BN17" s="5">
        <f>'Gov Fd Rev'!AQ17-'Gov Fd Exp'!BL17</f>
        <v>0</v>
      </c>
      <c r="BP17" s="42">
        <v>0</v>
      </c>
      <c r="BR17" s="42">
        <v>0</v>
      </c>
      <c r="BT17" s="42">
        <v>0</v>
      </c>
      <c r="BV17" s="5">
        <f t="shared" ref="BV17:BV20" si="3">BN17+BP17+BR17+BT17</f>
        <v>0</v>
      </c>
      <c r="BW17" s="5"/>
      <c r="BX17" s="5">
        <f>BV17-'Gov Fd BS'!AI17</f>
        <v>0</v>
      </c>
    </row>
    <row r="18" spans="1:76" hidden="1">
      <c r="A18" s="9" t="s">
        <v>852</v>
      </c>
      <c r="B18" s="9"/>
      <c r="C18" s="9" t="s">
        <v>10</v>
      </c>
      <c r="D18" s="9"/>
      <c r="E18" s="23">
        <v>45757</v>
      </c>
      <c r="F18" s="7"/>
      <c r="G18" s="42">
        <v>0</v>
      </c>
      <c r="I18" s="42">
        <v>0</v>
      </c>
      <c r="K18" s="42">
        <v>0</v>
      </c>
      <c r="M18" s="42">
        <v>0</v>
      </c>
      <c r="O18" s="42">
        <v>0</v>
      </c>
      <c r="Q18" s="42">
        <v>0</v>
      </c>
      <c r="S18" s="42">
        <v>0</v>
      </c>
      <c r="U18" s="42">
        <v>0</v>
      </c>
      <c r="W18" s="42">
        <v>0</v>
      </c>
      <c r="Y18" s="42">
        <v>0</v>
      </c>
      <c r="AA18" s="42">
        <v>0</v>
      </c>
      <c r="AC18" s="42">
        <v>0</v>
      </c>
      <c r="AE18" s="42">
        <v>0</v>
      </c>
      <c r="AG18" s="42">
        <v>0</v>
      </c>
      <c r="AI18" s="42">
        <v>0</v>
      </c>
      <c r="AK18" s="42">
        <v>0</v>
      </c>
      <c r="AL18" s="9" t="s">
        <v>852</v>
      </c>
      <c r="AM18" s="9"/>
      <c r="AN18" s="9" t="s">
        <v>10</v>
      </c>
      <c r="AP18" s="42">
        <v>0</v>
      </c>
      <c r="AR18" s="42">
        <v>0</v>
      </c>
      <c r="AT18" s="42">
        <v>0</v>
      </c>
      <c r="AV18" s="42">
        <v>0</v>
      </c>
      <c r="AX18" s="42">
        <v>0</v>
      </c>
      <c r="AZ18" s="42">
        <v>0</v>
      </c>
      <c r="BB18" s="5">
        <f t="shared" ref="BB18" si="4">SUM(G18:AZ18)</f>
        <v>0</v>
      </c>
      <c r="BD18" s="42">
        <v>0</v>
      </c>
      <c r="BF18" s="42">
        <v>0</v>
      </c>
      <c r="BH18" s="42">
        <v>0</v>
      </c>
      <c r="BJ18" s="42">
        <v>0</v>
      </c>
      <c r="BL18" s="5">
        <f>BB18+BD18+BJ18</f>
        <v>0</v>
      </c>
      <c r="BN18" s="5">
        <f>'Gov Fd Rev'!AQ18-'Gov Fd Exp'!BL18</f>
        <v>0</v>
      </c>
      <c r="BP18" s="42">
        <v>0</v>
      </c>
      <c r="BR18" s="42">
        <v>0</v>
      </c>
      <c r="BT18" s="42">
        <v>0</v>
      </c>
      <c r="BV18" s="5">
        <f t="shared" si="3"/>
        <v>0</v>
      </c>
      <c r="BW18" s="5"/>
      <c r="BX18" s="5">
        <f>BV18-'Gov Fd BS'!AI18</f>
        <v>0</v>
      </c>
    </row>
    <row r="19" spans="1:76">
      <c r="A19" s="9" t="s">
        <v>489</v>
      </c>
      <c r="B19" s="9"/>
      <c r="C19" s="9" t="s">
        <v>62</v>
      </c>
      <c r="D19" s="9"/>
      <c r="E19" s="23">
        <v>43497</v>
      </c>
      <c r="G19" s="42">
        <v>14196871</v>
      </c>
      <c r="I19" s="42">
        <v>5746785</v>
      </c>
      <c r="K19" s="42">
        <v>1241529</v>
      </c>
      <c r="M19" s="42">
        <v>646958</v>
      </c>
      <c r="O19" s="42">
        <f>199000+143754</f>
        <v>342754</v>
      </c>
      <c r="Q19" s="42">
        <v>1470062</v>
      </c>
      <c r="S19" s="42">
        <v>1019663</v>
      </c>
      <c r="U19" s="42">
        <v>39858</v>
      </c>
      <c r="W19" s="42">
        <v>2185185</v>
      </c>
      <c r="Y19" s="42">
        <v>637754</v>
      </c>
      <c r="AA19" s="42">
        <v>305776</v>
      </c>
      <c r="AC19" s="42">
        <v>3243255</v>
      </c>
      <c r="AE19" s="42">
        <v>813554</v>
      </c>
      <c r="AG19" s="42">
        <v>137428</v>
      </c>
      <c r="AI19" s="42">
        <v>1447069</v>
      </c>
      <c r="AK19" s="42">
        <v>133480</v>
      </c>
      <c r="AL19" s="9" t="s">
        <v>489</v>
      </c>
      <c r="AM19" s="9"/>
      <c r="AN19" s="9" t="s">
        <v>62</v>
      </c>
      <c r="AP19" s="42">
        <v>805893</v>
      </c>
      <c r="AR19" s="42">
        <v>344105</v>
      </c>
      <c r="AT19" s="42">
        <v>0</v>
      </c>
      <c r="AV19" s="42">
        <v>569184</v>
      </c>
      <c r="AX19" s="42">
        <v>469854</v>
      </c>
      <c r="AZ19" s="42">
        <v>0</v>
      </c>
      <c r="BB19" s="5">
        <f t="shared" si="2"/>
        <v>35797017</v>
      </c>
      <c r="BD19" s="42">
        <v>0</v>
      </c>
      <c r="BF19" s="42">
        <v>0</v>
      </c>
      <c r="BH19" s="42">
        <v>0</v>
      </c>
      <c r="BJ19" s="42">
        <v>0</v>
      </c>
      <c r="BL19" s="5">
        <f t="shared" si="1"/>
        <v>35797017</v>
      </c>
      <c r="BN19" s="5">
        <f>'Gov Fd Rev'!AQ19-'Gov Fd Exp'!BL19</f>
        <v>-913620</v>
      </c>
      <c r="BP19" s="42">
        <v>7245231</v>
      </c>
      <c r="BR19" s="42">
        <v>0</v>
      </c>
      <c r="BT19" s="42">
        <v>0</v>
      </c>
      <c r="BV19" s="5">
        <f t="shared" si="3"/>
        <v>6331611</v>
      </c>
      <c r="BW19" s="5"/>
      <c r="BX19" s="5">
        <f>BV19-'Gov Fd BS'!AI19</f>
        <v>0</v>
      </c>
    </row>
    <row r="20" spans="1:76">
      <c r="A20" s="9" t="s">
        <v>290</v>
      </c>
      <c r="B20" s="9"/>
      <c r="C20" s="9" t="s">
        <v>25</v>
      </c>
      <c r="D20" s="9"/>
      <c r="E20" s="23">
        <v>46847</v>
      </c>
      <c r="G20" s="42">
        <v>5966265</v>
      </c>
      <c r="I20" s="42">
        <v>2239437</v>
      </c>
      <c r="K20" s="42">
        <v>287098</v>
      </c>
      <c r="M20" s="42">
        <v>0</v>
      </c>
      <c r="O20" s="42">
        <f>42333+109519</f>
        <v>151852</v>
      </c>
      <c r="Q20" s="42">
        <v>637615</v>
      </c>
      <c r="S20" s="42">
        <v>123728</v>
      </c>
      <c r="U20" s="42">
        <v>55957</v>
      </c>
      <c r="W20" s="42">
        <v>991934</v>
      </c>
      <c r="Y20" s="42">
        <v>323663</v>
      </c>
      <c r="AA20" s="42">
        <v>27378</v>
      </c>
      <c r="AC20" s="42">
        <v>1418709</v>
      </c>
      <c r="AE20" s="42">
        <v>1011596</v>
      </c>
      <c r="AG20" s="42">
        <v>145723</v>
      </c>
      <c r="AI20" s="42">
        <v>0</v>
      </c>
      <c r="AK20" s="42">
        <v>792829</v>
      </c>
      <c r="AL20" s="9" t="s">
        <v>290</v>
      </c>
      <c r="AM20" s="9"/>
      <c r="AN20" s="9" t="s">
        <v>25</v>
      </c>
      <c r="AP20" s="42">
        <v>244031</v>
      </c>
      <c r="AR20" s="42">
        <v>22820</v>
      </c>
      <c r="AT20" s="42">
        <v>0</v>
      </c>
      <c r="AV20" s="42">
        <v>343787</v>
      </c>
      <c r="AX20" s="42">
        <v>120052</v>
      </c>
      <c r="AZ20" s="42">
        <v>0</v>
      </c>
      <c r="BB20" s="5">
        <f t="shared" si="2"/>
        <v>14904474</v>
      </c>
      <c r="BD20" s="42">
        <v>0</v>
      </c>
      <c r="BF20" s="42">
        <v>0</v>
      </c>
      <c r="BH20" s="42">
        <v>0</v>
      </c>
      <c r="BJ20" s="42">
        <v>0</v>
      </c>
      <c r="BL20" s="5">
        <f t="shared" si="1"/>
        <v>14904474</v>
      </c>
      <c r="BN20" s="5">
        <f>'Gov Fd Rev'!AQ20-'Gov Fd Exp'!BL20</f>
        <v>2804279</v>
      </c>
      <c r="BP20" s="42">
        <v>3383904</v>
      </c>
      <c r="BR20" s="42">
        <v>0</v>
      </c>
      <c r="BT20" s="42">
        <v>0</v>
      </c>
      <c r="BV20" s="5">
        <f t="shared" si="3"/>
        <v>6188183</v>
      </c>
      <c r="BW20" s="5"/>
      <c r="BX20" s="5">
        <f>BV20-'Gov Fd BS'!AI20</f>
        <v>0</v>
      </c>
    </row>
    <row r="21" spans="1:76">
      <c r="A21" s="9" t="s">
        <v>743</v>
      </c>
      <c r="B21" s="9"/>
      <c r="C21" s="9" t="s">
        <v>44</v>
      </c>
      <c r="D21" s="9"/>
      <c r="E21" s="23">
        <v>45195</v>
      </c>
      <c r="F21" s="7"/>
      <c r="G21" s="42">
        <v>18379179</v>
      </c>
      <c r="I21" s="42">
        <v>5043187</v>
      </c>
      <c r="K21" s="42">
        <v>381986</v>
      </c>
      <c r="M21" s="42">
        <v>0</v>
      </c>
      <c r="O21" s="42">
        <v>0</v>
      </c>
      <c r="Q21" s="42">
        <v>1651047</v>
      </c>
      <c r="S21" s="42">
        <v>1644463</v>
      </c>
      <c r="U21" s="42">
        <v>17393</v>
      </c>
      <c r="W21" s="42">
        <v>2975780</v>
      </c>
      <c r="Y21" s="42">
        <v>823266</v>
      </c>
      <c r="AA21" s="42">
        <v>0</v>
      </c>
      <c r="AC21" s="42">
        <v>3190021</v>
      </c>
      <c r="AE21" s="42">
        <v>1378130</v>
      </c>
      <c r="AG21" s="42">
        <v>36446</v>
      </c>
      <c r="AI21" s="42">
        <v>1442293</v>
      </c>
      <c r="AK21" s="42">
        <v>283321</v>
      </c>
      <c r="AL21" s="9" t="s">
        <v>743</v>
      </c>
      <c r="AM21" s="9"/>
      <c r="AN21" s="9" t="s">
        <v>44</v>
      </c>
      <c r="AP21" s="42">
        <v>716974</v>
      </c>
      <c r="AR21" s="42">
        <v>479987</v>
      </c>
      <c r="AT21" s="42">
        <v>0</v>
      </c>
      <c r="AV21" s="42">
        <v>583021</v>
      </c>
      <c r="AX21" s="42">
        <v>1715673</v>
      </c>
      <c r="AZ21" s="42">
        <v>0</v>
      </c>
      <c r="BB21" s="5">
        <f t="shared" si="2"/>
        <v>40742167</v>
      </c>
      <c r="BD21" s="42">
        <v>800</v>
      </c>
      <c r="BF21" s="42">
        <v>0</v>
      </c>
      <c r="BH21" s="42">
        <v>0</v>
      </c>
      <c r="BJ21" s="42">
        <v>0</v>
      </c>
      <c r="BL21" s="5">
        <f>BB21+BD21+BJ21</f>
        <v>40742967</v>
      </c>
      <c r="BN21" s="5">
        <f>'Gov Fd Rev'!AQ21-'Gov Fd Exp'!BL21</f>
        <v>776223</v>
      </c>
      <c r="BP21" s="42">
        <v>6588862</v>
      </c>
      <c r="BR21" s="42">
        <v>0</v>
      </c>
      <c r="BT21" s="42">
        <v>0</v>
      </c>
      <c r="BV21" s="5">
        <f t="shared" ref="BV21:BV91" si="5">BN21+BP21+BR21+BT21</f>
        <v>7365085</v>
      </c>
      <c r="BW21" s="5"/>
      <c r="BX21" s="5">
        <f>BV21-'Gov Fd BS'!AI21</f>
        <v>0</v>
      </c>
    </row>
    <row r="22" spans="1:76">
      <c r="A22" s="9" t="s">
        <v>798</v>
      </c>
      <c r="B22" s="9"/>
      <c r="C22" s="9" t="s">
        <v>61</v>
      </c>
      <c r="D22" s="9"/>
      <c r="E22" s="23">
        <v>49759</v>
      </c>
      <c r="G22" s="42">
        <v>5003042</v>
      </c>
      <c r="I22" s="42">
        <v>1070158</v>
      </c>
      <c r="K22" s="42">
        <v>445441</v>
      </c>
      <c r="M22" s="42">
        <v>0</v>
      </c>
      <c r="O22" s="42">
        <v>18318</v>
      </c>
      <c r="Q22" s="42">
        <v>457728</v>
      </c>
      <c r="S22" s="42">
        <v>286618</v>
      </c>
      <c r="U22" s="42">
        <v>59844</v>
      </c>
      <c r="W22" s="42">
        <v>742831</v>
      </c>
      <c r="Y22" s="42">
        <v>342173</v>
      </c>
      <c r="AA22" s="42">
        <v>81650</v>
      </c>
      <c r="AC22" s="42">
        <v>971654</v>
      </c>
      <c r="AE22" s="42">
        <v>509939</v>
      </c>
      <c r="AG22" s="42">
        <v>50651</v>
      </c>
      <c r="AI22" s="42">
        <v>0</v>
      </c>
      <c r="AK22" s="42">
        <v>485923</v>
      </c>
      <c r="AL22" s="9" t="s">
        <v>798</v>
      </c>
      <c r="AM22" s="9"/>
      <c r="AN22" s="9" t="s">
        <v>61</v>
      </c>
      <c r="AP22" s="42">
        <v>603162</v>
      </c>
      <c r="AR22" s="42">
        <v>1026661</v>
      </c>
      <c r="AT22" s="42">
        <v>0</v>
      </c>
      <c r="AV22" s="42">
        <v>260000</v>
      </c>
      <c r="AX22" s="42">
        <v>138150</v>
      </c>
      <c r="AZ22" s="42">
        <v>0</v>
      </c>
      <c r="BB22" s="5">
        <f t="shared" si="2"/>
        <v>12553943</v>
      </c>
      <c r="BD22" s="42">
        <v>0</v>
      </c>
      <c r="BF22" s="42">
        <v>0</v>
      </c>
      <c r="BH22" s="42">
        <v>0</v>
      </c>
      <c r="BJ22" s="42">
        <v>0</v>
      </c>
      <c r="BL22" s="5">
        <f t="shared" si="1"/>
        <v>12553943</v>
      </c>
      <c r="BN22" s="5">
        <f>'Gov Fd Rev'!AQ22-'Gov Fd Exp'!BL22</f>
        <v>-114689</v>
      </c>
      <c r="BP22" s="42">
        <v>5705615</v>
      </c>
      <c r="BR22" s="42">
        <v>0</v>
      </c>
      <c r="BT22" s="42">
        <v>0</v>
      </c>
      <c r="BV22" s="5">
        <f t="shared" si="5"/>
        <v>5590926</v>
      </c>
      <c r="BW22" s="5"/>
      <c r="BX22" s="5">
        <f>BV22-'Gov Fd BS'!AI22</f>
        <v>0</v>
      </c>
    </row>
    <row r="23" spans="1:76" hidden="1">
      <c r="A23" s="9" t="s">
        <v>686</v>
      </c>
      <c r="B23" s="9"/>
      <c r="C23" s="9" t="s">
        <v>598</v>
      </c>
      <c r="D23" s="9"/>
      <c r="E23" s="23">
        <v>46623</v>
      </c>
      <c r="G23" s="42">
        <v>0</v>
      </c>
      <c r="I23" s="42">
        <v>0</v>
      </c>
      <c r="K23" s="42">
        <v>0</v>
      </c>
      <c r="M23" s="42">
        <v>0</v>
      </c>
      <c r="O23" s="42">
        <v>0</v>
      </c>
      <c r="Q23" s="42">
        <v>0</v>
      </c>
      <c r="S23" s="42">
        <v>0</v>
      </c>
      <c r="U23" s="42">
        <v>0</v>
      </c>
      <c r="W23" s="42">
        <v>0</v>
      </c>
      <c r="Y23" s="42">
        <v>0</v>
      </c>
      <c r="AA23" s="42">
        <v>0</v>
      </c>
      <c r="AC23" s="42">
        <v>0</v>
      </c>
      <c r="AE23" s="42">
        <v>0</v>
      </c>
      <c r="AG23" s="42">
        <v>0</v>
      </c>
      <c r="AI23" s="42">
        <v>0</v>
      </c>
      <c r="AK23" s="42">
        <v>0</v>
      </c>
      <c r="AL23" s="9" t="s">
        <v>686</v>
      </c>
      <c r="AM23" s="9"/>
      <c r="AN23" s="9" t="s">
        <v>598</v>
      </c>
      <c r="AP23" s="42">
        <v>0</v>
      </c>
      <c r="AR23" s="42">
        <v>0</v>
      </c>
      <c r="AT23" s="42">
        <v>0</v>
      </c>
      <c r="AV23" s="42">
        <v>0</v>
      </c>
      <c r="AX23" s="42">
        <v>0</v>
      </c>
      <c r="AZ23" s="42">
        <v>0</v>
      </c>
      <c r="BB23" s="5">
        <f t="shared" si="2"/>
        <v>0</v>
      </c>
      <c r="BD23" s="42">
        <v>0</v>
      </c>
      <c r="BF23" s="42">
        <v>0</v>
      </c>
      <c r="BH23" s="42">
        <v>0</v>
      </c>
      <c r="BJ23" s="42">
        <v>0</v>
      </c>
      <c r="BL23" s="5">
        <f t="shared" si="1"/>
        <v>0</v>
      </c>
      <c r="BN23" s="5">
        <f>'Gov Fd Rev'!AQ23-'Gov Fd Exp'!BL23</f>
        <v>0</v>
      </c>
      <c r="BP23" s="42">
        <v>0</v>
      </c>
      <c r="BR23" s="42">
        <v>0</v>
      </c>
      <c r="BT23" s="42">
        <v>0</v>
      </c>
      <c r="BV23" s="5">
        <f t="shared" si="5"/>
        <v>0</v>
      </c>
      <c r="BW23" s="5"/>
      <c r="BX23" s="5">
        <f>BV23-'Gov Fd BS'!AI23</f>
        <v>0</v>
      </c>
    </row>
    <row r="24" spans="1:76">
      <c r="A24" s="9" t="s">
        <v>387</v>
      </c>
      <c r="B24" s="9"/>
      <c r="C24" s="9" t="s">
        <v>114</v>
      </c>
      <c r="D24" s="9"/>
      <c r="E24" s="23">
        <v>48207</v>
      </c>
      <c r="G24" s="42">
        <v>18528491</v>
      </c>
      <c r="I24" s="42">
        <v>2938292</v>
      </c>
      <c r="K24" s="42">
        <v>0</v>
      </c>
      <c r="M24" s="42">
        <v>0</v>
      </c>
      <c r="O24" s="42">
        <v>739545</v>
      </c>
      <c r="Q24" s="42">
        <v>1995334</v>
      </c>
      <c r="S24" s="42">
        <v>939844</v>
      </c>
      <c r="U24" s="42">
        <v>358152</v>
      </c>
      <c r="W24" s="42">
        <v>3222889</v>
      </c>
      <c r="Y24" s="42">
        <v>835702</v>
      </c>
      <c r="AA24" s="42">
        <v>0</v>
      </c>
      <c r="AC24" s="42">
        <v>4119574</v>
      </c>
      <c r="AE24" s="42">
        <v>2782489</v>
      </c>
      <c r="AG24" s="42">
        <v>58857</v>
      </c>
      <c r="AI24" s="42">
        <v>1085265</v>
      </c>
      <c r="AK24" s="42">
        <v>249301</v>
      </c>
      <c r="AL24" s="9" t="s">
        <v>387</v>
      </c>
      <c r="AM24" s="9"/>
      <c r="AN24" s="9" t="s">
        <v>114</v>
      </c>
      <c r="AP24" s="42">
        <v>998055</v>
      </c>
      <c r="AR24" s="42">
        <v>27252</v>
      </c>
      <c r="AT24" s="42">
        <v>0</v>
      </c>
      <c r="AV24" s="42">
        <v>670608</v>
      </c>
      <c r="AX24" s="42">
        <v>1465802</v>
      </c>
      <c r="AZ24" s="42">
        <v>0</v>
      </c>
      <c r="BB24" s="5">
        <f t="shared" si="2"/>
        <v>41015452</v>
      </c>
      <c r="BD24" s="42">
        <v>0</v>
      </c>
      <c r="BF24" s="42">
        <v>0</v>
      </c>
      <c r="BH24" s="42">
        <v>0</v>
      </c>
      <c r="BJ24" s="42">
        <v>0</v>
      </c>
      <c r="BL24" s="5">
        <f>BB24+BD24+BJ24</f>
        <v>41015452</v>
      </c>
      <c r="BN24" s="5">
        <f>'Gov Fd Rev'!AQ24-'Gov Fd Exp'!BL24</f>
        <v>-1297512</v>
      </c>
      <c r="BP24" s="42">
        <v>7430041</v>
      </c>
      <c r="BR24" s="42">
        <v>-3715</v>
      </c>
      <c r="BT24" s="42">
        <v>0</v>
      </c>
      <c r="BV24" s="5">
        <f t="shared" si="5"/>
        <v>6128814</v>
      </c>
      <c r="BW24" s="5"/>
      <c r="BX24" s="5">
        <f>BV24-'Gov Fd BS'!AI24</f>
        <v>0</v>
      </c>
    </row>
    <row r="25" spans="1:76" hidden="1">
      <c r="A25" s="9" t="s">
        <v>853</v>
      </c>
      <c r="B25" s="9"/>
      <c r="C25" s="9" t="s">
        <v>447</v>
      </c>
      <c r="D25" s="9"/>
      <c r="E25" s="23">
        <v>48991</v>
      </c>
      <c r="G25" s="42">
        <v>0</v>
      </c>
      <c r="I25" s="42">
        <v>0</v>
      </c>
      <c r="K25" s="42">
        <v>0</v>
      </c>
      <c r="M25" s="42">
        <v>0</v>
      </c>
      <c r="O25" s="42">
        <v>0</v>
      </c>
      <c r="Q25" s="42">
        <v>0</v>
      </c>
      <c r="S25" s="42">
        <v>0</v>
      </c>
      <c r="U25" s="42">
        <v>0</v>
      </c>
      <c r="W25" s="42">
        <v>0</v>
      </c>
      <c r="Y25" s="42">
        <v>0</v>
      </c>
      <c r="AA25" s="42">
        <v>0</v>
      </c>
      <c r="AC25" s="42">
        <v>0</v>
      </c>
      <c r="AE25" s="42">
        <v>0</v>
      </c>
      <c r="AG25" s="42">
        <v>0</v>
      </c>
      <c r="AI25" s="42">
        <v>0</v>
      </c>
      <c r="AK25" s="42">
        <v>0</v>
      </c>
      <c r="AL25" s="9" t="s">
        <v>853</v>
      </c>
      <c r="AM25" s="9"/>
      <c r="AN25" s="9" t="s">
        <v>447</v>
      </c>
      <c r="AP25" s="42">
        <v>0</v>
      </c>
      <c r="AR25" s="42">
        <v>0</v>
      </c>
      <c r="AT25" s="42">
        <v>0</v>
      </c>
      <c r="AV25" s="42">
        <v>0</v>
      </c>
      <c r="AX25" s="42">
        <v>0</v>
      </c>
      <c r="AZ25" s="42">
        <v>0</v>
      </c>
      <c r="BB25" s="5">
        <f t="shared" ref="BB25" si="6">SUM(G25:AZ25)</f>
        <v>0</v>
      </c>
      <c r="BD25" s="42">
        <v>0</v>
      </c>
      <c r="BF25" s="42">
        <v>0</v>
      </c>
      <c r="BH25" s="42">
        <v>0</v>
      </c>
      <c r="BJ25" s="42">
        <v>0</v>
      </c>
      <c r="BL25" s="5">
        <f t="shared" ref="BL25" si="7">BB25+BD25+BJ25</f>
        <v>0</v>
      </c>
      <c r="BN25" s="5">
        <f>'Gov Fd Rev'!AQ25-'Gov Fd Exp'!BL25</f>
        <v>0</v>
      </c>
      <c r="BP25" s="42">
        <v>0</v>
      </c>
      <c r="BR25" s="42">
        <v>0</v>
      </c>
      <c r="BT25" s="42">
        <v>0</v>
      </c>
      <c r="BV25" s="5">
        <f t="shared" ref="BV25" si="8">BN25+BP25+BR25+BT25</f>
        <v>0</v>
      </c>
      <c r="BW25" s="5"/>
      <c r="BX25" s="5">
        <f>BV25-'Gov Fd BS'!AI25</f>
        <v>0</v>
      </c>
    </row>
    <row r="26" spans="1:76">
      <c r="A26" s="9" t="s">
        <v>332</v>
      </c>
      <c r="B26" s="9"/>
      <c r="C26" s="9" t="s">
        <v>33</v>
      </c>
      <c r="D26" s="9"/>
      <c r="E26" s="23">
        <v>47415</v>
      </c>
      <c r="G26" s="42">
        <v>2771413</v>
      </c>
      <c r="I26" s="42">
        <v>429700</v>
      </c>
      <c r="K26" s="42">
        <v>266952</v>
      </c>
      <c r="M26" s="42">
        <v>0</v>
      </c>
      <c r="O26" s="42">
        <v>0</v>
      </c>
      <c r="Q26" s="42">
        <v>233431</v>
      </c>
      <c r="S26" s="42">
        <v>204584</v>
      </c>
      <c r="U26" s="42">
        <v>24887</v>
      </c>
      <c r="W26" s="42">
        <v>542923</v>
      </c>
      <c r="Y26" s="42">
        <v>188775</v>
      </c>
      <c r="AA26" s="42">
        <v>0</v>
      </c>
      <c r="AC26" s="42">
        <v>634534</v>
      </c>
      <c r="AE26" s="42">
        <v>317756</v>
      </c>
      <c r="AG26" s="42">
        <v>4000</v>
      </c>
      <c r="AI26" s="42">
        <v>0</v>
      </c>
      <c r="AK26" s="42">
        <v>255340</v>
      </c>
      <c r="AL26" s="9" t="s">
        <v>332</v>
      </c>
      <c r="AM26" s="9"/>
      <c r="AN26" s="9" t="s">
        <v>33</v>
      </c>
      <c r="AP26" s="42">
        <v>337916</v>
      </c>
      <c r="AR26" s="42">
        <v>7648</v>
      </c>
      <c r="AT26" s="42">
        <v>0</v>
      </c>
      <c r="AV26" s="42">
        <v>0</v>
      </c>
      <c r="AX26" s="42">
        <v>0</v>
      </c>
      <c r="AZ26" s="42">
        <v>0</v>
      </c>
      <c r="BB26" s="5">
        <f t="shared" si="2"/>
        <v>6219859</v>
      </c>
      <c r="BD26" s="42">
        <v>0</v>
      </c>
      <c r="BF26" s="42">
        <v>0</v>
      </c>
      <c r="BH26" s="42">
        <v>0</v>
      </c>
      <c r="BJ26" s="42">
        <v>0</v>
      </c>
      <c r="BL26" s="5">
        <f t="shared" si="1"/>
        <v>6219859</v>
      </c>
      <c r="BN26" s="5">
        <f>'Gov Fd Rev'!AQ26-'Gov Fd Exp'!BL26</f>
        <v>302511</v>
      </c>
      <c r="BP26" s="42">
        <v>4247253</v>
      </c>
      <c r="BR26" s="42">
        <v>0</v>
      </c>
      <c r="BT26" s="42">
        <v>0</v>
      </c>
      <c r="BV26" s="5">
        <f t="shared" si="5"/>
        <v>4549764</v>
      </c>
      <c r="BW26" s="5"/>
      <c r="BX26" s="5">
        <f>BV26-'Gov Fd BS'!AI26</f>
        <v>0</v>
      </c>
    </row>
    <row r="27" spans="1:76" hidden="1">
      <c r="A27" s="9" t="s">
        <v>665</v>
      </c>
      <c r="B27" s="9"/>
      <c r="C27" s="9" t="s">
        <v>21</v>
      </c>
      <c r="D27" s="9"/>
      <c r="E27" s="23">
        <v>46631</v>
      </c>
      <c r="G27" s="42">
        <v>0</v>
      </c>
      <c r="I27" s="42">
        <v>0</v>
      </c>
      <c r="K27" s="42">
        <v>0</v>
      </c>
      <c r="M27" s="42">
        <v>0</v>
      </c>
      <c r="O27" s="42">
        <v>0</v>
      </c>
      <c r="Q27" s="42">
        <v>0</v>
      </c>
      <c r="S27" s="42">
        <v>0</v>
      </c>
      <c r="U27" s="42">
        <v>0</v>
      </c>
      <c r="W27" s="42">
        <v>0</v>
      </c>
      <c r="Y27" s="42">
        <v>0</v>
      </c>
      <c r="AA27" s="42">
        <v>0</v>
      </c>
      <c r="AC27" s="42">
        <v>0</v>
      </c>
      <c r="AE27" s="42">
        <v>0</v>
      </c>
      <c r="AG27" s="42">
        <v>0</v>
      </c>
      <c r="AI27" s="42">
        <v>0</v>
      </c>
      <c r="AK27" s="42">
        <v>0</v>
      </c>
      <c r="AL27" s="9" t="s">
        <v>665</v>
      </c>
      <c r="AM27" s="9"/>
      <c r="AN27" s="9" t="s">
        <v>21</v>
      </c>
      <c r="AP27" s="42">
        <v>0</v>
      </c>
      <c r="AR27" s="42">
        <v>0</v>
      </c>
      <c r="AT27" s="42">
        <v>0</v>
      </c>
      <c r="AV27" s="42">
        <v>0</v>
      </c>
      <c r="AX27" s="42">
        <v>0</v>
      </c>
      <c r="AZ27" s="42">
        <v>0</v>
      </c>
      <c r="BB27" s="5">
        <f t="shared" si="2"/>
        <v>0</v>
      </c>
      <c r="BD27" s="42">
        <v>0</v>
      </c>
      <c r="BF27" s="42">
        <v>0</v>
      </c>
      <c r="BH27" s="42">
        <v>0</v>
      </c>
      <c r="BJ27" s="42">
        <v>0</v>
      </c>
      <c r="BL27" s="5">
        <f t="shared" si="1"/>
        <v>0</v>
      </c>
      <c r="BN27" s="5">
        <f>'Gov Fd Rev'!AQ27-'Gov Fd Exp'!BL27</f>
        <v>0</v>
      </c>
      <c r="BP27" s="42">
        <v>0</v>
      </c>
      <c r="BR27" s="42">
        <v>0</v>
      </c>
      <c r="BT27" s="42">
        <v>0</v>
      </c>
      <c r="BV27" s="5">
        <f t="shared" si="5"/>
        <v>0</v>
      </c>
      <c r="BW27" s="5"/>
      <c r="BX27" s="5">
        <f>BV27-'Gov Fd BS'!AI27</f>
        <v>0</v>
      </c>
    </row>
    <row r="28" spans="1:76">
      <c r="A28" s="9" t="s">
        <v>854</v>
      </c>
      <c r="B28" s="9"/>
      <c r="C28" s="9" t="s">
        <v>28</v>
      </c>
      <c r="D28" s="9"/>
      <c r="E28" s="23">
        <v>47043</v>
      </c>
      <c r="G28" s="42">
        <v>6940713</v>
      </c>
      <c r="I28" s="42">
        <v>1197801</v>
      </c>
      <c r="K28" s="42">
        <v>170760</v>
      </c>
      <c r="M28" s="42">
        <v>0</v>
      </c>
      <c r="O28" s="42">
        <v>5216</v>
      </c>
      <c r="Q28" s="42">
        <v>871192</v>
      </c>
      <c r="S28" s="42">
        <v>520544</v>
      </c>
      <c r="U28" s="42">
        <v>43092</v>
      </c>
      <c r="W28" s="42">
        <v>787729</v>
      </c>
      <c r="Y28" s="42">
        <v>358228</v>
      </c>
      <c r="AA28" s="42">
        <v>0</v>
      </c>
      <c r="AC28" s="42">
        <v>975050</v>
      </c>
      <c r="AE28" s="42">
        <v>487579</v>
      </c>
      <c r="AG28" s="42">
        <v>15807</v>
      </c>
      <c r="AI28" s="42">
        <v>0</v>
      </c>
      <c r="AK28" s="42">
        <v>502804</v>
      </c>
      <c r="AL28" s="9" t="s">
        <v>854</v>
      </c>
      <c r="AM28" s="9"/>
      <c r="AN28" s="9" t="s">
        <v>28</v>
      </c>
      <c r="AP28" s="42">
        <v>630715</v>
      </c>
      <c r="AR28" s="42">
        <v>666462</v>
      </c>
      <c r="AT28" s="42">
        <v>0</v>
      </c>
      <c r="AV28" s="42">
        <v>660000</v>
      </c>
      <c r="AX28" s="42">
        <v>339271</v>
      </c>
      <c r="AZ28" s="42">
        <v>0</v>
      </c>
      <c r="BB28" s="5">
        <f t="shared" si="2"/>
        <v>15172963</v>
      </c>
      <c r="BD28" s="42">
        <v>21752</v>
      </c>
      <c r="BF28" s="42">
        <v>0</v>
      </c>
      <c r="BH28" s="42">
        <v>0</v>
      </c>
      <c r="BJ28" s="42">
        <v>0</v>
      </c>
      <c r="BL28" s="5">
        <f t="shared" si="1"/>
        <v>15194715</v>
      </c>
      <c r="BN28" s="5">
        <f>'Gov Fd Rev'!AQ28-'Gov Fd Exp'!BL28</f>
        <v>-907984</v>
      </c>
      <c r="BP28" s="42">
        <v>6655017</v>
      </c>
      <c r="BR28" s="42">
        <v>0</v>
      </c>
      <c r="BT28" s="42">
        <v>0</v>
      </c>
      <c r="BV28" s="5">
        <f t="shared" si="5"/>
        <v>5747033</v>
      </c>
      <c r="BW28" s="5"/>
      <c r="BX28" s="5">
        <f>BV28-'Gov Fd BS'!AI28</f>
        <v>0</v>
      </c>
    </row>
    <row r="29" spans="1:76">
      <c r="A29" s="9" t="s">
        <v>333</v>
      </c>
      <c r="B29" s="9"/>
      <c r="C29" s="9" t="s">
        <v>33</v>
      </c>
      <c r="D29" s="9"/>
      <c r="E29" s="23">
        <v>47423</v>
      </c>
      <c r="G29" s="42">
        <v>3069123</v>
      </c>
      <c r="I29" s="42">
        <v>790080</v>
      </c>
      <c r="K29" s="42">
        <v>254633</v>
      </c>
      <c r="M29" s="42">
        <v>0</v>
      </c>
      <c r="O29" s="42">
        <v>0</v>
      </c>
      <c r="Q29" s="42">
        <v>298458</v>
      </c>
      <c r="S29" s="42">
        <v>306744</v>
      </c>
      <c r="U29" s="42">
        <v>37801</v>
      </c>
      <c r="W29" s="42">
        <v>536382</v>
      </c>
      <c r="Y29" s="42">
        <v>197335</v>
      </c>
      <c r="AA29" s="42">
        <v>0</v>
      </c>
      <c r="AC29" s="42">
        <v>494552</v>
      </c>
      <c r="AE29" s="42">
        <v>233424</v>
      </c>
      <c r="AG29" s="42">
        <v>1263</v>
      </c>
      <c r="AI29" s="42">
        <v>0</v>
      </c>
      <c r="AK29" s="42">
        <v>262907</v>
      </c>
      <c r="AL29" s="9" t="s">
        <v>333</v>
      </c>
      <c r="AM29" s="9"/>
      <c r="AN29" s="9" t="s">
        <v>33</v>
      </c>
      <c r="AP29" s="42">
        <v>276937</v>
      </c>
      <c r="AR29" s="42">
        <v>0</v>
      </c>
      <c r="AT29" s="42">
        <v>0</v>
      </c>
      <c r="AV29" s="42">
        <v>120000</v>
      </c>
      <c r="AX29" s="42">
        <v>18622</v>
      </c>
      <c r="AZ29" s="42">
        <v>0</v>
      </c>
      <c r="BB29" s="5">
        <f t="shared" si="2"/>
        <v>6898261</v>
      </c>
      <c r="BD29" s="42">
        <v>0</v>
      </c>
      <c r="BF29" s="42">
        <v>0</v>
      </c>
      <c r="BH29" s="42">
        <v>0</v>
      </c>
      <c r="BJ29" s="42">
        <v>0</v>
      </c>
      <c r="BL29" s="5">
        <f t="shared" si="1"/>
        <v>6898261</v>
      </c>
      <c r="BN29" s="5">
        <f>'Gov Fd Rev'!AQ29-'Gov Fd Exp'!BL29</f>
        <v>-351486</v>
      </c>
      <c r="BP29" s="42">
        <v>2238891</v>
      </c>
      <c r="BR29" s="42">
        <v>0</v>
      </c>
      <c r="BT29" s="42">
        <v>0</v>
      </c>
      <c r="BV29" s="5">
        <f t="shared" si="5"/>
        <v>1887405</v>
      </c>
      <c r="BW29" s="5"/>
      <c r="BX29" s="5">
        <f>BV29-'Gov Fd BS'!AI29</f>
        <v>0</v>
      </c>
    </row>
    <row r="30" spans="1:76">
      <c r="A30" s="9" t="s">
        <v>202</v>
      </c>
      <c r="B30" s="9"/>
      <c r="C30" s="9" t="s">
        <v>11</v>
      </c>
      <c r="D30" s="9"/>
      <c r="E30" s="23">
        <v>43505</v>
      </c>
      <c r="G30" s="42">
        <v>14923458</v>
      </c>
      <c r="I30" s="42">
        <v>4753297</v>
      </c>
      <c r="K30" s="42">
        <v>604301</v>
      </c>
      <c r="M30" s="42">
        <v>0</v>
      </c>
      <c r="O30" s="42">
        <v>1264464</v>
      </c>
      <c r="Q30" s="42">
        <v>1579697</v>
      </c>
      <c r="S30" s="42">
        <v>1416039</v>
      </c>
      <c r="U30" s="42">
        <v>129910</v>
      </c>
      <c r="W30" s="42">
        <v>2273994</v>
      </c>
      <c r="Y30" s="42">
        <v>799726</v>
      </c>
      <c r="AA30" s="42">
        <v>348935</v>
      </c>
      <c r="AC30" s="42">
        <v>2287478</v>
      </c>
      <c r="AE30" s="42">
        <v>1140790</v>
      </c>
      <c r="AG30" s="42">
        <v>360248</v>
      </c>
      <c r="AI30" s="42">
        <v>1496515</v>
      </c>
      <c r="AK30" s="42">
        <v>298218</v>
      </c>
      <c r="AL30" s="9" t="s">
        <v>202</v>
      </c>
      <c r="AM30" s="9"/>
      <c r="AN30" s="9" t="s">
        <v>11</v>
      </c>
      <c r="AP30" s="42">
        <v>1013891</v>
      </c>
      <c r="AR30" s="42">
        <v>1036695</v>
      </c>
      <c r="AT30" s="42">
        <v>0</v>
      </c>
      <c r="AV30" s="42">
        <v>280736</v>
      </c>
      <c r="AX30" s="42">
        <v>183945</v>
      </c>
      <c r="AZ30" s="42">
        <v>367424</v>
      </c>
      <c r="BB30" s="5">
        <f t="shared" si="2"/>
        <v>36559761</v>
      </c>
      <c r="BD30" s="42">
        <v>27480895</v>
      </c>
      <c r="BF30" s="42">
        <v>0</v>
      </c>
      <c r="BH30" s="42">
        <v>0</v>
      </c>
      <c r="BJ30" s="42">
        <f>3016618+594202</f>
        <v>3610820</v>
      </c>
      <c r="BL30" s="5">
        <f>BB30+BD30+BJ30</f>
        <v>67651476</v>
      </c>
      <c r="BN30" s="5">
        <f>'Gov Fd Rev'!AQ30-'Gov Fd Exp'!BL30</f>
        <v>27393377</v>
      </c>
      <c r="BP30" s="42">
        <v>5949043</v>
      </c>
      <c r="BR30" s="42">
        <v>0</v>
      </c>
      <c r="BT30" s="42">
        <v>0</v>
      </c>
      <c r="BV30" s="5">
        <f t="shared" si="5"/>
        <v>33342420</v>
      </c>
      <c r="BW30" s="5"/>
      <c r="BX30" s="5">
        <f>BV30-'Gov Fd BS'!AI30</f>
        <v>0</v>
      </c>
    </row>
    <row r="31" spans="1:76">
      <c r="A31" s="9" t="s">
        <v>664</v>
      </c>
      <c r="B31" s="9"/>
      <c r="C31" s="9" t="s">
        <v>12</v>
      </c>
      <c r="D31" s="9"/>
      <c r="E31" s="23">
        <v>43513</v>
      </c>
      <c r="G31" s="42">
        <v>16709421</v>
      </c>
      <c r="I31" s="42">
        <v>6100407</v>
      </c>
      <c r="K31" s="42">
        <v>214770</v>
      </c>
      <c r="M31" s="42">
        <v>0</v>
      </c>
      <c r="O31" s="42">
        <v>863227</v>
      </c>
      <c r="Q31" s="42">
        <v>2083948</v>
      </c>
      <c r="S31" s="42">
        <v>2314276</v>
      </c>
      <c r="U31" s="42">
        <v>239187</v>
      </c>
      <c r="W31" s="42">
        <v>2285318</v>
      </c>
      <c r="Y31" s="42">
        <v>811875</v>
      </c>
      <c r="AA31" s="42">
        <v>615633</v>
      </c>
      <c r="AC31" s="42">
        <v>3259232</v>
      </c>
      <c r="AE31" s="42">
        <v>1916831</v>
      </c>
      <c r="AG31" s="42">
        <v>120703</v>
      </c>
      <c r="AI31" s="42">
        <v>1680845</v>
      </c>
      <c r="AK31" s="42">
        <v>0</v>
      </c>
      <c r="AL31" s="9" t="s">
        <v>664</v>
      </c>
      <c r="AM31" s="9"/>
      <c r="AN31" s="9" t="s">
        <v>12</v>
      </c>
      <c r="AP31" s="42">
        <v>682381</v>
      </c>
      <c r="AR31" s="42">
        <v>2260110</v>
      </c>
      <c r="AT31" s="42">
        <v>0</v>
      </c>
      <c r="AV31" s="42">
        <v>2115000</v>
      </c>
      <c r="AX31" s="42">
        <v>1068745</v>
      </c>
      <c r="AZ31" s="42">
        <v>0</v>
      </c>
      <c r="BB31" s="5">
        <f t="shared" si="2"/>
        <v>45341909</v>
      </c>
      <c r="BD31" s="42">
        <v>98742</v>
      </c>
      <c r="BF31" s="42">
        <v>0</v>
      </c>
      <c r="BH31" s="42">
        <v>0</v>
      </c>
      <c r="BJ31" s="42">
        <v>0</v>
      </c>
      <c r="BL31" s="5">
        <f t="shared" si="1"/>
        <v>45440651</v>
      </c>
      <c r="BN31" s="5">
        <f>'Gov Fd Rev'!AQ31-'Gov Fd Exp'!BL31</f>
        <v>-1555757</v>
      </c>
      <c r="BP31" s="42">
        <v>12240138</v>
      </c>
      <c r="BR31" s="42">
        <v>0</v>
      </c>
      <c r="BT31" s="42">
        <v>0</v>
      </c>
      <c r="BV31" s="5">
        <f t="shared" si="5"/>
        <v>10684381</v>
      </c>
      <c r="BW31" s="5"/>
      <c r="BX31" s="5">
        <f>BV31-'Gov Fd BS'!AI31</f>
        <v>0</v>
      </c>
    </row>
    <row r="32" spans="1:76">
      <c r="A32" s="9" t="s">
        <v>209</v>
      </c>
      <c r="B32" s="9"/>
      <c r="C32" s="9" t="s">
        <v>13</v>
      </c>
      <c r="D32" s="9"/>
      <c r="E32" s="23">
        <v>43521</v>
      </c>
      <c r="G32" s="42">
        <v>16550252</v>
      </c>
      <c r="I32" s="42">
        <v>4045592</v>
      </c>
      <c r="K32" s="42">
        <v>349872</v>
      </c>
      <c r="M32" s="42">
        <v>0</v>
      </c>
      <c r="O32" s="42">
        <f>121426+13783</f>
        <v>135209</v>
      </c>
      <c r="Q32" s="42">
        <v>1378400</v>
      </c>
      <c r="S32" s="42">
        <v>2145878</v>
      </c>
      <c r="U32" s="42">
        <v>105761</v>
      </c>
      <c r="W32" s="42">
        <v>1728609</v>
      </c>
      <c r="Y32" s="42">
        <v>686601</v>
      </c>
      <c r="AA32" s="42">
        <v>527909</v>
      </c>
      <c r="AC32" s="42">
        <v>2821868</v>
      </c>
      <c r="AE32" s="42">
        <v>1797234</v>
      </c>
      <c r="AG32" s="42">
        <v>104974</v>
      </c>
      <c r="AI32" s="42">
        <v>0</v>
      </c>
      <c r="AK32" s="42">
        <v>736409</v>
      </c>
      <c r="AL32" s="9" t="s">
        <v>209</v>
      </c>
      <c r="AM32" s="9"/>
      <c r="AN32" s="9" t="s">
        <v>13</v>
      </c>
      <c r="AP32" s="42">
        <v>457094</v>
      </c>
      <c r="AR32" s="42">
        <v>621601</v>
      </c>
      <c r="AT32" s="42">
        <v>0</v>
      </c>
      <c r="AV32" s="42">
        <v>733166</v>
      </c>
      <c r="AX32" s="42">
        <v>544195</v>
      </c>
      <c r="AZ32" s="42">
        <v>145225</v>
      </c>
      <c r="BB32" s="5">
        <f t="shared" si="2"/>
        <v>35615849</v>
      </c>
      <c r="BD32" s="42">
        <v>3300</v>
      </c>
      <c r="BF32" s="42">
        <v>0</v>
      </c>
      <c r="BH32" s="42">
        <v>0</v>
      </c>
      <c r="BJ32" s="42">
        <v>7916315</v>
      </c>
      <c r="BL32" s="5">
        <f t="shared" si="1"/>
        <v>43535464</v>
      </c>
      <c r="BN32" s="5">
        <f>'Gov Fd Rev'!AQ32-'Gov Fd Exp'!BL32</f>
        <v>-399865</v>
      </c>
      <c r="BP32" s="42">
        <v>12844917</v>
      </c>
      <c r="BR32" s="42">
        <v>0</v>
      </c>
      <c r="BT32" s="42">
        <v>0</v>
      </c>
      <c r="BV32" s="5">
        <f>BN32+BP32+BR32+BT32</f>
        <v>12445052</v>
      </c>
      <c r="BW32" s="5"/>
      <c r="BX32" s="5">
        <f>BV32-'Gov Fd BS'!AI32</f>
        <v>0</v>
      </c>
    </row>
    <row r="33" spans="1:76">
      <c r="A33" s="9" t="s">
        <v>456</v>
      </c>
      <c r="B33" s="9"/>
      <c r="C33" s="9" t="s">
        <v>56</v>
      </c>
      <c r="D33" s="9"/>
      <c r="E33" s="23">
        <v>49171</v>
      </c>
      <c r="G33" s="42">
        <v>13742651</v>
      </c>
      <c r="I33" s="42">
        <v>3378979</v>
      </c>
      <c r="K33" s="42">
        <v>208656</v>
      </c>
      <c r="M33" s="42">
        <v>0</v>
      </c>
      <c r="O33" s="42">
        <v>1231781</v>
      </c>
      <c r="Q33" s="42">
        <v>1809599</v>
      </c>
      <c r="S33" s="42">
        <v>1548395</v>
      </c>
      <c r="U33" s="42">
        <v>89155</v>
      </c>
      <c r="W33" s="42">
        <v>2223694</v>
      </c>
      <c r="Y33" s="42">
        <v>860275</v>
      </c>
      <c r="AA33" s="42">
        <v>205225</v>
      </c>
      <c r="AC33" s="42">
        <v>2666841</v>
      </c>
      <c r="AE33" s="42">
        <v>1630646</v>
      </c>
      <c r="AG33" s="42">
        <v>73573</v>
      </c>
      <c r="AI33" s="42">
        <v>754861</v>
      </c>
      <c r="AK33" s="42">
        <v>229638</v>
      </c>
      <c r="AL33" s="9" t="s">
        <v>456</v>
      </c>
      <c r="AM33" s="9"/>
      <c r="AN33" s="9" t="s">
        <v>56</v>
      </c>
      <c r="AP33" s="42">
        <v>1039253</v>
      </c>
      <c r="AR33" s="42">
        <v>454439</v>
      </c>
      <c r="AT33" s="42">
        <v>0</v>
      </c>
      <c r="AV33" s="42">
        <v>1855345</v>
      </c>
      <c r="AX33" s="42">
        <v>1342998</v>
      </c>
      <c r="AZ33" s="42">
        <v>0</v>
      </c>
      <c r="BB33" s="5">
        <f t="shared" si="2"/>
        <v>35346004</v>
      </c>
      <c r="BD33" s="42">
        <v>0</v>
      </c>
      <c r="BF33" s="42">
        <v>0</v>
      </c>
      <c r="BH33" s="42">
        <v>0</v>
      </c>
      <c r="BJ33" s="42">
        <v>0</v>
      </c>
      <c r="BL33" s="5">
        <f>BB33+BD33+BJ33</f>
        <v>35346004</v>
      </c>
      <c r="BN33" s="5">
        <f>'Gov Fd Rev'!AQ33-'Gov Fd Exp'!BL33</f>
        <v>-133065</v>
      </c>
      <c r="BP33" s="42">
        <v>4410961</v>
      </c>
      <c r="BR33" s="42">
        <v>0</v>
      </c>
      <c r="BT33" s="42">
        <v>0</v>
      </c>
      <c r="BV33" s="5">
        <f>BN33+BP33+BR33+BT33</f>
        <v>4277896</v>
      </c>
      <c r="BW33" s="5"/>
      <c r="BX33" s="5">
        <f>BV33-'Gov Fd BS'!AI33</f>
        <v>0</v>
      </c>
    </row>
    <row r="34" spans="1:76">
      <c r="A34" s="9" t="s">
        <v>398</v>
      </c>
      <c r="B34" s="9"/>
      <c r="C34" s="9" t="s">
        <v>45</v>
      </c>
      <c r="D34" s="9"/>
      <c r="E34" s="23">
        <v>48298</v>
      </c>
      <c r="G34" s="42">
        <v>18729461</v>
      </c>
      <c r="I34" s="42">
        <v>5819119</v>
      </c>
      <c r="K34" s="42">
        <v>504341</v>
      </c>
      <c r="M34" s="42">
        <v>0</v>
      </c>
      <c r="O34" s="42">
        <v>2064679</v>
      </c>
      <c r="Q34" s="42">
        <v>3377312</v>
      </c>
      <c r="S34" s="42">
        <v>1416437</v>
      </c>
      <c r="U34" s="42">
        <v>76897</v>
      </c>
      <c r="W34" s="42">
        <v>3823407</v>
      </c>
      <c r="Y34" s="42">
        <v>979010</v>
      </c>
      <c r="AA34" s="42">
        <v>2766</v>
      </c>
      <c r="AC34" s="42">
        <v>3608713</v>
      </c>
      <c r="AE34" s="42">
        <v>1930052</v>
      </c>
      <c r="AG34" s="42">
        <v>34522</v>
      </c>
      <c r="AI34" s="42">
        <v>2481898</v>
      </c>
      <c r="AK34" s="42">
        <v>153856</v>
      </c>
      <c r="AL34" s="9" t="s">
        <v>398</v>
      </c>
      <c r="AM34" s="9"/>
      <c r="AN34" s="9" t="s">
        <v>45</v>
      </c>
      <c r="AP34" s="42">
        <v>894706</v>
      </c>
      <c r="AR34" s="42">
        <v>26666224</v>
      </c>
      <c r="AT34" s="42">
        <v>0</v>
      </c>
      <c r="AV34" s="42">
        <v>1343595</v>
      </c>
      <c r="AX34" s="42">
        <v>2482711</v>
      </c>
      <c r="AZ34" s="42">
        <v>0</v>
      </c>
      <c r="BB34" s="5">
        <f t="shared" si="2"/>
        <v>76389706</v>
      </c>
      <c r="BD34" s="42">
        <v>774185</v>
      </c>
      <c r="BF34" s="42">
        <v>0</v>
      </c>
      <c r="BH34" s="42">
        <v>0</v>
      </c>
      <c r="BJ34" s="42">
        <v>0</v>
      </c>
      <c r="BL34" s="5">
        <f t="shared" si="1"/>
        <v>77163891</v>
      </c>
      <c r="BN34" s="5">
        <f>'Gov Fd Rev'!AQ34-'Gov Fd Exp'!BL34</f>
        <v>-23844922</v>
      </c>
      <c r="BP34" s="42">
        <v>42319847</v>
      </c>
      <c r="BR34" s="42">
        <v>0</v>
      </c>
      <c r="BT34" s="42">
        <v>0</v>
      </c>
      <c r="BV34" s="5">
        <f t="shared" si="5"/>
        <v>18474925</v>
      </c>
      <c r="BW34" s="5"/>
      <c r="BX34" s="5">
        <f>BV34-'Gov Fd BS'!AI34</f>
        <v>0</v>
      </c>
    </row>
    <row r="35" spans="1:76">
      <c r="A35" s="9" t="s">
        <v>378</v>
      </c>
      <c r="B35" s="9"/>
      <c r="C35" s="9" t="s">
        <v>44</v>
      </c>
      <c r="D35" s="9"/>
      <c r="E35" s="23">
        <v>48124</v>
      </c>
      <c r="G35" s="42">
        <v>19616034</v>
      </c>
      <c r="I35" s="42">
        <v>3006578</v>
      </c>
      <c r="K35" s="42">
        <v>102771</v>
      </c>
      <c r="M35" s="42">
        <v>12586</v>
      </c>
      <c r="O35" s="42">
        <v>1365666</v>
      </c>
      <c r="Q35" s="42">
        <v>4181604</v>
      </c>
      <c r="S35" s="42">
        <v>959047</v>
      </c>
      <c r="U35" s="42">
        <v>16134</v>
      </c>
      <c r="W35" s="42">
        <v>3040381</v>
      </c>
      <c r="Y35" s="42">
        <v>1059950</v>
      </c>
      <c r="AA35" s="42">
        <v>145900</v>
      </c>
      <c r="AC35" s="42">
        <v>4421660</v>
      </c>
      <c r="AE35" s="42">
        <v>1891030</v>
      </c>
      <c r="AG35" s="42">
        <v>320972</v>
      </c>
      <c r="AI35" s="42">
        <v>1311263</v>
      </c>
      <c r="AK35" s="42">
        <v>259618</v>
      </c>
      <c r="AL35" s="9" t="s">
        <v>378</v>
      </c>
      <c r="AM35" s="9"/>
      <c r="AN35" s="9" t="s">
        <v>44</v>
      </c>
      <c r="AP35" s="42">
        <v>1306724</v>
      </c>
      <c r="AR35" s="42">
        <v>1039794</v>
      </c>
      <c r="AT35" s="42">
        <v>0</v>
      </c>
      <c r="AV35" s="42">
        <v>2318449</v>
      </c>
      <c r="AX35" s="42">
        <v>2525308</v>
      </c>
      <c r="AZ35" s="42">
        <v>0</v>
      </c>
      <c r="BB35" s="5">
        <f t="shared" si="2"/>
        <v>48901469</v>
      </c>
      <c r="BD35" s="42">
        <v>0</v>
      </c>
      <c r="BF35" s="42">
        <v>0</v>
      </c>
      <c r="BH35" s="42">
        <v>0</v>
      </c>
      <c r="BJ35" s="42">
        <v>0</v>
      </c>
      <c r="BL35" s="5">
        <f t="shared" si="1"/>
        <v>48901469</v>
      </c>
      <c r="BN35" s="5">
        <f>'Gov Fd Rev'!AQ35-'Gov Fd Exp'!BL35</f>
        <v>-4589645</v>
      </c>
      <c r="BP35" s="42">
        <v>14924737</v>
      </c>
      <c r="BR35" s="42">
        <v>0</v>
      </c>
      <c r="BT35" s="42">
        <v>0</v>
      </c>
      <c r="BV35" s="5">
        <f t="shared" si="5"/>
        <v>10335092</v>
      </c>
      <c r="BW35" s="5"/>
      <c r="BX35" s="5">
        <f>BV35-'Gov Fd BS'!AI35</f>
        <v>0</v>
      </c>
    </row>
    <row r="36" spans="1:76">
      <c r="A36" s="9" t="s">
        <v>379</v>
      </c>
      <c r="B36" s="9"/>
      <c r="C36" s="9" t="s">
        <v>44</v>
      </c>
      <c r="D36" s="9"/>
      <c r="E36" s="23">
        <v>48116</v>
      </c>
      <c r="G36" s="42">
        <v>15120342</v>
      </c>
      <c r="I36" s="42">
        <v>5948757</v>
      </c>
      <c r="K36" s="42">
        <v>172805</v>
      </c>
      <c r="M36" s="42">
        <v>0</v>
      </c>
      <c r="O36" s="42">
        <v>752579</v>
      </c>
      <c r="Q36" s="42">
        <v>1181611</v>
      </c>
      <c r="S36" s="42">
        <v>669033</v>
      </c>
      <c r="U36" s="42">
        <v>143000</v>
      </c>
      <c r="W36" s="42">
        <v>2575296</v>
      </c>
      <c r="Y36" s="42">
        <v>1373358</v>
      </c>
      <c r="AA36" s="42">
        <v>-33157</v>
      </c>
      <c r="AC36" s="42">
        <v>2288088</v>
      </c>
      <c r="AE36" s="42">
        <v>1782265</v>
      </c>
      <c r="AG36" s="42">
        <v>111123</v>
      </c>
      <c r="AI36" s="42">
        <v>767437</v>
      </c>
      <c r="AK36" s="42">
        <f>593736+164586</f>
        <v>758322</v>
      </c>
      <c r="AL36" s="9" t="s">
        <v>379</v>
      </c>
      <c r="AM36" s="9"/>
      <c r="AN36" s="9" t="s">
        <v>44</v>
      </c>
      <c r="AP36" s="42">
        <v>959232</v>
      </c>
      <c r="AR36" s="42">
        <v>1597924</v>
      </c>
      <c r="AT36" s="42">
        <v>0</v>
      </c>
      <c r="AV36" s="42">
        <v>2727392</v>
      </c>
      <c r="AX36" s="42">
        <v>1292128</v>
      </c>
      <c r="AZ36" s="42">
        <v>0</v>
      </c>
      <c r="BB36" s="5">
        <f t="shared" si="2"/>
        <v>40187535</v>
      </c>
      <c r="BD36" s="42">
        <v>0</v>
      </c>
      <c r="BF36" s="42">
        <v>0</v>
      </c>
      <c r="BH36" s="42">
        <v>0</v>
      </c>
      <c r="BJ36" s="42">
        <v>3464443</v>
      </c>
      <c r="BL36" s="5">
        <f t="shared" si="1"/>
        <v>43651978</v>
      </c>
      <c r="BN36" s="5">
        <f>'Gov Fd Rev'!AQ36-'Gov Fd Exp'!BL36</f>
        <v>38836008</v>
      </c>
      <c r="BP36" s="42">
        <v>13816853</v>
      </c>
      <c r="BR36" s="42">
        <v>0</v>
      </c>
      <c r="BT36" s="42">
        <v>0</v>
      </c>
      <c r="BV36" s="5">
        <f t="shared" si="5"/>
        <v>52652861</v>
      </c>
      <c r="BW36" s="5"/>
      <c r="BX36" s="5">
        <f>BV36-'Gov Fd BS'!AI36</f>
        <v>0</v>
      </c>
    </row>
    <row r="37" spans="1:76">
      <c r="A37" s="9" t="s">
        <v>281</v>
      </c>
      <c r="B37" s="9"/>
      <c r="C37" s="9" t="s">
        <v>22</v>
      </c>
      <c r="D37" s="9"/>
      <c r="E37" s="23">
        <v>46706</v>
      </c>
      <c r="G37" s="42">
        <v>3902172</v>
      </c>
      <c r="I37" s="42">
        <v>513823</v>
      </c>
      <c r="K37" s="42">
        <v>61926</v>
      </c>
      <c r="M37" s="42">
        <v>0</v>
      </c>
      <c r="O37" s="42">
        <v>441184</v>
      </c>
      <c r="Q37" s="42">
        <v>374924</v>
      </c>
      <c r="S37" s="42">
        <v>314113</v>
      </c>
      <c r="U37" s="42">
        <v>23406</v>
      </c>
      <c r="W37" s="42">
        <v>567397</v>
      </c>
      <c r="Y37" s="42">
        <v>317458</v>
      </c>
      <c r="AA37" s="42">
        <v>0</v>
      </c>
      <c r="AC37" s="42">
        <v>680453</v>
      </c>
      <c r="AE37" s="42">
        <v>352736</v>
      </c>
      <c r="AG37" s="42">
        <v>39114</v>
      </c>
      <c r="AI37" s="42">
        <v>377534</v>
      </c>
      <c r="AK37" s="42">
        <v>141021</v>
      </c>
      <c r="AL37" s="9" t="s">
        <v>281</v>
      </c>
      <c r="AM37" s="9"/>
      <c r="AN37" s="9" t="s">
        <v>22</v>
      </c>
      <c r="AP37" s="42">
        <v>448030</v>
      </c>
      <c r="AR37" s="42">
        <v>95304</v>
      </c>
      <c r="AT37" s="42">
        <v>0</v>
      </c>
      <c r="AV37" s="42">
        <v>134808</v>
      </c>
      <c r="AX37" s="42">
        <v>6218</v>
      </c>
      <c r="AZ37" s="42">
        <v>0</v>
      </c>
      <c r="BB37" s="5">
        <f t="shared" si="2"/>
        <v>8791621</v>
      </c>
      <c r="BD37" s="42">
        <v>6500</v>
      </c>
      <c r="BF37" s="42">
        <v>0</v>
      </c>
      <c r="BH37" s="42">
        <v>0</v>
      </c>
      <c r="BJ37" s="42">
        <v>0</v>
      </c>
      <c r="BL37" s="5">
        <f t="shared" si="1"/>
        <v>8798121</v>
      </c>
      <c r="BN37" s="5">
        <f>'Gov Fd Rev'!AQ37-'Gov Fd Exp'!BL37</f>
        <v>-238178</v>
      </c>
      <c r="BP37" s="42">
        <v>4082465</v>
      </c>
      <c r="BR37" s="42">
        <v>-23970</v>
      </c>
      <c r="BT37" s="42">
        <v>0</v>
      </c>
      <c r="BV37" s="5">
        <f t="shared" si="5"/>
        <v>3820317</v>
      </c>
      <c r="BW37" s="5"/>
      <c r="BX37" s="5">
        <f>BV37-'Gov Fd BS'!AI37</f>
        <v>0</v>
      </c>
    </row>
    <row r="38" spans="1:76">
      <c r="A38" s="9" t="s">
        <v>503</v>
      </c>
      <c r="B38" s="9"/>
      <c r="C38" s="9" t="s">
        <v>63</v>
      </c>
      <c r="D38" s="9"/>
      <c r="E38" s="23">
        <v>43539</v>
      </c>
      <c r="G38" s="42">
        <v>15100372</v>
      </c>
      <c r="I38" s="42">
        <v>6171316</v>
      </c>
      <c r="K38" s="42">
        <v>1183794</v>
      </c>
      <c r="M38" s="42">
        <v>0</v>
      </c>
      <c r="O38" s="42">
        <v>4921133</v>
      </c>
      <c r="Q38" s="42">
        <v>2328278</v>
      </c>
      <c r="S38" s="42">
        <v>1688010</v>
      </c>
      <c r="U38" s="42">
        <v>28193</v>
      </c>
      <c r="W38" s="42">
        <v>2895682</v>
      </c>
      <c r="Y38" s="42">
        <v>480196</v>
      </c>
      <c r="AA38" s="42">
        <v>257241</v>
      </c>
      <c r="AC38" s="42">
        <v>3570948</v>
      </c>
      <c r="AE38" s="42">
        <v>1138582</v>
      </c>
      <c r="AG38" s="42">
        <v>101885</v>
      </c>
      <c r="AI38" s="42">
        <v>2114032</v>
      </c>
      <c r="AK38" s="42">
        <v>285054</v>
      </c>
      <c r="AL38" s="9" t="s">
        <v>503</v>
      </c>
      <c r="AM38" s="9"/>
      <c r="AN38" s="9" t="s">
        <v>63</v>
      </c>
      <c r="AP38" s="42">
        <v>1318255</v>
      </c>
      <c r="AR38" s="42">
        <v>5721764</v>
      </c>
      <c r="AT38" s="42">
        <v>0</v>
      </c>
      <c r="AV38" s="42">
        <v>1306452</v>
      </c>
      <c r="AX38" s="42">
        <v>3129293</v>
      </c>
      <c r="AZ38" s="42">
        <v>171582</v>
      </c>
      <c r="BB38" s="5">
        <f t="shared" ref="BB38:BB56" si="9">SUM(G38:AZ38)</f>
        <v>53912062</v>
      </c>
      <c r="BD38" s="42">
        <v>272712</v>
      </c>
      <c r="BF38" s="42">
        <v>0</v>
      </c>
      <c r="BH38" s="42">
        <v>0</v>
      </c>
      <c r="BJ38" s="42">
        <v>17428533</v>
      </c>
      <c r="BL38" s="5">
        <f>BB38+BD38+BJ38</f>
        <v>71613307</v>
      </c>
      <c r="BN38" s="5">
        <f>'Gov Fd Rev'!AQ38-'Gov Fd Exp'!BL38</f>
        <v>-4793276</v>
      </c>
      <c r="BP38" s="42">
        <v>17186941</v>
      </c>
      <c r="BR38" s="42">
        <v>0</v>
      </c>
      <c r="BT38" s="42">
        <v>0</v>
      </c>
      <c r="BV38" s="5">
        <f t="shared" si="5"/>
        <v>12393665</v>
      </c>
      <c r="BW38" s="5"/>
      <c r="BX38" s="5">
        <f>BV38-'Gov Fd BS'!AI38</f>
        <v>0</v>
      </c>
    </row>
    <row r="39" spans="1:76">
      <c r="A39" s="9" t="s">
        <v>744</v>
      </c>
      <c r="B39" s="9"/>
      <c r="C39" s="9" t="s">
        <v>15</v>
      </c>
      <c r="D39" s="9"/>
      <c r="E39" s="23">
        <v>45203</v>
      </c>
      <c r="G39" s="42">
        <v>4879045</v>
      </c>
      <c r="I39" s="42">
        <v>1325766</v>
      </c>
      <c r="K39" s="42">
        <v>147475</v>
      </c>
      <c r="M39" s="42">
        <v>0</v>
      </c>
      <c r="O39" s="42">
        <v>257685</v>
      </c>
      <c r="Q39" s="42">
        <v>845724</v>
      </c>
      <c r="S39" s="42">
        <v>449974</v>
      </c>
      <c r="U39" s="42">
        <v>95679</v>
      </c>
      <c r="W39" s="42">
        <v>538044</v>
      </c>
      <c r="Y39" s="42">
        <v>438332</v>
      </c>
      <c r="AA39" s="42">
        <v>22776</v>
      </c>
      <c r="AC39" s="42">
        <v>1175235</v>
      </c>
      <c r="AE39" s="42">
        <v>494507</v>
      </c>
      <c r="AG39" s="42">
        <v>77704</v>
      </c>
      <c r="AI39" s="42">
        <v>354638</v>
      </c>
      <c r="AK39" s="42">
        <v>9607</v>
      </c>
      <c r="AL39" s="9" t="s">
        <v>744</v>
      </c>
      <c r="AM39" s="9"/>
      <c r="AN39" s="9" t="s">
        <v>15</v>
      </c>
      <c r="AP39" s="42">
        <v>247727</v>
      </c>
      <c r="AR39" s="42">
        <v>687488</v>
      </c>
      <c r="AT39" s="42">
        <v>0</v>
      </c>
      <c r="AV39" s="42">
        <v>235662</v>
      </c>
      <c r="AX39" s="42">
        <v>112747</v>
      </c>
      <c r="AZ39" s="42">
        <v>0</v>
      </c>
      <c r="BB39" s="5">
        <f t="shared" si="9"/>
        <v>12395815</v>
      </c>
      <c r="BD39" s="42">
        <v>2018776</v>
      </c>
      <c r="BF39" s="42">
        <v>0</v>
      </c>
      <c r="BH39" s="42">
        <v>0</v>
      </c>
      <c r="BJ39" s="42">
        <v>0</v>
      </c>
      <c r="BL39" s="5">
        <f t="shared" si="1"/>
        <v>14414591</v>
      </c>
      <c r="BN39" s="5">
        <f>'Gov Fd Rev'!AQ39-'Gov Fd Exp'!BL39</f>
        <v>1064558</v>
      </c>
      <c r="BP39" s="42">
        <v>3894706</v>
      </c>
      <c r="BR39" s="42">
        <v>0</v>
      </c>
      <c r="BT39" s="42">
        <v>0</v>
      </c>
      <c r="BV39" s="5">
        <f t="shared" si="5"/>
        <v>4959264</v>
      </c>
      <c r="BW39" s="5"/>
      <c r="BX39" s="5">
        <f>BV39-'Gov Fd BS'!AI39</f>
        <v>0</v>
      </c>
    </row>
    <row r="40" spans="1:76">
      <c r="A40" s="9" t="s">
        <v>235</v>
      </c>
      <c r="B40" s="9"/>
      <c r="C40" s="9" t="s">
        <v>112</v>
      </c>
      <c r="D40" s="9"/>
      <c r="E40" s="23">
        <v>46300</v>
      </c>
      <c r="G40" s="42">
        <v>8177228</v>
      </c>
      <c r="I40" s="42">
        <v>5765837</v>
      </c>
      <c r="K40" s="42">
        <v>0</v>
      </c>
      <c r="M40" s="42">
        <v>0</v>
      </c>
      <c r="O40" s="42">
        <v>16250</v>
      </c>
      <c r="Q40" s="42">
        <v>415049</v>
      </c>
      <c r="S40" s="42">
        <v>268777</v>
      </c>
      <c r="U40" s="42">
        <v>233854</v>
      </c>
      <c r="W40" s="42">
        <v>1304468</v>
      </c>
      <c r="Y40" s="42">
        <v>541790</v>
      </c>
      <c r="AA40" s="42">
        <v>0</v>
      </c>
      <c r="AC40" s="42">
        <v>1244962</v>
      </c>
      <c r="AE40" s="42">
        <v>1387286</v>
      </c>
      <c r="AG40" s="42">
        <v>26775</v>
      </c>
      <c r="AI40" s="42">
        <v>0</v>
      </c>
      <c r="AK40" s="42">
        <v>0</v>
      </c>
      <c r="AL40" s="9" t="s">
        <v>235</v>
      </c>
      <c r="AM40" s="9"/>
      <c r="AN40" s="9" t="s">
        <v>112</v>
      </c>
      <c r="AP40" s="42">
        <v>338626</v>
      </c>
      <c r="AR40" s="42">
        <v>421975</v>
      </c>
      <c r="AT40" s="42">
        <v>0</v>
      </c>
      <c r="AV40" s="42">
        <v>542749</v>
      </c>
      <c r="AX40" s="42">
        <v>698661</v>
      </c>
      <c r="AZ40" s="42">
        <v>180545</v>
      </c>
      <c r="BB40" s="5">
        <f t="shared" si="9"/>
        <v>21564832</v>
      </c>
      <c r="BD40" s="42">
        <v>65910</v>
      </c>
      <c r="BF40" s="42">
        <v>0</v>
      </c>
      <c r="BH40" s="42">
        <v>0</v>
      </c>
      <c r="BJ40" s="42">
        <v>0</v>
      </c>
      <c r="BL40" s="5">
        <f t="shared" si="1"/>
        <v>21630742</v>
      </c>
      <c r="BN40" s="5">
        <f>'Gov Fd Rev'!AQ40-'Gov Fd Exp'!BL40</f>
        <v>12855262</v>
      </c>
      <c r="BP40" s="42">
        <v>1631508</v>
      </c>
      <c r="BR40" s="42">
        <v>0</v>
      </c>
      <c r="BT40" s="42">
        <v>0</v>
      </c>
      <c r="BV40" s="5">
        <f t="shared" si="5"/>
        <v>14486770</v>
      </c>
      <c r="BW40" s="5"/>
      <c r="BX40" s="5">
        <f>BV40-'Gov Fd BS'!AI40</f>
        <v>0</v>
      </c>
    </row>
    <row r="41" spans="1:76" hidden="1">
      <c r="A41" s="9" t="s">
        <v>666</v>
      </c>
      <c r="B41" s="9"/>
      <c r="C41" s="9" t="s">
        <v>10</v>
      </c>
      <c r="D41" s="9"/>
      <c r="E41" s="23">
        <v>45765</v>
      </c>
      <c r="G41" s="42">
        <v>0</v>
      </c>
      <c r="I41" s="42">
        <v>0</v>
      </c>
      <c r="K41" s="42">
        <v>0</v>
      </c>
      <c r="M41" s="42">
        <v>0</v>
      </c>
      <c r="O41" s="42">
        <v>0</v>
      </c>
      <c r="Q41" s="42">
        <v>0</v>
      </c>
      <c r="S41" s="42">
        <v>0</v>
      </c>
      <c r="U41" s="42">
        <v>0</v>
      </c>
      <c r="W41" s="42">
        <v>0</v>
      </c>
      <c r="Y41" s="42">
        <v>0</v>
      </c>
      <c r="AA41" s="42">
        <v>0</v>
      </c>
      <c r="AC41" s="42">
        <v>0</v>
      </c>
      <c r="AE41" s="42">
        <v>0</v>
      </c>
      <c r="AG41" s="42">
        <v>0</v>
      </c>
      <c r="AI41" s="42">
        <v>0</v>
      </c>
      <c r="AK41" s="42">
        <v>0</v>
      </c>
      <c r="AL41" s="9" t="s">
        <v>666</v>
      </c>
      <c r="AM41" s="9"/>
      <c r="AN41" s="9" t="s">
        <v>10</v>
      </c>
      <c r="AP41" s="42">
        <v>0</v>
      </c>
      <c r="AR41" s="42">
        <v>0</v>
      </c>
      <c r="AT41" s="42">
        <v>0</v>
      </c>
      <c r="AV41" s="42">
        <v>0</v>
      </c>
      <c r="AX41" s="42">
        <v>0</v>
      </c>
      <c r="AZ41" s="42">
        <v>0</v>
      </c>
      <c r="BB41" s="5">
        <f t="shared" si="9"/>
        <v>0</v>
      </c>
      <c r="BD41" s="42">
        <v>0</v>
      </c>
      <c r="BF41" s="42">
        <v>0</v>
      </c>
      <c r="BH41" s="42">
        <v>0</v>
      </c>
      <c r="BJ41" s="42">
        <v>0</v>
      </c>
      <c r="BL41" s="5">
        <f t="shared" si="1"/>
        <v>0</v>
      </c>
      <c r="BN41" s="5">
        <f>'Gov Fd Rev'!AQ41-'Gov Fd Exp'!BL41</f>
        <v>0</v>
      </c>
      <c r="BP41" s="42">
        <v>0</v>
      </c>
      <c r="BR41" s="42">
        <v>0</v>
      </c>
      <c r="BT41" s="42">
        <v>0</v>
      </c>
      <c r="BV41" s="5">
        <f t="shared" si="5"/>
        <v>0</v>
      </c>
      <c r="BW41" s="5"/>
      <c r="BX41" s="5">
        <f>BV41-'Gov Fd BS'!AI41</f>
        <v>0</v>
      </c>
    </row>
    <row r="42" spans="1:76">
      <c r="A42" s="9" t="s">
        <v>629</v>
      </c>
      <c r="B42" s="9"/>
      <c r="C42" s="9" t="s">
        <v>20</v>
      </c>
      <c r="D42" s="9"/>
      <c r="E42" s="23">
        <v>43547</v>
      </c>
      <c r="G42" s="42">
        <v>13262364</v>
      </c>
      <c r="I42" s="42">
        <v>2308129</v>
      </c>
      <c r="K42" s="42">
        <v>371066</v>
      </c>
      <c r="M42" s="42">
        <v>0</v>
      </c>
      <c r="O42" s="42">
        <v>1301574</v>
      </c>
      <c r="Q42" s="42">
        <v>3033286</v>
      </c>
      <c r="S42" s="42">
        <v>756627</v>
      </c>
      <c r="U42" s="42">
        <v>72708</v>
      </c>
      <c r="W42" s="42">
        <v>2289671</v>
      </c>
      <c r="Y42" s="42">
        <v>1162095</v>
      </c>
      <c r="AA42" s="42">
        <v>419264</v>
      </c>
      <c r="AC42" s="42">
        <v>2967850</v>
      </c>
      <c r="AE42" s="42">
        <v>828589</v>
      </c>
      <c r="AG42" s="42">
        <v>455565</v>
      </c>
      <c r="AI42" s="42">
        <v>835104</v>
      </c>
      <c r="AK42" s="42">
        <f>742875+824759</f>
        <v>1567634</v>
      </c>
      <c r="AL42" s="9" t="s">
        <v>629</v>
      </c>
      <c r="AM42" s="9"/>
      <c r="AN42" s="9" t="s">
        <v>20</v>
      </c>
      <c r="AP42" s="42">
        <f>298171+762060</f>
        <v>1060231</v>
      </c>
      <c r="AR42" s="42">
        <v>2632953</v>
      </c>
      <c r="AT42" s="42">
        <v>0</v>
      </c>
      <c r="AV42" s="42">
        <v>955000</v>
      </c>
      <c r="AX42" s="42">
        <v>613555</v>
      </c>
      <c r="AZ42" s="42">
        <v>0</v>
      </c>
      <c r="BB42" s="5">
        <f t="shared" si="9"/>
        <v>36893265</v>
      </c>
      <c r="BD42" s="42">
        <v>58868</v>
      </c>
      <c r="BF42" s="42">
        <v>0</v>
      </c>
      <c r="BH42" s="42">
        <v>0</v>
      </c>
      <c r="BJ42" s="42">
        <v>0</v>
      </c>
      <c r="BL42" s="5">
        <f t="shared" si="1"/>
        <v>36952133</v>
      </c>
      <c r="BN42" s="5">
        <f>'Gov Fd Rev'!AQ42-'Gov Fd Exp'!BL42</f>
        <v>16540716</v>
      </c>
      <c r="BP42" s="42">
        <v>12330203</v>
      </c>
      <c r="BR42" s="42">
        <v>0</v>
      </c>
      <c r="BT42" s="42">
        <v>0</v>
      </c>
      <c r="BV42" s="5">
        <f t="shared" si="5"/>
        <v>28870919</v>
      </c>
      <c r="BW42" s="5"/>
      <c r="BX42" s="5">
        <f>BV42-'Gov Fd BS'!AI42</f>
        <v>0</v>
      </c>
    </row>
    <row r="43" spans="1:76">
      <c r="A43" s="9" t="s">
        <v>259</v>
      </c>
      <c r="B43" s="9"/>
      <c r="C43" s="9" t="s">
        <v>20</v>
      </c>
      <c r="D43" s="9"/>
      <c r="E43" s="23">
        <v>43554</v>
      </c>
      <c r="G43" s="42">
        <v>12064302</v>
      </c>
      <c r="I43" s="42">
        <v>6061890</v>
      </c>
      <c r="K43" s="42">
        <v>1262662</v>
      </c>
      <c r="M43" s="42">
        <v>94610</v>
      </c>
      <c r="O43" s="42">
        <v>267839</v>
      </c>
      <c r="Q43" s="42">
        <v>2696076</v>
      </c>
      <c r="S43" s="42">
        <v>1338612</v>
      </c>
      <c r="U43" s="42">
        <v>585644</v>
      </c>
      <c r="W43" s="42">
        <v>2397235</v>
      </c>
      <c r="Y43" s="42">
        <v>873283</v>
      </c>
      <c r="AA43" s="42">
        <v>415861</v>
      </c>
      <c r="AC43" s="42">
        <v>3023997</v>
      </c>
      <c r="AE43" s="42">
        <v>2030773</v>
      </c>
      <c r="AG43" s="42">
        <v>918231</v>
      </c>
      <c r="AI43" s="42">
        <v>508348</v>
      </c>
      <c r="AK43" s="42">
        <v>991889</v>
      </c>
      <c r="AL43" s="9" t="s">
        <v>259</v>
      </c>
      <c r="AM43" s="9"/>
      <c r="AN43" s="9" t="s">
        <v>20</v>
      </c>
      <c r="AP43" s="42">
        <v>1215381</v>
      </c>
      <c r="AR43" s="42">
        <f>240455+506198+790857+13776796</f>
        <v>15314306</v>
      </c>
      <c r="AT43" s="42">
        <v>0</v>
      </c>
      <c r="AV43" s="42">
        <v>2440000</v>
      </c>
      <c r="AX43" s="42">
        <v>1956386</v>
      </c>
      <c r="AZ43" s="42">
        <v>57061</v>
      </c>
      <c r="BB43" s="5">
        <f t="shared" si="9"/>
        <v>56514386</v>
      </c>
      <c r="BD43" s="42">
        <v>331600</v>
      </c>
      <c r="BF43" s="42">
        <v>0</v>
      </c>
      <c r="BH43" s="42">
        <v>0</v>
      </c>
      <c r="BJ43" s="42">
        <f>16225+3265762</f>
        <v>3281987</v>
      </c>
      <c r="BL43" s="5">
        <f t="shared" si="1"/>
        <v>60127973</v>
      </c>
      <c r="BN43" s="5">
        <f>'Gov Fd Rev'!AQ43-'Gov Fd Exp'!BL43</f>
        <v>-9919508</v>
      </c>
      <c r="BP43" s="42">
        <v>40451741</v>
      </c>
      <c r="BR43" s="42">
        <v>0</v>
      </c>
      <c r="BT43" s="42">
        <v>0</v>
      </c>
      <c r="BV43" s="5">
        <f t="shared" si="5"/>
        <v>30532233</v>
      </c>
      <c r="BW43" s="5"/>
      <c r="BX43" s="5">
        <f>BV43-'Gov Fd BS'!AI43</f>
        <v>0</v>
      </c>
    </row>
    <row r="44" spans="1:76">
      <c r="A44" s="9" t="s">
        <v>244</v>
      </c>
      <c r="B44" s="9"/>
      <c r="C44" s="9" t="s">
        <v>111</v>
      </c>
      <c r="D44" s="9"/>
      <c r="E44" s="23">
        <v>46425</v>
      </c>
      <c r="G44" s="42">
        <v>10438408</v>
      </c>
      <c r="I44" s="42">
        <v>1905921</v>
      </c>
      <c r="K44" s="42">
        <v>8136</v>
      </c>
      <c r="M44" s="42">
        <v>0</v>
      </c>
      <c r="O44" s="42">
        <v>11490</v>
      </c>
      <c r="Q44" s="42">
        <v>460170</v>
      </c>
      <c r="S44" s="42">
        <v>670970</v>
      </c>
      <c r="U44" s="42">
        <v>27595</v>
      </c>
      <c r="W44" s="42">
        <v>1399693</v>
      </c>
      <c r="Y44" s="42">
        <v>452298</v>
      </c>
      <c r="AA44" s="42">
        <v>0</v>
      </c>
      <c r="AC44" s="42">
        <v>1238296</v>
      </c>
      <c r="AE44" s="42">
        <v>70561</v>
      </c>
      <c r="AG44" s="42">
        <v>1414146</v>
      </c>
      <c r="AI44" s="42">
        <v>0</v>
      </c>
      <c r="AK44" s="42">
        <v>822213</v>
      </c>
      <c r="AL44" s="9" t="s">
        <v>244</v>
      </c>
      <c r="AM44" s="9"/>
      <c r="AN44" s="9" t="s">
        <v>111</v>
      </c>
      <c r="AP44" s="42">
        <v>524099</v>
      </c>
      <c r="AR44" s="42">
        <v>1470797</v>
      </c>
      <c r="AT44" s="42">
        <v>0</v>
      </c>
      <c r="AV44" s="42">
        <v>87771</v>
      </c>
      <c r="AX44" s="42">
        <v>560436</v>
      </c>
      <c r="AZ44" s="42">
        <v>240347</v>
      </c>
      <c r="BB44" s="5">
        <f t="shared" si="9"/>
        <v>21803347</v>
      </c>
      <c r="BD44" s="42">
        <v>6000</v>
      </c>
      <c r="BF44" s="42">
        <v>0</v>
      </c>
      <c r="BH44" s="42">
        <v>0</v>
      </c>
      <c r="BJ44" s="42">
        <v>0</v>
      </c>
      <c r="BL44" s="5">
        <f t="shared" si="1"/>
        <v>21809347</v>
      </c>
      <c r="BN44" s="5">
        <f>'Gov Fd Rev'!AQ44-'Gov Fd Exp'!BL44</f>
        <v>23660815</v>
      </c>
      <c r="BP44" s="42">
        <v>-288334</v>
      </c>
      <c r="BR44" s="42">
        <v>0</v>
      </c>
      <c r="BT44" s="42">
        <v>0</v>
      </c>
      <c r="BV44" s="5">
        <f t="shared" si="5"/>
        <v>23372481</v>
      </c>
      <c r="BW44" s="5"/>
      <c r="BX44" s="5">
        <f>BV44-'Gov Fd BS'!AI44</f>
        <v>0</v>
      </c>
    </row>
    <row r="45" spans="1:76">
      <c r="A45" s="9" t="s">
        <v>315</v>
      </c>
      <c r="B45" s="9"/>
      <c r="C45" s="9" t="s">
        <v>113</v>
      </c>
      <c r="D45" s="9"/>
      <c r="E45" s="23">
        <v>47241</v>
      </c>
      <c r="G45" s="42">
        <v>31037661</v>
      </c>
      <c r="I45" s="42">
        <v>10139435</v>
      </c>
      <c r="K45" s="42">
        <v>281390</v>
      </c>
      <c r="M45" s="42">
        <v>0</v>
      </c>
      <c r="O45" s="42">
        <f>592374+1845270</f>
        <v>2437644</v>
      </c>
      <c r="Q45" s="42">
        <v>4597896</v>
      </c>
      <c r="S45" s="42">
        <v>4987426</v>
      </c>
      <c r="U45" s="42">
        <v>69763</v>
      </c>
      <c r="W45" s="42">
        <v>4294440</v>
      </c>
      <c r="Y45" s="42">
        <v>1279991</v>
      </c>
      <c r="AA45" s="42">
        <v>386329</v>
      </c>
      <c r="AC45" s="42">
        <v>5387692</v>
      </c>
      <c r="AE45" s="42">
        <v>4477035</v>
      </c>
      <c r="AG45" s="42">
        <v>1466001</v>
      </c>
      <c r="AI45" s="42">
        <v>2184633</v>
      </c>
      <c r="AK45" s="42">
        <v>948865</v>
      </c>
      <c r="AL45" s="9" t="s">
        <v>315</v>
      </c>
      <c r="AM45" s="9"/>
      <c r="AN45" s="9" t="s">
        <v>113</v>
      </c>
      <c r="AP45" s="42">
        <f>428809+1203911+30896</f>
        <v>1663616</v>
      </c>
      <c r="AR45" s="42">
        <f>24377+526626+1617289+16906310+2248333+1212406</f>
        <v>22535341</v>
      </c>
      <c r="AT45" s="42">
        <v>0</v>
      </c>
      <c r="AV45" s="42">
        <v>3592000</v>
      </c>
      <c r="AX45" s="42">
        <v>5058568</v>
      </c>
      <c r="AZ45" s="42">
        <v>0</v>
      </c>
      <c r="BB45" s="5">
        <f t="shared" si="9"/>
        <v>106825726</v>
      </c>
      <c r="BD45" s="42">
        <v>0</v>
      </c>
      <c r="BF45" s="42">
        <v>0</v>
      </c>
      <c r="BH45" s="42">
        <v>0</v>
      </c>
      <c r="BJ45" s="42">
        <v>0</v>
      </c>
      <c r="BL45" s="5">
        <f t="shared" si="1"/>
        <v>106825726</v>
      </c>
      <c r="BN45" s="5">
        <f>'Gov Fd Rev'!AQ45-'Gov Fd Exp'!BL45</f>
        <v>-22362580</v>
      </c>
      <c r="BP45" s="42">
        <v>63363012</v>
      </c>
      <c r="BR45" s="42">
        <v>0</v>
      </c>
      <c r="BT45" s="42">
        <v>0</v>
      </c>
      <c r="BV45" s="5">
        <f t="shared" si="5"/>
        <v>41000432</v>
      </c>
      <c r="BW45" s="5"/>
      <c r="BX45" s="5">
        <f>BV45-'Gov Fd BS'!AI45</f>
        <v>0</v>
      </c>
    </row>
    <row r="46" spans="1:76">
      <c r="A46" s="9" t="s">
        <v>260</v>
      </c>
      <c r="B46" s="9"/>
      <c r="C46" s="9" t="s">
        <v>20</v>
      </c>
      <c r="D46" s="9"/>
      <c r="E46" s="23">
        <v>43562</v>
      </c>
      <c r="G46" s="42">
        <v>18813856</v>
      </c>
      <c r="I46" s="42">
        <v>5488989</v>
      </c>
      <c r="K46" s="42">
        <v>827792</v>
      </c>
      <c r="M46" s="42">
        <v>0</v>
      </c>
      <c r="O46" s="42">
        <v>8706</v>
      </c>
      <c r="Q46" s="42">
        <v>3080800</v>
      </c>
      <c r="S46" s="42">
        <v>2725416</v>
      </c>
      <c r="U46" s="42">
        <v>112719</v>
      </c>
      <c r="W46" s="42">
        <v>4100197</v>
      </c>
      <c r="Y46" s="42">
        <v>1339747</v>
      </c>
      <c r="AA46" s="42">
        <v>782706</v>
      </c>
      <c r="AC46" s="42">
        <v>5880883</v>
      </c>
      <c r="AE46" s="42">
        <v>3726869</v>
      </c>
      <c r="AG46" s="42">
        <v>192020</v>
      </c>
      <c r="AI46" s="42">
        <v>1870279</v>
      </c>
      <c r="AK46" s="42">
        <v>337726</v>
      </c>
      <c r="AL46" s="9" t="s">
        <v>260</v>
      </c>
      <c r="AM46" s="9"/>
      <c r="AN46" s="9" t="s">
        <v>20</v>
      </c>
      <c r="AP46" s="42">
        <v>799675</v>
      </c>
      <c r="AR46" s="42">
        <v>929228</v>
      </c>
      <c r="AT46" s="42">
        <v>0</v>
      </c>
      <c r="AV46" s="42">
        <v>1662149</v>
      </c>
      <c r="AX46" s="42">
        <v>108158</v>
      </c>
      <c r="AZ46" s="42">
        <v>0</v>
      </c>
      <c r="BB46" s="5">
        <f t="shared" si="9"/>
        <v>52787915</v>
      </c>
      <c r="BD46" s="42">
        <v>330450</v>
      </c>
      <c r="BF46" s="42">
        <v>0</v>
      </c>
      <c r="BH46" s="42">
        <v>0</v>
      </c>
      <c r="BJ46" s="42">
        <v>0</v>
      </c>
      <c r="BL46" s="5">
        <f t="shared" si="1"/>
        <v>53118365</v>
      </c>
      <c r="BN46" s="5">
        <f>'Gov Fd Rev'!AQ46-'Gov Fd Exp'!BL46</f>
        <v>-3185679</v>
      </c>
      <c r="BP46" s="42">
        <v>21625224</v>
      </c>
      <c r="BR46" s="42">
        <v>0</v>
      </c>
      <c r="BT46" s="42">
        <v>0</v>
      </c>
      <c r="BV46" s="5">
        <f t="shared" si="5"/>
        <v>18439545</v>
      </c>
      <c r="BW46" s="5"/>
      <c r="BX46" s="5">
        <f>BV46-'Gov Fd BS'!AI46</f>
        <v>0</v>
      </c>
    </row>
    <row r="47" spans="1:76">
      <c r="A47" s="9" t="s">
        <v>214</v>
      </c>
      <c r="B47" s="9"/>
      <c r="C47" s="9" t="s">
        <v>15</v>
      </c>
      <c r="D47" s="9"/>
      <c r="E47" s="23">
        <v>43570</v>
      </c>
      <c r="G47" s="42">
        <v>5193014</v>
      </c>
      <c r="I47" s="42">
        <v>1565348</v>
      </c>
      <c r="K47" s="42">
        <v>96605</v>
      </c>
      <c r="M47" s="42">
        <v>0</v>
      </c>
      <c r="O47" s="42">
        <v>107789</v>
      </c>
      <c r="Q47" s="42">
        <v>1405390</v>
      </c>
      <c r="S47" s="42">
        <v>651358</v>
      </c>
      <c r="U47" s="42">
        <v>17403</v>
      </c>
      <c r="W47" s="42">
        <v>968692</v>
      </c>
      <c r="Y47" s="42">
        <v>446382</v>
      </c>
      <c r="AA47" s="42">
        <v>0</v>
      </c>
      <c r="AC47" s="42">
        <v>1368149</v>
      </c>
      <c r="AE47" s="42">
        <v>1066968</v>
      </c>
      <c r="AG47" s="42">
        <v>8399</v>
      </c>
      <c r="AI47" s="42">
        <v>528135</v>
      </c>
      <c r="AK47" s="42">
        <v>164200</v>
      </c>
      <c r="AL47" s="9" t="s">
        <v>214</v>
      </c>
      <c r="AM47" s="9"/>
      <c r="AN47" s="9" t="s">
        <v>15</v>
      </c>
      <c r="AP47" s="42">
        <v>300762</v>
      </c>
      <c r="AR47" s="42">
        <v>212421</v>
      </c>
      <c r="AT47" s="42">
        <v>0</v>
      </c>
      <c r="AV47" s="42">
        <v>258078</v>
      </c>
      <c r="AX47" s="42">
        <v>89301</v>
      </c>
      <c r="AZ47" s="42">
        <v>0</v>
      </c>
      <c r="BB47" s="5">
        <f t="shared" si="9"/>
        <v>14448394</v>
      </c>
      <c r="BD47" s="42">
        <v>0</v>
      </c>
      <c r="BF47" s="42">
        <v>0</v>
      </c>
      <c r="BH47" s="42">
        <v>0</v>
      </c>
      <c r="BJ47" s="42">
        <v>0</v>
      </c>
      <c r="BL47" s="5">
        <f t="shared" si="1"/>
        <v>14448394</v>
      </c>
      <c r="BN47" s="5">
        <f>'Gov Fd Rev'!AQ47-'Gov Fd Exp'!BL47</f>
        <v>2397554</v>
      </c>
      <c r="BP47" s="42">
        <v>-582170</v>
      </c>
      <c r="BR47" s="42">
        <v>0</v>
      </c>
      <c r="BT47" s="42">
        <v>0</v>
      </c>
      <c r="BV47" s="5">
        <f t="shared" si="5"/>
        <v>1815384</v>
      </c>
      <c r="BW47" s="5"/>
      <c r="BX47" s="5">
        <f>BV47-'Gov Fd BS'!AI47</f>
        <v>0</v>
      </c>
    </row>
    <row r="48" spans="1:76">
      <c r="A48" s="9" t="s">
        <v>729</v>
      </c>
      <c r="B48" s="9"/>
      <c r="C48" s="9" t="s">
        <v>113</v>
      </c>
      <c r="D48" s="9"/>
      <c r="E48" s="23">
        <v>47274</v>
      </c>
      <c r="G48" s="42">
        <v>10995785</v>
      </c>
      <c r="I48" s="42">
        <v>3082709</v>
      </c>
      <c r="K48" s="42">
        <v>6963</v>
      </c>
      <c r="M48" s="42">
        <v>0</v>
      </c>
      <c r="O48" s="42">
        <v>0</v>
      </c>
      <c r="Q48" s="42">
        <v>1484704</v>
      </c>
      <c r="S48" s="42">
        <v>1006080</v>
      </c>
      <c r="U48" s="42">
        <v>39716</v>
      </c>
      <c r="W48" s="42">
        <v>1890593</v>
      </c>
      <c r="Y48" s="42">
        <v>608421</v>
      </c>
      <c r="AA48" s="42">
        <v>86165</v>
      </c>
      <c r="AC48" s="42">
        <v>2812700</v>
      </c>
      <c r="AE48" s="42">
        <v>1445329</v>
      </c>
      <c r="AG48" s="42">
        <v>62708</v>
      </c>
      <c r="AI48" s="42">
        <v>0</v>
      </c>
      <c r="AK48" s="42">
        <v>744671</v>
      </c>
      <c r="AL48" s="9" t="s">
        <v>729</v>
      </c>
      <c r="AM48" s="9"/>
      <c r="AN48" s="9" t="s">
        <v>113</v>
      </c>
      <c r="AP48" s="42">
        <v>1252781</v>
      </c>
      <c r="AR48" s="42">
        <v>15605</v>
      </c>
      <c r="AT48" s="42">
        <v>0</v>
      </c>
      <c r="AV48" s="42">
        <v>1653569</v>
      </c>
      <c r="AX48" s="42">
        <v>1816101</v>
      </c>
      <c r="AZ48" s="42">
        <v>0</v>
      </c>
      <c r="BB48" s="5">
        <f t="shared" si="9"/>
        <v>29004600</v>
      </c>
      <c r="BD48" s="42">
        <v>0</v>
      </c>
      <c r="BF48" s="42">
        <v>0</v>
      </c>
      <c r="BH48" s="42">
        <v>0</v>
      </c>
      <c r="BJ48" s="42">
        <v>0</v>
      </c>
      <c r="BL48" s="5">
        <f t="shared" si="1"/>
        <v>29004600</v>
      </c>
      <c r="BN48" s="5">
        <f>'Gov Fd Rev'!AQ48-'Gov Fd Exp'!BL48</f>
        <v>1158468</v>
      </c>
      <c r="BP48" s="42">
        <v>3026689</v>
      </c>
      <c r="BR48" s="42">
        <v>0</v>
      </c>
      <c r="BT48" s="42">
        <v>0</v>
      </c>
      <c r="BV48" s="5">
        <f t="shared" ref="BV48:BV49" si="10">BN48+BP48+BR48+BT48</f>
        <v>4185157</v>
      </c>
      <c r="BW48" s="5"/>
      <c r="BX48" s="5">
        <f>BV48-'Gov Fd BS'!AI48</f>
        <v>0</v>
      </c>
    </row>
    <row r="49" spans="1:76" hidden="1">
      <c r="A49" s="9" t="s">
        <v>873</v>
      </c>
      <c r="B49" s="9"/>
      <c r="C49" s="9" t="s">
        <v>43</v>
      </c>
      <c r="D49" s="9"/>
      <c r="E49" s="23">
        <v>43588</v>
      </c>
      <c r="G49" s="42">
        <v>0</v>
      </c>
      <c r="I49" s="42">
        <v>0</v>
      </c>
      <c r="K49" s="42">
        <v>0</v>
      </c>
      <c r="M49" s="42">
        <v>0</v>
      </c>
      <c r="O49" s="42">
        <v>0</v>
      </c>
      <c r="Q49" s="42">
        <v>0</v>
      </c>
      <c r="S49" s="42">
        <v>0</v>
      </c>
      <c r="U49" s="42">
        <v>0</v>
      </c>
      <c r="W49" s="42">
        <v>0</v>
      </c>
      <c r="Y49" s="42">
        <v>0</v>
      </c>
      <c r="AA49" s="42">
        <v>0</v>
      </c>
      <c r="AC49" s="42">
        <v>0</v>
      </c>
      <c r="AE49" s="42">
        <v>0</v>
      </c>
      <c r="AG49" s="42">
        <v>0</v>
      </c>
      <c r="AI49" s="42">
        <v>0</v>
      </c>
      <c r="AK49" s="42">
        <v>0</v>
      </c>
      <c r="AL49" s="9" t="s">
        <v>873</v>
      </c>
      <c r="AM49" s="9"/>
      <c r="AN49" s="9" t="s">
        <v>43</v>
      </c>
      <c r="AP49" s="42">
        <v>0</v>
      </c>
      <c r="AR49" s="42">
        <v>0</v>
      </c>
      <c r="AT49" s="42">
        <v>0</v>
      </c>
      <c r="AV49" s="42">
        <v>0</v>
      </c>
      <c r="AX49" s="42">
        <v>0</v>
      </c>
      <c r="AZ49" s="42">
        <v>0</v>
      </c>
      <c r="BB49" s="5">
        <f t="shared" ref="BB49" si="11">SUM(G49:AZ49)</f>
        <v>0</v>
      </c>
      <c r="BD49" s="42">
        <v>0</v>
      </c>
      <c r="BF49" s="42">
        <v>0</v>
      </c>
      <c r="BH49" s="42">
        <v>0</v>
      </c>
      <c r="BJ49" s="42">
        <v>0</v>
      </c>
      <c r="BL49" s="5">
        <f t="shared" ref="BL49" si="12">BB49+BD49+BJ49</f>
        <v>0</v>
      </c>
      <c r="BN49" s="5">
        <f>'Gov Fd Rev'!AQ49-'Gov Fd Exp'!BL49</f>
        <v>0</v>
      </c>
      <c r="BP49" s="42">
        <v>0</v>
      </c>
      <c r="BR49" s="42">
        <v>0</v>
      </c>
      <c r="BT49" s="42">
        <v>0</v>
      </c>
      <c r="BV49" s="5">
        <f t="shared" si="10"/>
        <v>0</v>
      </c>
      <c r="BW49" s="5"/>
      <c r="BX49" s="5">
        <f>BV49-'Gov Fd BS'!AI49</f>
        <v>0</v>
      </c>
    </row>
    <row r="50" spans="1:76">
      <c r="A50" s="9" t="s">
        <v>353</v>
      </c>
      <c r="B50" s="9"/>
      <c r="C50" s="9" t="s">
        <v>37</v>
      </c>
      <c r="D50" s="9"/>
      <c r="E50" s="23">
        <v>43596</v>
      </c>
      <c r="G50" s="42">
        <v>7090190</v>
      </c>
      <c r="I50" s="42">
        <v>3064039</v>
      </c>
      <c r="K50" s="42">
        <v>446300</v>
      </c>
      <c r="M50" s="42">
        <v>9960</v>
      </c>
      <c r="O50" s="42">
        <v>1132447</v>
      </c>
      <c r="Q50" s="42">
        <v>1142390</v>
      </c>
      <c r="S50" s="42">
        <v>1155868</v>
      </c>
      <c r="U50" s="42">
        <v>19794</v>
      </c>
      <c r="W50" s="42">
        <v>1497182</v>
      </c>
      <c r="Y50" s="42">
        <v>590449</v>
      </c>
      <c r="AA50" s="42">
        <v>6689</v>
      </c>
      <c r="AC50" s="42">
        <v>1758904</v>
      </c>
      <c r="AE50" s="42">
        <v>916226</v>
      </c>
      <c r="AG50" s="42">
        <v>66028</v>
      </c>
      <c r="AI50" s="42">
        <v>801130</v>
      </c>
      <c r="AK50" s="42">
        <v>154353</v>
      </c>
      <c r="AL50" s="9" t="s">
        <v>353</v>
      </c>
      <c r="AM50" s="9"/>
      <c r="AN50" s="9" t="s">
        <v>37</v>
      </c>
      <c r="AP50" s="42">
        <v>771034</v>
      </c>
      <c r="AR50" s="42">
        <f>6145957+410231</f>
        <v>6556188</v>
      </c>
      <c r="AT50" s="42">
        <v>0</v>
      </c>
      <c r="AV50" s="42">
        <v>523223</v>
      </c>
      <c r="AX50" s="42">
        <v>992962</v>
      </c>
      <c r="AZ50" s="42">
        <v>0</v>
      </c>
      <c r="BB50" s="5">
        <f t="shared" si="9"/>
        <v>28695356</v>
      </c>
      <c r="BD50" s="42">
        <v>76256</v>
      </c>
      <c r="BF50" s="42">
        <v>0</v>
      </c>
      <c r="BH50" s="42">
        <v>0</v>
      </c>
      <c r="BJ50" s="42">
        <v>0</v>
      </c>
      <c r="BL50" s="5">
        <f t="shared" si="1"/>
        <v>28771612</v>
      </c>
      <c r="BN50" s="5">
        <f>'Gov Fd Rev'!AQ50-'Gov Fd Exp'!BL50</f>
        <v>-4308591</v>
      </c>
      <c r="BP50" s="42">
        <v>15853864</v>
      </c>
      <c r="BR50" s="42">
        <v>392</v>
      </c>
      <c r="BT50" s="42">
        <v>0</v>
      </c>
      <c r="BV50" s="5">
        <f t="shared" si="5"/>
        <v>11545665</v>
      </c>
      <c r="BW50" s="5"/>
      <c r="BX50" s="5">
        <f>BV50-'Gov Fd BS'!AI50</f>
        <v>0</v>
      </c>
    </row>
    <row r="51" spans="1:76">
      <c r="A51" s="9" t="s">
        <v>543</v>
      </c>
      <c r="B51" s="9"/>
      <c r="C51" s="9" t="s">
        <v>70</v>
      </c>
      <c r="D51" s="9"/>
      <c r="E51" s="23">
        <v>43604</v>
      </c>
      <c r="G51" s="42">
        <v>3625879</v>
      </c>
      <c r="I51" s="42">
        <v>2129118</v>
      </c>
      <c r="K51" s="42">
        <v>0</v>
      </c>
      <c r="M51" s="42">
        <v>0</v>
      </c>
      <c r="O51" s="42">
        <v>910139</v>
      </c>
      <c r="Q51" s="42">
        <v>527596</v>
      </c>
      <c r="S51" s="42">
        <v>448537</v>
      </c>
      <c r="U51" s="42">
        <v>55052</v>
      </c>
      <c r="W51" s="42">
        <v>850237</v>
      </c>
      <c r="Y51" s="42">
        <v>390204</v>
      </c>
      <c r="AA51" s="42">
        <v>0</v>
      </c>
      <c r="AC51" s="42">
        <v>988288</v>
      </c>
      <c r="AE51" s="42">
        <v>373163</v>
      </c>
      <c r="AG51" s="42">
        <v>1864</v>
      </c>
      <c r="AI51" s="42">
        <v>428320</v>
      </c>
      <c r="AK51" s="42">
        <v>372</v>
      </c>
      <c r="AL51" s="9" t="s">
        <v>543</v>
      </c>
      <c r="AM51" s="9"/>
      <c r="AN51" s="9" t="s">
        <v>70</v>
      </c>
      <c r="AP51" s="42">
        <v>283075</v>
      </c>
      <c r="AR51" s="42">
        <v>117894</v>
      </c>
      <c r="AT51" s="42">
        <v>0</v>
      </c>
      <c r="AV51" s="42">
        <v>0</v>
      </c>
      <c r="AX51" s="42">
        <v>0</v>
      </c>
      <c r="AZ51" s="42">
        <v>0</v>
      </c>
      <c r="BB51" s="5">
        <f t="shared" si="9"/>
        <v>11129738</v>
      </c>
      <c r="BD51" s="42">
        <v>0</v>
      </c>
      <c r="BF51" s="42">
        <v>0</v>
      </c>
      <c r="BH51" s="42">
        <v>0</v>
      </c>
      <c r="BJ51" s="42">
        <v>0</v>
      </c>
      <c r="BL51" s="5">
        <f t="shared" si="1"/>
        <v>11129738</v>
      </c>
      <c r="BN51" s="5">
        <f>'Gov Fd Rev'!AQ51-'Gov Fd Exp'!BL51</f>
        <v>-23096</v>
      </c>
      <c r="BP51" s="42">
        <v>874893</v>
      </c>
      <c r="BR51" s="42">
        <v>0</v>
      </c>
      <c r="BT51" s="42">
        <v>0</v>
      </c>
      <c r="BV51" s="5">
        <f t="shared" si="5"/>
        <v>851797</v>
      </c>
      <c r="BW51" s="5"/>
      <c r="BX51" s="5">
        <f>BV51-'Gov Fd BS'!AI51</f>
        <v>0</v>
      </c>
    </row>
    <row r="52" spans="1:76" hidden="1">
      <c r="A52" s="9" t="s">
        <v>874</v>
      </c>
      <c r="B52" s="9"/>
      <c r="C52" s="9" t="s">
        <v>43</v>
      </c>
      <c r="D52" s="9"/>
      <c r="E52" s="23">
        <v>48074</v>
      </c>
      <c r="G52" s="42">
        <v>0</v>
      </c>
      <c r="I52" s="42">
        <v>0</v>
      </c>
      <c r="K52" s="42">
        <v>0</v>
      </c>
      <c r="M52" s="42">
        <v>0</v>
      </c>
      <c r="O52" s="42">
        <v>0</v>
      </c>
      <c r="Q52" s="42">
        <v>0</v>
      </c>
      <c r="S52" s="42">
        <v>0</v>
      </c>
      <c r="U52" s="42">
        <v>0</v>
      </c>
      <c r="W52" s="42">
        <v>0</v>
      </c>
      <c r="Y52" s="42">
        <v>0</v>
      </c>
      <c r="AA52" s="42">
        <v>0</v>
      </c>
      <c r="AC52" s="42">
        <v>0</v>
      </c>
      <c r="AE52" s="42">
        <v>0</v>
      </c>
      <c r="AG52" s="42">
        <v>0</v>
      </c>
      <c r="AI52" s="42">
        <v>0</v>
      </c>
      <c r="AK52" s="42">
        <v>0</v>
      </c>
      <c r="AL52" s="9" t="s">
        <v>874</v>
      </c>
      <c r="AM52" s="9"/>
      <c r="AN52" s="9" t="s">
        <v>43</v>
      </c>
      <c r="AP52" s="42">
        <v>0</v>
      </c>
      <c r="AR52" s="42">
        <v>0</v>
      </c>
      <c r="AT52" s="42">
        <v>0</v>
      </c>
      <c r="AV52" s="42">
        <v>0</v>
      </c>
      <c r="AX52" s="42">
        <v>0</v>
      </c>
      <c r="AZ52" s="42">
        <v>0</v>
      </c>
      <c r="BB52" s="5">
        <f t="shared" ref="BB52" si="13">SUM(G52:AZ52)</f>
        <v>0</v>
      </c>
      <c r="BD52" s="42">
        <v>0</v>
      </c>
      <c r="BF52" s="42">
        <v>0</v>
      </c>
      <c r="BH52" s="42">
        <v>0</v>
      </c>
      <c r="BJ52" s="42">
        <v>0</v>
      </c>
      <c r="BL52" s="5">
        <f t="shared" ref="BL52" si="14">BB52+BD52+BJ52</f>
        <v>0</v>
      </c>
      <c r="BN52" s="5">
        <f>'Gov Fd Rev'!AQ52-'Gov Fd Exp'!BL52</f>
        <v>0</v>
      </c>
      <c r="BP52" s="42">
        <v>0</v>
      </c>
      <c r="BR52" s="42">
        <v>0</v>
      </c>
      <c r="BT52" s="42">
        <v>0</v>
      </c>
      <c r="BV52" s="5">
        <f t="shared" ref="BV52" si="15">BN52+BP52+BR52+BT52</f>
        <v>0</v>
      </c>
      <c r="BW52" s="5"/>
      <c r="BX52" s="5">
        <f>BV52-'Gov Fd BS'!AI52</f>
        <v>0</v>
      </c>
    </row>
    <row r="53" spans="1:76" hidden="1">
      <c r="A53" s="9" t="s">
        <v>857</v>
      </c>
      <c r="B53" s="9"/>
      <c r="C53" s="9" t="s">
        <v>53</v>
      </c>
      <c r="D53" s="9"/>
      <c r="E53" s="23">
        <v>48926</v>
      </c>
      <c r="G53" s="42">
        <v>0</v>
      </c>
      <c r="I53" s="42">
        <v>0</v>
      </c>
      <c r="K53" s="42">
        <v>0</v>
      </c>
      <c r="M53" s="42">
        <v>0</v>
      </c>
      <c r="O53" s="42">
        <v>0</v>
      </c>
      <c r="Q53" s="42">
        <v>0</v>
      </c>
      <c r="S53" s="42">
        <v>0</v>
      </c>
      <c r="U53" s="42">
        <v>0</v>
      </c>
      <c r="W53" s="42">
        <v>0</v>
      </c>
      <c r="Y53" s="42">
        <v>0</v>
      </c>
      <c r="AA53" s="42">
        <v>0</v>
      </c>
      <c r="AC53" s="42">
        <v>0</v>
      </c>
      <c r="AE53" s="42">
        <v>0</v>
      </c>
      <c r="AG53" s="42">
        <v>0</v>
      </c>
      <c r="AI53" s="42">
        <v>0</v>
      </c>
      <c r="AK53" s="42">
        <v>0</v>
      </c>
      <c r="AL53" s="9" t="s">
        <v>857</v>
      </c>
      <c r="AM53" s="9"/>
      <c r="AN53" s="9" t="s">
        <v>53</v>
      </c>
      <c r="AP53" s="42">
        <v>0</v>
      </c>
      <c r="AR53" s="42">
        <v>0</v>
      </c>
      <c r="AT53" s="42">
        <v>0</v>
      </c>
      <c r="AV53" s="42">
        <v>0</v>
      </c>
      <c r="AX53" s="42">
        <v>0</v>
      </c>
      <c r="AZ53" s="42">
        <v>0</v>
      </c>
      <c r="BB53" s="5">
        <f t="shared" si="9"/>
        <v>0</v>
      </c>
      <c r="BD53" s="42">
        <v>0</v>
      </c>
      <c r="BF53" s="42">
        <v>0</v>
      </c>
      <c r="BH53" s="42">
        <v>0</v>
      </c>
      <c r="BJ53" s="42">
        <v>0</v>
      </c>
      <c r="BL53" s="5">
        <f t="shared" si="1"/>
        <v>0</v>
      </c>
      <c r="BN53" s="5">
        <f>'Gov Fd Rev'!AQ53-'Gov Fd Exp'!BL53</f>
        <v>0</v>
      </c>
      <c r="BP53" s="42">
        <v>0</v>
      </c>
      <c r="BR53" s="42">
        <v>0</v>
      </c>
      <c r="BT53" s="42">
        <v>0</v>
      </c>
      <c r="BV53" s="5">
        <f t="shared" si="5"/>
        <v>0</v>
      </c>
      <c r="BW53" s="5"/>
      <c r="BX53" s="5">
        <f>BV53-'Gov Fd BS'!AI53</f>
        <v>0</v>
      </c>
    </row>
    <row r="54" spans="1:76">
      <c r="A54" s="9" t="s">
        <v>261</v>
      </c>
      <c r="B54" s="9"/>
      <c r="C54" s="9" t="s">
        <v>20</v>
      </c>
      <c r="D54" s="9"/>
      <c r="E54" s="23">
        <v>43612</v>
      </c>
      <c r="G54" s="42">
        <v>37335907</v>
      </c>
      <c r="I54" s="42">
        <v>13674321</v>
      </c>
      <c r="K54" s="42">
        <v>584269</v>
      </c>
      <c r="M54" s="42">
        <v>0</v>
      </c>
      <c r="O54" s="42">
        <v>0</v>
      </c>
      <c r="Q54" s="42">
        <v>5531744</v>
      </c>
      <c r="S54" s="42">
        <v>6677925</v>
      </c>
      <c r="U54" s="42">
        <v>29421</v>
      </c>
      <c r="W54" s="42">
        <v>4717817</v>
      </c>
      <c r="Y54" s="42">
        <v>1888299</v>
      </c>
      <c r="AA54" s="42">
        <v>911931</v>
      </c>
      <c r="AC54" s="42">
        <v>7173156</v>
      </c>
      <c r="AE54" s="42">
        <v>4648162</v>
      </c>
      <c r="AG54" s="42">
        <v>3004102</v>
      </c>
      <c r="AI54" s="42">
        <v>0</v>
      </c>
      <c r="AK54" s="42">
        <v>3467797</v>
      </c>
      <c r="AL54" s="9" t="s">
        <v>261</v>
      </c>
      <c r="AM54" s="9"/>
      <c r="AN54" s="9" t="s">
        <v>20</v>
      </c>
      <c r="AP54" s="42">
        <v>2014019</v>
      </c>
      <c r="AR54" s="42">
        <v>2758857</v>
      </c>
      <c r="AT54" s="42">
        <v>0</v>
      </c>
      <c r="AV54" s="42">
        <v>1870000</v>
      </c>
      <c r="AX54" s="42">
        <v>2028232</v>
      </c>
      <c r="AZ54" s="42">
        <v>0</v>
      </c>
      <c r="BB54" s="5">
        <f t="shared" si="9"/>
        <v>98315959</v>
      </c>
      <c r="BD54" s="42">
        <v>571137</v>
      </c>
      <c r="BF54" s="42">
        <v>0</v>
      </c>
      <c r="BH54" s="42">
        <v>0</v>
      </c>
      <c r="BJ54" s="42">
        <v>0</v>
      </c>
      <c r="BL54" s="5">
        <f t="shared" si="1"/>
        <v>98887096</v>
      </c>
      <c r="BN54" s="5">
        <f>'Gov Fd Rev'!AQ54-'Gov Fd Exp'!BL54</f>
        <v>-7844528</v>
      </c>
      <c r="BP54" s="42">
        <v>15701660</v>
      </c>
      <c r="BR54" s="42">
        <v>0</v>
      </c>
      <c r="BT54" s="42">
        <v>0</v>
      </c>
      <c r="BV54" s="5">
        <f t="shared" si="5"/>
        <v>7857132</v>
      </c>
      <c r="BW54" s="5"/>
      <c r="BX54" s="5">
        <f>BV54-'Gov Fd BS'!AI54</f>
        <v>0</v>
      </c>
    </row>
    <row r="55" spans="1:76">
      <c r="A55" s="9" t="s">
        <v>634</v>
      </c>
      <c r="B55" s="9"/>
      <c r="C55" s="9" t="s">
        <v>30</v>
      </c>
      <c r="D55" s="9"/>
      <c r="E55" s="23">
        <v>47167</v>
      </c>
      <c r="G55" s="42">
        <v>5041132</v>
      </c>
      <c r="I55" s="42">
        <v>1521958</v>
      </c>
      <c r="K55" s="42">
        <v>79538</v>
      </c>
      <c r="M55" s="42">
        <v>0</v>
      </c>
      <c r="O55" s="42">
        <v>138647</v>
      </c>
      <c r="Q55" s="42">
        <v>433058</v>
      </c>
      <c r="S55" s="42">
        <v>287340</v>
      </c>
      <c r="U55" s="42">
        <v>82509</v>
      </c>
      <c r="W55" s="42">
        <v>1205689</v>
      </c>
      <c r="Y55" s="42">
        <v>392099</v>
      </c>
      <c r="AA55" s="42">
        <v>1359</v>
      </c>
      <c r="AC55" s="42">
        <v>948417</v>
      </c>
      <c r="AE55" s="42">
        <v>832991</v>
      </c>
      <c r="AG55" s="42">
        <v>0</v>
      </c>
      <c r="AI55" s="42">
        <v>233496</v>
      </c>
      <c r="AK55" s="42">
        <f>4132+7300</f>
        <v>11432</v>
      </c>
      <c r="AL55" s="9" t="s">
        <v>634</v>
      </c>
      <c r="AM55" s="9"/>
      <c r="AN55" s="9" t="s">
        <v>30</v>
      </c>
      <c r="AP55" s="42">
        <v>368545</v>
      </c>
      <c r="AR55" s="42">
        <v>115458</v>
      </c>
      <c r="AT55" s="42">
        <v>0</v>
      </c>
      <c r="AV55" s="42">
        <v>55314</v>
      </c>
      <c r="AX55" s="42">
        <v>2455</v>
      </c>
      <c r="AZ55" s="42">
        <v>0</v>
      </c>
      <c r="BB55" s="5">
        <f t="shared" si="9"/>
        <v>11751437</v>
      </c>
      <c r="BD55" s="42">
        <v>350000</v>
      </c>
      <c r="BF55" s="42">
        <v>0</v>
      </c>
      <c r="BH55" s="42">
        <v>0</v>
      </c>
      <c r="BJ55" s="42">
        <v>0</v>
      </c>
      <c r="BL55" s="5">
        <f t="shared" si="1"/>
        <v>12101437</v>
      </c>
      <c r="BN55" s="5">
        <f>'Gov Fd Rev'!AQ55-'Gov Fd Exp'!BL55</f>
        <v>-306323</v>
      </c>
      <c r="BP55" s="42">
        <v>2106987</v>
      </c>
      <c r="BR55" s="42">
        <v>0</v>
      </c>
      <c r="BT55" s="42">
        <v>0</v>
      </c>
      <c r="BV55" s="5">
        <f t="shared" si="5"/>
        <v>1800664</v>
      </c>
      <c r="BW55" s="5"/>
      <c r="BX55" s="5">
        <f>BV55-'Gov Fd BS'!AI55</f>
        <v>0</v>
      </c>
    </row>
    <row r="56" spans="1:76" hidden="1">
      <c r="A56" s="9" t="s">
        <v>283</v>
      </c>
      <c r="B56" s="9"/>
      <c r="C56" s="9" t="s">
        <v>24</v>
      </c>
      <c r="D56" s="9"/>
      <c r="E56" s="23">
        <v>46789</v>
      </c>
      <c r="G56" s="42">
        <v>0</v>
      </c>
      <c r="I56" s="42">
        <v>0</v>
      </c>
      <c r="K56" s="42">
        <v>0</v>
      </c>
      <c r="M56" s="42">
        <v>0</v>
      </c>
      <c r="O56" s="42">
        <v>0</v>
      </c>
      <c r="Q56" s="42">
        <v>0</v>
      </c>
      <c r="S56" s="42">
        <v>0</v>
      </c>
      <c r="U56" s="42">
        <v>0</v>
      </c>
      <c r="W56" s="42">
        <v>0</v>
      </c>
      <c r="Y56" s="42">
        <v>0</v>
      </c>
      <c r="AA56" s="42">
        <v>0</v>
      </c>
      <c r="AC56" s="42">
        <v>0</v>
      </c>
      <c r="AE56" s="42">
        <v>0</v>
      </c>
      <c r="AG56" s="42">
        <v>0</v>
      </c>
      <c r="AI56" s="42">
        <v>0</v>
      </c>
      <c r="AK56" s="42">
        <v>0</v>
      </c>
      <c r="AL56" s="9" t="s">
        <v>283</v>
      </c>
      <c r="AM56" s="9"/>
      <c r="AN56" s="9" t="s">
        <v>24</v>
      </c>
      <c r="AP56" s="42">
        <v>0</v>
      </c>
      <c r="AR56" s="42">
        <v>0</v>
      </c>
      <c r="AT56" s="42">
        <v>0</v>
      </c>
      <c r="AV56" s="42">
        <v>0</v>
      </c>
      <c r="AX56" s="42">
        <v>0</v>
      </c>
      <c r="AZ56" s="42">
        <v>0</v>
      </c>
      <c r="BB56" s="5">
        <f t="shared" si="9"/>
        <v>0</v>
      </c>
      <c r="BD56" s="42">
        <v>0</v>
      </c>
      <c r="BF56" s="42">
        <v>0</v>
      </c>
      <c r="BH56" s="42">
        <v>0</v>
      </c>
      <c r="BJ56" s="42">
        <v>0</v>
      </c>
      <c r="BL56" s="5">
        <f t="shared" si="1"/>
        <v>0</v>
      </c>
      <c r="BN56" s="5">
        <f>'Gov Fd Rev'!AQ56-'Gov Fd Exp'!BL56</f>
        <v>0</v>
      </c>
      <c r="BP56" s="42">
        <v>0</v>
      </c>
      <c r="BR56" s="42">
        <v>0</v>
      </c>
      <c r="BT56" s="42">
        <v>0</v>
      </c>
      <c r="BV56" s="5">
        <f t="shared" si="5"/>
        <v>0</v>
      </c>
      <c r="BW56" s="5"/>
      <c r="BX56" s="5">
        <f>BV56-'Gov Fd BS'!AI56</f>
        <v>0</v>
      </c>
    </row>
    <row r="57" spans="1:76" hidden="1">
      <c r="A57" s="9" t="s">
        <v>786</v>
      </c>
      <c r="B57" s="9"/>
      <c r="C57" s="9" t="s">
        <v>25</v>
      </c>
      <c r="D57" s="9"/>
      <c r="E57" s="23">
        <v>46854</v>
      </c>
      <c r="G57" s="42">
        <v>0</v>
      </c>
      <c r="I57" s="42">
        <v>0</v>
      </c>
      <c r="K57" s="42">
        <v>0</v>
      </c>
      <c r="M57" s="42">
        <v>0</v>
      </c>
      <c r="O57" s="42">
        <v>0</v>
      </c>
      <c r="Q57" s="42">
        <v>0</v>
      </c>
      <c r="S57" s="42">
        <v>0</v>
      </c>
      <c r="U57" s="42">
        <v>0</v>
      </c>
      <c r="W57" s="42">
        <v>0</v>
      </c>
      <c r="Y57" s="42">
        <v>0</v>
      </c>
      <c r="AA57" s="42">
        <v>0</v>
      </c>
      <c r="AC57" s="42">
        <v>0</v>
      </c>
      <c r="AE57" s="42">
        <v>0</v>
      </c>
      <c r="AG57" s="42">
        <v>0</v>
      </c>
      <c r="AI57" s="42">
        <v>0</v>
      </c>
      <c r="AK57" s="42">
        <v>0</v>
      </c>
      <c r="AL57" s="9" t="s">
        <v>786</v>
      </c>
      <c r="AM57" s="9"/>
      <c r="AN57" s="9" t="s">
        <v>25</v>
      </c>
      <c r="AP57" s="42">
        <v>0</v>
      </c>
      <c r="AR57" s="42">
        <v>0</v>
      </c>
      <c r="AT57" s="42">
        <v>0</v>
      </c>
      <c r="AV57" s="42">
        <v>0</v>
      </c>
      <c r="AX57" s="42">
        <v>0</v>
      </c>
      <c r="AZ57" s="42">
        <v>0</v>
      </c>
      <c r="BB57" s="5">
        <f t="shared" ref="BB57:BB89" si="16">SUM(G57:AZ57)</f>
        <v>0</v>
      </c>
      <c r="BD57" s="42">
        <v>0</v>
      </c>
      <c r="BF57" s="42">
        <v>0</v>
      </c>
      <c r="BH57" s="42">
        <v>0</v>
      </c>
      <c r="BJ57" s="42">
        <v>0</v>
      </c>
      <c r="BL57" s="5">
        <f t="shared" si="1"/>
        <v>0</v>
      </c>
      <c r="BN57" s="5">
        <f>'Gov Fd Rev'!AQ57-'Gov Fd Exp'!BL57</f>
        <v>0</v>
      </c>
      <c r="BP57" s="42">
        <v>0</v>
      </c>
      <c r="BR57" s="42">
        <v>0</v>
      </c>
      <c r="BT57" s="42">
        <v>0</v>
      </c>
      <c r="BV57" s="5">
        <f t="shared" si="5"/>
        <v>0</v>
      </c>
      <c r="BW57" s="5"/>
      <c r="BX57" s="5">
        <f>BV57-'Gov Fd BS'!AI57</f>
        <v>0</v>
      </c>
    </row>
    <row r="58" spans="1:76">
      <c r="A58" s="9" t="s">
        <v>420</v>
      </c>
      <c r="B58" s="9"/>
      <c r="C58" s="9" t="s">
        <v>48</v>
      </c>
      <c r="D58" s="9"/>
      <c r="E58" s="23">
        <v>48611</v>
      </c>
      <c r="G58" s="42">
        <v>3380873</v>
      </c>
      <c r="I58" s="42">
        <v>1306541</v>
      </c>
      <c r="K58" s="42">
        <v>0</v>
      </c>
      <c r="M58" s="42">
        <v>0</v>
      </c>
      <c r="O58" s="42">
        <v>521622</v>
      </c>
      <c r="Q58" s="42">
        <v>205013</v>
      </c>
      <c r="S58" s="42">
        <v>168742</v>
      </c>
      <c r="U58" s="42">
        <v>29464</v>
      </c>
      <c r="W58" s="42">
        <v>544922</v>
      </c>
      <c r="Y58" s="42">
        <v>336205</v>
      </c>
      <c r="AA58" s="42">
        <v>22837</v>
      </c>
      <c r="AC58" s="42">
        <v>569278</v>
      </c>
      <c r="AE58" s="42">
        <v>790758</v>
      </c>
      <c r="AG58" s="42">
        <v>106306</v>
      </c>
      <c r="AI58" s="42">
        <v>0</v>
      </c>
      <c r="AK58" s="42">
        <v>284706</v>
      </c>
      <c r="AL58" s="9" t="s">
        <v>420</v>
      </c>
      <c r="AM58" s="9"/>
      <c r="AN58" s="9" t="s">
        <v>48</v>
      </c>
      <c r="AP58" s="42">
        <v>314289</v>
      </c>
      <c r="AR58" s="42">
        <v>371625</v>
      </c>
      <c r="AT58" s="42">
        <v>0</v>
      </c>
      <c r="AV58" s="42">
        <v>141915</v>
      </c>
      <c r="AX58" s="42">
        <v>28289</v>
      </c>
      <c r="AZ58" s="42">
        <v>0</v>
      </c>
      <c r="BB58" s="5">
        <f t="shared" si="16"/>
        <v>9123385</v>
      </c>
      <c r="BD58" s="42">
        <v>0</v>
      </c>
      <c r="BF58" s="42">
        <v>0</v>
      </c>
      <c r="BH58" s="42">
        <v>0</v>
      </c>
      <c r="BJ58" s="42">
        <v>0</v>
      </c>
      <c r="BL58" s="5">
        <f t="shared" ref="BL58" si="17">BB58+BD58+BJ58</f>
        <v>9123385</v>
      </c>
      <c r="BN58" s="5">
        <f>'Gov Fd Rev'!AQ58-'Gov Fd Exp'!BL58</f>
        <v>689572</v>
      </c>
      <c r="BP58" s="42">
        <v>1627602</v>
      </c>
      <c r="BR58" s="42">
        <v>0</v>
      </c>
      <c r="BT58" s="42">
        <v>0</v>
      </c>
      <c r="BV58" s="5">
        <f t="shared" ref="BV58" si="18">BN58+BP58+BR58+BT58</f>
        <v>2317174</v>
      </c>
      <c r="BW58" s="5"/>
      <c r="BX58" s="5">
        <f>BV58-'Gov Fd BS'!AI58</f>
        <v>0</v>
      </c>
    </row>
    <row r="59" spans="1:76">
      <c r="A59" s="9" t="s">
        <v>236</v>
      </c>
      <c r="B59" s="9"/>
      <c r="C59" s="9" t="s">
        <v>112</v>
      </c>
      <c r="D59" s="9"/>
      <c r="E59" s="23">
        <v>46318</v>
      </c>
      <c r="G59" s="42">
        <v>7895366</v>
      </c>
      <c r="I59" s="42">
        <v>1921756</v>
      </c>
      <c r="K59" s="42">
        <v>100099</v>
      </c>
      <c r="M59" s="42">
        <v>0</v>
      </c>
      <c r="O59" s="42">
        <v>101775</v>
      </c>
      <c r="Q59" s="42">
        <v>765683</v>
      </c>
      <c r="S59" s="42">
        <v>349657</v>
      </c>
      <c r="U59" s="42">
        <v>31074</v>
      </c>
      <c r="W59" s="42">
        <v>1095191</v>
      </c>
      <c r="Y59" s="42">
        <v>359273</v>
      </c>
      <c r="AA59" s="42">
        <v>0</v>
      </c>
      <c r="AC59" s="42">
        <v>1307151</v>
      </c>
      <c r="AE59" s="42">
        <v>779009</v>
      </c>
      <c r="AG59" s="42">
        <v>130167</v>
      </c>
      <c r="AI59" s="42">
        <v>0</v>
      </c>
      <c r="AK59" s="42">
        <v>590657</v>
      </c>
      <c r="AL59" s="9" t="s">
        <v>236</v>
      </c>
      <c r="AM59" s="9"/>
      <c r="AN59" s="9" t="s">
        <v>112</v>
      </c>
      <c r="AP59" s="42">
        <v>342465</v>
      </c>
      <c r="AR59" s="42">
        <v>285706</v>
      </c>
      <c r="AT59" s="42">
        <v>0</v>
      </c>
      <c r="AV59" s="42">
        <v>460856</v>
      </c>
      <c r="AX59" s="42">
        <v>290963</v>
      </c>
      <c r="AZ59" s="42">
        <v>0</v>
      </c>
      <c r="BB59" s="5">
        <f t="shared" si="16"/>
        <v>16806848</v>
      </c>
      <c r="BD59" s="42">
        <v>467554</v>
      </c>
      <c r="BF59" s="42">
        <v>0</v>
      </c>
      <c r="BH59" s="42">
        <v>0</v>
      </c>
      <c r="BJ59" s="42">
        <v>198937</v>
      </c>
      <c r="BL59" s="5">
        <f t="shared" si="1"/>
        <v>17473339</v>
      </c>
      <c r="BN59" s="5">
        <f>'Gov Fd Rev'!AQ59-'Gov Fd Exp'!BL59</f>
        <v>-644937</v>
      </c>
      <c r="BP59" s="42">
        <v>4092905</v>
      </c>
      <c r="BR59" s="42">
        <v>0</v>
      </c>
      <c r="BT59" s="42">
        <v>0</v>
      </c>
      <c r="BV59" s="5">
        <f t="shared" si="5"/>
        <v>3447968</v>
      </c>
      <c r="BW59" s="5"/>
      <c r="BX59" s="5">
        <f>BV59-'Gov Fd BS'!AI59</f>
        <v>0</v>
      </c>
    </row>
    <row r="60" spans="1:76" hidden="1">
      <c r="A60" s="9" t="s">
        <v>667</v>
      </c>
      <c r="B60" s="9"/>
      <c r="C60" s="9" t="s">
        <v>60</v>
      </c>
      <c r="D60" s="9"/>
      <c r="E60" s="23">
        <v>49692</v>
      </c>
      <c r="G60" s="42">
        <v>0</v>
      </c>
      <c r="I60" s="42">
        <v>0</v>
      </c>
      <c r="K60" s="42">
        <v>0</v>
      </c>
      <c r="M60" s="42">
        <v>0</v>
      </c>
      <c r="O60" s="42">
        <v>0</v>
      </c>
      <c r="Q60" s="42">
        <v>0</v>
      </c>
      <c r="S60" s="42">
        <v>0</v>
      </c>
      <c r="U60" s="42">
        <v>0</v>
      </c>
      <c r="W60" s="42">
        <v>0</v>
      </c>
      <c r="Y60" s="42">
        <v>0</v>
      </c>
      <c r="AA60" s="42">
        <v>0</v>
      </c>
      <c r="AC60" s="42">
        <v>0</v>
      </c>
      <c r="AE60" s="42">
        <v>0</v>
      </c>
      <c r="AG60" s="42">
        <v>0</v>
      </c>
      <c r="AI60" s="42">
        <v>0</v>
      </c>
      <c r="AK60" s="42">
        <v>0</v>
      </c>
      <c r="AL60" s="9" t="s">
        <v>667</v>
      </c>
      <c r="AM60" s="9"/>
      <c r="AN60" s="9" t="s">
        <v>60</v>
      </c>
      <c r="AP60" s="42">
        <v>0</v>
      </c>
      <c r="AR60" s="42">
        <v>0</v>
      </c>
      <c r="AT60" s="42">
        <v>0</v>
      </c>
      <c r="AV60" s="42">
        <v>0</v>
      </c>
      <c r="AX60" s="42">
        <v>0</v>
      </c>
      <c r="AZ60" s="42">
        <v>0</v>
      </c>
      <c r="BB60" s="5">
        <f t="shared" si="16"/>
        <v>0</v>
      </c>
      <c r="BD60" s="42">
        <v>0</v>
      </c>
      <c r="BF60" s="42">
        <v>0</v>
      </c>
      <c r="BH60" s="42">
        <v>0</v>
      </c>
      <c r="BJ60" s="42">
        <v>0</v>
      </c>
      <c r="BL60" s="5">
        <f t="shared" si="1"/>
        <v>0</v>
      </c>
      <c r="BN60" s="5">
        <f>'Gov Fd Rev'!AQ60-'Gov Fd Exp'!BL60</f>
        <v>0</v>
      </c>
      <c r="BP60" s="42">
        <v>0</v>
      </c>
      <c r="BR60" s="42">
        <v>0</v>
      </c>
      <c r="BT60" s="42">
        <v>0</v>
      </c>
      <c r="BV60" s="5">
        <f t="shared" si="5"/>
        <v>0</v>
      </c>
      <c r="BW60" s="5"/>
      <c r="BX60" s="5">
        <f>BV60-'Gov Fd BS'!AI60</f>
        <v>0</v>
      </c>
    </row>
    <row r="61" spans="1:76">
      <c r="A61" s="9" t="s">
        <v>297</v>
      </c>
      <c r="B61" s="9"/>
      <c r="C61" s="9" t="s">
        <v>27</v>
      </c>
      <c r="D61" s="9"/>
      <c r="E61" s="23">
        <v>43620</v>
      </c>
      <c r="G61" s="42">
        <v>15243577</v>
      </c>
      <c r="I61" s="42">
        <v>4158269</v>
      </c>
      <c r="K61" s="42">
        <v>319961</v>
      </c>
      <c r="M61" s="42">
        <v>0</v>
      </c>
      <c r="O61" s="42">
        <v>0</v>
      </c>
      <c r="Q61" s="42">
        <v>1481352</v>
      </c>
      <c r="S61" s="42">
        <v>1985697</v>
      </c>
      <c r="U61" s="42">
        <v>0</v>
      </c>
      <c r="W61" s="42">
        <f>1888785+57172</f>
        <v>1945957</v>
      </c>
      <c r="Y61" s="42">
        <v>0</v>
      </c>
      <c r="AA61" s="42">
        <v>1254032</v>
      </c>
      <c r="AC61" s="42">
        <v>3440965</v>
      </c>
      <c r="AE61" s="42">
        <v>559299</v>
      </c>
      <c r="AG61" s="42">
        <v>135264</v>
      </c>
      <c r="AI61" s="42">
        <v>554083</v>
      </c>
      <c r="AK61" s="42">
        <v>0</v>
      </c>
      <c r="AL61" s="9" t="s">
        <v>297</v>
      </c>
      <c r="AM61" s="9"/>
      <c r="AN61" s="9" t="s">
        <v>27</v>
      </c>
      <c r="AP61" s="42">
        <v>1125306</v>
      </c>
      <c r="AR61" s="42">
        <v>950556</v>
      </c>
      <c r="AT61" s="42">
        <v>0</v>
      </c>
      <c r="AV61" s="42">
        <v>1670000</v>
      </c>
      <c r="AX61" s="42">
        <v>880255</v>
      </c>
      <c r="AZ61" s="42">
        <v>978482</v>
      </c>
      <c r="BB61" s="5">
        <f t="shared" si="16"/>
        <v>36683055</v>
      </c>
      <c r="BD61" s="42">
        <v>240017</v>
      </c>
      <c r="BF61" s="42">
        <v>0</v>
      </c>
      <c r="BH61" s="42">
        <v>0</v>
      </c>
      <c r="BJ61" s="42">
        <v>0</v>
      </c>
      <c r="BL61" s="5">
        <f t="shared" si="1"/>
        <v>36923072</v>
      </c>
      <c r="BN61" s="5">
        <f>'Gov Fd Rev'!AQ61-'Gov Fd Exp'!BL61</f>
        <v>2039013</v>
      </c>
      <c r="BP61" s="42">
        <v>27331343</v>
      </c>
      <c r="BR61" s="42">
        <v>0</v>
      </c>
      <c r="BT61" s="42">
        <v>0</v>
      </c>
      <c r="BV61" s="5">
        <f t="shared" si="5"/>
        <v>29370356</v>
      </c>
      <c r="BW61" s="5"/>
      <c r="BX61" s="5">
        <f>BV61-'Gov Fd BS'!AI61</f>
        <v>0</v>
      </c>
    </row>
    <row r="62" spans="1:76">
      <c r="A62" s="9" t="s">
        <v>630</v>
      </c>
      <c r="B62" s="9"/>
      <c r="C62" s="9" t="s">
        <v>23</v>
      </c>
      <c r="D62" s="9"/>
      <c r="E62" s="23">
        <v>46748</v>
      </c>
      <c r="G62" s="42">
        <v>15099166</v>
      </c>
      <c r="I62" s="42">
        <v>1344058</v>
      </c>
      <c r="K62" s="42">
        <v>176984</v>
      </c>
      <c r="M62" s="42">
        <v>0</v>
      </c>
      <c r="O62" s="42">
        <v>0</v>
      </c>
      <c r="Q62" s="42">
        <v>1494967</v>
      </c>
      <c r="S62" s="42">
        <v>1858591</v>
      </c>
      <c r="U62" s="42">
        <v>199159</v>
      </c>
      <c r="W62" s="42">
        <v>2621822</v>
      </c>
      <c r="Y62" s="42">
        <v>995006</v>
      </c>
      <c r="AA62" s="42">
        <v>55845</v>
      </c>
      <c r="AC62" s="42">
        <v>2623215</v>
      </c>
      <c r="AE62" s="42">
        <v>2174356</v>
      </c>
      <c r="AG62" s="42">
        <v>6243</v>
      </c>
      <c r="AI62" s="42">
        <v>0</v>
      </c>
      <c r="AK62" s="42">
        <v>1269647</v>
      </c>
      <c r="AL62" s="9" t="s">
        <v>630</v>
      </c>
      <c r="AM62" s="9"/>
      <c r="AN62" s="9" t="s">
        <v>23</v>
      </c>
      <c r="AP62" s="42">
        <v>667589</v>
      </c>
      <c r="AR62" s="42">
        <v>975680</v>
      </c>
      <c r="AT62" s="42">
        <v>0</v>
      </c>
      <c r="AV62" s="42">
        <v>1290981</v>
      </c>
      <c r="AX62" s="42">
        <f>1615426+394019</f>
        <v>2009445</v>
      </c>
      <c r="AZ62" s="42">
        <v>0</v>
      </c>
      <c r="BB62" s="5">
        <f t="shared" si="16"/>
        <v>34862754</v>
      </c>
      <c r="BD62" s="42">
        <v>0</v>
      </c>
      <c r="BF62" s="42">
        <v>0</v>
      </c>
      <c r="BH62" s="42">
        <v>0</v>
      </c>
      <c r="BJ62" s="42">
        <v>0</v>
      </c>
      <c r="BL62" s="5">
        <f>BB62+BD62+BJ62</f>
        <v>34862754</v>
      </c>
      <c r="BN62" s="5">
        <f>'Gov Fd Rev'!AQ62-'Gov Fd Exp'!BL62</f>
        <v>1592111</v>
      </c>
      <c r="BP62" s="42">
        <v>12441569</v>
      </c>
      <c r="BR62" s="42">
        <v>0</v>
      </c>
      <c r="BT62" s="42">
        <v>0</v>
      </c>
      <c r="BV62" s="5">
        <f t="shared" si="5"/>
        <v>14033680</v>
      </c>
      <c r="BW62" s="5"/>
      <c r="BX62" s="5">
        <f>BV62-'Gov Fd BS'!AI62</f>
        <v>0</v>
      </c>
    </row>
    <row r="63" spans="1:76">
      <c r="A63" s="9" t="s">
        <v>411</v>
      </c>
      <c r="B63" s="9"/>
      <c r="C63" s="9" t="s">
        <v>47</v>
      </c>
      <c r="D63" s="9"/>
      <c r="E63" s="23">
        <v>48462</v>
      </c>
      <c r="G63" s="42">
        <v>6372518</v>
      </c>
      <c r="I63" s="42">
        <v>1853037</v>
      </c>
      <c r="K63" s="42">
        <v>173856</v>
      </c>
      <c r="M63" s="42">
        <v>0</v>
      </c>
      <c r="O63" s="42">
        <v>2</v>
      </c>
      <c r="Q63" s="42">
        <v>508900</v>
      </c>
      <c r="S63" s="42">
        <v>508053</v>
      </c>
      <c r="U63" s="42">
        <v>29695</v>
      </c>
      <c r="W63" s="42">
        <v>729978</v>
      </c>
      <c r="Y63" s="42">
        <v>336724</v>
      </c>
      <c r="AA63" s="42">
        <v>30495</v>
      </c>
      <c r="AC63" s="42">
        <v>793229</v>
      </c>
      <c r="AE63" s="42">
        <v>989672</v>
      </c>
      <c r="AG63" s="42">
        <v>157698</v>
      </c>
      <c r="AI63" s="42">
        <v>380651</v>
      </c>
      <c r="AK63" s="42">
        <v>1587</v>
      </c>
      <c r="AL63" s="9" t="s">
        <v>411</v>
      </c>
      <c r="AM63" s="9"/>
      <c r="AN63" s="9" t="s">
        <v>47</v>
      </c>
      <c r="AP63" s="42">
        <v>453461</v>
      </c>
      <c r="AR63" s="42">
        <v>0</v>
      </c>
      <c r="AT63" s="42">
        <v>0</v>
      </c>
      <c r="AV63" s="42">
        <v>331170</v>
      </c>
      <c r="AX63" s="42">
        <v>80137</v>
      </c>
      <c r="AZ63" s="42">
        <v>0</v>
      </c>
      <c r="BB63" s="5">
        <f t="shared" si="16"/>
        <v>13730863</v>
      </c>
      <c r="BD63" s="42">
        <v>119104</v>
      </c>
      <c r="BF63" s="42">
        <v>0</v>
      </c>
      <c r="BH63" s="42">
        <v>0</v>
      </c>
      <c r="BJ63" s="42">
        <v>0</v>
      </c>
      <c r="BL63" s="5">
        <f>BB63+BD63+BJ63</f>
        <v>13849967</v>
      </c>
      <c r="BN63" s="5">
        <f>'Gov Fd Rev'!AQ63-'Gov Fd Exp'!BL63</f>
        <v>189083</v>
      </c>
      <c r="BP63" s="42">
        <v>276955</v>
      </c>
      <c r="BR63" s="42">
        <v>0</v>
      </c>
      <c r="BT63" s="42">
        <v>0</v>
      </c>
      <c r="BV63" s="5">
        <f t="shared" si="5"/>
        <v>466038</v>
      </c>
      <c r="BW63" s="5"/>
      <c r="BX63" s="5">
        <f>BV63-'Gov Fd BS'!AI63</f>
        <v>0</v>
      </c>
    </row>
    <row r="64" spans="1:76">
      <c r="A64" s="9" t="s">
        <v>240</v>
      </c>
      <c r="B64" s="9"/>
      <c r="C64" s="9" t="s">
        <v>18</v>
      </c>
      <c r="D64" s="9"/>
      <c r="E64" s="23">
        <v>46383</v>
      </c>
      <c r="G64" s="42">
        <v>5650790</v>
      </c>
      <c r="I64" s="42">
        <v>983192</v>
      </c>
      <c r="K64" s="42">
        <v>336672</v>
      </c>
      <c r="M64" s="42">
        <v>0</v>
      </c>
      <c r="O64" s="42">
        <v>786786</v>
      </c>
      <c r="Q64" s="42">
        <v>424383</v>
      </c>
      <c r="S64" s="42">
        <v>1330179</v>
      </c>
      <c r="U64" s="42">
        <v>0</v>
      </c>
      <c r="W64" s="42">
        <f>24185+1460840</f>
        <v>1485025</v>
      </c>
      <c r="Y64" s="42">
        <v>413467</v>
      </c>
      <c r="AA64" s="42">
        <v>7699</v>
      </c>
      <c r="AC64" s="42">
        <v>1280562</v>
      </c>
      <c r="AE64" s="42">
        <v>907433</v>
      </c>
      <c r="AG64" s="42">
        <v>12371</v>
      </c>
      <c r="AI64" s="42">
        <v>0</v>
      </c>
      <c r="AK64" s="42">
        <v>1199927</v>
      </c>
      <c r="AL64" s="9" t="s">
        <v>240</v>
      </c>
      <c r="AM64" s="9"/>
      <c r="AN64" s="9" t="s">
        <v>18</v>
      </c>
      <c r="AP64" s="42">
        <v>139341</v>
      </c>
      <c r="AR64" s="42">
        <v>1874599</v>
      </c>
      <c r="AT64" s="42">
        <v>0</v>
      </c>
      <c r="AV64" s="42">
        <v>220000</v>
      </c>
      <c r="AX64" s="42">
        <v>140084</v>
      </c>
      <c r="AZ64" s="42">
        <v>88423</v>
      </c>
      <c r="BB64" s="5">
        <f t="shared" si="16"/>
        <v>17280933</v>
      </c>
      <c r="BD64" s="42">
        <v>0</v>
      </c>
      <c r="BF64" s="42">
        <v>0</v>
      </c>
      <c r="BH64" s="42">
        <v>0</v>
      </c>
      <c r="BJ64" s="42">
        <v>0</v>
      </c>
      <c r="BL64" s="5">
        <f t="shared" si="1"/>
        <v>17280933</v>
      </c>
      <c r="BN64" s="5">
        <f>'Gov Fd Rev'!AQ64-'Gov Fd Exp'!BL64</f>
        <v>1429788</v>
      </c>
      <c r="BP64" s="42">
        <v>3150697</v>
      </c>
      <c r="BR64" s="42">
        <v>0</v>
      </c>
      <c r="BT64" s="42">
        <v>0</v>
      </c>
      <c r="BV64" s="5">
        <f t="shared" si="5"/>
        <v>4580485</v>
      </c>
      <c r="BW64" s="5"/>
      <c r="BX64" s="5">
        <f>BV64-'Gov Fd BS'!AI64</f>
        <v>0</v>
      </c>
    </row>
    <row r="65" spans="1:76">
      <c r="A65" s="9" t="s">
        <v>291</v>
      </c>
      <c r="B65" s="9"/>
      <c r="C65" s="9" t="s">
        <v>25</v>
      </c>
      <c r="D65" s="9"/>
      <c r="E65" s="23">
        <v>46862</v>
      </c>
      <c r="G65" s="42">
        <v>6007617</v>
      </c>
      <c r="I65" s="42">
        <v>1626604</v>
      </c>
      <c r="K65" s="42">
        <v>217310</v>
      </c>
      <c r="M65" s="42">
        <v>0</v>
      </c>
      <c r="O65" s="42">
        <f>126601+595617</f>
        <v>722218</v>
      </c>
      <c r="Q65" s="42">
        <v>773912</v>
      </c>
      <c r="S65" s="42">
        <v>903707</v>
      </c>
      <c r="U65" s="42">
        <v>140975</v>
      </c>
      <c r="W65" s="42">
        <v>1825939</v>
      </c>
      <c r="Y65" s="42">
        <v>290017</v>
      </c>
      <c r="AA65" s="42">
        <v>0</v>
      </c>
      <c r="AC65" s="42">
        <v>2096440</v>
      </c>
      <c r="AE65" s="42">
        <v>1317392</v>
      </c>
      <c r="AG65" s="42">
        <v>74576</v>
      </c>
      <c r="AI65" s="42">
        <v>607687</v>
      </c>
      <c r="AK65" s="42">
        <v>2000</v>
      </c>
      <c r="AL65" s="9" t="s">
        <v>291</v>
      </c>
      <c r="AM65" s="9"/>
      <c r="AN65" s="9" t="s">
        <v>25</v>
      </c>
      <c r="AP65" s="42">
        <v>695231</v>
      </c>
      <c r="AR65" s="42">
        <v>6774774</v>
      </c>
      <c r="AT65" s="42">
        <v>0</v>
      </c>
      <c r="AV65" s="42">
        <v>815000</v>
      </c>
      <c r="AX65" s="42">
        <v>1776094</v>
      </c>
      <c r="AZ65" s="42">
        <v>198579</v>
      </c>
      <c r="BB65" s="5">
        <f t="shared" si="16"/>
        <v>26866072</v>
      </c>
      <c r="BD65" s="42">
        <v>18004</v>
      </c>
      <c r="BF65" s="42">
        <v>0</v>
      </c>
      <c r="BH65" s="42">
        <v>0</v>
      </c>
      <c r="BJ65" s="42">
        <v>10862022</v>
      </c>
      <c r="BL65" s="5">
        <f t="shared" si="1"/>
        <v>37746098</v>
      </c>
      <c r="BN65" s="5">
        <f>'Gov Fd Rev'!AQ65-'Gov Fd Exp'!BL65</f>
        <v>-6711140</v>
      </c>
      <c r="BP65" s="42">
        <v>8712372</v>
      </c>
      <c r="BR65" s="42">
        <v>0</v>
      </c>
      <c r="BT65" s="42">
        <v>0</v>
      </c>
      <c r="BV65" s="5">
        <f t="shared" si="5"/>
        <v>2001232</v>
      </c>
      <c r="BW65" s="5"/>
      <c r="BX65" s="5">
        <f>BV65-'Gov Fd BS'!AI65</f>
        <v>0</v>
      </c>
    </row>
    <row r="66" spans="1:76">
      <c r="A66" s="9" t="s">
        <v>514</v>
      </c>
      <c r="B66" s="9"/>
      <c r="C66" s="9" t="s">
        <v>64</v>
      </c>
      <c r="D66" s="9"/>
      <c r="E66" s="23">
        <v>50096</v>
      </c>
      <c r="G66" s="42">
        <v>1328551</v>
      </c>
      <c r="I66" s="42">
        <v>791213</v>
      </c>
      <c r="K66" s="42">
        <v>36542</v>
      </c>
      <c r="M66" s="42">
        <v>0</v>
      </c>
      <c r="O66" s="42">
        <v>0</v>
      </c>
      <c r="Q66" s="42">
        <v>145299</v>
      </c>
      <c r="S66" s="42">
        <v>129274</v>
      </c>
      <c r="U66" s="42">
        <v>18146</v>
      </c>
      <c r="W66" s="42">
        <v>398519</v>
      </c>
      <c r="Y66" s="42">
        <v>224281</v>
      </c>
      <c r="AA66" s="42">
        <v>0</v>
      </c>
      <c r="AC66" s="42">
        <v>576479</v>
      </c>
      <c r="AE66" s="42">
        <v>193757</v>
      </c>
      <c r="AG66" s="42">
        <v>5686</v>
      </c>
      <c r="AI66" s="42">
        <v>138045</v>
      </c>
      <c r="AK66" s="42">
        <v>0</v>
      </c>
      <c r="AL66" s="9" t="s">
        <v>514</v>
      </c>
      <c r="AM66" s="9"/>
      <c r="AN66" s="9" t="s">
        <v>64</v>
      </c>
      <c r="AP66" s="42">
        <v>87240</v>
      </c>
      <c r="AR66" s="42">
        <v>0</v>
      </c>
      <c r="AT66" s="42">
        <v>0</v>
      </c>
      <c r="AV66" s="42">
        <v>35809</v>
      </c>
      <c r="AX66" s="42">
        <v>6740</v>
      </c>
      <c r="AZ66" s="42">
        <v>0</v>
      </c>
      <c r="BB66" s="5">
        <f t="shared" si="16"/>
        <v>4115581</v>
      </c>
      <c r="BD66" s="42">
        <v>0</v>
      </c>
      <c r="BF66" s="42">
        <v>0</v>
      </c>
      <c r="BH66" s="42">
        <v>0</v>
      </c>
      <c r="BJ66" s="42">
        <v>0</v>
      </c>
      <c r="BL66" s="5">
        <f t="shared" si="1"/>
        <v>4115581</v>
      </c>
      <c r="BN66" s="5">
        <f>'Gov Fd Rev'!AQ66-'Gov Fd Exp'!BL66</f>
        <v>67379</v>
      </c>
      <c r="BP66" s="42">
        <v>418435</v>
      </c>
      <c r="BR66" s="42">
        <v>0</v>
      </c>
      <c r="BT66" s="42">
        <v>0</v>
      </c>
      <c r="BV66" s="5">
        <f t="shared" si="5"/>
        <v>485814</v>
      </c>
      <c r="BW66" s="5"/>
      <c r="BX66" s="5">
        <f>BV66-'Gov Fd BS'!AI66</f>
        <v>0</v>
      </c>
    </row>
    <row r="67" spans="1:76">
      <c r="A67" s="9" t="s">
        <v>476</v>
      </c>
      <c r="B67" s="9"/>
      <c r="C67" s="9" t="s">
        <v>59</v>
      </c>
      <c r="D67" s="9"/>
      <c r="E67" s="23">
        <v>49593</v>
      </c>
      <c r="G67" s="42">
        <v>4582977</v>
      </c>
      <c r="I67" s="42">
        <v>1176557</v>
      </c>
      <c r="K67" s="42">
        <v>16868</v>
      </c>
      <c r="M67" s="42">
        <v>0</v>
      </c>
      <c r="O67" s="42">
        <v>154157</v>
      </c>
      <c r="Q67" s="42">
        <v>282148</v>
      </c>
      <c r="S67" s="42">
        <v>544979</v>
      </c>
      <c r="U67" s="42">
        <v>31252</v>
      </c>
      <c r="W67" s="42">
        <v>861620</v>
      </c>
      <c r="Y67" s="42">
        <v>187760</v>
      </c>
      <c r="AA67" s="42">
        <v>21605</v>
      </c>
      <c r="AC67" s="42">
        <v>939804</v>
      </c>
      <c r="AE67" s="42">
        <v>761835</v>
      </c>
      <c r="AG67" s="42">
        <v>9774</v>
      </c>
      <c r="AI67" s="42">
        <v>483402</v>
      </c>
      <c r="AK67" s="42">
        <v>2069</v>
      </c>
      <c r="AL67" s="9" t="s">
        <v>476</v>
      </c>
      <c r="AM67" s="9"/>
      <c r="AN67" s="9" t="s">
        <v>59</v>
      </c>
      <c r="AP67" s="42">
        <v>175211</v>
      </c>
      <c r="AR67" s="42">
        <v>77150</v>
      </c>
      <c r="AT67" s="42">
        <v>0</v>
      </c>
      <c r="AV67" s="42">
        <v>95000</v>
      </c>
      <c r="AX67" s="42">
        <v>37702</v>
      </c>
      <c r="AZ67" s="42">
        <v>0</v>
      </c>
      <c r="BB67" s="5">
        <f>SUM(G67:AZ67)</f>
        <v>10441870</v>
      </c>
      <c r="BD67" s="42">
        <v>35126</v>
      </c>
      <c r="BF67" s="42">
        <v>0</v>
      </c>
      <c r="BH67" s="42">
        <v>0</v>
      </c>
      <c r="BJ67" s="42">
        <v>0</v>
      </c>
      <c r="BL67" s="5">
        <f>BB67+BD67+BJ67</f>
        <v>10476996</v>
      </c>
      <c r="BN67" s="5">
        <f>'Gov Fd Rev'!AQ67-'Gov Fd Exp'!BL67</f>
        <v>-39246</v>
      </c>
      <c r="BP67" s="42">
        <v>1685760</v>
      </c>
      <c r="BR67" s="42">
        <v>0</v>
      </c>
      <c r="BT67" s="42">
        <v>0</v>
      </c>
      <c r="BV67" s="5">
        <f>BN67+BP67+BR67+BT67</f>
        <v>1646514</v>
      </c>
      <c r="BW67" s="5"/>
      <c r="BX67" s="5">
        <f>BV67-'Gov Fd BS'!AI67</f>
        <v>0</v>
      </c>
    </row>
    <row r="68" spans="1:76" hidden="1">
      <c r="A68" s="9" t="s">
        <v>875</v>
      </c>
      <c r="B68" s="9"/>
      <c r="C68" s="9" t="s">
        <v>10</v>
      </c>
      <c r="D68" s="9"/>
      <c r="E68" s="23">
        <v>45211</v>
      </c>
      <c r="G68" s="42">
        <v>0</v>
      </c>
      <c r="I68" s="42">
        <v>0</v>
      </c>
      <c r="K68" s="42">
        <v>0</v>
      </c>
      <c r="M68" s="42">
        <v>0</v>
      </c>
      <c r="O68" s="42">
        <v>0</v>
      </c>
      <c r="Q68" s="42">
        <v>0</v>
      </c>
      <c r="S68" s="42">
        <v>0</v>
      </c>
      <c r="U68" s="42">
        <v>0</v>
      </c>
      <c r="W68" s="42">
        <v>0</v>
      </c>
      <c r="Y68" s="42">
        <v>0</v>
      </c>
      <c r="AA68" s="42">
        <v>0</v>
      </c>
      <c r="AC68" s="42">
        <v>0</v>
      </c>
      <c r="AE68" s="42">
        <v>0</v>
      </c>
      <c r="AG68" s="42">
        <v>0</v>
      </c>
      <c r="AI68" s="42">
        <v>0</v>
      </c>
      <c r="AK68" s="42">
        <v>0</v>
      </c>
      <c r="AL68" s="9" t="s">
        <v>875</v>
      </c>
      <c r="AM68" s="9"/>
      <c r="AN68" s="9" t="s">
        <v>10</v>
      </c>
      <c r="AP68" s="42">
        <v>0</v>
      </c>
      <c r="AR68" s="42">
        <v>0</v>
      </c>
      <c r="AT68" s="42">
        <v>0</v>
      </c>
      <c r="AV68" s="42">
        <v>0</v>
      </c>
      <c r="AX68" s="42">
        <v>0</v>
      </c>
      <c r="AZ68" s="42">
        <v>0</v>
      </c>
      <c r="BB68" s="5">
        <f t="shared" si="16"/>
        <v>0</v>
      </c>
      <c r="BD68" s="42">
        <v>0</v>
      </c>
      <c r="BF68" s="42">
        <v>0</v>
      </c>
      <c r="BH68" s="42">
        <v>0</v>
      </c>
      <c r="BJ68" s="42">
        <v>0</v>
      </c>
      <c r="BL68" s="5">
        <f t="shared" si="1"/>
        <v>0</v>
      </c>
      <c r="BN68" s="5">
        <f>'Gov Fd Rev'!AQ68-'Gov Fd Exp'!BL68</f>
        <v>0</v>
      </c>
      <c r="BP68" s="42">
        <v>0</v>
      </c>
      <c r="BR68" s="42">
        <v>0</v>
      </c>
      <c r="BT68" s="42">
        <v>0</v>
      </c>
      <c r="BV68" s="5">
        <f t="shared" si="5"/>
        <v>0</v>
      </c>
      <c r="BW68" s="5"/>
      <c r="BX68" s="5">
        <f>BV68-'Gov Fd BS'!AI68</f>
        <v>0</v>
      </c>
    </row>
    <row r="69" spans="1:76">
      <c r="A69" s="9" t="s">
        <v>399</v>
      </c>
      <c r="B69" s="9"/>
      <c r="C69" s="9" t="s">
        <v>45</v>
      </c>
      <c r="D69" s="9"/>
      <c r="E69" s="23">
        <v>48306</v>
      </c>
      <c r="G69" s="42">
        <v>21350535</v>
      </c>
      <c r="I69" s="42">
        <v>5378081</v>
      </c>
      <c r="K69" s="42">
        <v>0</v>
      </c>
      <c r="M69" s="42">
        <v>0</v>
      </c>
      <c r="O69" s="42">
        <v>153057</v>
      </c>
      <c r="Q69" s="42">
        <v>1744294</v>
      </c>
      <c r="S69" s="42">
        <v>1944727</v>
      </c>
      <c r="U69" s="42">
        <v>131999</v>
      </c>
      <c r="W69" s="42">
        <v>2475184</v>
      </c>
      <c r="Y69" s="42">
        <v>1028664</v>
      </c>
      <c r="AA69" s="42">
        <v>97194</v>
      </c>
      <c r="AC69" s="42">
        <v>4226588</v>
      </c>
      <c r="AE69" s="42">
        <v>3144994</v>
      </c>
      <c r="AG69" s="42">
        <v>33083</v>
      </c>
      <c r="AI69" s="42">
        <v>1543707</v>
      </c>
      <c r="AK69" s="42">
        <v>783420</v>
      </c>
      <c r="AL69" s="9" t="s">
        <v>399</v>
      </c>
      <c r="AM69" s="9"/>
      <c r="AN69" s="9" t="s">
        <v>45</v>
      </c>
      <c r="AP69" s="42">
        <v>1070344</v>
      </c>
      <c r="AR69" s="42">
        <v>0</v>
      </c>
      <c r="AT69" s="42">
        <v>0</v>
      </c>
      <c r="AV69" s="42">
        <v>514788</v>
      </c>
      <c r="AX69" s="42">
        <v>491982</v>
      </c>
      <c r="AZ69" s="42">
        <v>0</v>
      </c>
      <c r="BB69" s="5">
        <f t="shared" si="16"/>
        <v>46112641</v>
      </c>
      <c r="BD69" s="42">
        <v>461343</v>
      </c>
      <c r="BF69" s="42">
        <v>0</v>
      </c>
      <c r="BH69" s="42">
        <v>0</v>
      </c>
      <c r="BJ69" s="42">
        <v>0</v>
      </c>
      <c r="BL69" s="5">
        <f t="shared" si="1"/>
        <v>46573984</v>
      </c>
      <c r="BN69" s="5">
        <f>'Gov Fd Rev'!AQ69-'Gov Fd Exp'!BL69</f>
        <v>1273451</v>
      </c>
      <c r="BP69" s="42">
        <v>4341747</v>
      </c>
      <c r="BR69" s="42">
        <v>0</v>
      </c>
      <c r="BT69" s="42">
        <v>0</v>
      </c>
      <c r="BV69" s="5">
        <f t="shared" si="5"/>
        <v>5615198</v>
      </c>
      <c r="BW69" s="5"/>
      <c r="BX69" s="5">
        <f>BV69-'Gov Fd BS'!AI69</f>
        <v>0</v>
      </c>
    </row>
    <row r="70" spans="1:76" hidden="1">
      <c r="A70" s="9" t="s">
        <v>900</v>
      </c>
      <c r="B70" s="9"/>
      <c r="C70" s="9" t="s">
        <v>61</v>
      </c>
      <c r="D70" s="9"/>
      <c r="E70" s="23">
        <v>49767</v>
      </c>
      <c r="G70" s="42">
        <v>0</v>
      </c>
      <c r="I70" s="42">
        <v>0</v>
      </c>
      <c r="K70" s="42">
        <v>0</v>
      </c>
      <c r="M70" s="42">
        <v>0</v>
      </c>
      <c r="O70" s="42">
        <v>0</v>
      </c>
      <c r="Q70" s="42">
        <v>0</v>
      </c>
      <c r="S70" s="42">
        <v>0</v>
      </c>
      <c r="U70" s="42">
        <v>0</v>
      </c>
      <c r="W70" s="42">
        <v>0</v>
      </c>
      <c r="Y70" s="42">
        <v>0</v>
      </c>
      <c r="AA70" s="42">
        <v>0</v>
      </c>
      <c r="AC70" s="42">
        <v>0</v>
      </c>
      <c r="AE70" s="42">
        <v>0</v>
      </c>
      <c r="AG70" s="42">
        <v>0</v>
      </c>
      <c r="AI70" s="42">
        <v>0</v>
      </c>
      <c r="AK70" s="42">
        <v>0</v>
      </c>
      <c r="AL70" s="9" t="s">
        <v>900</v>
      </c>
      <c r="AM70" s="9"/>
      <c r="AN70" s="9" t="s">
        <v>61</v>
      </c>
      <c r="AP70" s="42">
        <v>0</v>
      </c>
      <c r="AR70" s="42">
        <v>0</v>
      </c>
      <c r="AT70" s="42">
        <v>0</v>
      </c>
      <c r="AV70" s="42">
        <v>0</v>
      </c>
      <c r="AX70" s="42">
        <v>0</v>
      </c>
      <c r="AZ70" s="42">
        <v>0</v>
      </c>
      <c r="BB70" s="5">
        <f t="shared" si="16"/>
        <v>0</v>
      </c>
      <c r="BD70" s="42">
        <v>0</v>
      </c>
      <c r="BF70" s="42">
        <v>0</v>
      </c>
      <c r="BH70" s="42">
        <v>0</v>
      </c>
      <c r="BJ70" s="42">
        <v>0</v>
      </c>
      <c r="BL70" s="5">
        <f t="shared" si="1"/>
        <v>0</v>
      </c>
      <c r="BN70" s="5">
        <f>'Gov Fd Rev'!AQ70-'Gov Fd Exp'!BL70</f>
        <v>0</v>
      </c>
      <c r="BP70" s="42">
        <v>0</v>
      </c>
      <c r="BR70" s="42">
        <v>0</v>
      </c>
      <c r="BT70" s="42">
        <v>0</v>
      </c>
      <c r="BV70" s="5">
        <f t="shared" si="5"/>
        <v>0</v>
      </c>
      <c r="BW70" s="5"/>
      <c r="BX70" s="5">
        <f>BV70-'Gov Fd BS'!AI70</f>
        <v>0</v>
      </c>
    </row>
    <row r="71" spans="1:76">
      <c r="A71" s="9" t="s">
        <v>549</v>
      </c>
      <c r="B71" s="9"/>
      <c r="C71" s="9" t="s">
        <v>72</v>
      </c>
      <c r="D71" s="9"/>
      <c r="E71" s="23">
        <v>43638</v>
      </c>
      <c r="G71" s="42">
        <v>18982526</v>
      </c>
      <c r="I71" s="42">
        <v>0</v>
      </c>
      <c r="K71" s="42">
        <v>0</v>
      </c>
      <c r="M71" s="42">
        <v>0</v>
      </c>
      <c r="O71" s="42">
        <v>0</v>
      </c>
      <c r="Q71" s="42">
        <v>0</v>
      </c>
      <c r="S71" s="42">
        <v>11268041</v>
      </c>
      <c r="U71" s="42">
        <v>0</v>
      </c>
      <c r="W71" s="42">
        <v>0</v>
      </c>
      <c r="Y71" s="42">
        <v>0</v>
      </c>
      <c r="AA71" s="42">
        <v>0</v>
      </c>
      <c r="AC71" s="42">
        <v>0</v>
      </c>
      <c r="AE71" s="42">
        <v>0</v>
      </c>
      <c r="AG71" s="42">
        <v>0</v>
      </c>
      <c r="AI71" s="42">
        <v>0</v>
      </c>
      <c r="AK71" s="42">
        <v>592820</v>
      </c>
      <c r="AL71" s="9" t="s">
        <v>549</v>
      </c>
      <c r="AM71" s="9"/>
      <c r="AN71" s="9" t="s">
        <v>72</v>
      </c>
      <c r="AP71" s="42">
        <v>898062</v>
      </c>
      <c r="AR71" s="42">
        <v>1817367</v>
      </c>
      <c r="AT71" s="42">
        <v>0</v>
      </c>
      <c r="AV71" s="42">
        <v>677500</v>
      </c>
      <c r="AX71" s="42">
        <v>1225817</v>
      </c>
      <c r="AZ71" s="42">
        <v>0</v>
      </c>
      <c r="BB71" s="5">
        <f t="shared" si="16"/>
        <v>35462133</v>
      </c>
      <c r="BD71" s="42">
        <v>40000</v>
      </c>
      <c r="BF71" s="42">
        <v>0</v>
      </c>
      <c r="BH71" s="42">
        <v>0</v>
      </c>
      <c r="BJ71" s="42">
        <v>1468</v>
      </c>
      <c r="BL71" s="5">
        <f t="shared" si="1"/>
        <v>35503601</v>
      </c>
      <c r="BN71" s="5">
        <f>'Gov Fd Rev'!AQ71-'Gov Fd Exp'!BL71</f>
        <v>-1010100</v>
      </c>
      <c r="BP71" s="42">
        <v>10738852</v>
      </c>
      <c r="BR71" s="42">
        <v>0</v>
      </c>
      <c r="BT71" s="42">
        <v>0</v>
      </c>
      <c r="BV71" s="5">
        <f t="shared" si="5"/>
        <v>9728752</v>
      </c>
      <c r="BW71" s="5"/>
      <c r="BX71" s="5">
        <f>BV71-'Gov Fd BS'!AI71</f>
        <v>0</v>
      </c>
    </row>
    <row r="72" spans="1:76" hidden="1">
      <c r="A72" s="9" t="s">
        <v>876</v>
      </c>
      <c r="B72" s="9"/>
      <c r="C72" s="9" t="s">
        <v>48</v>
      </c>
      <c r="D72" s="9"/>
      <c r="E72" s="23">
        <v>45229</v>
      </c>
      <c r="G72" s="42">
        <v>0</v>
      </c>
      <c r="I72" s="42">
        <v>0</v>
      </c>
      <c r="K72" s="42">
        <v>0</v>
      </c>
      <c r="M72" s="42">
        <v>0</v>
      </c>
      <c r="O72" s="42">
        <v>0</v>
      </c>
      <c r="Q72" s="42">
        <v>0</v>
      </c>
      <c r="S72" s="42">
        <v>0</v>
      </c>
      <c r="U72" s="42">
        <v>0</v>
      </c>
      <c r="W72" s="42">
        <v>0</v>
      </c>
      <c r="Y72" s="42">
        <v>0</v>
      </c>
      <c r="AA72" s="42">
        <v>0</v>
      </c>
      <c r="AC72" s="42">
        <v>0</v>
      </c>
      <c r="AE72" s="42">
        <v>0</v>
      </c>
      <c r="AG72" s="42">
        <v>0</v>
      </c>
      <c r="AI72" s="42">
        <v>0</v>
      </c>
      <c r="AK72" s="42">
        <v>0</v>
      </c>
      <c r="AL72" s="9" t="s">
        <v>876</v>
      </c>
      <c r="AM72" s="9"/>
      <c r="AN72" s="9" t="s">
        <v>48</v>
      </c>
      <c r="AP72" s="42">
        <v>0</v>
      </c>
      <c r="AR72" s="42">
        <v>0</v>
      </c>
      <c r="AT72" s="42">
        <v>0</v>
      </c>
      <c r="AV72" s="42">
        <v>0</v>
      </c>
      <c r="AX72" s="42">
        <v>0</v>
      </c>
      <c r="AZ72" s="42">
        <v>0</v>
      </c>
      <c r="BB72" s="5">
        <f>SUM(G72:AZ72)</f>
        <v>0</v>
      </c>
      <c r="BD72" s="42">
        <v>0</v>
      </c>
      <c r="BF72" s="42">
        <v>0</v>
      </c>
      <c r="BH72" s="42">
        <v>0</v>
      </c>
      <c r="BJ72" s="42">
        <v>0</v>
      </c>
      <c r="BL72" s="5">
        <f>BB72+BD72+BJ72</f>
        <v>0</v>
      </c>
      <c r="BN72" s="5">
        <f>'Gov Fd Rev'!AQ72-'Gov Fd Exp'!BL72</f>
        <v>0</v>
      </c>
      <c r="BP72" s="42">
        <v>0</v>
      </c>
      <c r="BR72" s="42">
        <v>0</v>
      </c>
      <c r="BT72" s="42">
        <v>0</v>
      </c>
      <c r="BV72" s="5">
        <f>BN72+BP72+BR72+BT72</f>
        <v>0</v>
      </c>
      <c r="BW72" s="5"/>
      <c r="BX72" s="5">
        <f>BV72-'Gov Fd BS'!AI72</f>
        <v>0</v>
      </c>
    </row>
    <row r="73" spans="1:76">
      <c r="A73" s="9" t="s">
        <v>779</v>
      </c>
      <c r="B73" s="9"/>
      <c r="C73" s="9" t="s">
        <v>20</v>
      </c>
      <c r="D73" s="9"/>
      <c r="E73" s="23">
        <v>43646</v>
      </c>
      <c r="G73" s="42">
        <v>22057768</v>
      </c>
      <c r="I73" s="42">
        <v>6388767</v>
      </c>
      <c r="K73" s="42">
        <v>100658</v>
      </c>
      <c r="M73" s="42">
        <v>0</v>
      </c>
      <c r="O73" s="42">
        <v>648211</v>
      </c>
      <c r="Q73" s="42">
        <v>3845353</v>
      </c>
      <c r="S73" s="42">
        <v>3109241</v>
      </c>
      <c r="U73" s="42">
        <v>126554</v>
      </c>
      <c r="W73" s="42">
        <v>2788195</v>
      </c>
      <c r="Y73" s="42">
        <v>1206206</v>
      </c>
      <c r="AA73" s="42">
        <v>439061</v>
      </c>
      <c r="AC73" s="42">
        <v>4023614</v>
      </c>
      <c r="AE73" s="42">
        <v>3338591</v>
      </c>
      <c r="AG73" s="42">
        <v>235818</v>
      </c>
      <c r="AI73" s="42">
        <v>1681054</v>
      </c>
      <c r="AK73" s="42">
        <v>643660</v>
      </c>
      <c r="AL73" s="9" t="s">
        <v>779</v>
      </c>
      <c r="AM73" s="9"/>
      <c r="AN73" s="9" t="s">
        <v>20</v>
      </c>
      <c r="AP73" s="42">
        <v>1116795</v>
      </c>
      <c r="AR73" s="42">
        <v>1386588</v>
      </c>
      <c r="AT73" s="42">
        <v>0</v>
      </c>
      <c r="AV73" s="42">
        <v>1596090</v>
      </c>
      <c r="AX73" s="42">
        <v>802229</v>
      </c>
      <c r="AZ73" s="42">
        <f>147202+1845000+467005</f>
        <v>2459207</v>
      </c>
      <c r="BB73" s="5">
        <f t="shared" si="16"/>
        <v>57993660</v>
      </c>
      <c r="BD73" s="42">
        <v>15000</v>
      </c>
      <c r="BF73" s="42">
        <v>0</v>
      </c>
      <c r="BH73" s="42">
        <v>0</v>
      </c>
      <c r="BJ73" s="42">
        <v>10332798</v>
      </c>
      <c r="BL73" s="5">
        <f t="shared" si="1"/>
        <v>68341458</v>
      </c>
      <c r="BN73" s="5">
        <f>'Gov Fd Rev'!AQ73-'Gov Fd Exp'!BL73</f>
        <v>-1828878</v>
      </c>
      <c r="BP73" s="42">
        <v>16733284</v>
      </c>
      <c r="BR73" s="42">
        <v>0</v>
      </c>
      <c r="BT73" s="42">
        <v>0</v>
      </c>
      <c r="BV73" s="5">
        <f t="shared" si="5"/>
        <v>14904406</v>
      </c>
      <c r="BW73" s="5"/>
      <c r="BX73" s="5">
        <f>BV73-'Gov Fd BS'!AI73</f>
        <v>0</v>
      </c>
    </row>
    <row r="74" spans="1:76">
      <c r="A74" s="9" t="s">
        <v>745</v>
      </c>
      <c r="B74" s="9"/>
      <c r="C74" s="9" t="s">
        <v>15</v>
      </c>
      <c r="D74" s="9"/>
      <c r="E74" s="23">
        <v>45237</v>
      </c>
      <c r="G74" s="42">
        <v>3542979</v>
      </c>
      <c r="I74" s="42">
        <v>1088545</v>
      </c>
      <c r="K74" s="42">
        <v>27514</v>
      </c>
      <c r="M74" s="42">
        <v>0</v>
      </c>
      <c r="O74" s="42">
        <v>128234</v>
      </c>
      <c r="Q74" s="42">
        <v>317865</v>
      </c>
      <c r="S74" s="42">
        <v>272727</v>
      </c>
      <c r="U74" s="42">
        <v>43667</v>
      </c>
      <c r="W74" s="42">
        <v>652426</v>
      </c>
      <c r="Y74" s="42">
        <v>261502</v>
      </c>
      <c r="AA74" s="42">
        <v>39423</v>
      </c>
      <c r="AC74" s="42">
        <v>725174</v>
      </c>
      <c r="AE74" s="42">
        <v>325257</v>
      </c>
      <c r="AG74" s="42">
        <v>8057</v>
      </c>
      <c r="AI74" s="42">
        <v>333809</v>
      </c>
      <c r="AK74" s="42">
        <v>0</v>
      </c>
      <c r="AL74" s="9" t="s">
        <v>745</v>
      </c>
      <c r="AM74" s="9"/>
      <c r="AN74" s="9" t="s">
        <v>15</v>
      </c>
      <c r="AP74" s="42">
        <v>163298</v>
      </c>
      <c r="AR74" s="42">
        <v>138441</v>
      </c>
      <c r="AT74" s="42">
        <v>0</v>
      </c>
      <c r="AV74" s="42">
        <v>245000</v>
      </c>
      <c r="AX74" s="42">
        <v>101946</v>
      </c>
      <c r="AZ74" s="42">
        <v>0</v>
      </c>
      <c r="BB74" s="5">
        <f t="shared" si="16"/>
        <v>8415864</v>
      </c>
      <c r="BD74" s="42">
        <v>0</v>
      </c>
      <c r="BF74" s="42">
        <v>0</v>
      </c>
      <c r="BH74" s="42">
        <v>0</v>
      </c>
      <c r="BJ74" s="42">
        <v>0</v>
      </c>
      <c r="BL74" s="5">
        <f t="shared" si="1"/>
        <v>8415864</v>
      </c>
      <c r="BN74" s="5">
        <f>'Gov Fd Rev'!AQ74-'Gov Fd Exp'!BL74</f>
        <v>408104</v>
      </c>
      <c r="BP74" s="42">
        <v>1588713</v>
      </c>
      <c r="BR74" s="42">
        <v>0</v>
      </c>
      <c r="BT74" s="42">
        <v>0</v>
      </c>
      <c r="BV74" s="5">
        <f t="shared" si="5"/>
        <v>1996817</v>
      </c>
      <c r="BW74" s="5"/>
      <c r="BX74" s="5">
        <f>BV74-'Gov Fd BS'!AI74</f>
        <v>0</v>
      </c>
    </row>
    <row r="75" spans="1:76" hidden="1">
      <c r="A75" s="9" t="s">
        <v>787</v>
      </c>
      <c r="B75" s="9"/>
      <c r="C75" s="9" t="s">
        <v>346</v>
      </c>
      <c r="D75" s="9"/>
      <c r="E75" s="23">
        <v>47613</v>
      </c>
      <c r="G75" s="42">
        <v>0</v>
      </c>
      <c r="I75" s="42">
        <v>0</v>
      </c>
      <c r="K75" s="42">
        <v>0</v>
      </c>
      <c r="M75" s="42">
        <v>0</v>
      </c>
      <c r="O75" s="42">
        <v>0</v>
      </c>
      <c r="Q75" s="42">
        <v>0</v>
      </c>
      <c r="S75" s="42">
        <v>0</v>
      </c>
      <c r="U75" s="42">
        <v>0</v>
      </c>
      <c r="W75" s="42">
        <v>0</v>
      </c>
      <c r="Y75" s="42">
        <v>0</v>
      </c>
      <c r="AA75" s="42">
        <v>0</v>
      </c>
      <c r="AC75" s="42">
        <v>0</v>
      </c>
      <c r="AE75" s="42">
        <v>0</v>
      </c>
      <c r="AG75" s="42">
        <v>0</v>
      </c>
      <c r="AI75" s="42">
        <v>0</v>
      </c>
      <c r="AK75" s="42">
        <v>0</v>
      </c>
      <c r="AL75" s="9" t="s">
        <v>787</v>
      </c>
      <c r="AM75" s="9"/>
      <c r="AN75" s="9" t="s">
        <v>346</v>
      </c>
      <c r="AP75" s="42">
        <v>0</v>
      </c>
      <c r="AR75" s="42">
        <v>0</v>
      </c>
      <c r="AT75" s="42">
        <v>0</v>
      </c>
      <c r="AV75" s="42">
        <v>0</v>
      </c>
      <c r="AX75" s="42">
        <v>0</v>
      </c>
      <c r="AZ75" s="42">
        <v>0</v>
      </c>
      <c r="BB75" s="5">
        <f t="shared" si="16"/>
        <v>0</v>
      </c>
      <c r="BD75" s="42">
        <v>0</v>
      </c>
      <c r="BF75" s="42">
        <v>0</v>
      </c>
      <c r="BH75" s="42">
        <v>0</v>
      </c>
      <c r="BJ75" s="42">
        <v>0</v>
      </c>
      <c r="BL75" s="5">
        <f t="shared" si="1"/>
        <v>0</v>
      </c>
      <c r="BN75" s="5">
        <f>'Gov Fd Rev'!AQ75-'Gov Fd Exp'!BL75</f>
        <v>0</v>
      </c>
      <c r="BP75" s="42">
        <v>0</v>
      </c>
      <c r="BR75" s="42">
        <v>0</v>
      </c>
      <c r="BT75" s="42">
        <v>0</v>
      </c>
      <c r="BV75" s="5">
        <f t="shared" si="5"/>
        <v>0</v>
      </c>
      <c r="BW75" s="5"/>
      <c r="BX75" s="5">
        <f>BV75-'Gov Fd BS'!AI75</f>
        <v>0</v>
      </c>
    </row>
    <row r="76" spans="1:76">
      <c r="A76" s="9" t="s">
        <v>515</v>
      </c>
      <c r="B76" s="9"/>
      <c r="C76" s="9" t="s">
        <v>64</v>
      </c>
      <c r="D76" s="9"/>
      <c r="E76" s="23">
        <v>50112</v>
      </c>
      <c r="G76" s="42">
        <v>3650303</v>
      </c>
      <c r="I76" s="42">
        <v>955442</v>
      </c>
      <c r="K76" s="42">
        <v>62110</v>
      </c>
      <c r="M76" s="42">
        <v>0</v>
      </c>
      <c r="O76" s="42">
        <v>8901</v>
      </c>
      <c r="Q76" s="42">
        <v>236237</v>
      </c>
      <c r="S76" s="42">
        <v>114770</v>
      </c>
      <c r="U76" s="42">
        <v>33111</v>
      </c>
      <c r="W76" s="42">
        <v>614788</v>
      </c>
      <c r="Y76" s="42">
        <v>229647</v>
      </c>
      <c r="AA76" s="42">
        <v>26852</v>
      </c>
      <c r="AC76" s="42">
        <v>587054</v>
      </c>
      <c r="AE76" s="42">
        <v>523739</v>
      </c>
      <c r="AG76" s="42">
        <v>102182</v>
      </c>
      <c r="AI76" s="42">
        <v>292902</v>
      </c>
      <c r="AK76" s="42">
        <v>120</v>
      </c>
      <c r="AL76" s="9" t="s">
        <v>515</v>
      </c>
      <c r="AM76" s="9"/>
      <c r="AN76" s="9" t="s">
        <v>64</v>
      </c>
      <c r="AP76" s="42">
        <v>210114</v>
      </c>
      <c r="AR76" s="42">
        <v>330150</v>
      </c>
      <c r="AT76" s="42">
        <v>0</v>
      </c>
      <c r="AV76" s="42">
        <v>155519</v>
      </c>
      <c r="AX76" s="42">
        <v>33653</v>
      </c>
      <c r="AZ76" s="42">
        <v>0</v>
      </c>
      <c r="BB76" s="5">
        <f t="shared" si="16"/>
        <v>8167594</v>
      </c>
      <c r="BD76" s="42">
        <v>0</v>
      </c>
      <c r="BF76" s="42">
        <v>0</v>
      </c>
      <c r="BH76" s="42">
        <v>0</v>
      </c>
      <c r="BJ76" s="42">
        <v>0</v>
      </c>
      <c r="BL76" s="5">
        <f t="shared" si="1"/>
        <v>8167594</v>
      </c>
      <c r="BN76" s="5">
        <f>'Gov Fd Rev'!AQ76-'Gov Fd Exp'!BL76</f>
        <v>-285127</v>
      </c>
      <c r="BP76" s="42">
        <v>2411865</v>
      </c>
      <c r="BR76" s="42">
        <v>6194</v>
      </c>
      <c r="BT76" s="42">
        <v>0</v>
      </c>
      <c r="BV76" s="5">
        <f t="shared" si="5"/>
        <v>2132932</v>
      </c>
      <c r="BW76" s="5"/>
      <c r="BX76" s="5">
        <f>BV76-'Gov Fd BS'!AI76</f>
        <v>0</v>
      </c>
    </row>
    <row r="77" spans="1:76">
      <c r="A77" s="9" t="s">
        <v>668</v>
      </c>
      <c r="B77" s="9"/>
      <c r="C77" s="9" t="s">
        <v>64</v>
      </c>
      <c r="D77" s="9"/>
      <c r="E77" s="23">
        <v>50120</v>
      </c>
      <c r="G77" s="42">
        <v>4732440</v>
      </c>
      <c r="I77" s="42">
        <v>1454147</v>
      </c>
      <c r="K77" s="42">
        <v>80282</v>
      </c>
      <c r="M77" s="42">
        <v>0</v>
      </c>
      <c r="O77" s="42">
        <v>0</v>
      </c>
      <c r="Q77" s="42">
        <v>507097</v>
      </c>
      <c r="S77" s="42">
        <v>419477</v>
      </c>
      <c r="U77" s="42">
        <v>11687</v>
      </c>
      <c r="W77" s="42">
        <v>954095</v>
      </c>
      <c r="Y77" s="42">
        <v>306700</v>
      </c>
      <c r="AA77" s="42">
        <v>37303</v>
      </c>
      <c r="AC77" s="42">
        <v>1003348</v>
      </c>
      <c r="AE77" s="42">
        <v>562485</v>
      </c>
      <c r="AG77" s="42">
        <v>12170</v>
      </c>
      <c r="AI77" s="42">
        <v>529038</v>
      </c>
      <c r="AK77" s="42">
        <v>0</v>
      </c>
      <c r="AL77" s="9" t="s">
        <v>668</v>
      </c>
      <c r="AM77" s="9"/>
      <c r="AN77" s="9" t="s">
        <v>64</v>
      </c>
      <c r="AP77" s="42">
        <v>311811</v>
      </c>
      <c r="AR77" s="42">
        <v>1603284</v>
      </c>
      <c r="AT77" s="42">
        <v>0</v>
      </c>
      <c r="AV77" s="42">
        <v>277244</v>
      </c>
      <c r="AX77" s="42">
        <v>686328</v>
      </c>
      <c r="AZ77" s="42">
        <v>0</v>
      </c>
      <c r="BB77" s="5">
        <f t="shared" si="16"/>
        <v>13488936</v>
      </c>
      <c r="BD77" s="42">
        <v>0</v>
      </c>
      <c r="BF77" s="42">
        <v>0</v>
      </c>
      <c r="BH77" s="42">
        <v>0</v>
      </c>
      <c r="BJ77" s="42">
        <v>0</v>
      </c>
      <c r="BL77" s="5">
        <f t="shared" si="1"/>
        <v>13488936</v>
      </c>
      <c r="BN77" s="5">
        <f>'Gov Fd Rev'!AQ77-'Gov Fd Exp'!BL77</f>
        <v>-1749262</v>
      </c>
      <c r="BP77" s="42">
        <v>358700</v>
      </c>
      <c r="BR77" s="42">
        <v>0</v>
      </c>
      <c r="BT77" s="42">
        <v>0</v>
      </c>
      <c r="BV77" s="5">
        <f t="shared" si="5"/>
        <v>-1390562</v>
      </c>
      <c r="BW77" s="5"/>
      <c r="BX77" s="5">
        <f>BV77-'Gov Fd BS'!AI77</f>
        <v>0</v>
      </c>
    </row>
    <row r="78" spans="1:76">
      <c r="A78" s="9" t="s">
        <v>262</v>
      </c>
      <c r="B78" s="9"/>
      <c r="C78" s="9" t="s">
        <v>20</v>
      </c>
      <c r="D78" s="9"/>
      <c r="E78" s="23">
        <v>43653</v>
      </c>
      <c r="G78" s="42">
        <v>7413129</v>
      </c>
      <c r="I78" s="42">
        <v>2493023</v>
      </c>
      <c r="K78" s="42">
        <v>124041</v>
      </c>
      <c r="M78" s="42">
        <v>0</v>
      </c>
      <c r="O78" s="42">
        <v>0</v>
      </c>
      <c r="Q78" s="42">
        <v>1731644</v>
      </c>
      <c r="S78" s="42">
        <v>210906</v>
      </c>
      <c r="U78" s="42">
        <v>41335</v>
      </c>
      <c r="W78" s="42">
        <v>1386640</v>
      </c>
      <c r="Y78" s="42">
        <v>626502</v>
      </c>
      <c r="AA78" s="42">
        <v>108119</v>
      </c>
      <c r="AC78" s="42">
        <v>1035819</v>
      </c>
      <c r="AE78" s="42">
        <v>306830</v>
      </c>
      <c r="AG78" s="42">
        <v>187477</v>
      </c>
      <c r="AI78" s="42">
        <v>457389</v>
      </c>
      <c r="AK78" s="42">
        <v>379213</v>
      </c>
      <c r="AL78" s="9" t="s">
        <v>262</v>
      </c>
      <c r="AM78" s="9"/>
      <c r="AN78" s="9" t="s">
        <v>20</v>
      </c>
      <c r="AP78" s="42">
        <v>465682</v>
      </c>
      <c r="AR78" s="42">
        <v>139363</v>
      </c>
      <c r="AT78" s="42">
        <v>0</v>
      </c>
      <c r="AV78" s="42">
        <v>0</v>
      </c>
      <c r="AX78" s="42">
        <v>0</v>
      </c>
      <c r="AZ78" s="42">
        <v>0</v>
      </c>
      <c r="BB78" s="5">
        <f t="shared" si="16"/>
        <v>17107112</v>
      </c>
      <c r="BD78" s="42">
        <v>0</v>
      </c>
      <c r="BF78" s="42">
        <v>0</v>
      </c>
      <c r="BH78" s="42">
        <v>0</v>
      </c>
      <c r="BJ78" s="42">
        <v>0</v>
      </c>
      <c r="BL78" s="5">
        <f t="shared" si="1"/>
        <v>17107112</v>
      </c>
      <c r="BN78" s="5">
        <f>'Gov Fd Rev'!AQ78-'Gov Fd Exp'!BL78</f>
        <v>-1148968</v>
      </c>
      <c r="BP78" s="42">
        <v>4991822</v>
      </c>
      <c r="BR78" s="42">
        <v>0</v>
      </c>
      <c r="BT78" s="42">
        <v>0</v>
      </c>
      <c r="BV78" s="5">
        <f t="shared" si="5"/>
        <v>3842854</v>
      </c>
      <c r="BW78" s="5"/>
      <c r="BX78" s="5">
        <f>BV78-'Gov Fd BS'!AI78</f>
        <v>0</v>
      </c>
    </row>
    <row r="79" spans="1:76">
      <c r="A79" s="9" t="s">
        <v>425</v>
      </c>
      <c r="B79" s="9"/>
      <c r="C79" s="9" t="s">
        <v>50</v>
      </c>
      <c r="D79" s="9"/>
      <c r="E79" s="23">
        <v>48678</v>
      </c>
      <c r="G79" s="42">
        <v>5578086</v>
      </c>
      <c r="I79" s="42">
        <v>1252925</v>
      </c>
      <c r="K79" s="42">
        <v>176726</v>
      </c>
      <c r="M79" s="42">
        <v>0</v>
      </c>
      <c r="O79" s="42">
        <v>96937</v>
      </c>
      <c r="Q79" s="42">
        <v>822222</v>
      </c>
      <c r="S79" s="42">
        <v>851332</v>
      </c>
      <c r="U79" s="42">
        <v>0</v>
      </c>
      <c r="W79" s="42">
        <f>24172+1369402</f>
        <v>1393574</v>
      </c>
      <c r="Y79" s="42">
        <v>361893</v>
      </c>
      <c r="AA79" s="42">
        <v>518</v>
      </c>
      <c r="AC79" s="42">
        <v>1270256</v>
      </c>
      <c r="AE79" s="42">
        <v>766107</v>
      </c>
      <c r="AG79" s="42">
        <v>31778</v>
      </c>
      <c r="AI79" s="42">
        <v>0</v>
      </c>
      <c r="AK79" s="42">
        <v>700957</v>
      </c>
      <c r="AL79" s="9" t="s">
        <v>425</v>
      </c>
      <c r="AM79" s="9"/>
      <c r="AN79" s="9" t="s">
        <v>50</v>
      </c>
      <c r="AP79" s="42">
        <v>577070</v>
      </c>
      <c r="AR79" s="42">
        <v>787106</v>
      </c>
      <c r="AT79" s="42">
        <v>0</v>
      </c>
      <c r="AV79" s="42">
        <v>685000</v>
      </c>
      <c r="AX79" s="42">
        <v>751849</v>
      </c>
      <c r="AZ79" s="42">
        <v>0</v>
      </c>
      <c r="BB79" s="5">
        <f t="shared" si="16"/>
        <v>16104336</v>
      </c>
      <c r="BD79" s="42">
        <v>96839</v>
      </c>
      <c r="BF79" s="42">
        <v>0</v>
      </c>
      <c r="BH79" s="42">
        <v>0</v>
      </c>
      <c r="BJ79" s="42">
        <v>0</v>
      </c>
      <c r="BL79" s="5">
        <f t="shared" si="1"/>
        <v>16201175</v>
      </c>
      <c r="BN79" s="5">
        <f>'Gov Fd Rev'!AQ79-'Gov Fd Exp'!BL79</f>
        <v>-1228468</v>
      </c>
      <c r="BP79" s="42">
        <v>9892469</v>
      </c>
      <c r="BR79" s="42">
        <v>0</v>
      </c>
      <c r="BT79" s="42">
        <v>0</v>
      </c>
      <c r="BV79" s="5">
        <f t="shared" si="5"/>
        <v>8664001</v>
      </c>
      <c r="BW79" s="5"/>
      <c r="BX79" s="5">
        <f>BV79-'Gov Fd BS'!AI79</f>
        <v>0</v>
      </c>
    </row>
    <row r="80" spans="1:76">
      <c r="A80" s="9" t="s">
        <v>226</v>
      </c>
      <c r="B80" s="9"/>
      <c r="C80" s="9" t="s">
        <v>16</v>
      </c>
      <c r="D80" s="9"/>
      <c r="E80" s="23">
        <v>46177</v>
      </c>
      <c r="G80" s="42">
        <v>3852294</v>
      </c>
      <c r="I80" s="42">
        <v>569430</v>
      </c>
      <c r="K80" s="42">
        <v>69268</v>
      </c>
      <c r="M80" s="42">
        <v>0</v>
      </c>
      <c r="O80" s="42">
        <v>0</v>
      </c>
      <c r="Q80" s="42">
        <v>228009</v>
      </c>
      <c r="S80" s="42">
        <v>413028</v>
      </c>
      <c r="U80" s="42">
        <v>203307</v>
      </c>
      <c r="W80" s="42">
        <v>708277</v>
      </c>
      <c r="Y80" s="42">
        <v>178820</v>
      </c>
      <c r="AA80" s="42">
        <v>0</v>
      </c>
      <c r="AC80" s="42">
        <v>457529</v>
      </c>
      <c r="AE80" s="42">
        <v>331681</v>
      </c>
      <c r="AG80" s="42">
        <v>8159</v>
      </c>
      <c r="AI80" s="42">
        <v>360107</v>
      </c>
      <c r="AK80" s="42">
        <v>0</v>
      </c>
      <c r="AL80" s="9" t="s">
        <v>226</v>
      </c>
      <c r="AM80" s="9"/>
      <c r="AN80" s="9" t="s">
        <v>16</v>
      </c>
      <c r="AP80" s="42">
        <v>320361</v>
      </c>
      <c r="AR80" s="42">
        <v>0</v>
      </c>
      <c r="AT80" s="42">
        <v>0</v>
      </c>
      <c r="AV80" s="42">
        <v>27332</v>
      </c>
      <c r="AX80" s="42">
        <v>1623</v>
      </c>
      <c r="AZ80" s="42">
        <v>0</v>
      </c>
      <c r="BB80" s="5">
        <f t="shared" si="16"/>
        <v>7729225</v>
      </c>
      <c r="BD80" s="42">
        <v>0</v>
      </c>
      <c r="BF80" s="42">
        <v>0</v>
      </c>
      <c r="BH80" s="42">
        <v>0</v>
      </c>
      <c r="BJ80" s="42">
        <v>0</v>
      </c>
      <c r="BL80" s="5">
        <f t="shared" si="1"/>
        <v>7729225</v>
      </c>
      <c r="BN80" s="5">
        <f>'Gov Fd Rev'!AQ80-'Gov Fd Exp'!BL80</f>
        <v>143663</v>
      </c>
      <c r="BP80" s="42">
        <v>3836426</v>
      </c>
      <c r="BR80" s="42">
        <v>0</v>
      </c>
      <c r="BT80" s="42">
        <v>0</v>
      </c>
      <c r="BV80" s="5">
        <f t="shared" si="5"/>
        <v>3980089</v>
      </c>
      <c r="BW80" s="5"/>
      <c r="BX80" s="5">
        <f>BV80-'Gov Fd BS'!AI80</f>
        <v>0</v>
      </c>
    </row>
    <row r="81" spans="1:76">
      <c r="A81" s="9" t="s">
        <v>412</v>
      </c>
      <c r="B81" s="9"/>
      <c r="C81" s="9" t="s">
        <v>47</v>
      </c>
      <c r="D81" s="9"/>
      <c r="E81" s="23">
        <v>43661</v>
      </c>
      <c r="G81" s="42">
        <v>32514117</v>
      </c>
      <c r="I81" s="42">
        <v>7317614</v>
      </c>
      <c r="K81" s="42">
        <v>197131</v>
      </c>
      <c r="M81" s="42">
        <v>0</v>
      </c>
      <c r="O81" s="42">
        <v>2038688</v>
      </c>
      <c r="Q81" s="42">
        <v>5908961</v>
      </c>
      <c r="S81" s="42">
        <v>2897678</v>
      </c>
      <c r="U81" s="42">
        <v>575314</v>
      </c>
      <c r="W81" s="42">
        <v>4836568</v>
      </c>
      <c r="Y81" s="42">
        <v>1338787</v>
      </c>
      <c r="AA81" s="42">
        <v>604377</v>
      </c>
      <c r="AC81" s="42">
        <v>5951184</v>
      </c>
      <c r="AE81" s="42">
        <v>4759932</v>
      </c>
      <c r="AG81" s="42">
        <v>278948</v>
      </c>
      <c r="AI81" s="42">
        <v>2224842</v>
      </c>
      <c r="AK81" s="42">
        <v>461536</v>
      </c>
      <c r="AL81" s="9" t="s">
        <v>412</v>
      </c>
      <c r="AM81" s="9"/>
      <c r="AN81" s="9" t="s">
        <v>47</v>
      </c>
      <c r="AP81" s="42">
        <v>1754394</v>
      </c>
      <c r="AR81" s="42">
        <v>706472</v>
      </c>
      <c r="AT81" s="42">
        <v>0</v>
      </c>
      <c r="AV81" s="42">
        <v>1972417</v>
      </c>
      <c r="AX81" s="42">
        <v>2150974</v>
      </c>
      <c r="AZ81" s="42">
        <v>0</v>
      </c>
      <c r="BB81" s="5">
        <f t="shared" si="16"/>
        <v>78489934</v>
      </c>
      <c r="BD81" s="42">
        <v>7500</v>
      </c>
      <c r="BF81" s="42">
        <v>0</v>
      </c>
      <c r="BH81" s="42">
        <v>0</v>
      </c>
      <c r="BJ81" s="42">
        <v>0</v>
      </c>
      <c r="BL81" s="5">
        <f t="shared" si="1"/>
        <v>78497434</v>
      </c>
      <c r="BN81" s="5">
        <f>'Gov Fd Rev'!AQ81-'Gov Fd Exp'!BL81</f>
        <v>-5739470</v>
      </c>
      <c r="BP81" s="42">
        <v>9642892</v>
      </c>
      <c r="BR81" s="42">
        <v>0</v>
      </c>
      <c r="BT81" s="42">
        <v>0</v>
      </c>
      <c r="BV81" s="5">
        <f t="shared" si="5"/>
        <v>3903422</v>
      </c>
      <c r="BW81" s="5"/>
      <c r="BX81" s="5">
        <f>BV81-'Gov Fd BS'!AI81</f>
        <v>0</v>
      </c>
    </row>
    <row r="82" spans="1:76" hidden="1">
      <c r="A82" s="9" t="s">
        <v>669</v>
      </c>
      <c r="B82" s="9"/>
      <c r="C82" s="9" t="s">
        <v>548</v>
      </c>
      <c r="D82" s="9"/>
      <c r="E82" s="23">
        <v>43679</v>
      </c>
      <c r="G82" s="42">
        <v>0</v>
      </c>
      <c r="I82" s="42">
        <v>0</v>
      </c>
      <c r="K82" s="42">
        <v>0</v>
      </c>
      <c r="M82" s="42">
        <v>0</v>
      </c>
      <c r="O82" s="42">
        <v>0</v>
      </c>
      <c r="Q82" s="42">
        <v>0</v>
      </c>
      <c r="S82" s="42">
        <v>0</v>
      </c>
      <c r="U82" s="42">
        <v>0</v>
      </c>
      <c r="W82" s="42">
        <v>0</v>
      </c>
      <c r="Y82" s="42">
        <v>0</v>
      </c>
      <c r="AA82" s="42">
        <v>0</v>
      </c>
      <c r="AC82" s="42">
        <v>0</v>
      </c>
      <c r="AE82" s="42">
        <v>0</v>
      </c>
      <c r="AG82" s="42">
        <v>0</v>
      </c>
      <c r="AI82" s="42">
        <v>0</v>
      </c>
      <c r="AK82" s="42">
        <v>0</v>
      </c>
      <c r="AL82" s="9" t="s">
        <v>669</v>
      </c>
      <c r="AM82" s="9"/>
      <c r="AN82" s="9" t="s">
        <v>548</v>
      </c>
      <c r="AP82" s="42">
        <v>0</v>
      </c>
      <c r="AR82" s="42">
        <v>0</v>
      </c>
      <c r="AT82" s="42">
        <v>0</v>
      </c>
      <c r="AV82" s="42">
        <v>0</v>
      </c>
      <c r="AX82" s="42">
        <v>0</v>
      </c>
      <c r="AZ82" s="42">
        <v>0</v>
      </c>
      <c r="BB82" s="5">
        <f t="shared" si="16"/>
        <v>0</v>
      </c>
      <c r="BD82" s="42">
        <v>0</v>
      </c>
      <c r="BF82" s="42">
        <v>0</v>
      </c>
      <c r="BH82" s="42">
        <v>0</v>
      </c>
      <c r="BJ82" s="42">
        <v>0</v>
      </c>
      <c r="BL82" s="5">
        <f t="shared" si="1"/>
        <v>0</v>
      </c>
      <c r="BN82" s="5">
        <f>'Gov Fd Rev'!AQ82-'Gov Fd Exp'!BL82</f>
        <v>0</v>
      </c>
      <c r="BP82" s="42">
        <v>0</v>
      </c>
      <c r="BR82" s="42">
        <v>0</v>
      </c>
      <c r="BT82" s="42">
        <v>0</v>
      </c>
      <c r="BV82" s="5">
        <f t="shared" si="5"/>
        <v>0</v>
      </c>
      <c r="BW82" s="5"/>
      <c r="BX82" s="5">
        <f>BV82-'Gov Fd BS'!AI82</f>
        <v>0</v>
      </c>
    </row>
    <row r="83" spans="1:76">
      <c r="A83" s="9" t="s">
        <v>254</v>
      </c>
      <c r="B83" s="9"/>
      <c r="C83" s="9" t="s">
        <v>110</v>
      </c>
      <c r="D83" s="9"/>
      <c r="E83" s="23">
        <v>46508</v>
      </c>
      <c r="G83" s="42">
        <v>4033190</v>
      </c>
      <c r="I83" s="42">
        <v>903701</v>
      </c>
      <c r="K83" s="42">
        <v>142684</v>
      </c>
      <c r="M83" s="42">
        <v>0</v>
      </c>
      <c r="O83" s="42">
        <v>8521</v>
      </c>
      <c r="Q83" s="42">
        <v>357683</v>
      </c>
      <c r="S83" s="42">
        <v>167410</v>
      </c>
      <c r="U83" s="42">
        <v>18300</v>
      </c>
      <c r="W83" s="42">
        <v>778307</v>
      </c>
      <c r="Y83" s="42">
        <v>293236</v>
      </c>
      <c r="AA83" s="42">
        <v>0</v>
      </c>
      <c r="AC83" s="42">
        <v>538931</v>
      </c>
      <c r="AE83" s="42">
        <v>430947</v>
      </c>
      <c r="AG83" s="42">
        <v>75416</v>
      </c>
      <c r="AI83" s="42">
        <v>334516</v>
      </c>
      <c r="AK83" s="42">
        <v>56529</v>
      </c>
      <c r="AL83" s="9" t="s">
        <v>254</v>
      </c>
      <c r="AM83" s="9"/>
      <c r="AN83" s="9" t="s">
        <v>110</v>
      </c>
      <c r="AP83" s="42">
        <v>359111</v>
      </c>
      <c r="AR83" s="42">
        <f>178076+111922</f>
        <v>289998</v>
      </c>
      <c r="AT83" s="42">
        <v>0</v>
      </c>
      <c r="AV83" s="42">
        <v>278203</v>
      </c>
      <c r="AX83" s="42">
        <v>332856</v>
      </c>
      <c r="AZ83" s="42">
        <v>0</v>
      </c>
      <c r="BB83" s="5">
        <f t="shared" si="16"/>
        <v>9399539</v>
      </c>
      <c r="BD83" s="42">
        <v>50000</v>
      </c>
      <c r="BF83" s="42">
        <v>0</v>
      </c>
      <c r="BH83" s="42">
        <v>0</v>
      </c>
      <c r="BJ83" s="42">
        <v>0</v>
      </c>
      <c r="BL83" s="5">
        <f t="shared" si="1"/>
        <v>9449539</v>
      </c>
      <c r="BN83" s="5">
        <f>'Gov Fd Rev'!AQ83-'Gov Fd Exp'!BL83</f>
        <v>732683</v>
      </c>
      <c r="BP83" s="42">
        <v>5394222</v>
      </c>
      <c r="BR83" s="42">
        <v>0</v>
      </c>
      <c r="BT83" s="42">
        <v>0</v>
      </c>
      <c r="BV83" s="5">
        <f t="shared" si="5"/>
        <v>6126905</v>
      </c>
      <c r="BW83" s="5"/>
      <c r="BX83" s="5">
        <f>BV83-'Gov Fd BS'!AI83</f>
        <v>0</v>
      </c>
    </row>
    <row r="84" spans="1:76">
      <c r="A84" s="9" t="s">
        <v>205</v>
      </c>
      <c r="B84" s="9"/>
      <c r="C84" s="9" t="s">
        <v>12</v>
      </c>
      <c r="D84" s="9"/>
      <c r="E84" s="23">
        <v>45856</v>
      </c>
      <c r="G84" s="42">
        <v>9066220</v>
      </c>
      <c r="I84" s="42">
        <v>2044635</v>
      </c>
      <c r="K84" s="42">
        <v>294535</v>
      </c>
      <c r="M84" s="42">
        <v>0</v>
      </c>
      <c r="O84" s="42">
        <v>800</v>
      </c>
      <c r="Q84" s="42">
        <v>519352</v>
      </c>
      <c r="S84" s="42">
        <v>259425</v>
      </c>
      <c r="U84" s="42">
        <v>26189</v>
      </c>
      <c r="W84" s="42">
        <v>1357898</v>
      </c>
      <c r="Y84" s="42">
        <v>480937</v>
      </c>
      <c r="AA84" s="42">
        <v>80443</v>
      </c>
      <c r="AC84" s="42">
        <v>1720207</v>
      </c>
      <c r="AE84" s="42">
        <v>1298582</v>
      </c>
      <c r="AG84" s="42">
        <v>48707</v>
      </c>
      <c r="AI84" s="42">
        <v>798965</v>
      </c>
      <c r="AK84" s="42">
        <v>0</v>
      </c>
      <c r="AL84" s="9" t="s">
        <v>205</v>
      </c>
      <c r="AM84" s="9"/>
      <c r="AN84" s="9" t="s">
        <v>12</v>
      </c>
      <c r="AP84" s="42">
        <v>451200</v>
      </c>
      <c r="AR84" s="42">
        <v>469764</v>
      </c>
      <c r="AT84" s="42">
        <v>0</v>
      </c>
      <c r="AV84" s="42">
        <v>29872</v>
      </c>
      <c r="AX84" s="42">
        <v>1989</v>
      </c>
      <c r="AZ84" s="42">
        <v>0</v>
      </c>
      <c r="BB84" s="5">
        <f t="shared" si="16"/>
        <v>18949720</v>
      </c>
      <c r="BD84" s="42">
        <v>0</v>
      </c>
      <c r="BF84" s="42">
        <v>0</v>
      </c>
      <c r="BH84" s="42">
        <v>0</v>
      </c>
      <c r="BJ84" s="42">
        <v>0</v>
      </c>
      <c r="BL84" s="5">
        <f t="shared" si="1"/>
        <v>18949720</v>
      </c>
      <c r="BN84" s="5">
        <f>'Gov Fd Rev'!AQ84-'Gov Fd Exp'!BL84</f>
        <v>-2866942</v>
      </c>
      <c r="BP84" s="42">
        <v>7622792</v>
      </c>
      <c r="BR84" s="42">
        <v>0</v>
      </c>
      <c r="BT84" s="42">
        <v>0</v>
      </c>
      <c r="BV84" s="5">
        <f t="shared" si="5"/>
        <v>4755850</v>
      </c>
      <c r="BW84" s="5"/>
      <c r="BX84" s="5">
        <f>BV84-'Gov Fd BS'!AI84</f>
        <v>0</v>
      </c>
    </row>
    <row r="85" spans="1:76">
      <c r="A85" s="9" t="s">
        <v>205</v>
      </c>
      <c r="B85" s="9"/>
      <c r="C85" s="9" t="s">
        <v>39</v>
      </c>
      <c r="D85" s="9"/>
      <c r="E85" s="23">
        <v>47787</v>
      </c>
      <c r="G85" s="42">
        <v>9186123</v>
      </c>
      <c r="I85" s="42">
        <v>2587001</v>
      </c>
      <c r="K85" s="42">
        <v>511985</v>
      </c>
      <c r="M85" s="42">
        <v>0</v>
      </c>
      <c r="O85" s="42">
        <v>180788</v>
      </c>
      <c r="Q85" s="42">
        <v>1032169</v>
      </c>
      <c r="S85" s="42">
        <v>630647</v>
      </c>
      <c r="U85" s="42">
        <v>72837</v>
      </c>
      <c r="W85" s="42">
        <v>2055742</v>
      </c>
      <c r="Y85" s="42">
        <v>485022</v>
      </c>
      <c r="AA85" s="42">
        <v>41171</v>
      </c>
      <c r="AC85" s="42">
        <v>1942939</v>
      </c>
      <c r="AE85" s="42">
        <v>2082149</v>
      </c>
      <c r="AG85" s="42">
        <v>0</v>
      </c>
      <c r="AI85" s="42">
        <v>645053</v>
      </c>
      <c r="AK85" s="42">
        <v>4239</v>
      </c>
      <c r="AL85" s="9" t="s">
        <v>205</v>
      </c>
      <c r="AM85" s="9"/>
      <c r="AN85" s="9" t="s">
        <v>39</v>
      </c>
      <c r="AP85" s="42">
        <v>399616</v>
      </c>
      <c r="AR85" s="42">
        <v>1085462</v>
      </c>
      <c r="AT85" s="42">
        <v>0</v>
      </c>
      <c r="AV85" s="42">
        <v>5619</v>
      </c>
      <c r="AX85" s="42">
        <v>14932</v>
      </c>
      <c r="AZ85" s="42">
        <v>30742</v>
      </c>
      <c r="BB85" s="5">
        <f t="shared" si="16"/>
        <v>22994236</v>
      </c>
      <c r="BD85" s="42">
        <v>7786</v>
      </c>
      <c r="BF85" s="42">
        <v>0</v>
      </c>
      <c r="BH85" s="42">
        <v>0</v>
      </c>
      <c r="BJ85" s="42">
        <v>0</v>
      </c>
      <c r="BL85" s="5">
        <f t="shared" si="1"/>
        <v>23002022</v>
      </c>
      <c r="BN85" s="5">
        <f>'Gov Fd Rev'!AQ85-'Gov Fd Exp'!BL85</f>
        <v>-537644</v>
      </c>
      <c r="BP85" s="42">
        <v>-46573</v>
      </c>
      <c r="BR85" s="42">
        <v>0</v>
      </c>
      <c r="BT85" s="42">
        <v>0</v>
      </c>
      <c r="BV85" s="5">
        <f t="shared" si="5"/>
        <v>-584217</v>
      </c>
      <c r="BW85" s="5"/>
      <c r="BX85" s="5">
        <f>BV85-'Gov Fd BS'!AI85</f>
        <v>0</v>
      </c>
    </row>
    <row r="86" spans="1:76">
      <c r="A86" s="9" t="s">
        <v>670</v>
      </c>
      <c r="B86" s="9"/>
      <c r="C86" s="9" t="s">
        <v>47</v>
      </c>
      <c r="D86" s="9"/>
      <c r="E86" s="23">
        <v>48470</v>
      </c>
      <c r="G86" s="42">
        <v>9173102</v>
      </c>
      <c r="I86" s="42">
        <v>1657690</v>
      </c>
      <c r="K86" s="42">
        <v>138542</v>
      </c>
      <c r="M86" s="42">
        <v>0</v>
      </c>
      <c r="O86" s="42">
        <v>1131797</v>
      </c>
      <c r="Q86" s="42">
        <v>960018</v>
      </c>
      <c r="S86" s="42">
        <v>1090690</v>
      </c>
      <c r="U86" s="42">
        <v>34309</v>
      </c>
      <c r="W86" s="42">
        <v>1471438</v>
      </c>
      <c r="Y86" s="42">
        <v>674459</v>
      </c>
      <c r="AA86" s="42">
        <v>22849</v>
      </c>
      <c r="AC86" s="42">
        <v>1236149</v>
      </c>
      <c r="AE86" s="42">
        <v>1058760</v>
      </c>
      <c r="AG86" s="42">
        <v>17621</v>
      </c>
      <c r="AI86" s="42">
        <v>438734</v>
      </c>
      <c r="AK86" s="42">
        <v>203625</v>
      </c>
      <c r="AL86" s="9" t="s">
        <v>670</v>
      </c>
      <c r="AM86" s="9"/>
      <c r="AN86" s="9" t="s">
        <v>47</v>
      </c>
      <c r="AP86" s="42">
        <v>468833</v>
      </c>
      <c r="AR86" s="42">
        <v>312073</v>
      </c>
      <c r="AT86" s="42">
        <v>0</v>
      </c>
      <c r="AV86" s="42">
        <v>1254728</v>
      </c>
      <c r="AX86" s="42">
        <v>644986</v>
      </c>
      <c r="AZ86" s="42">
        <v>93840</v>
      </c>
      <c r="BB86" s="5">
        <f t="shared" si="16"/>
        <v>22084243</v>
      </c>
      <c r="BD86" s="42">
        <v>128185</v>
      </c>
      <c r="BF86" s="42">
        <v>0</v>
      </c>
      <c r="BH86" s="42">
        <v>0</v>
      </c>
      <c r="BJ86" s="42">
        <v>2584593</v>
      </c>
      <c r="BL86" s="5">
        <f t="shared" si="1"/>
        <v>24797021</v>
      </c>
      <c r="BN86" s="5">
        <f>'Gov Fd Rev'!AQ86-'Gov Fd Exp'!BL86</f>
        <v>1918526</v>
      </c>
      <c r="BP86" s="42">
        <v>1537505</v>
      </c>
      <c r="BR86" s="42">
        <v>0</v>
      </c>
      <c r="BT86" s="42">
        <v>0</v>
      </c>
      <c r="BV86" s="5">
        <f t="shared" si="5"/>
        <v>3456031</v>
      </c>
      <c r="BW86" s="5"/>
      <c r="BX86" s="5">
        <f>BV86-'Gov Fd BS'!AI86</f>
        <v>0</v>
      </c>
    </row>
    <row r="87" spans="1:76" hidden="1">
      <c r="A87" s="35" t="s">
        <v>788</v>
      </c>
      <c r="B87" s="9"/>
      <c r="C87" s="9" t="s">
        <v>111</v>
      </c>
      <c r="D87" s="9"/>
      <c r="E87" s="54" t="s">
        <v>871</v>
      </c>
      <c r="G87" s="42">
        <v>0</v>
      </c>
      <c r="I87" s="42">
        <v>0</v>
      </c>
      <c r="K87" s="42">
        <v>0</v>
      </c>
      <c r="M87" s="42">
        <v>0</v>
      </c>
      <c r="O87" s="42">
        <v>0</v>
      </c>
      <c r="Q87" s="42">
        <v>0</v>
      </c>
      <c r="S87" s="42">
        <v>0</v>
      </c>
      <c r="U87" s="42">
        <v>0</v>
      </c>
      <c r="W87" s="42">
        <v>0</v>
      </c>
      <c r="Y87" s="42">
        <v>0</v>
      </c>
      <c r="AA87" s="42">
        <v>0</v>
      </c>
      <c r="AC87" s="42">
        <v>0</v>
      </c>
      <c r="AE87" s="42">
        <v>0</v>
      </c>
      <c r="AG87" s="42">
        <v>0</v>
      </c>
      <c r="AI87" s="42">
        <v>0</v>
      </c>
      <c r="AK87" s="42">
        <v>0</v>
      </c>
      <c r="AL87" s="35" t="s">
        <v>788</v>
      </c>
      <c r="AM87" s="9"/>
      <c r="AN87" s="9" t="s">
        <v>111</v>
      </c>
      <c r="AP87" s="42">
        <v>0</v>
      </c>
      <c r="AR87" s="42">
        <v>0</v>
      </c>
      <c r="AT87" s="42">
        <v>0</v>
      </c>
      <c r="AV87" s="42">
        <v>0</v>
      </c>
      <c r="AX87" s="42">
        <v>0</v>
      </c>
      <c r="AZ87" s="42">
        <v>0</v>
      </c>
      <c r="BB87" s="5">
        <f>SUM(G87:AZ87)</f>
        <v>0</v>
      </c>
      <c r="BD87" s="42">
        <v>0</v>
      </c>
      <c r="BF87" s="42">
        <v>0</v>
      </c>
      <c r="BH87" s="42">
        <v>0</v>
      </c>
      <c r="BJ87" s="42">
        <v>0</v>
      </c>
      <c r="BL87" s="5">
        <f>BB87+BD87+BJ87</f>
        <v>0</v>
      </c>
      <c r="BN87" s="5">
        <f>'Gov Fd Rev'!AQ87-'Gov Fd Exp'!BL87</f>
        <v>0</v>
      </c>
      <c r="BP87" s="42">
        <v>0</v>
      </c>
      <c r="BR87" s="42">
        <v>0</v>
      </c>
      <c r="BT87" s="42">
        <v>0</v>
      </c>
      <c r="BV87" s="5">
        <f>BN87+BP87+BR87+BT87</f>
        <v>0</v>
      </c>
      <c r="BW87" s="5"/>
      <c r="BX87" s="5">
        <f>BV87-'Gov Fd BS'!AI87</f>
        <v>0</v>
      </c>
    </row>
    <row r="88" spans="1:76">
      <c r="A88" s="9" t="s">
        <v>631</v>
      </c>
      <c r="B88" s="9"/>
      <c r="C88" s="9" t="s">
        <v>23</v>
      </c>
      <c r="D88" s="9"/>
      <c r="E88" s="23">
        <v>46755</v>
      </c>
      <c r="G88" s="42">
        <v>10610685</v>
      </c>
      <c r="I88" s="42">
        <v>1690787</v>
      </c>
      <c r="K88" s="42">
        <v>239679</v>
      </c>
      <c r="M88" s="42">
        <v>0</v>
      </c>
      <c r="O88" s="42">
        <v>5865</v>
      </c>
      <c r="Q88" s="42">
        <v>2399874</v>
      </c>
      <c r="S88" s="42">
        <v>369075</v>
      </c>
      <c r="U88" s="42">
        <v>201868</v>
      </c>
      <c r="W88" s="42">
        <v>1827828</v>
      </c>
      <c r="Y88" s="42">
        <v>641198</v>
      </c>
      <c r="AA88" s="42">
        <v>0</v>
      </c>
      <c r="AC88" s="42">
        <v>2219025</v>
      </c>
      <c r="AE88" s="42">
        <v>1709968</v>
      </c>
      <c r="AG88" s="42">
        <v>29741</v>
      </c>
      <c r="AI88" s="42">
        <v>780655</v>
      </c>
      <c r="AK88" s="42">
        <v>15105</v>
      </c>
      <c r="AL88" s="9" t="s">
        <v>631</v>
      </c>
      <c r="AM88" s="9"/>
      <c r="AN88" s="9" t="s">
        <v>23</v>
      </c>
      <c r="AP88" s="42">
        <v>453944</v>
      </c>
      <c r="AR88" s="42">
        <f>1224576+458581</f>
        <v>1683157</v>
      </c>
      <c r="AT88" s="42">
        <v>0</v>
      </c>
      <c r="AV88" s="42">
        <v>1329758</v>
      </c>
      <c r="AX88" s="42">
        <v>949338</v>
      </c>
      <c r="AZ88" s="42">
        <v>0</v>
      </c>
      <c r="BB88" s="5">
        <f t="shared" si="16"/>
        <v>27157550</v>
      </c>
      <c r="BD88" s="42">
        <v>357869</v>
      </c>
      <c r="BF88" s="42">
        <v>0</v>
      </c>
      <c r="BH88" s="42">
        <v>0</v>
      </c>
      <c r="BJ88" s="42">
        <v>0</v>
      </c>
      <c r="BL88" s="5">
        <f>BB88+BD88+BJ88</f>
        <v>27515419</v>
      </c>
      <c r="BN88" s="5">
        <f>'Gov Fd Rev'!AQ88-'Gov Fd Exp'!BL88</f>
        <v>561109</v>
      </c>
      <c r="BP88" s="42">
        <v>9184032</v>
      </c>
      <c r="BR88" s="42">
        <v>0</v>
      </c>
      <c r="BT88" s="42">
        <v>0</v>
      </c>
      <c r="BV88" s="5">
        <f t="shared" si="5"/>
        <v>9745141</v>
      </c>
      <c r="BW88" s="5"/>
      <c r="BX88" s="5">
        <f>BV88-'Gov Fd BS'!AI88</f>
        <v>0</v>
      </c>
    </row>
    <row r="89" spans="1:76">
      <c r="A89" s="9" t="s">
        <v>255</v>
      </c>
      <c r="B89" s="9"/>
      <c r="C89" s="9" t="s">
        <v>110</v>
      </c>
      <c r="D89" s="9"/>
      <c r="E89" s="23">
        <v>43687</v>
      </c>
      <c r="G89" s="42">
        <v>7569118</v>
      </c>
      <c r="I89" s="42">
        <v>2064786</v>
      </c>
      <c r="K89" s="42">
        <v>9389</v>
      </c>
      <c r="M89" s="42">
        <v>0</v>
      </c>
      <c r="O89" s="42">
        <v>0</v>
      </c>
      <c r="Q89" s="42">
        <v>870401</v>
      </c>
      <c r="S89" s="42">
        <v>1066677</v>
      </c>
      <c r="U89" s="42">
        <v>99527</v>
      </c>
      <c r="W89" s="42">
        <v>1385303</v>
      </c>
      <c r="Y89" s="42">
        <v>457227</v>
      </c>
      <c r="AA89" s="42">
        <v>199263</v>
      </c>
      <c r="AC89" s="42">
        <v>1541637</v>
      </c>
      <c r="AE89" s="42">
        <v>323482</v>
      </c>
      <c r="AG89" s="42">
        <v>207461</v>
      </c>
      <c r="AI89" s="42">
        <v>0</v>
      </c>
      <c r="AK89" s="42">
        <v>1008939</v>
      </c>
      <c r="AL89" s="9" t="s">
        <v>255</v>
      </c>
      <c r="AM89" s="9"/>
      <c r="AN89" s="9" t="s">
        <v>110</v>
      </c>
      <c r="AP89" s="42">
        <v>430875</v>
      </c>
      <c r="AR89" s="42">
        <v>775530</v>
      </c>
      <c r="AT89" s="42">
        <v>0</v>
      </c>
      <c r="AV89" s="42">
        <v>265000</v>
      </c>
      <c r="AX89" s="42">
        <v>479646</v>
      </c>
      <c r="AZ89" s="42">
        <v>0</v>
      </c>
      <c r="BB89" s="5">
        <f t="shared" si="16"/>
        <v>18754261</v>
      </c>
      <c r="BD89" s="42">
        <v>1135780</v>
      </c>
      <c r="BF89" s="42">
        <v>0</v>
      </c>
      <c r="BH89" s="42">
        <v>0</v>
      </c>
      <c r="BJ89" s="42">
        <v>9776979</v>
      </c>
      <c r="BL89" s="5">
        <f>BB89+BD89+BJ89</f>
        <v>29667020</v>
      </c>
      <c r="BN89" s="5">
        <f>'Gov Fd Rev'!AQ89-'Gov Fd Exp'!BL89</f>
        <v>-1531010</v>
      </c>
      <c r="BP89" s="42">
        <v>8688823</v>
      </c>
      <c r="BR89" s="42">
        <v>0</v>
      </c>
      <c r="BT89" s="42">
        <v>0</v>
      </c>
      <c r="BV89" s="5">
        <f t="shared" si="5"/>
        <v>7157813</v>
      </c>
      <c r="BW89" s="5"/>
      <c r="BX89" s="5">
        <f>BV89-'Gov Fd BS'!AI89</f>
        <v>0</v>
      </c>
    </row>
    <row r="90" spans="1:76">
      <c r="A90" s="9" t="s">
        <v>746</v>
      </c>
      <c r="B90" s="9"/>
      <c r="C90" s="9" t="s">
        <v>52</v>
      </c>
      <c r="D90" s="9"/>
      <c r="E90" s="23">
        <v>45252</v>
      </c>
      <c r="G90" s="42">
        <v>3870247</v>
      </c>
      <c r="I90" s="42">
        <v>751089</v>
      </c>
      <c r="K90" s="42">
        <v>86144</v>
      </c>
      <c r="M90" s="42">
        <v>5304</v>
      </c>
      <c r="O90" s="42">
        <v>764</v>
      </c>
      <c r="Q90" s="42">
        <v>460528</v>
      </c>
      <c r="S90" s="42">
        <v>636254</v>
      </c>
      <c r="U90" s="42">
        <v>59834</v>
      </c>
      <c r="W90" s="42">
        <v>648904</v>
      </c>
      <c r="Y90" s="42">
        <v>327064</v>
      </c>
      <c r="AA90" s="42">
        <v>0</v>
      </c>
      <c r="AC90" s="42">
        <v>517093</v>
      </c>
      <c r="AE90" s="42">
        <v>545905</v>
      </c>
      <c r="AG90" s="42">
        <v>0</v>
      </c>
      <c r="AI90" s="42">
        <v>0</v>
      </c>
      <c r="AK90" s="42">
        <v>361639</v>
      </c>
      <c r="AL90" s="9" t="s">
        <v>746</v>
      </c>
      <c r="AM90" s="9"/>
      <c r="AN90" s="9" t="s">
        <v>52</v>
      </c>
      <c r="AP90" s="42">
        <v>291996</v>
      </c>
      <c r="AR90" s="42">
        <v>0</v>
      </c>
      <c r="AT90" s="42">
        <v>0</v>
      </c>
      <c r="AV90" s="42">
        <v>2946</v>
      </c>
      <c r="AX90" s="42">
        <v>1494</v>
      </c>
      <c r="AZ90" s="42">
        <v>0</v>
      </c>
      <c r="BB90" s="5">
        <f t="shared" ref="BB90" si="19">SUM(G90:AZ90)</f>
        <v>8567205</v>
      </c>
      <c r="BD90" s="42">
        <v>0</v>
      </c>
      <c r="BF90" s="42">
        <v>0</v>
      </c>
      <c r="BH90" s="42">
        <v>0</v>
      </c>
      <c r="BJ90" s="42">
        <v>0</v>
      </c>
      <c r="BL90" s="5">
        <f t="shared" ref="BL90:BL156" si="20">BB90+BD90+BJ90</f>
        <v>8567205</v>
      </c>
      <c r="BN90" s="5">
        <f>'Gov Fd Rev'!AQ90-'Gov Fd Exp'!BL90</f>
        <v>-26465</v>
      </c>
      <c r="BP90" s="42">
        <v>1201718</v>
      </c>
      <c r="BR90" s="42">
        <v>0</v>
      </c>
      <c r="BT90" s="42">
        <v>0</v>
      </c>
      <c r="BV90" s="5">
        <f t="shared" si="5"/>
        <v>1175253</v>
      </c>
      <c r="BW90" s="5"/>
      <c r="BX90" s="5">
        <f>BV90-'Gov Fd BS'!AI90</f>
        <v>0</v>
      </c>
    </row>
    <row r="91" spans="1:76">
      <c r="A91" s="9" t="s">
        <v>317</v>
      </c>
      <c r="B91" s="9"/>
      <c r="C91" s="9" t="s">
        <v>31</v>
      </c>
      <c r="D91" s="9"/>
      <c r="E91" s="23">
        <v>43695</v>
      </c>
      <c r="G91" s="42">
        <v>11109254</v>
      </c>
      <c r="I91" s="42">
        <v>3276046</v>
      </c>
      <c r="K91" s="42">
        <v>92670</v>
      </c>
      <c r="M91" s="42">
        <v>14072</v>
      </c>
      <c r="O91" s="42">
        <v>8069</v>
      </c>
      <c r="Q91" s="42">
        <v>1544666</v>
      </c>
      <c r="S91" s="42">
        <v>823661</v>
      </c>
      <c r="U91" s="42">
        <v>73343</v>
      </c>
      <c r="W91" s="42">
        <v>1508886</v>
      </c>
      <c r="Y91" s="42">
        <v>509208</v>
      </c>
      <c r="AA91" s="42">
        <v>34874</v>
      </c>
      <c r="AC91" s="42">
        <v>2267037</v>
      </c>
      <c r="AE91" s="42">
        <v>1231684</v>
      </c>
      <c r="AG91" s="42">
        <v>230799</v>
      </c>
      <c r="AI91" s="42">
        <v>1012088</v>
      </c>
      <c r="AK91" s="42">
        <v>123700</v>
      </c>
      <c r="AL91" s="9" t="s">
        <v>317</v>
      </c>
      <c r="AM91" s="9"/>
      <c r="AN91" s="9" t="s">
        <v>31</v>
      </c>
      <c r="AP91" s="42">
        <v>505188</v>
      </c>
      <c r="AR91" s="42">
        <v>0</v>
      </c>
      <c r="AT91" s="42">
        <v>0</v>
      </c>
      <c r="AV91" s="42">
        <v>452305</v>
      </c>
      <c r="AX91" s="42">
        <v>191403</v>
      </c>
      <c r="AZ91" s="42">
        <v>0</v>
      </c>
      <c r="BB91" s="5">
        <f t="shared" ref="BB91:BB148" si="21">SUM(G91:AZ91)</f>
        <v>25008953</v>
      </c>
      <c r="BD91" s="42">
        <v>0</v>
      </c>
      <c r="BF91" s="42">
        <v>0</v>
      </c>
      <c r="BH91" s="42">
        <v>0</v>
      </c>
      <c r="BJ91" s="42">
        <v>0</v>
      </c>
      <c r="BL91" s="5">
        <f t="shared" si="20"/>
        <v>25008953</v>
      </c>
      <c r="BN91" s="5">
        <f>'Gov Fd Rev'!AQ91-'Gov Fd Exp'!BL91</f>
        <v>-490865</v>
      </c>
      <c r="BP91" s="42">
        <v>5651718</v>
      </c>
      <c r="BR91" s="42">
        <v>0</v>
      </c>
      <c r="BT91" s="42">
        <v>0</v>
      </c>
      <c r="BV91" s="5">
        <f t="shared" si="5"/>
        <v>5160853</v>
      </c>
      <c r="BW91" s="5"/>
      <c r="BX91" s="5">
        <f>BV91-'Gov Fd BS'!AI91</f>
        <v>0</v>
      </c>
    </row>
    <row r="92" spans="1:76">
      <c r="A92" s="9" t="s">
        <v>642</v>
      </c>
      <c r="B92" s="9"/>
      <c r="C92" s="9" t="s">
        <v>45</v>
      </c>
      <c r="D92" s="9"/>
      <c r="E92" s="23">
        <v>43703</v>
      </c>
      <c r="G92" s="42">
        <v>6923622</v>
      </c>
      <c r="I92" s="42">
        <v>2740325</v>
      </c>
      <c r="K92" s="42">
        <v>168401</v>
      </c>
      <c r="M92" s="42">
        <v>0</v>
      </c>
      <c r="O92" s="42">
        <v>265039</v>
      </c>
      <c r="Q92" s="42">
        <v>338528</v>
      </c>
      <c r="S92" s="42">
        <v>492858</v>
      </c>
      <c r="U92" s="42">
        <v>29225</v>
      </c>
      <c r="W92" s="42">
        <v>938874</v>
      </c>
      <c r="Y92" s="42">
        <v>336841</v>
      </c>
      <c r="AA92" s="42">
        <v>0</v>
      </c>
      <c r="AC92" s="42">
        <v>1823585</v>
      </c>
      <c r="AE92" s="42">
        <v>538512</v>
      </c>
      <c r="AG92" s="42">
        <v>0</v>
      </c>
      <c r="AI92" s="42">
        <v>637742</v>
      </c>
      <c r="AK92" s="42">
        <v>1500</v>
      </c>
      <c r="AL92" s="9" t="s">
        <v>642</v>
      </c>
      <c r="AM92" s="9"/>
      <c r="AN92" s="9" t="s">
        <v>45</v>
      </c>
      <c r="AP92" s="42">
        <v>380217</v>
      </c>
      <c r="AR92" s="42">
        <v>33188</v>
      </c>
      <c r="AT92" s="42">
        <v>0</v>
      </c>
      <c r="AV92" s="42">
        <v>214036</v>
      </c>
      <c r="AX92" s="42">
        <v>141478</v>
      </c>
      <c r="AZ92" s="42">
        <v>112964</v>
      </c>
      <c r="BB92" s="5">
        <f t="shared" si="21"/>
        <v>16116935</v>
      </c>
      <c r="BD92" s="42">
        <v>293646</v>
      </c>
      <c r="BF92" s="42">
        <v>0</v>
      </c>
      <c r="BH92" s="42">
        <v>0</v>
      </c>
      <c r="BJ92" s="42">
        <v>0</v>
      </c>
      <c r="BL92" s="5">
        <f t="shared" si="20"/>
        <v>16410581</v>
      </c>
      <c r="BN92" s="5">
        <f>'Gov Fd Rev'!AQ92-'Gov Fd Exp'!BL92</f>
        <v>-603814</v>
      </c>
      <c r="BP92" s="42">
        <v>181091</v>
      </c>
      <c r="BR92" s="42">
        <v>0</v>
      </c>
      <c r="BT92" s="42">
        <v>0</v>
      </c>
      <c r="BV92" s="5">
        <f t="shared" ref="BV92:BV158" si="22">BN92+BP92+BR92+BT92</f>
        <v>-422723</v>
      </c>
      <c r="BW92" s="5"/>
      <c r="BX92" s="5">
        <f>BV92-'Gov Fd BS'!AI92</f>
        <v>0</v>
      </c>
    </row>
    <row r="93" spans="1:76">
      <c r="A93" s="9" t="s">
        <v>298</v>
      </c>
      <c r="B93" s="9"/>
      <c r="C93" s="9" t="s">
        <v>27</v>
      </c>
      <c r="D93" s="9"/>
      <c r="E93" s="23">
        <v>46946</v>
      </c>
      <c r="G93" s="42">
        <v>15614347</v>
      </c>
      <c r="I93" s="42">
        <v>3702130</v>
      </c>
      <c r="K93" s="42">
        <v>370045</v>
      </c>
      <c r="M93" s="42">
        <v>0</v>
      </c>
      <c r="O93" s="42">
        <v>402102</v>
      </c>
      <c r="Q93" s="42">
        <v>1843854</v>
      </c>
      <c r="S93" s="42">
        <v>1079823</v>
      </c>
      <c r="U93" s="42">
        <v>251219</v>
      </c>
      <c r="W93" s="42">
        <v>2858772</v>
      </c>
      <c r="Y93" s="42">
        <v>929199</v>
      </c>
      <c r="AA93" s="42">
        <v>9092</v>
      </c>
      <c r="AC93" s="42">
        <v>3592703</v>
      </c>
      <c r="AE93" s="42">
        <v>2607727</v>
      </c>
      <c r="AG93" s="42">
        <v>417559</v>
      </c>
      <c r="AI93" s="42">
        <v>1198279</v>
      </c>
      <c r="AK93" s="42">
        <v>232363</v>
      </c>
      <c r="AL93" s="9" t="s">
        <v>298</v>
      </c>
      <c r="AM93" s="9"/>
      <c r="AN93" s="9" t="s">
        <v>27</v>
      </c>
      <c r="AP93" s="42">
        <v>836985</v>
      </c>
      <c r="AR93" s="42">
        <f>1026015+135167</f>
        <v>1161182</v>
      </c>
      <c r="AT93" s="42">
        <v>0</v>
      </c>
      <c r="AV93" s="42">
        <v>1798207</v>
      </c>
      <c r="AX93" s="42">
        <v>2453820</v>
      </c>
      <c r="AZ93" s="42">
        <v>123891</v>
      </c>
      <c r="BB93" s="5">
        <f t="shared" si="21"/>
        <v>41483299</v>
      </c>
      <c r="BD93" s="42">
        <v>189061</v>
      </c>
      <c r="BF93" s="42">
        <v>0</v>
      </c>
      <c r="BH93" s="42">
        <v>0</v>
      </c>
      <c r="BJ93" s="42">
        <v>6130642</v>
      </c>
      <c r="BL93" s="5">
        <f t="shared" si="20"/>
        <v>47803002</v>
      </c>
      <c r="BN93" s="5">
        <f>'Gov Fd Rev'!AQ93-'Gov Fd Exp'!BL93</f>
        <v>1578785</v>
      </c>
      <c r="BP93" s="42">
        <v>15163017</v>
      </c>
      <c r="BR93" s="42">
        <v>0</v>
      </c>
      <c r="BT93" s="42">
        <v>0</v>
      </c>
      <c r="BV93" s="5">
        <f t="shared" si="22"/>
        <v>16741802</v>
      </c>
      <c r="BW93" s="5"/>
      <c r="BX93" s="5">
        <f>BV93-'Gov Fd BS'!AI93</f>
        <v>0</v>
      </c>
    </row>
    <row r="94" spans="1:76">
      <c r="A94" s="9" t="s">
        <v>400</v>
      </c>
      <c r="B94" s="9"/>
      <c r="C94" s="9" t="s">
        <v>45</v>
      </c>
      <c r="D94" s="9"/>
      <c r="E94" s="23">
        <v>48314</v>
      </c>
      <c r="G94" s="42">
        <v>12475381</v>
      </c>
      <c r="I94" s="42">
        <v>2487414</v>
      </c>
      <c r="K94" s="42">
        <v>289752</v>
      </c>
      <c r="M94" s="42">
        <v>0</v>
      </c>
      <c r="O94" s="42">
        <v>0</v>
      </c>
      <c r="Q94" s="42">
        <v>1374442</v>
      </c>
      <c r="S94" s="42">
        <v>1257186</v>
      </c>
      <c r="U94" s="42">
        <v>42025</v>
      </c>
      <c r="W94" s="42">
        <v>1648036</v>
      </c>
      <c r="Y94" s="42">
        <v>576838</v>
      </c>
      <c r="AA94" s="42">
        <v>219938</v>
      </c>
      <c r="AC94" s="42">
        <v>1923154</v>
      </c>
      <c r="AE94" s="42">
        <v>1575483</v>
      </c>
      <c r="AG94" s="42">
        <v>133571</v>
      </c>
      <c r="AI94" s="42">
        <v>962715</v>
      </c>
      <c r="AK94" s="42">
        <v>77990</v>
      </c>
      <c r="AL94" s="9" t="s">
        <v>400</v>
      </c>
      <c r="AM94" s="9"/>
      <c r="AN94" s="9" t="s">
        <v>45</v>
      </c>
      <c r="AP94" s="42">
        <v>813133</v>
      </c>
      <c r="AR94" s="42">
        <v>253968</v>
      </c>
      <c r="AT94" s="42">
        <v>0</v>
      </c>
      <c r="AV94" s="42">
        <v>960466</v>
      </c>
      <c r="AX94" s="42">
        <v>18547</v>
      </c>
      <c r="AZ94" s="42">
        <v>0</v>
      </c>
      <c r="BB94" s="5">
        <f t="shared" si="21"/>
        <v>27090039</v>
      </c>
      <c r="BD94" s="42">
        <v>85000</v>
      </c>
      <c r="BF94" s="42">
        <v>0</v>
      </c>
      <c r="BH94" s="42">
        <v>0</v>
      </c>
      <c r="BJ94" s="42">
        <v>0</v>
      </c>
      <c r="BL94" s="5">
        <f t="shared" si="20"/>
        <v>27175039</v>
      </c>
      <c r="BN94" s="5">
        <f>'Gov Fd Rev'!AQ94-'Gov Fd Exp'!BL94</f>
        <v>-299757</v>
      </c>
      <c r="BP94" s="42">
        <v>6264039</v>
      </c>
      <c r="BR94" s="42">
        <v>0</v>
      </c>
      <c r="BT94" s="42">
        <v>0</v>
      </c>
      <c r="BV94" s="5">
        <f t="shared" si="22"/>
        <v>5964282</v>
      </c>
      <c r="BW94" s="5"/>
      <c r="BX94" s="5">
        <f>BV94-'Gov Fd BS'!AI94</f>
        <v>0</v>
      </c>
    </row>
    <row r="95" spans="1:76">
      <c r="A95" s="9" t="s">
        <v>490</v>
      </c>
      <c r="B95" s="9"/>
      <c r="C95" s="9" t="s">
        <v>62</v>
      </c>
      <c r="D95" s="9"/>
      <c r="E95" s="23">
        <v>43711</v>
      </c>
      <c r="G95" s="42">
        <v>41357000</v>
      </c>
      <c r="I95" s="42">
        <v>17234000</v>
      </c>
      <c r="K95" s="42">
        <v>2515000</v>
      </c>
      <c r="M95" s="42">
        <v>1556000</v>
      </c>
      <c r="O95" s="42">
        <v>13899000</v>
      </c>
      <c r="Q95" s="42">
        <v>6674000</v>
      </c>
      <c r="S95" s="42">
        <v>6936000</v>
      </c>
      <c r="U95" s="42">
        <v>30000</v>
      </c>
      <c r="W95" s="42">
        <v>8874000</v>
      </c>
      <c r="Y95" s="42">
        <v>1777000</v>
      </c>
      <c r="AA95" s="42">
        <v>474000</v>
      </c>
      <c r="AC95" s="42">
        <v>11559000</v>
      </c>
      <c r="AE95" s="42">
        <v>3724000</v>
      </c>
      <c r="AG95" s="42">
        <v>3576000</v>
      </c>
      <c r="AI95" s="42">
        <v>4355000</v>
      </c>
      <c r="AK95" s="42">
        <v>1310000</v>
      </c>
      <c r="AL95" s="9" t="s">
        <v>490</v>
      </c>
      <c r="AM95" s="9"/>
      <c r="AN95" s="9" t="s">
        <v>62</v>
      </c>
      <c r="AP95" s="42">
        <v>2366000</v>
      </c>
      <c r="AR95" s="42">
        <v>956000</v>
      </c>
      <c r="AT95" s="42">
        <v>0</v>
      </c>
      <c r="AV95" s="42">
        <v>969000</v>
      </c>
      <c r="AX95" s="42">
        <v>1837000</v>
      </c>
      <c r="AZ95" s="42">
        <v>165000</v>
      </c>
      <c r="BB95" s="5">
        <f>SUM(G95:AZ95)</f>
        <v>132143000</v>
      </c>
      <c r="BD95" s="42">
        <v>2036000</v>
      </c>
      <c r="BF95" s="42">
        <v>0</v>
      </c>
      <c r="BH95" s="42">
        <v>0</v>
      </c>
      <c r="BJ95" s="42">
        <v>16249000</v>
      </c>
      <c r="BL95" s="5">
        <f t="shared" si="20"/>
        <v>150428000</v>
      </c>
      <c r="BN95" s="5">
        <f>'Gov Fd Rev'!AQ95-'Gov Fd Exp'!BL95</f>
        <v>-4025000</v>
      </c>
      <c r="BP95" s="42">
        <v>36515000</v>
      </c>
      <c r="BR95" s="42">
        <v>-362000</v>
      </c>
      <c r="BT95" s="42">
        <v>0</v>
      </c>
      <c r="BV95" s="5">
        <f t="shared" si="22"/>
        <v>32128000</v>
      </c>
      <c r="BW95" s="5"/>
      <c r="BX95" s="5">
        <f>BV95-'Gov Fd BS'!AI95</f>
        <v>0</v>
      </c>
    </row>
    <row r="96" spans="1:76">
      <c r="A96" s="9" t="s">
        <v>491</v>
      </c>
      <c r="B96" s="9"/>
      <c r="C96" s="9" t="s">
        <v>62</v>
      </c>
      <c r="D96" s="9"/>
      <c r="E96" s="23">
        <v>49833</v>
      </c>
      <c r="G96" s="42">
        <v>9930927</v>
      </c>
      <c r="I96" s="42">
        <v>3247643</v>
      </c>
      <c r="K96" s="42">
        <v>1459640</v>
      </c>
      <c r="M96" s="42">
        <v>3483</v>
      </c>
      <c r="O96" s="42">
        <v>593093</v>
      </c>
      <c r="Q96" s="42">
        <v>1123909</v>
      </c>
      <c r="S96" s="42">
        <v>1175577</v>
      </c>
      <c r="U96" s="42">
        <v>29986</v>
      </c>
      <c r="W96" s="42">
        <v>1856919</v>
      </c>
      <c r="Y96" s="42">
        <v>336016</v>
      </c>
      <c r="AA96" s="42">
        <v>283467</v>
      </c>
      <c r="AC96" s="42">
        <v>2058943</v>
      </c>
      <c r="AE96" s="42">
        <v>862744</v>
      </c>
      <c r="AG96" s="42">
        <v>176222</v>
      </c>
      <c r="AI96" s="42">
        <v>1110770</v>
      </c>
      <c r="AK96" s="42">
        <v>31521</v>
      </c>
      <c r="AL96" s="9" t="s">
        <v>491</v>
      </c>
      <c r="AM96" s="9"/>
      <c r="AN96" s="9" t="s">
        <v>62</v>
      </c>
      <c r="AP96" s="42">
        <v>723110</v>
      </c>
      <c r="AR96" s="42">
        <v>41552</v>
      </c>
      <c r="AT96" s="42">
        <v>0</v>
      </c>
      <c r="AV96" s="42">
        <v>362505</v>
      </c>
      <c r="AX96" s="42">
        <v>67523</v>
      </c>
      <c r="AZ96" s="42">
        <v>0</v>
      </c>
      <c r="BB96" s="5">
        <f t="shared" ref="BB96" si="23">SUM(G96:AZ96)</f>
        <v>25475550</v>
      </c>
      <c r="BD96" s="42">
        <v>0</v>
      </c>
      <c r="BF96" s="42">
        <v>0</v>
      </c>
      <c r="BH96" s="42">
        <v>0</v>
      </c>
      <c r="BJ96" s="42">
        <v>0</v>
      </c>
      <c r="BL96" s="5">
        <f t="shared" si="20"/>
        <v>25475550</v>
      </c>
      <c r="BN96" s="5">
        <f>'Gov Fd Rev'!AQ96-'Gov Fd Exp'!BL96</f>
        <v>164647</v>
      </c>
      <c r="BP96" s="42">
        <v>359925</v>
      </c>
      <c r="BR96" s="42">
        <v>0</v>
      </c>
      <c r="BT96" s="42">
        <v>0</v>
      </c>
      <c r="BV96" s="5">
        <f t="shared" si="22"/>
        <v>524572</v>
      </c>
      <c r="BW96" s="5"/>
      <c r="BX96" s="5">
        <f>BV96-'Gov Fd BS'!AI96</f>
        <v>0</v>
      </c>
    </row>
    <row r="97" spans="1:76">
      <c r="A97" s="9" t="s">
        <v>643</v>
      </c>
      <c r="B97" s="9"/>
      <c r="C97" s="9" t="s">
        <v>30</v>
      </c>
      <c r="D97" s="9"/>
      <c r="E97" s="23">
        <v>47175</v>
      </c>
      <c r="G97" s="42">
        <v>4970614</v>
      </c>
      <c r="I97" s="42">
        <v>3659820</v>
      </c>
      <c r="K97" s="42">
        <v>0</v>
      </c>
      <c r="M97" s="42">
        <v>0</v>
      </c>
      <c r="O97" s="42">
        <v>0</v>
      </c>
      <c r="Q97" s="42">
        <v>405618</v>
      </c>
      <c r="S97" s="42">
        <v>548728</v>
      </c>
      <c r="U97" s="42">
        <v>29432</v>
      </c>
      <c r="W97" s="42">
        <v>979445</v>
      </c>
      <c r="Y97" s="42">
        <v>392595</v>
      </c>
      <c r="AA97" s="42">
        <v>112036</v>
      </c>
      <c r="AC97" s="42">
        <v>1188774</v>
      </c>
      <c r="AE97" s="42">
        <v>1215950</v>
      </c>
      <c r="AG97" s="42">
        <v>241099</v>
      </c>
      <c r="AI97" s="42">
        <v>484174</v>
      </c>
      <c r="AK97" s="42">
        <v>5840</v>
      </c>
      <c r="AL97" s="9" t="s">
        <v>643</v>
      </c>
      <c r="AM97" s="9"/>
      <c r="AN97" s="9" t="s">
        <v>30</v>
      </c>
      <c r="AP97" s="42">
        <v>311585</v>
      </c>
      <c r="AR97" s="42">
        <v>369925</v>
      </c>
      <c r="AT97" s="42">
        <v>0</v>
      </c>
      <c r="AV97" s="42">
        <v>397423</v>
      </c>
      <c r="AX97" s="42">
        <v>349097</v>
      </c>
      <c r="AZ97" s="42">
        <v>277577</v>
      </c>
      <c r="BB97" s="5">
        <f t="shared" si="21"/>
        <v>15939732</v>
      </c>
      <c r="BD97" s="42">
        <v>147341</v>
      </c>
      <c r="BF97" s="42">
        <v>0</v>
      </c>
      <c r="BH97" s="42">
        <v>0</v>
      </c>
      <c r="BJ97" s="42">
        <v>0</v>
      </c>
      <c r="BL97" s="5">
        <f t="shared" si="20"/>
        <v>16087073</v>
      </c>
      <c r="BN97" s="5">
        <f>'Gov Fd Rev'!AQ97-'Gov Fd Exp'!BL97</f>
        <v>39832</v>
      </c>
      <c r="BP97" s="42">
        <v>1608120</v>
      </c>
      <c r="BR97" s="42">
        <v>0</v>
      </c>
      <c r="BT97" s="42">
        <v>0</v>
      </c>
      <c r="BV97" s="5">
        <f t="shared" si="22"/>
        <v>1647952</v>
      </c>
      <c r="BW97" s="5"/>
      <c r="BX97" s="5">
        <f>BV97-'Gov Fd BS'!AI97</f>
        <v>0</v>
      </c>
    </row>
    <row r="98" spans="1:76">
      <c r="A98" s="9" t="s">
        <v>438</v>
      </c>
      <c r="B98" s="9"/>
      <c r="C98" s="9" t="s">
        <v>78</v>
      </c>
      <c r="D98" s="9"/>
      <c r="E98" s="23">
        <v>48793</v>
      </c>
      <c r="G98" s="42">
        <v>4511976</v>
      </c>
      <c r="I98" s="42">
        <v>1287323</v>
      </c>
      <c r="K98" s="42">
        <v>246382</v>
      </c>
      <c r="M98" s="42">
        <v>0</v>
      </c>
      <c r="O98" s="42">
        <v>1476499</v>
      </c>
      <c r="Q98" s="42">
        <v>292555</v>
      </c>
      <c r="S98" s="42">
        <v>359336</v>
      </c>
      <c r="U98" s="42">
        <v>53359</v>
      </c>
      <c r="W98" s="42">
        <v>1047313</v>
      </c>
      <c r="Y98" s="42">
        <v>303885</v>
      </c>
      <c r="AA98" s="42">
        <v>0</v>
      </c>
      <c r="AC98" s="42">
        <v>1278872</v>
      </c>
      <c r="AE98" s="42">
        <v>570525</v>
      </c>
      <c r="AG98" s="42">
        <v>25701</v>
      </c>
      <c r="AI98" s="42">
        <v>538893</v>
      </c>
      <c r="AK98" s="42">
        <v>2461</v>
      </c>
      <c r="AL98" s="9" t="s">
        <v>438</v>
      </c>
      <c r="AM98" s="9"/>
      <c r="AN98" s="9" t="s">
        <v>78</v>
      </c>
      <c r="AP98" s="42">
        <v>232440</v>
      </c>
      <c r="AR98" s="42">
        <v>0</v>
      </c>
      <c r="AT98" s="42">
        <v>0</v>
      </c>
      <c r="AV98" s="42">
        <v>395000</v>
      </c>
      <c r="AX98" s="42">
        <v>142836</v>
      </c>
      <c r="AZ98" s="42">
        <v>0</v>
      </c>
      <c r="BB98" s="5">
        <f t="shared" si="21"/>
        <v>12765356</v>
      </c>
      <c r="BD98" s="42">
        <v>131730</v>
      </c>
      <c r="BF98" s="42">
        <v>0</v>
      </c>
      <c r="BH98" s="42">
        <v>0</v>
      </c>
      <c r="BJ98" s="42">
        <v>0</v>
      </c>
      <c r="BL98" s="5">
        <f t="shared" si="20"/>
        <v>12897086</v>
      </c>
      <c r="BN98" s="5">
        <f>'Gov Fd Rev'!AQ98-'Gov Fd Exp'!BL98</f>
        <v>-326502</v>
      </c>
      <c r="BP98" s="42">
        <v>1207832</v>
      </c>
      <c r="BR98" s="42">
        <v>0</v>
      </c>
      <c r="BT98" s="42">
        <v>0</v>
      </c>
      <c r="BV98" s="5">
        <f t="shared" si="22"/>
        <v>881330</v>
      </c>
      <c r="BW98" s="5"/>
      <c r="BX98" s="5">
        <f>BV98-'Gov Fd BS'!AI98</f>
        <v>0</v>
      </c>
    </row>
    <row r="99" spans="1:76" hidden="1">
      <c r="A99" s="9" t="s">
        <v>855</v>
      </c>
      <c r="B99" s="9"/>
      <c r="C99" s="9" t="s">
        <v>553</v>
      </c>
      <c r="D99" s="9"/>
      <c r="E99" s="23">
        <v>45260</v>
      </c>
      <c r="G99" s="42">
        <v>0</v>
      </c>
      <c r="I99" s="42">
        <v>0</v>
      </c>
      <c r="K99" s="42">
        <v>0</v>
      </c>
      <c r="M99" s="42">
        <v>0</v>
      </c>
      <c r="O99" s="42">
        <v>0</v>
      </c>
      <c r="Q99" s="42">
        <v>0</v>
      </c>
      <c r="S99" s="42">
        <v>0</v>
      </c>
      <c r="U99" s="42">
        <v>0</v>
      </c>
      <c r="W99" s="42">
        <v>0</v>
      </c>
      <c r="Y99" s="42">
        <v>0</v>
      </c>
      <c r="AA99" s="42">
        <v>0</v>
      </c>
      <c r="AC99" s="42">
        <v>0</v>
      </c>
      <c r="AE99" s="42">
        <v>0</v>
      </c>
      <c r="AG99" s="42">
        <v>0</v>
      </c>
      <c r="AI99" s="42">
        <v>0</v>
      </c>
      <c r="AK99" s="42">
        <v>0</v>
      </c>
      <c r="AL99" s="9" t="s">
        <v>855</v>
      </c>
      <c r="AM99" s="9"/>
      <c r="AN99" s="9" t="s">
        <v>553</v>
      </c>
      <c r="AP99" s="42">
        <v>0</v>
      </c>
      <c r="AR99" s="42">
        <v>0</v>
      </c>
      <c r="AT99" s="42">
        <v>0</v>
      </c>
      <c r="AV99" s="42">
        <v>0</v>
      </c>
      <c r="AX99" s="42">
        <v>0</v>
      </c>
      <c r="AZ99" s="42">
        <v>0</v>
      </c>
      <c r="BB99" s="5">
        <f t="shared" si="21"/>
        <v>0</v>
      </c>
      <c r="BD99" s="42">
        <v>0</v>
      </c>
      <c r="BF99" s="42">
        <v>0</v>
      </c>
      <c r="BH99" s="42">
        <v>0</v>
      </c>
      <c r="BJ99" s="42">
        <v>0</v>
      </c>
      <c r="BL99" s="5">
        <f t="shared" si="20"/>
        <v>0</v>
      </c>
      <c r="BN99" s="5">
        <f>'Gov Fd Rev'!AQ99-'Gov Fd Exp'!BL99</f>
        <v>0</v>
      </c>
      <c r="BP99" s="42">
        <v>0</v>
      </c>
      <c r="BR99" s="42">
        <v>0</v>
      </c>
      <c r="BT99" s="42">
        <v>0</v>
      </c>
      <c r="BV99" s="5">
        <f t="shared" si="22"/>
        <v>0</v>
      </c>
      <c r="BW99" s="5"/>
      <c r="BX99" s="5">
        <f>BV99-'Gov Fd BS'!AI99</f>
        <v>0</v>
      </c>
    </row>
    <row r="100" spans="1:76" s="24" customFormat="1">
      <c r="A100" s="51" t="s">
        <v>539</v>
      </c>
      <c r="B100" s="51"/>
      <c r="C100" s="51" t="s">
        <v>69</v>
      </c>
      <c r="D100" s="51"/>
      <c r="E100" s="23">
        <v>50419</v>
      </c>
      <c r="G100" s="42">
        <v>7837581</v>
      </c>
      <c r="H100" s="42"/>
      <c r="I100" s="42">
        <v>1712006</v>
      </c>
      <c r="J100" s="42"/>
      <c r="K100" s="42">
        <v>113154</v>
      </c>
      <c r="L100" s="42"/>
      <c r="M100" s="42">
        <v>0</v>
      </c>
      <c r="N100" s="42"/>
      <c r="O100" s="42">
        <f>98784+131</f>
        <v>98915</v>
      </c>
      <c r="P100" s="42"/>
      <c r="Q100" s="42">
        <v>739916</v>
      </c>
      <c r="R100" s="42"/>
      <c r="S100" s="42">
        <v>705535</v>
      </c>
      <c r="T100" s="42"/>
      <c r="U100" s="42">
        <v>27259</v>
      </c>
      <c r="V100" s="42"/>
      <c r="W100" s="42">
        <v>965503</v>
      </c>
      <c r="X100" s="42"/>
      <c r="Y100" s="42">
        <v>512986</v>
      </c>
      <c r="Z100" s="42"/>
      <c r="AA100" s="42">
        <v>13171</v>
      </c>
      <c r="AB100" s="42"/>
      <c r="AC100" s="42">
        <v>1258086</v>
      </c>
      <c r="AD100" s="42"/>
      <c r="AE100" s="42">
        <v>824793</v>
      </c>
      <c r="AF100" s="42"/>
      <c r="AG100" s="42">
        <v>47803</v>
      </c>
      <c r="AH100" s="42"/>
      <c r="AI100" s="42">
        <v>0</v>
      </c>
      <c r="AJ100" s="42"/>
      <c r="AK100" s="42">
        <v>579546</v>
      </c>
      <c r="AL100" s="51" t="s">
        <v>539</v>
      </c>
      <c r="AM100" s="51"/>
      <c r="AN100" s="51" t="s">
        <v>69</v>
      </c>
      <c r="AP100" s="42">
        <v>545798</v>
      </c>
      <c r="AQ100" s="42"/>
      <c r="AR100" s="42">
        <v>0</v>
      </c>
      <c r="AS100" s="42"/>
      <c r="AT100" s="42">
        <v>0</v>
      </c>
      <c r="AU100" s="42"/>
      <c r="AV100" s="42">
        <v>112927</v>
      </c>
      <c r="AW100" s="42"/>
      <c r="AX100" s="42">
        <v>9731</v>
      </c>
      <c r="AY100" s="42"/>
      <c r="AZ100" s="42">
        <v>0</v>
      </c>
      <c r="BA100" s="42"/>
      <c r="BB100" s="5">
        <f t="shared" si="21"/>
        <v>16104710</v>
      </c>
      <c r="BC100" s="42"/>
      <c r="BD100" s="42">
        <v>0</v>
      </c>
      <c r="BE100" s="42"/>
      <c r="BF100" s="42">
        <v>0</v>
      </c>
      <c r="BG100" s="42"/>
      <c r="BH100" s="42">
        <v>0</v>
      </c>
      <c r="BI100" s="42"/>
      <c r="BJ100" s="42">
        <v>0</v>
      </c>
      <c r="BK100" s="42"/>
      <c r="BL100" s="5">
        <f t="shared" si="20"/>
        <v>16104710</v>
      </c>
      <c r="BM100" s="42"/>
      <c r="BN100" s="5">
        <f>'Gov Fd Rev'!AQ100-'Gov Fd Exp'!BL100</f>
        <v>835551</v>
      </c>
      <c r="BO100" s="42"/>
      <c r="BP100" s="42">
        <v>-618790</v>
      </c>
      <c r="BQ100" s="42"/>
      <c r="BR100" s="42">
        <v>0</v>
      </c>
      <c r="BS100" s="42"/>
      <c r="BT100" s="42">
        <v>0</v>
      </c>
      <c r="BU100" s="42"/>
      <c r="BV100" s="5">
        <f t="shared" si="22"/>
        <v>216761</v>
      </c>
      <c r="BW100" s="5"/>
      <c r="BX100" s="5">
        <f>BV100-'Gov Fd BS'!AI100</f>
        <v>0</v>
      </c>
    </row>
    <row r="101" spans="1:76" s="24" customFormat="1">
      <c r="A101" s="51" t="s">
        <v>747</v>
      </c>
      <c r="B101" s="51"/>
      <c r="C101" s="51" t="s">
        <v>16</v>
      </c>
      <c r="D101" s="51"/>
      <c r="E101" s="51">
        <v>45278</v>
      </c>
      <c r="G101" s="24">
        <v>8801660</v>
      </c>
      <c r="I101" s="24">
        <v>3007599</v>
      </c>
      <c r="K101" s="24">
        <v>268669</v>
      </c>
      <c r="M101" s="24">
        <v>1602</v>
      </c>
      <c r="O101" s="24">
        <f>16728+392121</f>
        <v>408849</v>
      </c>
      <c r="Q101" s="24">
        <v>1411052</v>
      </c>
      <c r="S101" s="24">
        <v>958523</v>
      </c>
      <c r="U101" s="24">
        <v>38024</v>
      </c>
      <c r="W101" s="24">
        <v>1654679</v>
      </c>
      <c r="Y101" s="24">
        <v>647707</v>
      </c>
      <c r="AA101" s="24">
        <v>93877</v>
      </c>
      <c r="AC101" s="24">
        <v>1733818</v>
      </c>
      <c r="AE101" s="24">
        <v>1435739</v>
      </c>
      <c r="AG101" s="24">
        <v>42543</v>
      </c>
      <c r="AI101" s="24">
        <v>803901</v>
      </c>
      <c r="AK101" s="24">
        <f>7827+27634</f>
        <v>35461</v>
      </c>
      <c r="AL101" s="51" t="s">
        <v>747</v>
      </c>
      <c r="AM101" s="51"/>
      <c r="AN101" s="51" t="s">
        <v>16</v>
      </c>
      <c r="AP101" s="24">
        <v>619075</v>
      </c>
      <c r="AR101" s="24">
        <v>13225</v>
      </c>
      <c r="AT101" s="24">
        <v>0</v>
      </c>
      <c r="AV101" s="24">
        <v>58175</v>
      </c>
      <c r="AX101" s="24">
        <v>9564</v>
      </c>
      <c r="AZ101" s="24">
        <v>0</v>
      </c>
      <c r="BB101" s="64">
        <f t="shared" si="21"/>
        <v>22043742</v>
      </c>
      <c r="BD101" s="24">
        <v>228489</v>
      </c>
      <c r="BF101" s="24">
        <v>0</v>
      </c>
      <c r="BH101" s="24">
        <v>0</v>
      </c>
      <c r="BJ101" s="24">
        <v>0</v>
      </c>
      <c r="BL101" s="64">
        <f t="shared" si="20"/>
        <v>22272231</v>
      </c>
      <c r="BN101" s="64">
        <f>'Gov Fd Rev'!AQ101-'Gov Fd Exp'!BL101</f>
        <v>121591</v>
      </c>
      <c r="BP101" s="24">
        <v>4558823</v>
      </c>
      <c r="BR101" s="24">
        <v>0</v>
      </c>
      <c r="BT101" s="24">
        <v>0</v>
      </c>
      <c r="BV101" s="64">
        <f t="shared" si="22"/>
        <v>4680414</v>
      </c>
      <c r="BW101" s="64"/>
      <c r="BX101" s="64">
        <f>BV101-'Gov Fd BS'!AI101</f>
        <v>0</v>
      </c>
    </row>
    <row r="102" spans="1:76">
      <c r="A102" s="9" t="s">
        <v>644</v>
      </c>
      <c r="B102" s="9"/>
      <c r="C102" s="9" t="s">
        <v>113</v>
      </c>
      <c r="D102" s="9"/>
      <c r="E102" s="23">
        <v>47258</v>
      </c>
      <c r="G102" s="42">
        <v>2540392</v>
      </c>
      <c r="I102" s="42">
        <v>636823</v>
      </c>
      <c r="K102" s="42">
        <v>3120</v>
      </c>
      <c r="M102" s="42">
        <v>0</v>
      </c>
      <c r="O102" s="42">
        <f>2669+315955</f>
        <v>318624</v>
      </c>
      <c r="Q102" s="42">
        <v>527977</v>
      </c>
      <c r="S102" s="42">
        <v>251869</v>
      </c>
      <c r="U102" s="42">
        <v>22387</v>
      </c>
      <c r="W102" s="42">
        <v>689911</v>
      </c>
      <c r="Y102" s="42">
        <v>320092</v>
      </c>
      <c r="AA102" s="42">
        <v>473</v>
      </c>
      <c r="AC102" s="42">
        <v>641616</v>
      </c>
      <c r="AE102" s="42">
        <v>212959</v>
      </c>
      <c r="AG102" s="42">
        <v>1826</v>
      </c>
      <c r="AI102" s="42">
        <v>0</v>
      </c>
      <c r="AK102" s="42">
        <v>157471</v>
      </c>
      <c r="AL102" s="9" t="s">
        <v>644</v>
      </c>
      <c r="AM102" s="9"/>
      <c r="AN102" s="9" t="s">
        <v>113</v>
      </c>
      <c r="AP102" s="42">
        <v>316126</v>
      </c>
      <c r="AR102" s="42">
        <v>9270891</v>
      </c>
      <c r="AT102" s="42">
        <v>0</v>
      </c>
      <c r="AV102" s="42">
        <v>35000</v>
      </c>
      <c r="AX102" s="42">
        <v>891512</v>
      </c>
      <c r="AZ102" s="42">
        <v>0</v>
      </c>
      <c r="BB102" s="5">
        <f t="shared" si="21"/>
        <v>16839069</v>
      </c>
      <c r="BD102" s="42">
        <v>0</v>
      </c>
      <c r="BF102" s="42">
        <v>0</v>
      </c>
      <c r="BH102" s="42">
        <v>0</v>
      </c>
      <c r="BJ102" s="42">
        <v>0</v>
      </c>
      <c r="BL102" s="5">
        <f t="shared" si="20"/>
        <v>16839069</v>
      </c>
      <c r="BN102" s="5">
        <f>'Gov Fd Rev'!AQ102-'Gov Fd Exp'!BL102</f>
        <v>-6907248</v>
      </c>
      <c r="BP102" s="42">
        <v>11794241</v>
      </c>
      <c r="BR102" s="42">
        <v>0</v>
      </c>
      <c r="BT102" s="42">
        <v>0</v>
      </c>
      <c r="BV102" s="5">
        <f t="shared" si="22"/>
        <v>4886993</v>
      </c>
      <c r="BW102" s="5"/>
      <c r="BX102" s="5">
        <f>BV102-'Gov Fd BS'!AI102</f>
        <v>0</v>
      </c>
    </row>
    <row r="103" spans="1:76" hidden="1">
      <c r="A103" s="9" t="s">
        <v>613</v>
      </c>
      <c r="B103" s="9"/>
      <c r="C103" s="9" t="s">
        <v>419</v>
      </c>
      <c r="D103" s="9"/>
      <c r="E103" s="23">
        <v>43729</v>
      </c>
      <c r="G103" s="42">
        <v>0</v>
      </c>
      <c r="I103" s="42">
        <v>0</v>
      </c>
      <c r="K103" s="42">
        <v>0</v>
      </c>
      <c r="M103" s="42">
        <v>0</v>
      </c>
      <c r="O103" s="42">
        <v>0</v>
      </c>
      <c r="Q103" s="42">
        <v>0</v>
      </c>
      <c r="S103" s="42">
        <v>0</v>
      </c>
      <c r="U103" s="42">
        <v>0</v>
      </c>
      <c r="W103" s="42">
        <v>0</v>
      </c>
      <c r="Y103" s="42">
        <v>0</v>
      </c>
      <c r="AA103" s="42">
        <v>0</v>
      </c>
      <c r="AC103" s="42">
        <v>0</v>
      </c>
      <c r="AE103" s="42">
        <v>0</v>
      </c>
      <c r="AG103" s="42">
        <v>0</v>
      </c>
      <c r="AI103" s="42">
        <v>0</v>
      </c>
      <c r="AK103" s="42">
        <v>0</v>
      </c>
      <c r="AL103" s="9" t="s">
        <v>613</v>
      </c>
      <c r="AM103" s="9"/>
      <c r="AN103" s="9" t="s">
        <v>419</v>
      </c>
      <c r="AP103" s="42">
        <v>0</v>
      </c>
      <c r="AR103" s="42">
        <v>0</v>
      </c>
      <c r="AT103" s="42">
        <v>0</v>
      </c>
      <c r="AV103" s="42">
        <v>0</v>
      </c>
      <c r="AX103" s="42">
        <v>0</v>
      </c>
      <c r="AZ103" s="42">
        <v>0</v>
      </c>
      <c r="BB103" s="5">
        <f t="shared" si="21"/>
        <v>0</v>
      </c>
      <c r="BD103" s="42">
        <v>0</v>
      </c>
      <c r="BF103" s="42">
        <v>0</v>
      </c>
      <c r="BH103" s="42">
        <v>0</v>
      </c>
      <c r="BJ103" s="42">
        <v>0</v>
      </c>
      <c r="BL103" s="5">
        <f t="shared" si="20"/>
        <v>0</v>
      </c>
      <c r="BN103" s="5">
        <f>'Gov Fd Rev'!AQ103-'Gov Fd Exp'!BL103</f>
        <v>0</v>
      </c>
      <c r="BP103" s="42">
        <v>0</v>
      </c>
      <c r="BR103" s="42">
        <v>0</v>
      </c>
      <c r="BT103" s="42">
        <v>0</v>
      </c>
      <c r="BV103" s="5">
        <f t="shared" si="22"/>
        <v>0</v>
      </c>
      <c r="BW103" s="5"/>
      <c r="BX103" s="5">
        <f>BV103-'Gov Fd BS'!AI103</f>
        <v>0</v>
      </c>
    </row>
    <row r="104" spans="1:76" hidden="1">
      <c r="A104" s="9" t="s">
        <v>856</v>
      </c>
      <c r="B104" s="9"/>
      <c r="C104" s="9" t="s">
        <v>40</v>
      </c>
      <c r="D104" s="9"/>
      <c r="E104" s="23">
        <v>47829</v>
      </c>
      <c r="G104" s="42">
        <v>0</v>
      </c>
      <c r="I104" s="42">
        <v>0</v>
      </c>
      <c r="K104" s="42">
        <v>0</v>
      </c>
      <c r="M104" s="42">
        <v>0</v>
      </c>
      <c r="O104" s="42">
        <v>0</v>
      </c>
      <c r="Q104" s="42">
        <v>0</v>
      </c>
      <c r="S104" s="42">
        <v>0</v>
      </c>
      <c r="U104" s="42">
        <v>0</v>
      </c>
      <c r="W104" s="42">
        <v>0</v>
      </c>
      <c r="Y104" s="42">
        <v>0</v>
      </c>
      <c r="AA104" s="42">
        <v>0</v>
      </c>
      <c r="AC104" s="42">
        <v>0</v>
      </c>
      <c r="AE104" s="42">
        <v>0</v>
      </c>
      <c r="AG104" s="42">
        <v>0</v>
      </c>
      <c r="AI104" s="42">
        <v>0</v>
      </c>
      <c r="AK104" s="42">
        <v>0</v>
      </c>
      <c r="AL104" s="9" t="s">
        <v>856</v>
      </c>
      <c r="AM104" s="9"/>
      <c r="AN104" s="9" t="s">
        <v>40</v>
      </c>
      <c r="AP104" s="42">
        <v>0</v>
      </c>
      <c r="AR104" s="42">
        <v>0</v>
      </c>
      <c r="AT104" s="42">
        <v>0</v>
      </c>
      <c r="AV104" s="42">
        <v>0</v>
      </c>
      <c r="AX104" s="42">
        <v>0</v>
      </c>
      <c r="AZ104" s="42">
        <v>0</v>
      </c>
      <c r="BB104" s="5">
        <f t="shared" si="21"/>
        <v>0</v>
      </c>
      <c r="BD104" s="42">
        <v>0</v>
      </c>
      <c r="BF104" s="42">
        <v>0</v>
      </c>
      <c r="BH104" s="42">
        <v>0</v>
      </c>
      <c r="BJ104" s="42">
        <v>0</v>
      </c>
      <c r="BL104" s="5">
        <f t="shared" si="20"/>
        <v>0</v>
      </c>
      <c r="BN104" s="5">
        <f>'Gov Fd Rev'!AQ104-'Gov Fd Exp'!BL104</f>
        <v>0</v>
      </c>
      <c r="BP104" s="42">
        <v>0</v>
      </c>
      <c r="BR104" s="42">
        <v>0</v>
      </c>
      <c r="BT104" s="42">
        <v>0</v>
      </c>
      <c r="BV104" s="5">
        <f t="shared" si="22"/>
        <v>0</v>
      </c>
      <c r="BW104" s="5"/>
      <c r="BX104" s="5">
        <f>BV104-'Gov Fd BS'!AI104</f>
        <v>0</v>
      </c>
    </row>
    <row r="105" spans="1:76">
      <c r="A105" s="9" t="s">
        <v>645</v>
      </c>
      <c r="B105" s="9"/>
      <c r="C105" s="9" t="s">
        <v>50</v>
      </c>
      <c r="D105" s="9"/>
      <c r="E105" s="23">
        <v>43737</v>
      </c>
      <c r="G105" s="42">
        <v>40101903</v>
      </c>
      <c r="I105" s="42">
        <v>10124997</v>
      </c>
      <c r="K105" s="42">
        <v>2660776</v>
      </c>
      <c r="M105" s="42">
        <v>0</v>
      </c>
      <c r="O105" s="42">
        <v>1059508</v>
      </c>
      <c r="Q105" s="42">
        <v>4791029</v>
      </c>
      <c r="S105" s="42">
        <v>7385586</v>
      </c>
      <c r="U105" s="42">
        <v>0</v>
      </c>
      <c r="W105" s="42">
        <f>23561+5379880</f>
        <v>5403441</v>
      </c>
      <c r="Y105" s="42">
        <v>1578039</v>
      </c>
      <c r="AA105" s="42">
        <v>551454</v>
      </c>
      <c r="AC105" s="42">
        <v>6391690</v>
      </c>
      <c r="AE105" s="42">
        <v>7225462</v>
      </c>
      <c r="AG105" s="42">
        <v>67309</v>
      </c>
      <c r="AI105" s="42">
        <v>0</v>
      </c>
      <c r="AK105" s="42">
        <v>4990839</v>
      </c>
      <c r="AL105" s="9" t="s">
        <v>645</v>
      </c>
      <c r="AM105" s="9"/>
      <c r="AN105" s="9" t="s">
        <v>50</v>
      </c>
      <c r="AP105" s="42">
        <v>903967</v>
      </c>
      <c r="AR105" s="42">
        <v>1408105</v>
      </c>
      <c r="AT105" s="42">
        <v>0</v>
      </c>
      <c r="AV105" s="42">
        <v>3525000</v>
      </c>
      <c r="AX105" s="42">
        <v>2341213</v>
      </c>
      <c r="AZ105" s="42">
        <v>413542</v>
      </c>
      <c r="BB105" s="5">
        <f t="shared" si="21"/>
        <v>100923860</v>
      </c>
      <c r="BD105" s="42">
        <v>0</v>
      </c>
      <c r="BF105" s="42">
        <v>0</v>
      </c>
      <c r="BH105" s="42">
        <v>0</v>
      </c>
      <c r="BJ105" s="42">
        <v>55075019</v>
      </c>
      <c r="BL105" s="5">
        <f t="shared" si="20"/>
        <v>155998879</v>
      </c>
      <c r="BN105" s="5">
        <f>'Gov Fd Rev'!AQ105-'Gov Fd Exp'!BL105</f>
        <v>-8559312</v>
      </c>
      <c r="BP105" s="42">
        <v>32908269</v>
      </c>
      <c r="BR105" s="42">
        <v>0</v>
      </c>
      <c r="BT105" s="42">
        <v>0</v>
      </c>
      <c r="BV105" s="5">
        <f t="shared" si="22"/>
        <v>24348957</v>
      </c>
      <c r="BW105" s="5"/>
      <c r="BX105" s="5">
        <f>BV105-'Gov Fd BS'!AI105</f>
        <v>0</v>
      </c>
    </row>
    <row r="106" spans="1:76" hidden="1">
      <c r="A106" s="9" t="s">
        <v>730</v>
      </c>
      <c r="B106" s="9"/>
      <c r="C106" s="9" t="s">
        <v>22</v>
      </c>
      <c r="D106" s="9"/>
      <c r="E106" s="23">
        <v>46714</v>
      </c>
      <c r="G106" s="42">
        <v>0</v>
      </c>
      <c r="I106" s="42">
        <v>0</v>
      </c>
      <c r="K106" s="42">
        <v>0</v>
      </c>
      <c r="M106" s="42">
        <v>0</v>
      </c>
      <c r="O106" s="42">
        <v>0</v>
      </c>
      <c r="Q106" s="42">
        <v>0</v>
      </c>
      <c r="S106" s="42">
        <v>0</v>
      </c>
      <c r="U106" s="42">
        <v>0</v>
      </c>
      <c r="W106" s="42">
        <v>0</v>
      </c>
      <c r="Y106" s="42">
        <v>0</v>
      </c>
      <c r="AA106" s="42">
        <v>0</v>
      </c>
      <c r="AC106" s="42">
        <v>0</v>
      </c>
      <c r="AE106" s="42">
        <v>0</v>
      </c>
      <c r="AG106" s="42">
        <v>0</v>
      </c>
      <c r="AI106" s="42">
        <v>0</v>
      </c>
      <c r="AK106" s="42">
        <v>0</v>
      </c>
      <c r="AL106" s="9" t="s">
        <v>730</v>
      </c>
      <c r="AM106" s="9"/>
      <c r="AN106" s="9" t="s">
        <v>22</v>
      </c>
      <c r="AP106" s="42">
        <v>0</v>
      </c>
      <c r="AR106" s="42">
        <v>0</v>
      </c>
      <c r="AT106" s="42">
        <v>0</v>
      </c>
      <c r="AV106" s="42">
        <v>0</v>
      </c>
      <c r="AX106" s="42">
        <v>0</v>
      </c>
      <c r="AZ106" s="42">
        <v>0</v>
      </c>
      <c r="BB106" s="5">
        <f t="shared" si="21"/>
        <v>0</v>
      </c>
      <c r="BD106" s="42">
        <v>0</v>
      </c>
      <c r="BF106" s="42">
        <v>0</v>
      </c>
      <c r="BH106" s="42">
        <v>0</v>
      </c>
      <c r="BJ106" s="42">
        <v>0</v>
      </c>
      <c r="BL106" s="5">
        <f t="shared" si="20"/>
        <v>0</v>
      </c>
      <c r="BN106" s="5">
        <f>'Gov Fd Rev'!AQ106-'Gov Fd Exp'!BL106</f>
        <v>0</v>
      </c>
      <c r="BP106" s="42">
        <v>0</v>
      </c>
      <c r="BR106" s="42">
        <v>0</v>
      </c>
      <c r="BT106" s="42">
        <v>0</v>
      </c>
      <c r="BV106" s="5">
        <f t="shared" si="22"/>
        <v>0</v>
      </c>
      <c r="BW106" s="5"/>
      <c r="BX106" s="5">
        <f>BV106-'Gov Fd BS'!AI106</f>
        <v>0</v>
      </c>
    </row>
    <row r="107" spans="1:76">
      <c r="A107" s="9" t="s">
        <v>748</v>
      </c>
      <c r="B107" s="9"/>
      <c r="C107" s="9" t="s">
        <v>20</v>
      </c>
      <c r="D107" s="9"/>
      <c r="E107" s="23">
        <v>45286</v>
      </c>
      <c r="G107" s="42">
        <v>12096267</v>
      </c>
      <c r="I107" s="42">
        <v>2346902</v>
      </c>
      <c r="K107" s="42">
        <v>608328</v>
      </c>
      <c r="M107" s="42">
        <v>0</v>
      </c>
      <c r="O107" s="42">
        <v>21786</v>
      </c>
      <c r="Q107" s="42">
        <v>1327418</v>
      </c>
      <c r="S107" s="42">
        <v>1371116</v>
      </c>
      <c r="U107" s="42">
        <v>75162</v>
      </c>
      <c r="W107" s="42">
        <v>2191399</v>
      </c>
      <c r="Y107" s="42">
        <v>852244</v>
      </c>
      <c r="AA107" s="42">
        <v>400</v>
      </c>
      <c r="AC107" s="42">
        <v>2304880</v>
      </c>
      <c r="AE107" s="42">
        <v>1236951</v>
      </c>
      <c r="AG107" s="42">
        <v>12700</v>
      </c>
      <c r="AI107" s="42">
        <v>658606</v>
      </c>
      <c r="AK107" s="42">
        <v>505333</v>
      </c>
      <c r="AL107" s="9" t="s">
        <v>748</v>
      </c>
      <c r="AM107" s="9"/>
      <c r="AN107" s="9" t="s">
        <v>20</v>
      </c>
      <c r="AP107" s="42">
        <v>844758</v>
      </c>
      <c r="AR107" s="42">
        <v>426048</v>
      </c>
      <c r="AT107" s="42">
        <v>0</v>
      </c>
      <c r="AV107" s="42">
        <v>1286696</v>
      </c>
      <c r="AX107" s="42">
        <v>1192836</v>
      </c>
      <c r="AZ107" s="42">
        <v>141450</v>
      </c>
      <c r="BB107" s="5">
        <f t="shared" si="21"/>
        <v>29501280</v>
      </c>
      <c r="BD107" s="42">
        <v>419200</v>
      </c>
      <c r="BF107" s="42">
        <v>0</v>
      </c>
      <c r="BH107" s="42">
        <v>0</v>
      </c>
      <c r="BJ107" s="42">
        <v>20333186</v>
      </c>
      <c r="BL107" s="5">
        <f t="shared" si="20"/>
        <v>50253666</v>
      </c>
      <c r="BN107" s="5">
        <f>'Gov Fd Rev'!AQ107-'Gov Fd Exp'!BL107</f>
        <v>1864737</v>
      </c>
      <c r="BP107" s="42">
        <v>10465252</v>
      </c>
      <c r="BR107" s="42">
        <v>0</v>
      </c>
      <c r="BT107" s="42">
        <v>0</v>
      </c>
      <c r="BV107" s="5">
        <f t="shared" si="22"/>
        <v>12329989</v>
      </c>
      <c r="BW107" s="5"/>
      <c r="BX107" s="5">
        <f>BV107-'Gov Fd BS'!AI107</f>
        <v>0</v>
      </c>
    </row>
    <row r="108" spans="1:76">
      <c r="A108" s="9" t="s">
        <v>516</v>
      </c>
      <c r="B108" s="9"/>
      <c r="C108" s="9" t="s">
        <v>64</v>
      </c>
      <c r="D108" s="9"/>
      <c r="E108" s="23">
        <v>50138</v>
      </c>
      <c r="G108" s="42">
        <v>5424132</v>
      </c>
      <c r="I108" s="42">
        <v>1716230</v>
      </c>
      <c r="K108" s="42">
        <v>94057</v>
      </c>
      <c r="M108" s="42">
        <v>0</v>
      </c>
      <c r="O108" s="42">
        <v>453612</v>
      </c>
      <c r="Q108" s="42">
        <v>578836</v>
      </c>
      <c r="S108" s="42">
        <v>795416</v>
      </c>
      <c r="U108" s="42">
        <v>21180</v>
      </c>
      <c r="W108" s="42">
        <v>1106835</v>
      </c>
      <c r="Y108" s="42">
        <v>370188</v>
      </c>
      <c r="AA108" s="42">
        <v>0</v>
      </c>
      <c r="AC108" s="42">
        <v>1414064</v>
      </c>
      <c r="AE108" s="42">
        <v>834172</v>
      </c>
      <c r="AG108" s="42">
        <v>4415</v>
      </c>
      <c r="AI108" s="42">
        <v>445413</v>
      </c>
      <c r="AK108" s="42">
        <v>0</v>
      </c>
      <c r="AL108" s="9" t="s">
        <v>516</v>
      </c>
      <c r="AM108" s="9"/>
      <c r="AN108" s="9" t="s">
        <v>64</v>
      </c>
      <c r="AP108" s="42">
        <v>458191</v>
      </c>
      <c r="AR108" s="42">
        <f>4268+99868</f>
        <v>104136</v>
      </c>
      <c r="AT108" s="42">
        <v>0</v>
      </c>
      <c r="AV108" s="42">
        <v>730768</v>
      </c>
      <c r="AX108" s="42">
        <v>60351</v>
      </c>
      <c r="AZ108" s="42">
        <v>0</v>
      </c>
      <c r="BB108" s="5">
        <f t="shared" si="21"/>
        <v>14611996</v>
      </c>
      <c r="BD108" s="42">
        <v>71147</v>
      </c>
      <c r="BF108" s="42">
        <v>0</v>
      </c>
      <c r="BH108" s="42">
        <v>0</v>
      </c>
      <c r="BJ108" s="42">
        <v>0</v>
      </c>
      <c r="BL108" s="5">
        <f t="shared" si="20"/>
        <v>14683143</v>
      </c>
      <c r="BN108" s="5">
        <f>'Gov Fd Rev'!AQ108-'Gov Fd Exp'!BL108</f>
        <v>-55402</v>
      </c>
      <c r="BP108" s="42">
        <v>-338131</v>
      </c>
      <c r="BR108" s="42">
        <v>140</v>
      </c>
      <c r="BT108" s="42">
        <v>0</v>
      </c>
      <c r="BV108" s="5">
        <f t="shared" si="22"/>
        <v>-393393</v>
      </c>
      <c r="BW108" s="5"/>
      <c r="BX108" s="5">
        <f>BV108-'Gov Fd BS'!AI108</f>
        <v>0</v>
      </c>
    </row>
    <row r="109" spans="1:76" hidden="1">
      <c r="A109" s="9" t="s">
        <v>731</v>
      </c>
      <c r="B109" s="9"/>
      <c r="C109" s="9" t="s">
        <v>30</v>
      </c>
      <c r="D109" s="9"/>
      <c r="E109" s="23">
        <v>47183</v>
      </c>
      <c r="G109" s="42">
        <v>0</v>
      </c>
      <c r="I109" s="42">
        <v>0</v>
      </c>
      <c r="K109" s="42">
        <v>0</v>
      </c>
      <c r="M109" s="42">
        <v>0</v>
      </c>
      <c r="O109" s="42">
        <v>0</v>
      </c>
      <c r="Q109" s="42">
        <v>0</v>
      </c>
      <c r="S109" s="42">
        <v>0</v>
      </c>
      <c r="U109" s="42">
        <v>0</v>
      </c>
      <c r="W109" s="42">
        <v>0</v>
      </c>
      <c r="Y109" s="42">
        <v>0</v>
      </c>
      <c r="AA109" s="42">
        <v>0</v>
      </c>
      <c r="AC109" s="42">
        <v>0</v>
      </c>
      <c r="AE109" s="42">
        <v>0</v>
      </c>
      <c r="AG109" s="42">
        <v>0</v>
      </c>
      <c r="AI109" s="42">
        <v>0</v>
      </c>
      <c r="AK109" s="42">
        <v>0</v>
      </c>
      <c r="AL109" s="9" t="s">
        <v>731</v>
      </c>
      <c r="AM109" s="9"/>
      <c r="AN109" s="9" t="s">
        <v>30</v>
      </c>
      <c r="AP109" s="42">
        <v>0</v>
      </c>
      <c r="AR109" s="42">
        <v>0</v>
      </c>
      <c r="AT109" s="42">
        <v>0</v>
      </c>
      <c r="AV109" s="42">
        <v>0</v>
      </c>
      <c r="AX109" s="42">
        <v>0</v>
      </c>
      <c r="AZ109" s="42">
        <v>0</v>
      </c>
      <c r="BB109" s="5">
        <f t="shared" si="21"/>
        <v>0</v>
      </c>
      <c r="BD109" s="42">
        <v>0</v>
      </c>
      <c r="BF109" s="42">
        <v>0</v>
      </c>
      <c r="BH109" s="42">
        <v>0</v>
      </c>
      <c r="BJ109" s="42">
        <v>0</v>
      </c>
      <c r="BL109" s="5">
        <f t="shared" si="20"/>
        <v>0</v>
      </c>
      <c r="BN109" s="5">
        <f>'Gov Fd Rev'!AQ109-'Gov Fd Exp'!BL109</f>
        <v>0</v>
      </c>
      <c r="BP109" s="42">
        <v>0</v>
      </c>
      <c r="BR109" s="42">
        <v>0</v>
      </c>
      <c r="BT109" s="42">
        <v>0</v>
      </c>
      <c r="BV109" s="5">
        <f t="shared" si="22"/>
        <v>0</v>
      </c>
      <c r="BW109" s="5"/>
      <c r="BX109" s="5">
        <f>BV109-'Gov Fd BS'!AI109</f>
        <v>0</v>
      </c>
    </row>
    <row r="110" spans="1:76">
      <c r="A110" s="9" t="s">
        <v>749</v>
      </c>
      <c r="B110" s="9"/>
      <c r="C110" s="9" t="s">
        <v>364</v>
      </c>
      <c r="D110" s="9"/>
      <c r="E110" s="23">
        <v>45294</v>
      </c>
      <c r="G110" s="42">
        <v>6548935</v>
      </c>
      <c r="I110" s="42">
        <v>1221245</v>
      </c>
      <c r="K110" s="42">
        <v>0</v>
      </c>
      <c r="M110" s="42">
        <v>0</v>
      </c>
      <c r="O110" s="42">
        <v>335955</v>
      </c>
      <c r="Q110" s="42">
        <v>492996</v>
      </c>
      <c r="S110" s="42">
        <v>860700</v>
      </c>
      <c r="U110" s="42">
        <v>68487</v>
      </c>
      <c r="W110" s="42">
        <v>899593</v>
      </c>
      <c r="Y110" s="42">
        <v>369845</v>
      </c>
      <c r="AA110" s="42">
        <v>0</v>
      </c>
      <c r="AC110" s="42">
        <v>1175322</v>
      </c>
      <c r="AE110" s="42">
        <v>714320</v>
      </c>
      <c r="AG110" s="42">
        <v>276694</v>
      </c>
      <c r="AI110" s="42">
        <v>0</v>
      </c>
      <c r="AK110" s="42">
        <v>524912</v>
      </c>
      <c r="AL110" s="9" t="s">
        <v>749</v>
      </c>
      <c r="AM110" s="9"/>
      <c r="AN110" s="9" t="s">
        <v>364</v>
      </c>
      <c r="AP110" s="42">
        <v>276023</v>
      </c>
      <c r="AR110" s="42">
        <v>2899810</v>
      </c>
      <c r="AT110" s="42">
        <v>0</v>
      </c>
      <c r="AV110" s="42">
        <v>285684</v>
      </c>
      <c r="AX110" s="42">
        <v>119518</v>
      </c>
      <c r="AZ110" s="42">
        <v>104899</v>
      </c>
      <c r="BB110" s="5">
        <f t="shared" si="21"/>
        <v>17174938</v>
      </c>
      <c r="BD110" s="42">
        <v>62341</v>
      </c>
      <c r="BF110" s="42">
        <v>0</v>
      </c>
      <c r="BH110" s="42">
        <v>0</v>
      </c>
      <c r="BJ110" s="42">
        <v>0</v>
      </c>
      <c r="BL110" s="5">
        <f t="shared" si="20"/>
        <v>17237279</v>
      </c>
      <c r="BN110" s="5">
        <f>'Gov Fd Rev'!AQ110-'Gov Fd Exp'!BL110</f>
        <v>17950</v>
      </c>
      <c r="BP110" s="42">
        <v>2321939</v>
      </c>
      <c r="BR110" s="42">
        <v>0</v>
      </c>
      <c r="BT110" s="42">
        <v>0</v>
      </c>
      <c r="BV110" s="5">
        <f t="shared" si="22"/>
        <v>2339889</v>
      </c>
      <c r="BW110" s="5"/>
      <c r="BX110" s="5">
        <f>BV110-'Gov Fd BS'!AI110</f>
        <v>0</v>
      </c>
    </row>
    <row r="111" spans="1:76">
      <c r="A111" s="9" t="s">
        <v>470</v>
      </c>
      <c r="B111" s="9"/>
      <c r="C111" s="9" t="s">
        <v>58</v>
      </c>
      <c r="D111" s="9"/>
      <c r="E111" s="23">
        <v>43745</v>
      </c>
      <c r="G111" s="42">
        <v>15918879</v>
      </c>
      <c r="I111" s="42">
        <v>3006684</v>
      </c>
      <c r="K111" s="42">
        <v>28</v>
      </c>
      <c r="M111" s="42">
        <v>0</v>
      </c>
      <c r="O111" s="42">
        <v>170200</v>
      </c>
      <c r="Q111" s="42">
        <v>1762182</v>
      </c>
      <c r="S111" s="42">
        <v>1102059</v>
      </c>
      <c r="U111" s="42">
        <v>59691</v>
      </c>
      <c r="W111" s="42">
        <v>1944682</v>
      </c>
      <c r="Y111" s="42">
        <v>774490</v>
      </c>
      <c r="AA111" s="42">
        <v>115795</v>
      </c>
      <c r="AC111" s="42">
        <v>2178437</v>
      </c>
      <c r="AE111" s="42">
        <v>902381</v>
      </c>
      <c r="AG111" s="42">
        <v>207064</v>
      </c>
      <c r="AI111" s="42">
        <v>0</v>
      </c>
      <c r="AK111" s="42">
        <v>1500846</v>
      </c>
      <c r="AL111" s="9" t="s">
        <v>470</v>
      </c>
      <c r="AM111" s="9"/>
      <c r="AN111" s="9" t="s">
        <v>58</v>
      </c>
      <c r="AP111" s="42">
        <v>463035</v>
      </c>
      <c r="AR111" s="42">
        <v>277751</v>
      </c>
      <c r="AT111" s="42">
        <v>0</v>
      </c>
      <c r="AV111" s="42">
        <v>2772254</v>
      </c>
      <c r="AX111" s="42">
        <v>1204715</v>
      </c>
      <c r="AZ111" s="42">
        <v>0</v>
      </c>
      <c r="BB111" s="5">
        <f t="shared" si="21"/>
        <v>34361173</v>
      </c>
      <c r="BD111" s="42">
        <v>0</v>
      </c>
      <c r="BF111" s="42">
        <v>0</v>
      </c>
      <c r="BH111" s="42">
        <v>0</v>
      </c>
      <c r="BJ111" s="42">
        <v>0</v>
      </c>
      <c r="BL111" s="5">
        <f t="shared" si="20"/>
        <v>34361173</v>
      </c>
      <c r="BN111" s="5">
        <f>'Gov Fd Rev'!AQ111-'Gov Fd Exp'!BL111</f>
        <v>839108</v>
      </c>
      <c r="BP111" s="42">
        <v>3263134</v>
      </c>
      <c r="BR111" s="42">
        <v>0</v>
      </c>
      <c r="BT111" s="42">
        <v>0</v>
      </c>
      <c r="BV111" s="5">
        <f t="shared" si="22"/>
        <v>4102242</v>
      </c>
      <c r="BW111" s="5"/>
      <c r="BX111" s="5">
        <f>BV111-'Gov Fd BS'!AI111</f>
        <v>0</v>
      </c>
    </row>
    <row r="112" spans="1:76">
      <c r="A112" s="9" t="s">
        <v>547</v>
      </c>
      <c r="B112" s="9"/>
      <c r="C112" s="9" t="s">
        <v>71</v>
      </c>
      <c r="D112" s="9"/>
      <c r="E112" s="23">
        <v>50534</v>
      </c>
      <c r="G112" s="42">
        <v>5584865</v>
      </c>
      <c r="I112" s="42">
        <v>1375156</v>
      </c>
      <c r="K112" s="42">
        <v>7275</v>
      </c>
      <c r="M112" s="42">
        <v>0</v>
      </c>
      <c r="O112" s="42">
        <v>396275</v>
      </c>
      <c r="Q112" s="42">
        <v>163447</v>
      </c>
      <c r="S112" s="42">
        <v>460438</v>
      </c>
      <c r="U112" s="42">
        <v>42768</v>
      </c>
      <c r="W112" s="42">
        <v>1224535</v>
      </c>
      <c r="Y112" s="42">
        <v>403064</v>
      </c>
      <c r="AA112" s="42">
        <v>0</v>
      </c>
      <c r="AC112" s="42">
        <v>1149932</v>
      </c>
      <c r="AE112" s="42">
        <v>642202</v>
      </c>
      <c r="AG112" s="42">
        <v>181953</v>
      </c>
      <c r="AI112" s="42">
        <v>481120</v>
      </c>
      <c r="AK112" s="42">
        <v>89835</v>
      </c>
      <c r="AL112" s="9" t="s">
        <v>547</v>
      </c>
      <c r="AM112" s="9"/>
      <c r="AN112" s="9" t="s">
        <v>71</v>
      </c>
      <c r="AP112" s="42">
        <v>537484</v>
      </c>
      <c r="AR112" s="42">
        <v>0</v>
      </c>
      <c r="AT112" s="42">
        <v>0</v>
      </c>
      <c r="AV112" s="42">
        <v>0</v>
      </c>
      <c r="AX112" s="42">
        <v>0</v>
      </c>
      <c r="AZ112" s="42">
        <v>0</v>
      </c>
      <c r="BB112" s="5">
        <f t="shared" si="21"/>
        <v>12740349</v>
      </c>
      <c r="BD112" s="42">
        <v>271500</v>
      </c>
      <c r="BF112" s="42">
        <v>0</v>
      </c>
      <c r="BH112" s="42">
        <v>0</v>
      </c>
      <c r="BJ112" s="42">
        <v>0</v>
      </c>
      <c r="BL112" s="5">
        <f t="shared" si="20"/>
        <v>13011849</v>
      </c>
      <c r="BN112" s="5">
        <f>'Gov Fd Rev'!AQ112-'Gov Fd Exp'!BL112</f>
        <v>-172080</v>
      </c>
      <c r="BP112" s="42">
        <v>6660589</v>
      </c>
      <c r="BR112" s="42">
        <v>0</v>
      </c>
      <c r="BT112" s="42">
        <v>0</v>
      </c>
      <c r="BV112" s="5">
        <f t="shared" si="22"/>
        <v>6488509</v>
      </c>
      <c r="BW112" s="5"/>
      <c r="BX112" s="5">
        <f>BV112-'Gov Fd BS'!AI112</f>
        <v>0</v>
      </c>
    </row>
    <row r="113" spans="1:76">
      <c r="A113" s="9" t="s">
        <v>647</v>
      </c>
      <c r="B113" s="9"/>
      <c r="C113" s="9" t="s">
        <v>32</v>
      </c>
      <c r="D113" s="9"/>
      <c r="E113" s="23">
        <v>43752</v>
      </c>
      <c r="G113" s="42">
        <v>206573541</v>
      </c>
      <c r="I113" s="42">
        <v>72651360</v>
      </c>
      <c r="K113" s="42">
        <v>3760557</v>
      </c>
      <c r="M113" s="42">
        <v>0</v>
      </c>
      <c r="O113" s="42">
        <v>763453</v>
      </c>
      <c r="Q113" s="42">
        <v>33566049</v>
      </c>
      <c r="S113" s="42">
        <v>38211520</v>
      </c>
      <c r="U113" s="42">
        <v>364567</v>
      </c>
      <c r="W113" s="42">
        <v>31326700</v>
      </c>
      <c r="Y113" s="42">
        <v>6637044</v>
      </c>
      <c r="AA113" s="42">
        <v>1139823</v>
      </c>
      <c r="AC113" s="42">
        <v>46630433</v>
      </c>
      <c r="AE113" s="42">
        <v>30094029</v>
      </c>
      <c r="AG113" s="42">
        <v>19533495</v>
      </c>
      <c r="AI113" s="42">
        <v>0</v>
      </c>
      <c r="AK113" s="42">
        <v>29992148</v>
      </c>
      <c r="AL113" s="9" t="s">
        <v>647</v>
      </c>
      <c r="AM113" s="9"/>
      <c r="AN113" s="9" t="s">
        <v>32</v>
      </c>
      <c r="AP113" s="42">
        <v>3930296</v>
      </c>
      <c r="AR113" s="42">
        <v>80883297</v>
      </c>
      <c r="AT113" s="42">
        <v>0</v>
      </c>
      <c r="AV113" s="42">
        <v>27250000</v>
      </c>
      <c r="AX113" s="42">
        <v>35883608</v>
      </c>
      <c r="AZ113" s="42">
        <v>0</v>
      </c>
      <c r="BB113" s="5">
        <f t="shared" si="21"/>
        <v>669191920</v>
      </c>
      <c r="BD113" s="42">
        <v>12402825</v>
      </c>
      <c r="BF113" s="42">
        <v>0</v>
      </c>
      <c r="BH113" s="42">
        <v>0</v>
      </c>
      <c r="BJ113" s="42">
        <v>0</v>
      </c>
      <c r="BL113" s="5">
        <f t="shared" si="20"/>
        <v>681594745</v>
      </c>
      <c r="BN113" s="5">
        <f>'Gov Fd Rev'!AQ113-'Gov Fd Exp'!BL113</f>
        <v>-48806583</v>
      </c>
      <c r="BP113" s="42">
        <v>316320116</v>
      </c>
      <c r="BR113" s="42">
        <v>0</v>
      </c>
      <c r="BT113" s="42">
        <v>0</v>
      </c>
      <c r="BV113" s="5">
        <f t="shared" si="22"/>
        <v>267513533</v>
      </c>
      <c r="BW113" s="5"/>
      <c r="BX113" s="5">
        <f>BV113-'Gov Fd BS'!AI113</f>
        <v>0</v>
      </c>
    </row>
    <row r="114" spans="1:76">
      <c r="A114" s="9" t="s">
        <v>449</v>
      </c>
      <c r="B114" s="9"/>
      <c r="C114" s="9" t="s">
        <v>54</v>
      </c>
      <c r="D114" s="9"/>
      <c r="E114" s="23">
        <v>43760</v>
      </c>
      <c r="G114" s="42">
        <v>11169837</v>
      </c>
      <c r="I114" s="42">
        <v>2996398</v>
      </c>
      <c r="K114" s="42">
        <v>101597</v>
      </c>
      <c r="M114" s="42">
        <v>0</v>
      </c>
      <c r="O114" s="42">
        <v>826</v>
      </c>
      <c r="Q114" s="42">
        <v>978662</v>
      </c>
      <c r="S114" s="42">
        <v>2320305</v>
      </c>
      <c r="U114" s="42">
        <v>50069</v>
      </c>
      <c r="W114" s="42">
        <v>1976487</v>
      </c>
      <c r="Y114" s="42">
        <v>506566</v>
      </c>
      <c r="AA114" s="42">
        <v>0</v>
      </c>
      <c r="AC114" s="42">
        <v>1373524</v>
      </c>
      <c r="AE114" s="42">
        <v>867904</v>
      </c>
      <c r="AG114" s="42">
        <v>13328</v>
      </c>
      <c r="AI114" s="42">
        <v>1049255</v>
      </c>
      <c r="AK114" s="42">
        <v>121732</v>
      </c>
      <c r="AL114" s="9" t="s">
        <v>449</v>
      </c>
      <c r="AM114" s="9"/>
      <c r="AN114" s="9" t="s">
        <v>54</v>
      </c>
      <c r="AP114" s="42">
        <v>481272</v>
      </c>
      <c r="AR114" s="42">
        <f>28189316+181895</f>
        <v>28371211</v>
      </c>
      <c r="AT114" s="42">
        <v>0</v>
      </c>
      <c r="AV114" s="42">
        <v>690586</v>
      </c>
      <c r="AX114" s="42">
        <v>2718849</v>
      </c>
      <c r="AZ114" s="42">
        <v>0</v>
      </c>
      <c r="BB114" s="5">
        <f t="shared" si="21"/>
        <v>55788408</v>
      </c>
      <c r="BD114" s="42">
        <v>75360</v>
      </c>
      <c r="BF114" s="42">
        <v>0</v>
      </c>
      <c r="BH114" s="42">
        <v>0</v>
      </c>
      <c r="BJ114" s="42">
        <v>0</v>
      </c>
      <c r="BL114" s="5">
        <f t="shared" si="20"/>
        <v>55863768</v>
      </c>
      <c r="BN114" s="5">
        <f>'Gov Fd Rev'!AQ114-'Gov Fd Exp'!BL114</f>
        <v>-15127231</v>
      </c>
      <c r="BP114" s="42">
        <v>63816312</v>
      </c>
      <c r="BR114" s="42">
        <v>3124</v>
      </c>
      <c r="BT114" s="42">
        <v>0</v>
      </c>
      <c r="BV114" s="5">
        <f t="shared" si="22"/>
        <v>48692205</v>
      </c>
      <c r="BW114" s="5"/>
      <c r="BX114" s="5">
        <f>BV114-'Gov Fd BS'!AI114</f>
        <v>0</v>
      </c>
    </row>
    <row r="115" spans="1:76">
      <c r="A115" s="9" t="s">
        <v>229</v>
      </c>
      <c r="B115" s="9"/>
      <c r="C115" s="9" t="s">
        <v>17</v>
      </c>
      <c r="D115" s="9"/>
      <c r="E115" s="23">
        <v>46284</v>
      </c>
      <c r="G115" s="42">
        <v>9332344</v>
      </c>
      <c r="I115" s="42">
        <v>2112721</v>
      </c>
      <c r="K115" s="42">
        <v>214082</v>
      </c>
      <c r="M115" s="42">
        <v>7649</v>
      </c>
      <c r="O115" s="42">
        <v>320370</v>
      </c>
      <c r="Q115" s="42">
        <v>723885</v>
      </c>
      <c r="S115" s="42">
        <v>721961</v>
      </c>
      <c r="U115" s="42">
        <v>119065</v>
      </c>
      <c r="W115" s="42">
        <v>1600841</v>
      </c>
      <c r="Y115" s="42">
        <v>491800</v>
      </c>
      <c r="AA115" s="42">
        <v>10100</v>
      </c>
      <c r="AC115" s="42">
        <v>1472881</v>
      </c>
      <c r="AE115" s="42">
        <v>1128966</v>
      </c>
      <c r="AG115" s="42">
        <v>7150</v>
      </c>
      <c r="AI115" s="42">
        <v>0</v>
      </c>
      <c r="AK115" s="42">
        <v>907341</v>
      </c>
      <c r="AL115" s="9" t="s">
        <v>229</v>
      </c>
      <c r="AM115" s="9"/>
      <c r="AN115" s="9" t="s">
        <v>17</v>
      </c>
      <c r="AP115" s="42">
        <v>971115</v>
      </c>
      <c r="AR115" s="42">
        <v>75292</v>
      </c>
      <c r="AT115" s="42">
        <v>0</v>
      </c>
      <c r="AV115" s="42">
        <v>60877</v>
      </c>
      <c r="AX115" s="42">
        <v>597</v>
      </c>
      <c r="AZ115" s="42">
        <v>0</v>
      </c>
      <c r="BB115" s="5">
        <f t="shared" si="21"/>
        <v>20279037</v>
      </c>
      <c r="BD115" s="42">
        <v>227824</v>
      </c>
      <c r="BF115" s="42">
        <v>0</v>
      </c>
      <c r="BH115" s="42">
        <v>0</v>
      </c>
      <c r="BJ115" s="42">
        <v>0</v>
      </c>
      <c r="BL115" s="5">
        <f t="shared" si="20"/>
        <v>20506861</v>
      </c>
      <c r="BN115" s="5">
        <f>'Gov Fd Rev'!AQ115-'Gov Fd Exp'!BL115</f>
        <v>238695</v>
      </c>
      <c r="BP115" s="42">
        <v>1792959</v>
      </c>
      <c r="BR115" s="42">
        <v>0</v>
      </c>
      <c r="BT115" s="42">
        <v>0</v>
      </c>
      <c r="BV115" s="5">
        <f t="shared" si="22"/>
        <v>2031654</v>
      </c>
      <c r="BW115" s="5"/>
      <c r="BX115" s="5">
        <f>BV115-'Gov Fd BS'!AI115</f>
        <v>0</v>
      </c>
    </row>
    <row r="116" spans="1:76">
      <c r="A116" s="9" t="s">
        <v>477</v>
      </c>
      <c r="B116" s="9"/>
      <c r="C116" s="9" t="s">
        <v>59</v>
      </c>
      <c r="D116" s="9"/>
      <c r="E116" s="23">
        <v>49601</v>
      </c>
      <c r="G116" s="42">
        <v>3296451</v>
      </c>
      <c r="I116" s="42">
        <v>585352</v>
      </c>
      <c r="K116" s="42">
        <v>0</v>
      </c>
      <c r="M116" s="42">
        <v>0</v>
      </c>
      <c r="O116" s="42">
        <v>17833</v>
      </c>
      <c r="Q116" s="42">
        <v>260042</v>
      </c>
      <c r="S116" s="42">
        <v>295458</v>
      </c>
      <c r="U116" s="42">
        <v>6816</v>
      </c>
      <c r="W116" s="42">
        <v>646274</v>
      </c>
      <c r="Y116" s="42">
        <v>85177</v>
      </c>
      <c r="AA116" s="42">
        <v>0</v>
      </c>
      <c r="AC116" s="42">
        <v>503087</v>
      </c>
      <c r="AE116" s="42">
        <v>248967</v>
      </c>
      <c r="AG116" s="42">
        <v>1320</v>
      </c>
      <c r="AI116" s="42">
        <v>273451</v>
      </c>
      <c r="AK116" s="42">
        <v>0</v>
      </c>
      <c r="AL116" s="9" t="s">
        <v>477</v>
      </c>
      <c r="AM116" s="9"/>
      <c r="AN116" s="9" t="s">
        <v>59</v>
      </c>
      <c r="AP116" s="42">
        <v>125441</v>
      </c>
      <c r="AR116" s="42">
        <v>329467</v>
      </c>
      <c r="AT116" s="42">
        <v>0</v>
      </c>
      <c r="AV116" s="42">
        <v>133671</v>
      </c>
      <c r="AX116" s="42">
        <v>239974</v>
      </c>
      <c r="AZ116" s="42">
        <v>0</v>
      </c>
      <c r="BB116" s="5">
        <f t="shared" si="21"/>
        <v>7048781</v>
      </c>
      <c r="BD116" s="42">
        <v>499836</v>
      </c>
      <c r="BF116" s="42">
        <v>0</v>
      </c>
      <c r="BH116" s="42">
        <v>0</v>
      </c>
      <c r="BJ116" s="42">
        <v>0</v>
      </c>
      <c r="BL116" s="5">
        <f t="shared" si="20"/>
        <v>7548617</v>
      </c>
      <c r="BN116" s="5">
        <f>'Gov Fd Rev'!AQ116-'Gov Fd Exp'!BL116</f>
        <v>-273864</v>
      </c>
      <c r="BP116" s="42">
        <v>641168</v>
      </c>
      <c r="BR116" s="42">
        <v>0</v>
      </c>
      <c r="BT116" s="42">
        <v>0</v>
      </c>
      <c r="BV116" s="5">
        <f t="shared" si="22"/>
        <v>367304</v>
      </c>
      <c r="BW116" s="5"/>
      <c r="BX116" s="5">
        <f>BV116-'Gov Fd BS'!AI116</f>
        <v>0</v>
      </c>
    </row>
    <row r="117" spans="1:76">
      <c r="A117" s="9" t="s">
        <v>529</v>
      </c>
      <c r="B117" s="9"/>
      <c r="C117" s="9" t="s">
        <v>65</v>
      </c>
      <c r="D117" s="9"/>
      <c r="E117" s="23">
        <v>43778</v>
      </c>
      <c r="G117" s="42">
        <v>9500517</v>
      </c>
      <c r="I117" s="42">
        <v>2976314</v>
      </c>
      <c r="K117" s="42">
        <v>88281</v>
      </c>
      <c r="M117" s="42">
        <v>0</v>
      </c>
      <c r="O117" s="42">
        <v>91754</v>
      </c>
      <c r="Q117" s="42">
        <v>948937</v>
      </c>
      <c r="S117" s="42">
        <v>931878</v>
      </c>
      <c r="U117" s="42">
        <v>47712</v>
      </c>
      <c r="W117" s="42">
        <v>1324465</v>
      </c>
      <c r="Y117" s="42">
        <v>359994</v>
      </c>
      <c r="AA117" s="42">
        <v>11522</v>
      </c>
      <c r="AC117" s="42">
        <v>1904477</v>
      </c>
      <c r="AE117" s="42">
        <v>644547</v>
      </c>
      <c r="AG117" s="42">
        <v>714</v>
      </c>
      <c r="AI117" s="42">
        <v>764282</v>
      </c>
      <c r="AK117" s="42">
        <v>79317</v>
      </c>
      <c r="AL117" s="9" t="s">
        <v>529</v>
      </c>
      <c r="AM117" s="9"/>
      <c r="AN117" s="9" t="s">
        <v>65</v>
      </c>
      <c r="AP117" s="42">
        <v>553583</v>
      </c>
      <c r="AR117" s="42">
        <v>201604</v>
      </c>
      <c r="AT117" s="42">
        <v>0</v>
      </c>
      <c r="AV117" s="42">
        <v>375088</v>
      </c>
      <c r="AX117" s="42">
        <v>89064</v>
      </c>
      <c r="AZ117" s="42">
        <v>0</v>
      </c>
      <c r="BB117" s="5">
        <f t="shared" si="21"/>
        <v>20894050</v>
      </c>
      <c r="BD117" s="42">
        <v>0</v>
      </c>
      <c r="BF117" s="42">
        <v>0</v>
      </c>
      <c r="BH117" s="42">
        <v>0</v>
      </c>
      <c r="BJ117" s="42">
        <v>0</v>
      </c>
      <c r="BL117" s="5">
        <f t="shared" si="20"/>
        <v>20894050</v>
      </c>
      <c r="BN117" s="5">
        <f>'Gov Fd Rev'!AQ117-'Gov Fd Exp'!BL117</f>
        <v>448283</v>
      </c>
      <c r="BP117" s="42">
        <v>2868422</v>
      </c>
      <c r="BR117" s="42">
        <v>515</v>
      </c>
      <c r="BT117" s="42">
        <v>0</v>
      </c>
      <c r="BV117" s="5">
        <f t="shared" si="22"/>
        <v>3317220</v>
      </c>
      <c r="BW117" s="5"/>
      <c r="BX117" s="5">
        <f>BV117-'Gov Fd BS'!AI117</f>
        <v>0</v>
      </c>
    </row>
    <row r="118" spans="1:76">
      <c r="A118" s="9" t="s">
        <v>465</v>
      </c>
      <c r="B118" s="9"/>
      <c r="C118" s="9" t="s">
        <v>109</v>
      </c>
      <c r="D118" s="9"/>
      <c r="E118" s="23">
        <v>49411</v>
      </c>
      <c r="G118" s="42">
        <v>6646024</v>
      </c>
      <c r="I118" s="42">
        <v>1903064</v>
      </c>
      <c r="K118" s="42">
        <v>180630</v>
      </c>
      <c r="M118" s="42">
        <v>0</v>
      </c>
      <c r="O118" s="42">
        <v>719481</v>
      </c>
      <c r="Q118" s="42">
        <v>735694</v>
      </c>
      <c r="S118" s="42">
        <v>473186</v>
      </c>
      <c r="U118" s="42">
        <v>79180</v>
      </c>
      <c r="W118" s="42">
        <v>1026048</v>
      </c>
      <c r="Y118" s="42">
        <v>357680</v>
      </c>
      <c r="AA118" s="42">
        <v>0</v>
      </c>
      <c r="AC118" s="42">
        <v>1907325</v>
      </c>
      <c r="AE118" s="42">
        <v>1150920</v>
      </c>
      <c r="AG118" s="42">
        <v>26733</v>
      </c>
      <c r="AI118" s="42">
        <v>803696</v>
      </c>
      <c r="AK118" s="42">
        <v>0</v>
      </c>
      <c r="AL118" s="9" t="s">
        <v>465</v>
      </c>
      <c r="AM118" s="9"/>
      <c r="AN118" s="9" t="s">
        <v>109</v>
      </c>
      <c r="AP118" s="42">
        <v>535543</v>
      </c>
      <c r="AR118" s="42">
        <v>12195</v>
      </c>
      <c r="AT118" s="42">
        <v>0</v>
      </c>
      <c r="AV118" s="42">
        <v>465000</v>
      </c>
      <c r="AX118" s="42">
        <v>209500</v>
      </c>
      <c r="AZ118" s="42">
        <v>0</v>
      </c>
      <c r="BB118" s="5">
        <f t="shared" si="21"/>
        <v>17231899</v>
      </c>
      <c r="BD118" s="42">
        <v>307263</v>
      </c>
      <c r="BF118" s="42">
        <v>0</v>
      </c>
      <c r="BH118" s="42">
        <v>0</v>
      </c>
      <c r="BJ118" s="42">
        <v>0</v>
      </c>
      <c r="BL118" s="5">
        <f t="shared" si="20"/>
        <v>17539162</v>
      </c>
      <c r="BN118" s="5">
        <f>'Gov Fd Rev'!AQ118-'Gov Fd Exp'!BL118</f>
        <v>-144621</v>
      </c>
      <c r="BP118" s="42">
        <v>7170592</v>
      </c>
      <c r="BR118" s="42">
        <v>-18547</v>
      </c>
      <c r="BT118" s="42">
        <v>0</v>
      </c>
      <c r="BV118" s="5">
        <f t="shared" si="22"/>
        <v>7007424</v>
      </c>
      <c r="BW118" s="5"/>
      <c r="BX118" s="5">
        <f>BV118-'Gov Fd BS'!AI118</f>
        <v>0</v>
      </c>
    </row>
    <row r="119" spans="1:76" hidden="1">
      <c r="A119" s="9" t="s">
        <v>901</v>
      </c>
      <c r="B119" s="9"/>
      <c r="C119" s="9" t="s">
        <v>44</v>
      </c>
      <c r="D119" s="9"/>
      <c r="E119" s="23">
        <v>48132</v>
      </c>
      <c r="G119" s="42">
        <v>0</v>
      </c>
      <c r="I119" s="42">
        <v>0</v>
      </c>
      <c r="K119" s="42">
        <v>0</v>
      </c>
      <c r="M119" s="42">
        <v>0</v>
      </c>
      <c r="O119" s="42">
        <v>0</v>
      </c>
      <c r="Q119" s="42">
        <v>0</v>
      </c>
      <c r="S119" s="42">
        <v>0</v>
      </c>
      <c r="U119" s="42">
        <v>0</v>
      </c>
      <c r="W119" s="42">
        <v>0</v>
      </c>
      <c r="Y119" s="42">
        <v>0</v>
      </c>
      <c r="AA119" s="42">
        <v>0</v>
      </c>
      <c r="AC119" s="42">
        <v>0</v>
      </c>
      <c r="AE119" s="42">
        <v>0</v>
      </c>
      <c r="AG119" s="42">
        <v>0</v>
      </c>
      <c r="AI119" s="42">
        <v>0</v>
      </c>
      <c r="AK119" s="42">
        <v>0</v>
      </c>
      <c r="AL119" s="9" t="s">
        <v>901</v>
      </c>
      <c r="AM119" s="9"/>
      <c r="AN119" s="9" t="s">
        <v>44</v>
      </c>
      <c r="AP119" s="42">
        <v>0</v>
      </c>
      <c r="AR119" s="42">
        <v>0</v>
      </c>
      <c r="AT119" s="42">
        <v>0</v>
      </c>
      <c r="AV119" s="42">
        <v>0</v>
      </c>
      <c r="AX119" s="42">
        <v>0</v>
      </c>
      <c r="AZ119" s="42">
        <v>0</v>
      </c>
      <c r="BB119" s="5">
        <f t="shared" si="21"/>
        <v>0</v>
      </c>
      <c r="BD119" s="42">
        <v>0</v>
      </c>
      <c r="BF119" s="42">
        <v>0</v>
      </c>
      <c r="BH119" s="42">
        <v>0</v>
      </c>
      <c r="BJ119" s="42">
        <v>0</v>
      </c>
      <c r="BL119" s="5">
        <f t="shared" si="20"/>
        <v>0</v>
      </c>
      <c r="BN119" s="5">
        <f>'Gov Fd Rev'!AQ119-'Gov Fd Exp'!BL119</f>
        <v>0</v>
      </c>
      <c r="BP119" s="42">
        <v>0</v>
      </c>
      <c r="BR119" s="42">
        <v>0</v>
      </c>
      <c r="BT119" s="42">
        <v>0</v>
      </c>
      <c r="BV119" s="5">
        <f>BN119+BP119+BR119+BT119</f>
        <v>0</v>
      </c>
      <c r="BW119" s="5"/>
      <c r="BX119" s="5">
        <f>BV119-'Gov Fd BS'!AI119</f>
        <v>0</v>
      </c>
    </row>
    <row r="120" spans="1:76">
      <c r="A120" s="9" t="s">
        <v>648</v>
      </c>
      <c r="B120" s="9"/>
      <c r="C120" s="9" t="s">
        <v>112</v>
      </c>
      <c r="D120" s="9"/>
      <c r="E120" s="23">
        <v>46326</v>
      </c>
      <c r="G120" s="42">
        <v>6741180</v>
      </c>
      <c r="I120" s="42">
        <v>2342139</v>
      </c>
      <c r="K120" s="42">
        <v>0</v>
      </c>
      <c r="M120" s="42">
        <v>0</v>
      </c>
      <c r="O120" s="42">
        <v>461775</v>
      </c>
      <c r="Q120" s="42">
        <v>708756</v>
      </c>
      <c r="S120" s="42">
        <v>668279</v>
      </c>
      <c r="U120" s="42">
        <v>76159</v>
      </c>
      <c r="W120" s="42">
        <v>975027</v>
      </c>
      <c r="Y120" s="42">
        <v>524481</v>
      </c>
      <c r="AA120" s="42">
        <v>55922</v>
      </c>
      <c r="AC120" s="42">
        <v>1889936</v>
      </c>
      <c r="AE120" s="42">
        <v>1943411</v>
      </c>
      <c r="AG120" s="42">
        <v>247874</v>
      </c>
      <c r="AI120" s="42">
        <v>772293</v>
      </c>
      <c r="AK120" s="42">
        <v>166107</v>
      </c>
      <c r="AL120" s="9" t="s">
        <v>648</v>
      </c>
      <c r="AM120" s="9"/>
      <c r="AN120" s="9" t="s">
        <v>112</v>
      </c>
      <c r="AP120" s="42">
        <v>299015</v>
      </c>
      <c r="AR120" s="42">
        <v>0</v>
      </c>
      <c r="AT120" s="42">
        <v>0</v>
      </c>
      <c r="AV120" s="42">
        <v>181538</v>
      </c>
      <c r="AX120" s="42">
        <v>333462</v>
      </c>
      <c r="AZ120" s="42">
        <v>0</v>
      </c>
      <c r="BB120" s="5">
        <f t="shared" si="21"/>
        <v>18387354</v>
      </c>
      <c r="BD120" s="42">
        <v>386000</v>
      </c>
      <c r="BF120" s="42">
        <v>0</v>
      </c>
      <c r="BH120" s="42">
        <v>0</v>
      </c>
      <c r="BJ120" s="42">
        <v>0</v>
      </c>
      <c r="BL120" s="5">
        <f t="shared" si="20"/>
        <v>18773354</v>
      </c>
      <c r="BN120" s="5">
        <f>'Gov Fd Rev'!AQ120-'Gov Fd Exp'!BL120</f>
        <v>100473</v>
      </c>
      <c r="BP120" s="42">
        <v>2185433</v>
      </c>
      <c r="BR120" s="42">
        <v>0</v>
      </c>
      <c r="BT120" s="42">
        <v>0</v>
      </c>
      <c r="BV120" s="5">
        <f>BN120+BP120+BR120+BT120</f>
        <v>2285906</v>
      </c>
      <c r="BW120" s="5"/>
      <c r="BX120" s="5">
        <f>BV120-'Gov Fd BS'!AI120</f>
        <v>0</v>
      </c>
    </row>
    <row r="121" spans="1:76">
      <c r="A121" s="9" t="s">
        <v>646</v>
      </c>
      <c r="B121" s="9"/>
      <c r="C121" s="9" t="s">
        <v>20</v>
      </c>
      <c r="D121" s="9"/>
      <c r="E121" s="23">
        <v>43794</v>
      </c>
      <c r="G121" s="42">
        <v>41692119</v>
      </c>
      <c r="I121" s="42">
        <v>12550483</v>
      </c>
      <c r="K121" s="42">
        <v>2025443</v>
      </c>
      <c r="M121" s="42">
        <v>258355</v>
      </c>
      <c r="O121" s="42">
        <v>8260680</v>
      </c>
      <c r="Q121" s="42">
        <v>9469434</v>
      </c>
      <c r="S121" s="42">
        <v>7362831</v>
      </c>
      <c r="U121" s="42">
        <v>584645</v>
      </c>
      <c r="W121" s="42">
        <v>5920933</v>
      </c>
      <c r="Y121" s="42">
        <v>2992173</v>
      </c>
      <c r="AA121" s="42">
        <v>486832</v>
      </c>
      <c r="AC121" s="42">
        <v>13995828</v>
      </c>
      <c r="AE121" s="42">
        <v>4319901</v>
      </c>
      <c r="AG121" s="42">
        <v>4421478</v>
      </c>
      <c r="AI121" s="42">
        <v>15636</v>
      </c>
      <c r="AK121" s="42">
        <f>2146012+120356</f>
        <v>2266368</v>
      </c>
      <c r="AL121" s="9" t="s">
        <v>646</v>
      </c>
      <c r="AM121" s="9"/>
      <c r="AN121" s="9" t="s">
        <v>20</v>
      </c>
      <c r="AP121" s="42">
        <v>1940700</v>
      </c>
      <c r="AR121" s="42">
        <v>0</v>
      </c>
      <c r="AT121" s="42">
        <v>0</v>
      </c>
      <c r="AV121" s="42">
        <v>1497177</v>
      </c>
      <c r="AX121" s="42">
        <v>328040</v>
      </c>
      <c r="AZ121" s="42">
        <v>124721</v>
      </c>
      <c r="BB121" s="5">
        <f t="shared" si="21"/>
        <v>120513777</v>
      </c>
      <c r="BD121" s="42">
        <v>625321</v>
      </c>
      <c r="BF121" s="42">
        <v>0</v>
      </c>
      <c r="BH121" s="42">
        <v>0</v>
      </c>
      <c r="BJ121" s="42">
        <v>6825000</v>
      </c>
      <c r="BL121" s="5">
        <f t="shared" si="20"/>
        <v>127964098</v>
      </c>
      <c r="BN121" s="5">
        <f>'Gov Fd Rev'!AQ121-'Gov Fd Exp'!BL121</f>
        <v>-2337990</v>
      </c>
      <c r="BP121" s="42">
        <v>50702945</v>
      </c>
      <c r="BR121" s="42">
        <v>0</v>
      </c>
      <c r="BT121" s="42">
        <v>0</v>
      </c>
      <c r="BV121" s="5">
        <f>BN121+BP121+BR121+BT121</f>
        <v>48364955</v>
      </c>
      <c r="BW121" s="5"/>
      <c r="BX121" s="5">
        <f>BV121-'Gov Fd BS'!AI121</f>
        <v>0</v>
      </c>
    </row>
    <row r="122" spans="1:76">
      <c r="A122" s="9" t="s">
        <v>263</v>
      </c>
      <c r="B122" s="9"/>
      <c r="C122" s="9" t="s">
        <v>20</v>
      </c>
      <c r="D122" s="9"/>
      <c r="E122" s="23">
        <v>43786</v>
      </c>
      <c r="G122" s="42">
        <v>296652085</v>
      </c>
      <c r="I122" s="42">
        <v>171815811</v>
      </c>
      <c r="K122" s="42">
        <v>12554974</v>
      </c>
      <c r="M122" s="42">
        <v>108929</v>
      </c>
      <c r="O122" s="42">
        <v>883337</v>
      </c>
      <c r="Q122" s="42">
        <v>36194695</v>
      </c>
      <c r="S122" s="42">
        <v>53789823</v>
      </c>
      <c r="U122" s="42">
        <v>273980</v>
      </c>
      <c r="W122" s="42">
        <v>35343239</v>
      </c>
      <c r="Y122" s="42">
        <v>12622530</v>
      </c>
      <c r="AA122" s="42">
        <v>2013062</v>
      </c>
      <c r="AC122" s="42">
        <v>60105225</v>
      </c>
      <c r="AE122" s="42">
        <v>27477112</v>
      </c>
      <c r="AG122" s="42">
        <v>19762993</v>
      </c>
      <c r="AI122" s="42">
        <v>0</v>
      </c>
      <c r="AK122" s="42">
        <v>37885012</v>
      </c>
      <c r="AL122" s="9" t="s">
        <v>263</v>
      </c>
      <c r="AM122" s="9"/>
      <c r="AN122" s="9" t="s">
        <v>20</v>
      </c>
      <c r="AP122" s="42">
        <v>6979541</v>
      </c>
      <c r="AR122" s="42">
        <v>100956794</v>
      </c>
      <c r="AT122" s="42">
        <v>0</v>
      </c>
      <c r="AV122" s="42">
        <v>65550914</v>
      </c>
      <c r="AX122" s="42">
        <v>11652099</v>
      </c>
      <c r="AZ122" s="42">
        <v>364505</v>
      </c>
      <c r="BB122" s="5">
        <f t="shared" si="21"/>
        <v>952986660</v>
      </c>
      <c r="BD122" s="42">
        <v>13469667</v>
      </c>
      <c r="BF122" s="42">
        <v>0</v>
      </c>
      <c r="BH122" s="42">
        <v>0</v>
      </c>
      <c r="BJ122" s="42">
        <v>0</v>
      </c>
      <c r="BL122" s="5">
        <f t="shared" si="20"/>
        <v>966456327</v>
      </c>
      <c r="BN122" s="5">
        <f>'Gov Fd Rev'!AQ122-'Gov Fd Exp'!BL122</f>
        <v>-39691026</v>
      </c>
      <c r="BP122" s="42">
        <v>227629500</v>
      </c>
      <c r="BR122" s="42">
        <v>0</v>
      </c>
      <c r="BT122" s="42">
        <v>0</v>
      </c>
      <c r="BV122" s="5">
        <f t="shared" si="22"/>
        <v>187938474</v>
      </c>
      <c r="BW122" s="5"/>
      <c r="BX122" s="5">
        <f>BV122-'Gov Fd BS'!AI122</f>
        <v>0</v>
      </c>
    </row>
    <row r="123" spans="1:76">
      <c r="A123" s="9" t="s">
        <v>241</v>
      </c>
      <c r="B123" s="9"/>
      <c r="C123" s="9" t="s">
        <v>18</v>
      </c>
      <c r="D123" s="9"/>
      <c r="E123" s="23">
        <v>46391</v>
      </c>
      <c r="G123" s="42">
        <v>7652089</v>
      </c>
      <c r="I123" s="42">
        <v>1079005</v>
      </c>
      <c r="K123" s="42">
        <v>0</v>
      </c>
      <c r="M123" s="42">
        <v>0</v>
      </c>
      <c r="O123" s="42">
        <v>1187313</v>
      </c>
      <c r="Q123" s="42">
        <v>891793</v>
      </c>
      <c r="S123" s="42">
        <v>970290</v>
      </c>
      <c r="U123" s="42">
        <v>0</v>
      </c>
      <c r="W123" s="42">
        <f>28674+1070230</f>
        <v>1098904</v>
      </c>
      <c r="Y123" s="42">
        <v>385657</v>
      </c>
      <c r="AA123" s="42">
        <v>0</v>
      </c>
      <c r="AC123" s="42">
        <v>1617875</v>
      </c>
      <c r="AE123" s="42">
        <v>1026508</v>
      </c>
      <c r="AG123" s="42">
        <v>3916</v>
      </c>
      <c r="AI123" s="42">
        <v>0</v>
      </c>
      <c r="AK123" s="42">
        <v>681610</v>
      </c>
      <c r="AL123" s="9" t="s">
        <v>241</v>
      </c>
      <c r="AM123" s="9"/>
      <c r="AN123" s="9" t="s">
        <v>18</v>
      </c>
      <c r="AP123" s="42">
        <v>646671</v>
      </c>
      <c r="AR123" s="42">
        <v>966775</v>
      </c>
      <c r="AT123" s="42">
        <v>0</v>
      </c>
      <c r="AV123" s="42">
        <v>667616</v>
      </c>
      <c r="AX123" s="42">
        <v>327831</v>
      </c>
      <c r="AZ123" s="42">
        <v>0</v>
      </c>
      <c r="BB123" s="5">
        <f t="shared" si="21"/>
        <v>19203853</v>
      </c>
      <c r="BD123" s="42">
        <v>85008</v>
      </c>
      <c r="BF123" s="42">
        <v>0</v>
      </c>
      <c r="BH123" s="42">
        <v>0</v>
      </c>
      <c r="BJ123" s="42">
        <v>0</v>
      </c>
      <c r="BL123" s="5">
        <f t="shared" si="20"/>
        <v>19288861</v>
      </c>
      <c r="BN123" s="5">
        <f>'Gov Fd Rev'!AQ123-'Gov Fd Exp'!BL123</f>
        <v>-433304</v>
      </c>
      <c r="BP123" s="42">
        <v>3973088</v>
      </c>
      <c r="BR123" s="42">
        <v>0</v>
      </c>
      <c r="BT123" s="42">
        <v>0</v>
      </c>
      <c r="BV123" s="5">
        <f>BN123+BP123+BR123+BT123</f>
        <v>3539784</v>
      </c>
      <c r="BW123" s="5"/>
      <c r="BX123" s="5">
        <f>BV123-'Gov Fd BS'!AI123</f>
        <v>0</v>
      </c>
    </row>
    <row r="124" spans="1:76">
      <c r="A124" s="9" t="s">
        <v>413</v>
      </c>
      <c r="B124" s="9"/>
      <c r="C124" s="9" t="s">
        <v>47</v>
      </c>
      <c r="D124" s="9"/>
      <c r="E124" s="23">
        <v>48488</v>
      </c>
      <c r="G124" s="42">
        <v>10848276</v>
      </c>
      <c r="I124" s="42">
        <v>2477525</v>
      </c>
      <c r="K124" s="42">
        <v>45452</v>
      </c>
      <c r="M124" s="42">
        <v>0</v>
      </c>
      <c r="O124" s="42">
        <v>1774663</v>
      </c>
      <c r="Q124" s="42">
        <v>1498468</v>
      </c>
      <c r="S124" s="42">
        <v>1881109</v>
      </c>
      <c r="U124" s="42">
        <v>33135</v>
      </c>
      <c r="W124" s="42">
        <v>1463699</v>
      </c>
      <c r="Y124" s="42">
        <v>525300</v>
      </c>
      <c r="AA124" s="42">
        <v>252503</v>
      </c>
      <c r="AC124" s="42">
        <v>1894500</v>
      </c>
      <c r="AE124" s="42">
        <v>2006593</v>
      </c>
      <c r="AG124" s="42">
        <v>327521</v>
      </c>
      <c r="AI124" s="42">
        <v>943688</v>
      </c>
      <c r="AK124" s="42">
        <v>349355</v>
      </c>
      <c r="AL124" s="9" t="s">
        <v>413</v>
      </c>
      <c r="AM124" s="9"/>
      <c r="AN124" s="9" t="s">
        <v>47</v>
      </c>
      <c r="AP124" s="42">
        <v>694624</v>
      </c>
      <c r="AR124" s="42">
        <v>1397459</v>
      </c>
      <c r="AT124" s="42">
        <v>0</v>
      </c>
      <c r="AV124" s="42">
        <v>65000</v>
      </c>
      <c r="AX124" s="42">
        <v>1860051</v>
      </c>
      <c r="AZ124" s="42">
        <v>0</v>
      </c>
      <c r="BB124" s="5">
        <f t="shared" si="21"/>
        <v>30338921</v>
      </c>
      <c r="BD124" s="42">
        <v>176409</v>
      </c>
      <c r="BF124" s="42">
        <v>0</v>
      </c>
      <c r="BH124" s="42">
        <v>0</v>
      </c>
      <c r="BJ124" s="42">
        <v>0</v>
      </c>
      <c r="BL124" s="5">
        <f t="shared" si="20"/>
        <v>30515330</v>
      </c>
      <c r="BN124" s="5">
        <f>'Gov Fd Rev'!AQ124-'Gov Fd Exp'!BL124</f>
        <v>785668</v>
      </c>
      <c r="BP124" s="42">
        <v>4578467</v>
      </c>
      <c r="BR124" s="42">
        <v>0</v>
      </c>
      <c r="BT124" s="42">
        <v>0</v>
      </c>
      <c r="BV124" s="5">
        <f>BN124+BP124+BR124+BT124</f>
        <v>5364135</v>
      </c>
      <c r="BW124" s="5"/>
      <c r="BX124" s="5">
        <f>BV124-'Gov Fd BS'!AI124</f>
        <v>0</v>
      </c>
    </row>
    <row r="125" spans="1:76">
      <c r="A125" s="9" t="s">
        <v>750</v>
      </c>
      <c r="B125" s="9"/>
      <c r="C125" s="9" t="s">
        <v>79</v>
      </c>
      <c r="D125" s="9"/>
      <c r="E125" s="23">
        <v>45302</v>
      </c>
      <c r="G125" s="42">
        <v>9032403</v>
      </c>
      <c r="I125" s="42">
        <v>2317491</v>
      </c>
      <c r="K125" s="42">
        <v>18917</v>
      </c>
      <c r="M125" s="42">
        <v>0</v>
      </c>
      <c r="O125" s="42">
        <v>801977</v>
      </c>
      <c r="Q125" s="42">
        <v>1504810</v>
      </c>
      <c r="S125" s="42">
        <v>577401</v>
      </c>
      <c r="U125" s="42">
        <v>25891</v>
      </c>
      <c r="W125" s="42">
        <v>1542902</v>
      </c>
      <c r="Y125" s="42">
        <v>513435</v>
      </c>
      <c r="AA125" s="42">
        <v>9368</v>
      </c>
      <c r="AC125" s="42">
        <v>1776542</v>
      </c>
      <c r="AE125" s="42">
        <v>1096257</v>
      </c>
      <c r="AG125" s="42">
        <v>71704</v>
      </c>
      <c r="AI125" s="42">
        <v>1094948</v>
      </c>
      <c r="AK125" s="42">
        <v>305973</v>
      </c>
      <c r="AL125" s="9" t="s">
        <v>750</v>
      </c>
      <c r="AM125" s="9"/>
      <c r="AN125" s="9" t="s">
        <v>79</v>
      </c>
      <c r="AP125" s="42">
        <v>701743</v>
      </c>
      <c r="AR125" s="42">
        <v>241971</v>
      </c>
      <c r="AT125" s="42">
        <v>0</v>
      </c>
      <c r="AV125" s="42">
        <v>1029698</v>
      </c>
      <c r="AX125" s="42">
        <v>1136719</v>
      </c>
      <c r="AZ125" s="42">
        <v>0</v>
      </c>
      <c r="BB125" s="5">
        <f t="shared" si="21"/>
        <v>23800150</v>
      </c>
      <c r="BD125" s="42">
        <v>1727902</v>
      </c>
      <c r="BF125" s="42">
        <v>0</v>
      </c>
      <c r="BH125" s="42">
        <v>0</v>
      </c>
      <c r="BJ125" s="42">
        <v>0</v>
      </c>
      <c r="BL125" s="5">
        <f t="shared" si="20"/>
        <v>25528052</v>
      </c>
      <c r="BN125" s="5">
        <f>'Gov Fd Rev'!AQ125-'Gov Fd Exp'!BL125</f>
        <v>171695</v>
      </c>
      <c r="BP125" s="42">
        <v>12934768</v>
      </c>
      <c r="BR125" s="42">
        <v>-13998</v>
      </c>
      <c r="BT125" s="42">
        <v>0</v>
      </c>
      <c r="BV125" s="5">
        <f t="shared" si="22"/>
        <v>13092465</v>
      </c>
      <c r="BW125" s="5"/>
      <c r="BX125" s="5">
        <f>BV125-'Gov Fd BS'!AI125</f>
        <v>0</v>
      </c>
    </row>
    <row r="126" spans="1:76" hidden="1">
      <c r="A126" s="9" t="s">
        <v>649</v>
      </c>
      <c r="B126" s="9"/>
      <c r="C126" s="9" t="s">
        <v>419</v>
      </c>
      <c r="D126" s="9"/>
      <c r="E126" s="23">
        <v>45310</v>
      </c>
      <c r="G126" s="42">
        <v>0</v>
      </c>
      <c r="I126" s="42">
        <v>0</v>
      </c>
      <c r="K126" s="42">
        <v>0</v>
      </c>
      <c r="M126" s="42">
        <v>0</v>
      </c>
      <c r="O126" s="42">
        <v>0</v>
      </c>
      <c r="Q126" s="42">
        <v>0</v>
      </c>
      <c r="S126" s="42">
        <v>0</v>
      </c>
      <c r="U126" s="42">
        <v>0</v>
      </c>
      <c r="W126" s="42">
        <v>0</v>
      </c>
      <c r="Y126" s="42">
        <v>0</v>
      </c>
      <c r="AA126" s="42">
        <v>0</v>
      </c>
      <c r="AC126" s="42">
        <v>0</v>
      </c>
      <c r="AE126" s="42">
        <v>0</v>
      </c>
      <c r="AG126" s="42">
        <v>0</v>
      </c>
      <c r="AI126" s="42">
        <v>0</v>
      </c>
      <c r="AK126" s="42">
        <v>0</v>
      </c>
      <c r="AL126" s="9" t="s">
        <v>649</v>
      </c>
      <c r="AM126" s="9"/>
      <c r="AN126" s="9" t="s">
        <v>419</v>
      </c>
      <c r="AP126" s="42">
        <v>0</v>
      </c>
      <c r="AR126" s="42">
        <v>0</v>
      </c>
      <c r="AT126" s="42">
        <v>0</v>
      </c>
      <c r="AV126" s="42">
        <v>0</v>
      </c>
      <c r="AX126" s="42">
        <v>0</v>
      </c>
      <c r="AZ126" s="42">
        <v>0</v>
      </c>
      <c r="BB126" s="5">
        <f t="shared" si="21"/>
        <v>0</v>
      </c>
      <c r="BD126" s="42">
        <v>0</v>
      </c>
      <c r="BF126" s="42">
        <v>0</v>
      </c>
      <c r="BH126" s="42">
        <v>0</v>
      </c>
      <c r="BJ126" s="42">
        <v>0</v>
      </c>
      <c r="BL126" s="5">
        <f t="shared" si="20"/>
        <v>0</v>
      </c>
      <c r="BN126" s="5">
        <f>'Gov Fd Rev'!AQ126-'Gov Fd Exp'!BL126</f>
        <v>0</v>
      </c>
      <c r="BP126" s="42">
        <v>0</v>
      </c>
      <c r="BR126" s="42">
        <v>0</v>
      </c>
      <c r="BT126" s="42">
        <v>0</v>
      </c>
      <c r="BV126" s="5">
        <f t="shared" si="22"/>
        <v>0</v>
      </c>
      <c r="BW126" s="5"/>
      <c r="BX126" s="5">
        <f>BV126-'Gov Fd BS'!AI126</f>
        <v>0</v>
      </c>
    </row>
    <row r="127" spans="1:76" hidden="1">
      <c r="A127" s="9" t="s">
        <v>605</v>
      </c>
      <c r="B127" s="9"/>
      <c r="C127" s="9" t="s">
        <v>57</v>
      </c>
      <c r="D127" s="9"/>
      <c r="E127" s="23">
        <v>64964</v>
      </c>
      <c r="G127" s="42">
        <v>0</v>
      </c>
      <c r="I127" s="42">
        <v>0</v>
      </c>
      <c r="K127" s="42">
        <v>0</v>
      </c>
      <c r="M127" s="42">
        <v>0</v>
      </c>
      <c r="O127" s="42">
        <v>0</v>
      </c>
      <c r="Q127" s="42">
        <v>0</v>
      </c>
      <c r="S127" s="42">
        <v>0</v>
      </c>
      <c r="U127" s="42">
        <v>0</v>
      </c>
      <c r="W127" s="42">
        <v>0</v>
      </c>
      <c r="Y127" s="42">
        <v>0</v>
      </c>
      <c r="AA127" s="42">
        <v>0</v>
      </c>
      <c r="AC127" s="42">
        <v>0</v>
      </c>
      <c r="AE127" s="42">
        <v>0</v>
      </c>
      <c r="AG127" s="42">
        <v>0</v>
      </c>
      <c r="AI127" s="42">
        <v>0</v>
      </c>
      <c r="AK127" s="42">
        <v>0</v>
      </c>
      <c r="AL127" s="9" t="s">
        <v>605</v>
      </c>
      <c r="AM127" s="9"/>
      <c r="AN127" s="9" t="s">
        <v>57</v>
      </c>
      <c r="AP127" s="42">
        <v>0</v>
      </c>
      <c r="AR127" s="42">
        <v>0</v>
      </c>
      <c r="AT127" s="42">
        <v>0</v>
      </c>
      <c r="AV127" s="42">
        <v>0</v>
      </c>
      <c r="AX127" s="42">
        <v>0</v>
      </c>
      <c r="AZ127" s="42">
        <v>0</v>
      </c>
      <c r="BB127" s="5">
        <f t="shared" si="21"/>
        <v>0</v>
      </c>
      <c r="BD127" s="42">
        <v>0</v>
      </c>
      <c r="BF127" s="42">
        <v>0</v>
      </c>
      <c r="BH127" s="42">
        <v>0</v>
      </c>
      <c r="BJ127" s="42">
        <v>0</v>
      </c>
      <c r="BL127" s="5">
        <f t="shared" si="20"/>
        <v>0</v>
      </c>
      <c r="BN127" s="5">
        <f>'Gov Fd Rev'!AQ127-'Gov Fd Exp'!BL127</f>
        <v>0</v>
      </c>
      <c r="BP127" s="42">
        <v>0</v>
      </c>
      <c r="BR127" s="42">
        <v>0</v>
      </c>
      <c r="BT127" s="42">
        <v>0</v>
      </c>
      <c r="BV127" s="5">
        <f t="shared" si="22"/>
        <v>0</v>
      </c>
      <c r="BW127" s="5"/>
      <c r="BX127" s="5">
        <f>BV127-'Gov Fd BS'!AI127</f>
        <v>0</v>
      </c>
    </row>
    <row r="128" spans="1:76">
      <c r="A128" s="9" t="s">
        <v>256</v>
      </c>
      <c r="B128" s="9"/>
      <c r="C128" s="9" t="s">
        <v>110</v>
      </c>
      <c r="D128" s="9"/>
      <c r="E128" s="23">
        <v>46516</v>
      </c>
      <c r="G128" s="42">
        <v>4211052</v>
      </c>
      <c r="I128" s="42">
        <v>1304497</v>
      </c>
      <c r="K128" s="42">
        <v>27279</v>
      </c>
      <c r="M128" s="42">
        <v>0</v>
      </c>
      <c r="O128" s="42">
        <v>1105</v>
      </c>
      <c r="Q128" s="42">
        <v>703002</v>
      </c>
      <c r="S128" s="42">
        <v>259633</v>
      </c>
      <c r="U128" s="42">
        <v>24593</v>
      </c>
      <c r="W128" s="42">
        <v>715139</v>
      </c>
      <c r="Y128" s="42">
        <v>336522</v>
      </c>
      <c r="AA128" s="42">
        <v>1511</v>
      </c>
      <c r="AC128" s="42">
        <v>986056</v>
      </c>
      <c r="AE128" s="42">
        <v>638927</v>
      </c>
      <c r="AG128" s="42">
        <v>54079</v>
      </c>
      <c r="AI128" s="42">
        <v>286602</v>
      </c>
      <c r="AK128" s="42">
        <v>52781</v>
      </c>
      <c r="AL128" s="9" t="s">
        <v>256</v>
      </c>
      <c r="AM128" s="9"/>
      <c r="AN128" s="9" t="s">
        <v>110</v>
      </c>
      <c r="AP128" s="42">
        <v>411917</v>
      </c>
      <c r="AR128" s="42">
        <f>34696+75666</f>
        <v>110362</v>
      </c>
      <c r="AT128" s="42">
        <v>0</v>
      </c>
      <c r="AV128" s="42">
        <v>473343</v>
      </c>
      <c r="AX128" s="42">
        <v>495067</v>
      </c>
      <c r="AZ128" s="42">
        <v>0</v>
      </c>
      <c r="BB128" s="5">
        <f t="shared" si="21"/>
        <v>11093467</v>
      </c>
      <c r="BD128" s="42">
        <v>0</v>
      </c>
      <c r="BF128" s="42">
        <v>0</v>
      </c>
      <c r="BH128" s="42">
        <v>0</v>
      </c>
      <c r="BJ128" s="42">
        <v>0</v>
      </c>
      <c r="BL128" s="5">
        <f t="shared" si="20"/>
        <v>11093467</v>
      </c>
      <c r="BN128" s="5">
        <f>'Gov Fd Rev'!AQ128-'Gov Fd Exp'!BL128</f>
        <v>-468208</v>
      </c>
      <c r="BP128" s="42">
        <v>3659038</v>
      </c>
      <c r="BR128" s="42">
        <v>0</v>
      </c>
      <c r="BT128" s="42">
        <v>0</v>
      </c>
      <c r="BV128" s="5">
        <f t="shared" si="22"/>
        <v>3190830</v>
      </c>
      <c r="BW128" s="5"/>
      <c r="BX128" s="5">
        <f>BV128-'Gov Fd BS'!AI128</f>
        <v>0</v>
      </c>
    </row>
    <row r="129" spans="1:76">
      <c r="A129" s="9" t="s">
        <v>380</v>
      </c>
      <c r="B129" s="9"/>
      <c r="C129" s="9" t="s">
        <v>44</v>
      </c>
      <c r="D129" s="9"/>
      <c r="E129" s="23">
        <v>48140</v>
      </c>
      <c r="G129" s="42">
        <v>4418578</v>
      </c>
      <c r="I129" s="42">
        <v>987225</v>
      </c>
      <c r="K129" s="42">
        <v>167524</v>
      </c>
      <c r="M129" s="42">
        <v>0</v>
      </c>
      <c r="O129" s="42">
        <v>391710</v>
      </c>
      <c r="Q129" s="42">
        <v>583974</v>
      </c>
      <c r="S129" s="42">
        <v>452851</v>
      </c>
      <c r="U129" s="42">
        <v>16859</v>
      </c>
      <c r="W129" s="42">
        <v>974644</v>
      </c>
      <c r="Y129" s="42">
        <v>384563</v>
      </c>
      <c r="AA129" s="42">
        <v>0</v>
      </c>
      <c r="AC129" s="42">
        <v>888073</v>
      </c>
      <c r="AE129" s="42">
        <v>658516</v>
      </c>
      <c r="AG129" s="42">
        <v>108483</v>
      </c>
      <c r="AI129" s="42">
        <v>339485</v>
      </c>
      <c r="AK129" s="42">
        <v>2790</v>
      </c>
      <c r="AL129" s="9" t="s">
        <v>380</v>
      </c>
      <c r="AM129" s="9"/>
      <c r="AN129" s="9" t="s">
        <v>44</v>
      </c>
      <c r="AP129" s="42">
        <v>497341</v>
      </c>
      <c r="AR129" s="42">
        <f>1511286+88652</f>
        <v>1599938</v>
      </c>
      <c r="AT129" s="42">
        <v>0</v>
      </c>
      <c r="AV129" s="42">
        <v>268650</v>
      </c>
      <c r="AX129" s="42">
        <v>268091</v>
      </c>
      <c r="AZ129" s="42">
        <v>0</v>
      </c>
      <c r="BB129" s="5">
        <f t="shared" si="21"/>
        <v>13009295</v>
      </c>
      <c r="BD129" s="42">
        <v>188607</v>
      </c>
      <c r="BF129" s="42">
        <v>0</v>
      </c>
      <c r="BH129" s="42">
        <v>0</v>
      </c>
      <c r="BJ129" s="42">
        <v>0</v>
      </c>
      <c r="BL129" s="5">
        <f t="shared" si="20"/>
        <v>13197902</v>
      </c>
      <c r="BN129" s="5">
        <f>'Gov Fd Rev'!AQ129-'Gov Fd Exp'!BL129</f>
        <v>-1132140</v>
      </c>
      <c r="BP129" s="42">
        <v>1305484</v>
      </c>
      <c r="BR129" s="42">
        <v>0</v>
      </c>
      <c r="BT129" s="42">
        <v>0</v>
      </c>
      <c r="BV129" s="5">
        <f t="shared" si="22"/>
        <v>173344</v>
      </c>
      <c r="BW129" s="5"/>
      <c r="BX129" s="5">
        <f>BV129-'Gov Fd BS'!AI129</f>
        <v>0</v>
      </c>
    </row>
    <row r="130" spans="1:76">
      <c r="A130" s="9" t="s">
        <v>751</v>
      </c>
      <c r="B130" s="9"/>
      <c r="C130" s="9" t="s">
        <v>111</v>
      </c>
      <c r="D130" s="9"/>
      <c r="E130" s="23">
        <v>45328</v>
      </c>
      <c r="G130" s="42">
        <v>4586049</v>
      </c>
      <c r="I130" s="42">
        <v>1337197</v>
      </c>
      <c r="K130" s="42">
        <v>19271</v>
      </c>
      <c r="M130" s="42">
        <v>0</v>
      </c>
      <c r="O130" s="42">
        <v>0</v>
      </c>
      <c r="Q130" s="42">
        <v>432301</v>
      </c>
      <c r="S130" s="42">
        <v>412047</v>
      </c>
      <c r="U130" s="42">
        <v>35375</v>
      </c>
      <c r="W130" s="42">
        <v>770652</v>
      </c>
      <c r="Y130" s="42">
        <v>421152</v>
      </c>
      <c r="AA130" s="42">
        <v>0</v>
      </c>
      <c r="AC130" s="42">
        <v>669224</v>
      </c>
      <c r="AE130" s="42">
        <v>734016</v>
      </c>
      <c r="AG130" s="42">
        <v>26141</v>
      </c>
      <c r="AI130" s="42">
        <v>301803</v>
      </c>
      <c r="AK130" s="42">
        <v>0</v>
      </c>
      <c r="AL130" s="9" t="s">
        <v>751</v>
      </c>
      <c r="AM130" s="9"/>
      <c r="AN130" s="9" t="s">
        <v>111</v>
      </c>
      <c r="AP130" s="42">
        <v>409505</v>
      </c>
      <c r="AR130" s="42">
        <v>19887</v>
      </c>
      <c r="AT130" s="42">
        <v>0</v>
      </c>
      <c r="AV130" s="42">
        <v>326431</v>
      </c>
      <c r="AX130" s="42">
        <v>790582</v>
      </c>
      <c r="AZ130" s="42">
        <v>0</v>
      </c>
      <c r="BB130" s="5">
        <f t="shared" si="21"/>
        <v>11291633</v>
      </c>
      <c r="BD130" s="42">
        <v>0</v>
      </c>
      <c r="BF130" s="42">
        <v>0</v>
      </c>
      <c r="BH130" s="42">
        <v>0</v>
      </c>
      <c r="BJ130" s="42">
        <v>0</v>
      </c>
      <c r="BL130" s="5">
        <f t="shared" si="20"/>
        <v>11291633</v>
      </c>
      <c r="BN130" s="5">
        <f>'Gov Fd Rev'!AQ130-'Gov Fd Exp'!BL130</f>
        <v>410754</v>
      </c>
      <c r="BP130" s="42">
        <v>3406175</v>
      </c>
      <c r="BR130" s="42">
        <v>0</v>
      </c>
      <c r="BT130" s="42">
        <v>0</v>
      </c>
      <c r="BV130" s="5">
        <f t="shared" si="22"/>
        <v>3816929</v>
      </c>
      <c r="BW130" s="5"/>
      <c r="BX130" s="5">
        <f>BV130-'Gov Fd BS'!AI130</f>
        <v>0</v>
      </c>
    </row>
    <row r="131" spans="1:76">
      <c r="A131" s="9" t="s">
        <v>299</v>
      </c>
      <c r="B131" s="9"/>
      <c r="C131" s="9" t="s">
        <v>27</v>
      </c>
      <c r="D131" s="9"/>
      <c r="E131" s="23">
        <v>43802</v>
      </c>
      <c r="G131" s="42">
        <v>355603601</v>
      </c>
      <c r="I131" s="42">
        <v>114475767</v>
      </c>
      <c r="K131" s="42">
        <v>6476301</v>
      </c>
      <c r="M131" s="42">
        <f>2156394+848023</f>
        <v>3004417</v>
      </c>
      <c r="O131" s="42">
        <v>2001484</v>
      </c>
      <c r="Q131" s="42">
        <v>56044699</v>
      </c>
      <c r="S131" s="42">
        <v>71020606</v>
      </c>
      <c r="U131" s="42">
        <v>124493</v>
      </c>
      <c r="W131" s="42">
        <v>46417426</v>
      </c>
      <c r="Y131" s="42">
        <v>9788995</v>
      </c>
      <c r="AA131" s="42">
        <v>3260162</v>
      </c>
      <c r="AC131" s="42">
        <v>57727835</v>
      </c>
      <c r="AE131" s="42">
        <v>64628468</v>
      </c>
      <c r="AG131" s="42">
        <v>8762318</v>
      </c>
      <c r="AI131" s="42">
        <v>0</v>
      </c>
      <c r="AK131" s="42">
        <v>38267265</v>
      </c>
      <c r="AL131" s="9" t="s">
        <v>299</v>
      </c>
      <c r="AM131" s="9"/>
      <c r="AN131" s="9" t="s">
        <v>27</v>
      </c>
      <c r="AP131" s="42">
        <v>9189559</v>
      </c>
      <c r="AR131" s="42">
        <v>50039129</v>
      </c>
      <c r="AT131" s="42">
        <v>0</v>
      </c>
      <c r="AV131" s="42">
        <v>15095000</v>
      </c>
      <c r="AX131" s="42">
        <v>22349447</v>
      </c>
      <c r="AZ131" s="42">
        <v>0</v>
      </c>
      <c r="BB131" s="5">
        <f t="shared" si="21"/>
        <v>934276972</v>
      </c>
      <c r="BD131" s="42">
        <v>25804338</v>
      </c>
      <c r="BF131" s="42">
        <v>0</v>
      </c>
      <c r="BH131" s="42">
        <v>0</v>
      </c>
      <c r="BJ131" s="42">
        <v>0</v>
      </c>
      <c r="BL131" s="5">
        <f t="shared" si="20"/>
        <v>960081310</v>
      </c>
      <c r="BN131" s="5">
        <f>'Gov Fd Rev'!AQ131-'Gov Fd Exp'!BL131</f>
        <v>1452508</v>
      </c>
      <c r="BP131" s="42">
        <v>434472186</v>
      </c>
      <c r="BR131" s="42">
        <v>0</v>
      </c>
      <c r="BT131" s="42">
        <v>0</v>
      </c>
      <c r="BV131" s="5">
        <f t="shared" si="22"/>
        <v>435924694</v>
      </c>
      <c r="BW131" s="5"/>
      <c r="BX131" s="5">
        <f>BV131-'Gov Fd BS'!AI131</f>
        <v>0</v>
      </c>
    </row>
    <row r="132" spans="1:76" hidden="1">
      <c r="A132" s="9" t="s">
        <v>606</v>
      </c>
      <c r="B132" s="9"/>
      <c r="C132" s="9" t="s">
        <v>464</v>
      </c>
      <c r="D132" s="9"/>
      <c r="E132" s="23">
        <v>49312</v>
      </c>
      <c r="G132" s="42">
        <v>0</v>
      </c>
      <c r="I132" s="42">
        <v>0</v>
      </c>
      <c r="K132" s="42">
        <v>0</v>
      </c>
      <c r="M132" s="42">
        <v>0</v>
      </c>
      <c r="O132" s="42">
        <v>0</v>
      </c>
      <c r="Q132" s="42">
        <v>0</v>
      </c>
      <c r="S132" s="42">
        <v>0</v>
      </c>
      <c r="U132" s="42">
        <v>0</v>
      </c>
      <c r="W132" s="42">
        <v>0</v>
      </c>
      <c r="Y132" s="42">
        <v>0</v>
      </c>
      <c r="AA132" s="42">
        <v>0</v>
      </c>
      <c r="AC132" s="42">
        <v>0</v>
      </c>
      <c r="AE132" s="42">
        <v>0</v>
      </c>
      <c r="AG132" s="42">
        <v>0</v>
      </c>
      <c r="AI132" s="42">
        <v>0</v>
      </c>
      <c r="AK132" s="42">
        <v>0</v>
      </c>
      <c r="AL132" s="9" t="s">
        <v>606</v>
      </c>
      <c r="AM132" s="9"/>
      <c r="AN132" s="9" t="s">
        <v>464</v>
      </c>
      <c r="AP132" s="42">
        <v>0</v>
      </c>
      <c r="AR132" s="42">
        <v>0</v>
      </c>
      <c r="AT132" s="42">
        <v>0</v>
      </c>
      <c r="AV132" s="42">
        <v>0</v>
      </c>
      <c r="AX132" s="42">
        <v>0</v>
      </c>
      <c r="AZ132" s="42">
        <v>0</v>
      </c>
      <c r="BB132" s="5">
        <f t="shared" si="21"/>
        <v>0</v>
      </c>
      <c r="BD132" s="42">
        <v>0</v>
      </c>
      <c r="BF132" s="42">
        <v>0</v>
      </c>
      <c r="BH132" s="42">
        <v>0</v>
      </c>
      <c r="BJ132" s="42">
        <v>0</v>
      </c>
      <c r="BL132" s="5">
        <f t="shared" si="20"/>
        <v>0</v>
      </c>
      <c r="BN132" s="5">
        <f>'Gov Fd Rev'!AQ132-'Gov Fd Exp'!BL132</f>
        <v>0</v>
      </c>
      <c r="BP132" s="42">
        <v>0</v>
      </c>
      <c r="BR132" s="42">
        <v>0</v>
      </c>
      <c r="BT132" s="42">
        <v>0</v>
      </c>
      <c r="BV132" s="5">
        <f t="shared" si="22"/>
        <v>0</v>
      </c>
      <c r="BW132" s="5"/>
      <c r="BX132" s="5">
        <f>BV132-'Gov Fd BS'!AI132</f>
        <v>0</v>
      </c>
    </row>
    <row r="133" spans="1:76">
      <c r="A133" s="9" t="s">
        <v>206</v>
      </c>
      <c r="B133" s="9"/>
      <c r="C133" s="9" t="s">
        <v>12</v>
      </c>
      <c r="D133" s="9"/>
      <c r="E133" s="23">
        <v>43810</v>
      </c>
      <c r="G133" s="42">
        <v>7010276</v>
      </c>
      <c r="I133" s="42">
        <v>2451103</v>
      </c>
      <c r="K133" s="42">
        <v>64561</v>
      </c>
      <c r="M133" s="42">
        <v>0</v>
      </c>
      <c r="O133" s="42">
        <v>1254318</v>
      </c>
      <c r="Q133" s="42">
        <v>1136369</v>
      </c>
      <c r="S133" s="42">
        <v>1612209</v>
      </c>
      <c r="U133" s="42">
        <v>22807</v>
      </c>
      <c r="W133" s="42">
        <v>1704053</v>
      </c>
      <c r="Y133" s="42">
        <v>454092</v>
      </c>
      <c r="AA133" s="42">
        <v>0</v>
      </c>
      <c r="AC133" s="42">
        <v>1964383</v>
      </c>
      <c r="AE133" s="42">
        <v>845948</v>
      </c>
      <c r="AG133" s="42">
        <v>24844</v>
      </c>
      <c r="AI133" s="42">
        <v>825444</v>
      </c>
      <c r="AK133" s="42">
        <v>0</v>
      </c>
      <c r="AL133" s="9" t="s">
        <v>206</v>
      </c>
      <c r="AM133" s="9"/>
      <c r="AN133" s="9" t="s">
        <v>12</v>
      </c>
      <c r="AP133" s="42">
        <v>332050</v>
      </c>
      <c r="AR133" s="42">
        <v>112304</v>
      </c>
      <c r="AT133" s="42">
        <v>0</v>
      </c>
      <c r="AV133" s="42">
        <v>445000</v>
      </c>
      <c r="AX133" s="42">
        <v>127962</v>
      </c>
      <c r="AZ133" s="42">
        <v>0</v>
      </c>
      <c r="BB133" s="5">
        <f t="shared" si="21"/>
        <v>20387723</v>
      </c>
      <c r="BD133" s="42">
        <v>742731</v>
      </c>
      <c r="BF133" s="42">
        <v>0</v>
      </c>
      <c r="BH133" s="42">
        <v>0</v>
      </c>
      <c r="BJ133" s="42">
        <v>0</v>
      </c>
      <c r="BL133" s="5">
        <f t="shared" si="20"/>
        <v>21130454</v>
      </c>
      <c r="BN133" s="5">
        <f>'Gov Fd Rev'!AQ133-'Gov Fd Exp'!BL133</f>
        <v>-1149600</v>
      </c>
      <c r="BP133" s="42">
        <v>7276828</v>
      </c>
      <c r="BR133" s="42">
        <v>0</v>
      </c>
      <c r="BT133" s="42">
        <v>0</v>
      </c>
      <c r="BV133" s="5">
        <f t="shared" si="22"/>
        <v>6127228</v>
      </c>
      <c r="BW133" s="5"/>
      <c r="BX133" s="5">
        <f>BV133-'Gov Fd BS'!AI133</f>
        <v>0</v>
      </c>
    </row>
    <row r="134" spans="1:76">
      <c r="A134" s="9" t="s">
        <v>340</v>
      </c>
      <c r="B134" s="9"/>
      <c r="C134" s="9" t="s">
        <v>341</v>
      </c>
      <c r="D134" s="9"/>
      <c r="E134" s="23">
        <v>47548</v>
      </c>
      <c r="G134" s="42">
        <v>2424989</v>
      </c>
      <c r="I134" s="42">
        <v>542492</v>
      </c>
      <c r="K134" s="42">
        <v>0</v>
      </c>
      <c r="M134" s="42">
        <v>0</v>
      </c>
      <c r="O134" s="42">
        <v>10086</v>
      </c>
      <c r="Q134" s="42">
        <v>191502</v>
      </c>
      <c r="S134" s="42">
        <v>172688</v>
      </c>
      <c r="U134" s="42">
        <v>15217</v>
      </c>
      <c r="W134" s="42">
        <v>540115</v>
      </c>
      <c r="Y134" s="42">
        <v>236457</v>
      </c>
      <c r="AA134" s="42">
        <v>55</v>
      </c>
      <c r="AC134" s="42">
        <v>480146</v>
      </c>
      <c r="AE134" s="42">
        <v>327490</v>
      </c>
      <c r="AG134" s="42">
        <v>14568</v>
      </c>
      <c r="AI134" s="42">
        <v>213901</v>
      </c>
      <c r="AK134" s="42">
        <v>4344</v>
      </c>
      <c r="AL134" s="9" t="s">
        <v>340</v>
      </c>
      <c r="AM134" s="9"/>
      <c r="AN134" s="9" t="s">
        <v>341</v>
      </c>
      <c r="AP134" s="42">
        <v>128104</v>
      </c>
      <c r="AR134" s="42">
        <v>0</v>
      </c>
      <c r="AT134" s="42">
        <v>0</v>
      </c>
      <c r="AV134" s="42">
        <v>14320</v>
      </c>
      <c r="AX134" s="42">
        <v>391</v>
      </c>
      <c r="AZ134" s="42">
        <v>0</v>
      </c>
      <c r="BB134" s="5">
        <f t="shared" si="21"/>
        <v>5316865</v>
      </c>
      <c r="BD134" s="42">
        <v>20000</v>
      </c>
      <c r="BF134" s="42">
        <v>0</v>
      </c>
      <c r="BH134" s="42">
        <v>0</v>
      </c>
      <c r="BJ134" s="42">
        <v>0</v>
      </c>
      <c r="BL134" s="5">
        <f t="shared" si="20"/>
        <v>5336865</v>
      </c>
      <c r="BN134" s="5">
        <f>'Gov Fd Rev'!AQ134-'Gov Fd Exp'!BL134</f>
        <v>308579</v>
      </c>
      <c r="BP134" s="42">
        <v>438190</v>
      </c>
      <c r="BR134" s="42">
        <v>0</v>
      </c>
      <c r="BT134" s="42">
        <v>0</v>
      </c>
      <c r="BV134" s="5">
        <f t="shared" si="22"/>
        <v>746769</v>
      </c>
      <c r="BW134" s="5"/>
      <c r="BX134" s="5">
        <f>BV134-'Gov Fd BS'!AI134</f>
        <v>0</v>
      </c>
    </row>
    <row r="135" spans="1:76" hidden="1">
      <c r="A135" s="9" t="s">
        <v>671</v>
      </c>
      <c r="B135" s="9"/>
      <c r="C135" s="9" t="s">
        <v>464</v>
      </c>
      <c r="D135" s="9"/>
      <c r="E135" s="23">
        <v>49320</v>
      </c>
      <c r="G135" s="42">
        <v>0</v>
      </c>
      <c r="I135" s="42">
        <v>0</v>
      </c>
      <c r="K135" s="42">
        <v>0</v>
      </c>
      <c r="M135" s="42">
        <v>0</v>
      </c>
      <c r="O135" s="42">
        <v>0</v>
      </c>
      <c r="Q135" s="42">
        <v>0</v>
      </c>
      <c r="S135" s="42">
        <v>0</v>
      </c>
      <c r="U135" s="42">
        <v>0</v>
      </c>
      <c r="W135" s="42">
        <v>0</v>
      </c>
      <c r="Y135" s="42">
        <v>0</v>
      </c>
      <c r="AA135" s="42">
        <v>0</v>
      </c>
      <c r="AC135" s="42">
        <v>0</v>
      </c>
      <c r="AE135" s="42">
        <v>0</v>
      </c>
      <c r="AG135" s="42">
        <v>0</v>
      </c>
      <c r="AI135" s="42">
        <v>0</v>
      </c>
      <c r="AK135" s="42">
        <v>0</v>
      </c>
      <c r="AL135" s="9" t="s">
        <v>671</v>
      </c>
      <c r="AM135" s="9"/>
      <c r="AN135" s="9" t="s">
        <v>464</v>
      </c>
      <c r="AP135" s="42">
        <v>0</v>
      </c>
      <c r="AR135" s="42">
        <v>0</v>
      </c>
      <c r="AT135" s="42">
        <v>0</v>
      </c>
      <c r="AV135" s="42">
        <v>0</v>
      </c>
      <c r="AX135" s="42">
        <v>0</v>
      </c>
      <c r="AZ135" s="42">
        <v>0</v>
      </c>
      <c r="BB135" s="5">
        <f t="shared" si="21"/>
        <v>0</v>
      </c>
      <c r="BD135" s="42">
        <v>0</v>
      </c>
      <c r="BF135" s="42">
        <v>0</v>
      </c>
      <c r="BH135" s="42">
        <v>0</v>
      </c>
      <c r="BJ135" s="42">
        <v>0</v>
      </c>
      <c r="BL135" s="5">
        <f t="shared" si="20"/>
        <v>0</v>
      </c>
      <c r="BN135" s="5">
        <f>'Gov Fd Rev'!AQ135-'Gov Fd Exp'!BL135</f>
        <v>0</v>
      </c>
      <c r="BP135" s="42">
        <v>0</v>
      </c>
      <c r="BR135" s="42">
        <v>0</v>
      </c>
      <c r="BT135" s="42">
        <v>0</v>
      </c>
      <c r="BV135" s="5">
        <f t="shared" si="22"/>
        <v>0</v>
      </c>
      <c r="BW135" s="5"/>
      <c r="BX135" s="5">
        <f>BV135-'Gov Fd BS'!AI135</f>
        <v>0</v>
      </c>
    </row>
    <row r="136" spans="1:76">
      <c r="A136" s="9" t="s">
        <v>504</v>
      </c>
      <c r="B136" s="9"/>
      <c r="C136" s="9" t="s">
        <v>63</v>
      </c>
      <c r="D136" s="9"/>
      <c r="E136" s="23">
        <v>49981</v>
      </c>
      <c r="G136" s="42">
        <v>16510046</v>
      </c>
      <c r="I136" s="42">
        <v>4420068</v>
      </c>
      <c r="K136" s="42">
        <v>587981</v>
      </c>
      <c r="M136" s="42">
        <v>0</v>
      </c>
      <c r="O136" s="42">
        <v>0</v>
      </c>
      <c r="Q136" s="42">
        <v>1803646</v>
      </c>
      <c r="S136" s="42">
        <v>662762</v>
      </c>
      <c r="U136" s="42">
        <v>133319</v>
      </c>
      <c r="W136" s="42">
        <v>1889447</v>
      </c>
      <c r="Y136" s="42">
        <v>1931633</v>
      </c>
      <c r="AA136" s="42">
        <v>137587</v>
      </c>
      <c r="AC136" s="42">
        <v>3365721</v>
      </c>
      <c r="AE136" s="42">
        <v>1563408</v>
      </c>
      <c r="AG136" s="42">
        <v>214870</v>
      </c>
      <c r="AI136" s="42">
        <v>771645</v>
      </c>
      <c r="AK136" s="42">
        <v>639741</v>
      </c>
      <c r="AL136" s="9" t="s">
        <v>504</v>
      </c>
      <c r="AM136" s="9"/>
      <c r="AN136" s="9" t="s">
        <v>63</v>
      </c>
      <c r="AP136" s="42">
        <v>1046350</v>
      </c>
      <c r="AR136" s="42">
        <v>1805754</v>
      </c>
      <c r="AT136" s="42">
        <v>0</v>
      </c>
      <c r="AV136" s="42">
        <v>709695</v>
      </c>
      <c r="AX136" s="42">
        <v>95368</v>
      </c>
      <c r="AZ136" s="42">
        <v>0</v>
      </c>
      <c r="BB136" s="5">
        <f t="shared" si="21"/>
        <v>38289041</v>
      </c>
      <c r="BD136" s="42">
        <v>30000</v>
      </c>
      <c r="BF136" s="42">
        <v>0</v>
      </c>
      <c r="BH136" s="42">
        <v>0</v>
      </c>
      <c r="BJ136" s="42">
        <v>0</v>
      </c>
      <c r="BL136" s="5">
        <f t="shared" si="20"/>
        <v>38319041</v>
      </c>
      <c r="BN136" s="5">
        <f>'Gov Fd Rev'!AQ136-'Gov Fd Exp'!BL136</f>
        <v>1738712</v>
      </c>
      <c r="BP136" s="42">
        <v>12254987</v>
      </c>
      <c r="BR136" s="42">
        <v>0</v>
      </c>
      <c r="BT136" s="42">
        <v>0</v>
      </c>
      <c r="BV136" s="5">
        <f t="shared" si="22"/>
        <v>13993699</v>
      </c>
      <c r="BW136" s="5"/>
      <c r="BX136" s="5">
        <f>BV136-'Gov Fd BS'!AI136</f>
        <v>0</v>
      </c>
    </row>
    <row r="137" spans="1:76">
      <c r="A137" s="9" t="s">
        <v>334</v>
      </c>
      <c r="B137" s="9"/>
      <c r="C137" s="9" t="s">
        <v>33</v>
      </c>
      <c r="D137" s="9"/>
      <c r="E137" s="23">
        <v>47431</v>
      </c>
      <c r="G137" s="42">
        <v>3774085</v>
      </c>
      <c r="I137" s="42">
        <v>608048</v>
      </c>
      <c r="K137" s="42">
        <v>247682</v>
      </c>
      <c r="M137" s="42">
        <v>0</v>
      </c>
      <c r="O137" s="42">
        <v>0</v>
      </c>
      <c r="Q137" s="42">
        <v>259358</v>
      </c>
      <c r="S137" s="42">
        <v>272942</v>
      </c>
      <c r="U137" s="42">
        <v>67381</v>
      </c>
      <c r="W137" s="42">
        <v>934415</v>
      </c>
      <c r="Y137" s="42">
        <v>240155</v>
      </c>
      <c r="AA137" s="42">
        <v>0</v>
      </c>
      <c r="AC137" s="42">
        <v>721924</v>
      </c>
      <c r="AE137" s="42">
        <v>406977</v>
      </c>
      <c r="AG137" s="42">
        <v>8099</v>
      </c>
      <c r="AI137" s="42">
        <v>0</v>
      </c>
      <c r="AK137" s="42">
        <v>265818</v>
      </c>
      <c r="AL137" s="9" t="s">
        <v>334</v>
      </c>
      <c r="AM137" s="9"/>
      <c r="AN137" s="9" t="s">
        <v>33</v>
      </c>
      <c r="AP137" s="42">
        <v>295166</v>
      </c>
      <c r="AR137" s="42">
        <v>6511477</v>
      </c>
      <c r="AT137" s="42">
        <v>0</v>
      </c>
      <c r="AV137" s="42">
        <v>180892</v>
      </c>
      <c r="AX137" s="42">
        <v>349122</v>
      </c>
      <c r="AZ137" s="42">
        <v>0</v>
      </c>
      <c r="BB137" s="5">
        <f t="shared" si="21"/>
        <v>15143541</v>
      </c>
      <c r="BD137" s="42">
        <v>20859</v>
      </c>
      <c r="BF137" s="42">
        <v>0</v>
      </c>
      <c r="BH137" s="42">
        <v>0</v>
      </c>
      <c r="BJ137" s="42">
        <v>0</v>
      </c>
      <c r="BL137" s="5">
        <f t="shared" si="20"/>
        <v>15164400</v>
      </c>
      <c r="BN137" s="5">
        <f>'Gov Fd Rev'!AQ137-'Gov Fd Exp'!BL137</f>
        <v>-5365742</v>
      </c>
      <c r="BP137" s="42">
        <v>7977998</v>
      </c>
      <c r="BR137" s="42">
        <v>0</v>
      </c>
      <c r="BT137" s="42">
        <v>0</v>
      </c>
      <c r="BV137" s="5">
        <f t="shared" si="22"/>
        <v>2612256</v>
      </c>
      <c r="BW137" s="5"/>
      <c r="BX137" s="5">
        <f>BV137-'Gov Fd BS'!AI137</f>
        <v>0</v>
      </c>
    </row>
    <row r="138" spans="1:76">
      <c r="A138" s="9" t="s">
        <v>251</v>
      </c>
      <c r="B138" s="9"/>
      <c r="C138" s="9" t="s">
        <v>19</v>
      </c>
      <c r="D138" s="9"/>
      <c r="E138" s="23">
        <v>43828</v>
      </c>
      <c r="G138" s="42">
        <v>11503980</v>
      </c>
      <c r="I138" s="42">
        <v>0</v>
      </c>
      <c r="K138" s="42">
        <v>0</v>
      </c>
      <c r="M138" s="42">
        <v>0</v>
      </c>
      <c r="O138" s="42">
        <v>0</v>
      </c>
      <c r="Q138" s="42">
        <v>712168</v>
      </c>
      <c r="S138" s="42">
        <v>720135</v>
      </c>
      <c r="U138" s="42">
        <v>56291</v>
      </c>
      <c r="W138" s="42">
        <v>1312104</v>
      </c>
      <c r="Y138" s="42">
        <v>458791</v>
      </c>
      <c r="AA138" s="42">
        <v>311807</v>
      </c>
      <c r="AC138" s="42">
        <v>1496904</v>
      </c>
      <c r="AE138" s="42">
        <v>350699</v>
      </c>
      <c r="AG138" s="42">
        <v>17199</v>
      </c>
      <c r="AI138" s="42">
        <v>804508</v>
      </c>
      <c r="AK138" s="42">
        <v>70594</v>
      </c>
      <c r="AL138" s="9" t="s">
        <v>251</v>
      </c>
      <c r="AM138" s="9"/>
      <c r="AN138" s="9" t="s">
        <v>19</v>
      </c>
      <c r="AP138" s="42">
        <v>362553</v>
      </c>
      <c r="AR138" s="42">
        <v>12639888</v>
      </c>
      <c r="AT138" s="42">
        <v>0</v>
      </c>
      <c r="AV138" s="42">
        <v>290000</v>
      </c>
      <c r="AX138" s="42">
        <v>500570</v>
      </c>
      <c r="AZ138" s="42">
        <v>0</v>
      </c>
      <c r="BB138" s="5">
        <f t="shared" si="21"/>
        <v>31608191</v>
      </c>
      <c r="BD138" s="42">
        <v>30695</v>
      </c>
      <c r="BF138" s="42">
        <v>0</v>
      </c>
      <c r="BH138" s="42">
        <v>0</v>
      </c>
      <c r="BJ138" s="42">
        <v>42229</v>
      </c>
      <c r="BL138" s="5">
        <f t="shared" si="20"/>
        <v>31681115</v>
      </c>
      <c r="BN138" s="5">
        <f>'Gov Fd Rev'!AQ138-'Gov Fd Exp'!BL138</f>
        <v>-8803680</v>
      </c>
      <c r="BP138" s="42">
        <v>18641159</v>
      </c>
      <c r="BR138" s="42">
        <v>-1543</v>
      </c>
      <c r="BT138" s="42">
        <v>0</v>
      </c>
      <c r="BV138" s="5">
        <f t="shared" si="22"/>
        <v>9835936</v>
      </c>
      <c r="BW138" s="5"/>
      <c r="BX138" s="5">
        <f>BV138-'Gov Fd BS'!AI138</f>
        <v>0</v>
      </c>
    </row>
    <row r="139" spans="1:76">
      <c r="A139" s="9" t="s">
        <v>599</v>
      </c>
      <c r="B139" s="9"/>
      <c r="C139" s="9" t="s">
        <v>63</v>
      </c>
      <c r="D139" s="9"/>
      <c r="E139" s="23">
        <v>49999</v>
      </c>
      <c r="G139" s="42">
        <v>9007291</v>
      </c>
      <c r="I139" s="42">
        <v>3209721</v>
      </c>
      <c r="K139" s="42">
        <v>86508</v>
      </c>
      <c r="M139" s="42">
        <v>0</v>
      </c>
      <c r="O139" s="42">
        <v>731254</v>
      </c>
      <c r="Q139" s="42">
        <v>917912</v>
      </c>
      <c r="S139" s="42">
        <v>1180808</v>
      </c>
      <c r="U139" s="42">
        <v>204069</v>
      </c>
      <c r="W139" s="42">
        <v>1503340</v>
      </c>
      <c r="Y139" s="42">
        <v>462555</v>
      </c>
      <c r="AA139" s="42">
        <v>58441</v>
      </c>
      <c r="AC139" s="42">
        <v>1946430</v>
      </c>
      <c r="AE139" s="42">
        <v>1380444</v>
      </c>
      <c r="AG139" s="42">
        <v>219257</v>
      </c>
      <c r="AI139" s="42">
        <v>688058</v>
      </c>
      <c r="AK139" s="42">
        <v>290452</v>
      </c>
      <c r="AL139" s="9" t="s">
        <v>599</v>
      </c>
      <c r="AM139" s="9"/>
      <c r="AN139" s="9" t="s">
        <v>63</v>
      </c>
      <c r="AP139" s="42">
        <v>368140</v>
      </c>
      <c r="AR139" s="42">
        <v>3747</v>
      </c>
      <c r="AT139" s="42">
        <v>0</v>
      </c>
      <c r="AV139" s="42">
        <v>600638</v>
      </c>
      <c r="AX139" s="42">
        <v>243088</v>
      </c>
      <c r="AZ139" s="42">
        <v>0</v>
      </c>
      <c r="BB139" s="5">
        <f t="shared" si="21"/>
        <v>23102153</v>
      </c>
      <c r="BD139" s="42">
        <v>247497</v>
      </c>
      <c r="BF139" s="42">
        <v>0</v>
      </c>
      <c r="BH139" s="42">
        <v>0</v>
      </c>
      <c r="BJ139" s="42">
        <v>0</v>
      </c>
      <c r="BL139" s="5">
        <f t="shared" si="20"/>
        <v>23349650</v>
      </c>
      <c r="BN139" s="5">
        <f>'Gov Fd Rev'!AQ139-'Gov Fd Exp'!BL139</f>
        <v>-1081546</v>
      </c>
      <c r="BP139" s="42">
        <v>-2558588</v>
      </c>
      <c r="BR139" s="42">
        <v>0</v>
      </c>
      <c r="BT139" s="42">
        <v>0</v>
      </c>
      <c r="BV139" s="5">
        <f t="shared" si="22"/>
        <v>-3640134</v>
      </c>
      <c r="BW139" s="5"/>
      <c r="BX139" s="5">
        <f>BV139-'Gov Fd BS'!AI139</f>
        <v>0</v>
      </c>
    </row>
    <row r="140" spans="1:76">
      <c r="A140" s="9" t="s">
        <v>752</v>
      </c>
      <c r="B140" s="9"/>
      <c r="C140" s="9" t="s">
        <v>48</v>
      </c>
      <c r="D140" s="9"/>
      <c r="E140" s="23">
        <v>45336</v>
      </c>
      <c r="G140" s="42">
        <v>3302733</v>
      </c>
      <c r="I140" s="42">
        <v>911320</v>
      </c>
      <c r="K140" s="42">
        <v>0</v>
      </c>
      <c r="M140" s="42">
        <v>0</v>
      </c>
      <c r="O140" s="42">
        <v>3068</v>
      </c>
      <c r="Q140" s="42">
        <v>380450</v>
      </c>
      <c r="S140" s="42">
        <v>339116</v>
      </c>
      <c r="U140" s="42">
        <v>9854</v>
      </c>
      <c r="W140" s="42">
        <v>742660</v>
      </c>
      <c r="Y140" s="42">
        <v>254153</v>
      </c>
      <c r="AA140" s="42">
        <v>0</v>
      </c>
      <c r="AC140" s="42">
        <v>543980</v>
      </c>
      <c r="AE140" s="42">
        <v>394038</v>
      </c>
      <c r="AG140" s="42">
        <v>154782</v>
      </c>
      <c r="AI140" s="42">
        <v>367316</v>
      </c>
      <c r="AK140" s="42">
        <v>73307</v>
      </c>
      <c r="AL140" s="9" t="s">
        <v>752</v>
      </c>
      <c r="AM140" s="9"/>
      <c r="AN140" s="9" t="s">
        <v>48</v>
      </c>
      <c r="AP140" s="42">
        <v>498328</v>
      </c>
      <c r="AR140" s="42">
        <v>500</v>
      </c>
      <c r="AT140" s="42">
        <v>0</v>
      </c>
      <c r="AV140" s="42">
        <v>36214</v>
      </c>
      <c r="AX140" s="42">
        <v>9090</v>
      </c>
      <c r="AZ140" s="42">
        <v>0</v>
      </c>
      <c r="BB140" s="5">
        <f t="shared" si="21"/>
        <v>8020909</v>
      </c>
      <c r="BD140" s="42">
        <v>0</v>
      </c>
      <c r="BF140" s="42">
        <v>0</v>
      </c>
      <c r="BH140" s="42">
        <v>0</v>
      </c>
      <c r="BJ140" s="42">
        <v>0</v>
      </c>
      <c r="BL140" s="5">
        <f t="shared" si="20"/>
        <v>8020909</v>
      </c>
      <c r="BN140" s="5">
        <f>'Gov Fd Rev'!AQ140-'Gov Fd Exp'!BL140</f>
        <v>606844</v>
      </c>
      <c r="BP140" s="42">
        <v>1753755</v>
      </c>
      <c r="BR140" s="42">
        <v>0</v>
      </c>
      <c r="BT140" s="42">
        <v>0</v>
      </c>
      <c r="BV140" s="5">
        <f t="shared" si="22"/>
        <v>2360599</v>
      </c>
      <c r="BW140" s="5"/>
      <c r="BX140" s="5">
        <f>BV140-'Gov Fd BS'!AI140</f>
        <v>0</v>
      </c>
    </row>
    <row r="141" spans="1:76" hidden="1">
      <c r="A141" s="9" t="s">
        <v>825</v>
      </c>
      <c r="B141" s="9"/>
      <c r="C141" s="9" t="s">
        <v>110</v>
      </c>
      <c r="D141" s="9"/>
      <c r="E141" s="23">
        <v>45344</v>
      </c>
      <c r="G141" s="42">
        <v>0</v>
      </c>
      <c r="I141" s="42">
        <v>0</v>
      </c>
      <c r="K141" s="42">
        <v>0</v>
      </c>
      <c r="M141" s="42">
        <v>0</v>
      </c>
      <c r="O141" s="42">
        <v>0</v>
      </c>
      <c r="Q141" s="42">
        <v>0</v>
      </c>
      <c r="S141" s="42">
        <v>0</v>
      </c>
      <c r="U141" s="42">
        <v>0</v>
      </c>
      <c r="W141" s="42">
        <v>0</v>
      </c>
      <c r="Y141" s="42">
        <v>0</v>
      </c>
      <c r="AA141" s="42">
        <v>0</v>
      </c>
      <c r="AC141" s="42">
        <v>0</v>
      </c>
      <c r="AE141" s="42">
        <v>0</v>
      </c>
      <c r="AG141" s="42">
        <v>0</v>
      </c>
      <c r="AI141" s="42">
        <v>0</v>
      </c>
      <c r="AK141" s="42">
        <v>0</v>
      </c>
      <c r="AL141" s="9" t="s">
        <v>825</v>
      </c>
      <c r="AM141" s="9"/>
      <c r="AN141" s="9" t="s">
        <v>110</v>
      </c>
      <c r="AP141" s="42">
        <v>0</v>
      </c>
      <c r="AR141" s="42">
        <v>0</v>
      </c>
      <c r="AT141" s="42">
        <v>0</v>
      </c>
      <c r="AV141" s="42">
        <v>0</v>
      </c>
      <c r="AX141" s="42">
        <v>0</v>
      </c>
      <c r="AZ141" s="42">
        <v>0</v>
      </c>
      <c r="BB141" s="5">
        <f t="shared" si="21"/>
        <v>0</v>
      </c>
      <c r="BD141" s="42">
        <v>0</v>
      </c>
      <c r="BF141" s="42">
        <v>0</v>
      </c>
      <c r="BH141" s="42">
        <v>0</v>
      </c>
      <c r="BJ141" s="42">
        <v>0</v>
      </c>
      <c r="BL141" s="5">
        <f t="shared" si="20"/>
        <v>0</v>
      </c>
      <c r="BN141" s="5">
        <f>'Gov Fd Rev'!AQ141-'Gov Fd Exp'!BL141</f>
        <v>0</v>
      </c>
      <c r="BP141" s="42">
        <v>0</v>
      </c>
      <c r="BR141" s="42">
        <v>0</v>
      </c>
      <c r="BT141" s="42">
        <v>0</v>
      </c>
      <c r="BV141" s="5">
        <f t="shared" si="22"/>
        <v>0</v>
      </c>
      <c r="BW141" s="5"/>
      <c r="BX141" s="5">
        <f>BV141-'Gov Fd BS'!AI141</f>
        <v>0</v>
      </c>
    </row>
    <row r="142" spans="1:76" ht="12" customHeight="1">
      <c r="A142" s="9" t="s">
        <v>245</v>
      </c>
      <c r="B142" s="9"/>
      <c r="C142" s="9" t="s">
        <v>111</v>
      </c>
      <c r="D142" s="9"/>
      <c r="E142" s="23">
        <v>46433</v>
      </c>
      <c r="G142" s="42">
        <v>5284178</v>
      </c>
      <c r="I142" s="42">
        <v>1042056</v>
      </c>
      <c r="K142" s="42">
        <v>70594</v>
      </c>
      <c r="M142" s="42">
        <v>0</v>
      </c>
      <c r="O142" s="42">
        <v>39187</v>
      </c>
      <c r="Q142" s="42">
        <v>573068</v>
      </c>
      <c r="S142" s="42">
        <v>500586</v>
      </c>
      <c r="U142" s="42">
        <v>26504</v>
      </c>
      <c r="W142" s="42">
        <v>1001840</v>
      </c>
      <c r="Y142" s="42">
        <v>363424</v>
      </c>
      <c r="AA142" s="42">
        <v>0</v>
      </c>
      <c r="AC142" s="42">
        <v>1170903</v>
      </c>
      <c r="AE142" s="42">
        <v>774374</v>
      </c>
      <c r="AG142" s="42">
        <v>28711</v>
      </c>
      <c r="AI142" s="42">
        <v>551178</v>
      </c>
      <c r="AK142" s="42">
        <v>0</v>
      </c>
      <c r="AL142" s="9" t="s">
        <v>245</v>
      </c>
      <c r="AM142" s="9"/>
      <c r="AN142" s="9" t="s">
        <v>111</v>
      </c>
      <c r="AP142" s="42">
        <v>355996</v>
      </c>
      <c r="AR142" s="42">
        <v>28391</v>
      </c>
      <c r="AT142" s="42">
        <v>0</v>
      </c>
      <c r="AV142" s="42">
        <v>658342</v>
      </c>
      <c r="AX142" s="42">
        <v>290227</v>
      </c>
      <c r="AZ142" s="42">
        <v>0</v>
      </c>
      <c r="BB142" s="5">
        <f t="shared" si="21"/>
        <v>12759559</v>
      </c>
      <c r="BD142" s="42">
        <v>0</v>
      </c>
      <c r="BF142" s="42">
        <v>0</v>
      </c>
      <c r="BH142" s="42">
        <v>0</v>
      </c>
      <c r="BJ142" s="42">
        <v>0</v>
      </c>
      <c r="BL142" s="5">
        <f t="shared" si="20"/>
        <v>12759559</v>
      </c>
      <c r="BN142" s="5">
        <f>'Gov Fd Rev'!AQ142-'Gov Fd Exp'!BL142</f>
        <v>87922</v>
      </c>
      <c r="BP142" s="42">
        <v>1812203</v>
      </c>
      <c r="BR142" s="42">
        <v>0</v>
      </c>
      <c r="BT142" s="42">
        <v>0</v>
      </c>
      <c r="BV142" s="5">
        <f t="shared" si="22"/>
        <v>1900125</v>
      </c>
      <c r="BW142" s="5"/>
      <c r="BX142" s="5">
        <f>BV142-'Gov Fd BS'!AI142</f>
        <v>0</v>
      </c>
    </row>
    <row r="143" spans="1:76">
      <c r="A143" s="9" t="s">
        <v>245</v>
      </c>
      <c r="B143" s="9"/>
      <c r="C143" s="9" t="s">
        <v>109</v>
      </c>
      <c r="D143" s="9"/>
      <c r="E143" s="23">
        <v>49429</v>
      </c>
      <c r="G143" s="42">
        <v>5371027</v>
      </c>
      <c r="I143" s="42">
        <v>1330605</v>
      </c>
      <c r="K143" s="42">
        <v>256794</v>
      </c>
      <c r="M143" s="42">
        <v>0</v>
      </c>
      <c r="O143" s="42">
        <v>865</v>
      </c>
      <c r="Q143" s="42">
        <v>446917</v>
      </c>
      <c r="S143" s="42">
        <v>394860</v>
      </c>
      <c r="U143" s="42">
        <v>79374</v>
      </c>
      <c r="W143" s="42">
        <v>938689</v>
      </c>
      <c r="Y143" s="42">
        <v>231107</v>
      </c>
      <c r="AA143" s="42">
        <v>545</v>
      </c>
      <c r="AC143" s="42">
        <v>964961</v>
      </c>
      <c r="AE143" s="42">
        <v>802103</v>
      </c>
      <c r="AG143" s="42">
        <v>27753</v>
      </c>
      <c r="AI143" s="42">
        <v>476219</v>
      </c>
      <c r="AK143" s="42">
        <v>82050</v>
      </c>
      <c r="AL143" s="9" t="s">
        <v>245</v>
      </c>
      <c r="AM143" s="9"/>
      <c r="AN143" s="9" t="s">
        <v>109</v>
      </c>
      <c r="AP143" s="42">
        <v>594090</v>
      </c>
      <c r="AR143" s="42">
        <v>139632</v>
      </c>
      <c r="AT143" s="42">
        <v>0</v>
      </c>
      <c r="AV143" s="42">
        <v>355000</v>
      </c>
      <c r="AX143" s="42">
        <v>63074</v>
      </c>
      <c r="AZ143" s="42">
        <v>0</v>
      </c>
      <c r="BB143" s="5">
        <f t="shared" si="21"/>
        <v>12555665</v>
      </c>
      <c r="BD143" s="42">
        <v>6500</v>
      </c>
      <c r="BF143" s="42">
        <v>0</v>
      </c>
      <c r="BH143" s="42">
        <v>0</v>
      </c>
      <c r="BJ143" s="42">
        <v>0</v>
      </c>
      <c r="BL143" s="5">
        <f t="shared" si="20"/>
        <v>12562165</v>
      </c>
      <c r="BN143" s="5">
        <f>'Gov Fd Rev'!AQ143-'Gov Fd Exp'!BL143</f>
        <v>67772</v>
      </c>
      <c r="BP143" s="42">
        <v>6630994</v>
      </c>
      <c r="BR143" s="42">
        <v>0</v>
      </c>
      <c r="BT143" s="42">
        <v>0</v>
      </c>
      <c r="BV143" s="5">
        <f t="shared" si="22"/>
        <v>6698766</v>
      </c>
      <c r="BW143" s="5"/>
      <c r="BX143" s="5">
        <f>BV143-'Gov Fd BS'!AI143</f>
        <v>0</v>
      </c>
    </row>
    <row r="144" spans="1:76" hidden="1">
      <c r="A144" s="9" t="s">
        <v>650</v>
      </c>
      <c r="B144" s="9"/>
      <c r="C144" s="9" t="s">
        <v>67</v>
      </c>
      <c r="D144" s="9"/>
      <c r="E144" s="23">
        <v>50351</v>
      </c>
      <c r="G144" s="42">
        <v>0</v>
      </c>
      <c r="I144" s="42">
        <v>0</v>
      </c>
      <c r="K144" s="42">
        <v>0</v>
      </c>
      <c r="M144" s="42">
        <v>0</v>
      </c>
      <c r="O144" s="42">
        <v>0</v>
      </c>
      <c r="Q144" s="42">
        <v>0</v>
      </c>
      <c r="S144" s="42">
        <v>0</v>
      </c>
      <c r="U144" s="42">
        <v>0</v>
      </c>
      <c r="W144" s="42">
        <v>0</v>
      </c>
      <c r="Y144" s="42">
        <v>0</v>
      </c>
      <c r="AA144" s="42">
        <v>0</v>
      </c>
      <c r="AC144" s="42">
        <v>0</v>
      </c>
      <c r="AE144" s="42">
        <v>0</v>
      </c>
      <c r="AG144" s="42">
        <v>0</v>
      </c>
      <c r="AI144" s="42">
        <v>0</v>
      </c>
      <c r="AK144" s="42">
        <v>0</v>
      </c>
      <c r="AL144" s="9" t="s">
        <v>650</v>
      </c>
      <c r="AM144" s="9"/>
      <c r="AN144" s="9" t="s">
        <v>67</v>
      </c>
      <c r="AP144" s="42">
        <v>0</v>
      </c>
      <c r="AR144" s="42">
        <v>0</v>
      </c>
      <c r="AT144" s="42">
        <v>0</v>
      </c>
      <c r="AV144" s="42">
        <v>0</v>
      </c>
      <c r="AX144" s="42">
        <v>0</v>
      </c>
      <c r="AZ144" s="42">
        <v>0</v>
      </c>
      <c r="BB144" s="5">
        <f t="shared" si="21"/>
        <v>0</v>
      </c>
      <c r="BD144" s="42">
        <v>0</v>
      </c>
      <c r="BF144" s="42">
        <v>0</v>
      </c>
      <c r="BH144" s="42">
        <v>0</v>
      </c>
      <c r="BJ144" s="42">
        <v>0</v>
      </c>
      <c r="BL144" s="5">
        <f t="shared" si="20"/>
        <v>0</v>
      </c>
      <c r="BN144" s="5">
        <f>'Gov Fd Rev'!AQ144-'Gov Fd Exp'!BL144</f>
        <v>0</v>
      </c>
      <c r="BP144" s="42">
        <v>0</v>
      </c>
      <c r="BR144" s="42">
        <v>0</v>
      </c>
      <c r="BT144" s="42">
        <v>0</v>
      </c>
      <c r="BV144" s="5">
        <f t="shared" si="22"/>
        <v>0</v>
      </c>
      <c r="BW144" s="5"/>
      <c r="BX144" s="5">
        <f>BV144-'Gov Fd BS'!AI144</f>
        <v>0</v>
      </c>
    </row>
    <row r="145" spans="1:76">
      <c r="A145" s="9" t="s">
        <v>712</v>
      </c>
      <c r="B145" s="9"/>
      <c r="C145" s="9" t="s">
        <v>56</v>
      </c>
      <c r="D145" s="9"/>
      <c r="E145" s="23">
        <v>49189</v>
      </c>
      <c r="G145" s="42">
        <v>8483820</v>
      </c>
      <c r="I145" s="42">
        <v>2512023</v>
      </c>
      <c r="K145" s="42">
        <v>180895</v>
      </c>
      <c r="M145" s="42">
        <v>0</v>
      </c>
      <c r="O145" s="42">
        <f>23536+1160472</f>
        <v>1184008</v>
      </c>
      <c r="Q145" s="42">
        <v>895831</v>
      </c>
      <c r="S145" s="42">
        <v>573392</v>
      </c>
      <c r="U145" s="42">
        <v>20358</v>
      </c>
      <c r="W145" s="42">
        <v>2137810</v>
      </c>
      <c r="Y145" s="42">
        <v>558336</v>
      </c>
      <c r="AA145" s="42">
        <v>22050</v>
      </c>
      <c r="AC145" s="42">
        <v>1833501</v>
      </c>
      <c r="AE145" s="42">
        <v>1474657</v>
      </c>
      <c r="AG145" s="42">
        <v>342901</v>
      </c>
      <c r="AI145" s="42">
        <v>576841</v>
      </c>
      <c r="AK145" s="42">
        <v>46190</v>
      </c>
      <c r="AL145" s="9" t="s">
        <v>712</v>
      </c>
      <c r="AM145" s="9"/>
      <c r="AN145" s="9" t="s">
        <v>56</v>
      </c>
      <c r="AP145" s="42">
        <v>628768</v>
      </c>
      <c r="AR145" s="42">
        <v>735338</v>
      </c>
      <c r="AT145" s="42">
        <v>0</v>
      </c>
      <c r="AV145" s="42">
        <v>451904</v>
      </c>
      <c r="AX145" s="42">
        <v>184313</v>
      </c>
      <c r="AZ145" s="42">
        <v>0</v>
      </c>
      <c r="BB145" s="5">
        <f t="shared" si="21"/>
        <v>22842936</v>
      </c>
      <c r="BD145" s="42">
        <v>71693</v>
      </c>
      <c r="BF145" s="42">
        <v>0</v>
      </c>
      <c r="BH145" s="42">
        <v>0</v>
      </c>
      <c r="BJ145" s="42">
        <v>0</v>
      </c>
      <c r="BL145" s="5">
        <f t="shared" si="20"/>
        <v>22914629</v>
      </c>
      <c r="BN145" s="5">
        <f>'Gov Fd Rev'!AQ145-'Gov Fd Exp'!BL145</f>
        <v>1642419</v>
      </c>
      <c r="BP145" s="42">
        <v>4622075</v>
      </c>
      <c r="BR145" s="42">
        <v>0</v>
      </c>
      <c r="BT145" s="42">
        <v>0</v>
      </c>
      <c r="BV145" s="5">
        <f t="shared" si="22"/>
        <v>6264494</v>
      </c>
      <c r="BW145" s="5"/>
      <c r="BX145" s="5">
        <f>BV145-'Gov Fd BS'!AI145</f>
        <v>0</v>
      </c>
    </row>
    <row r="146" spans="1:76">
      <c r="A146" s="9" t="s">
        <v>753</v>
      </c>
      <c r="B146" s="9"/>
      <c r="C146" s="9" t="s">
        <v>448</v>
      </c>
      <c r="D146" s="9"/>
      <c r="E146" s="23">
        <v>45351</v>
      </c>
      <c r="G146" s="42">
        <v>6763049</v>
      </c>
      <c r="I146" s="42">
        <v>0</v>
      </c>
      <c r="K146" s="42">
        <v>0</v>
      </c>
      <c r="M146" s="42">
        <v>0</v>
      </c>
      <c r="O146" s="42">
        <v>0</v>
      </c>
      <c r="Q146" s="42">
        <v>572595</v>
      </c>
      <c r="S146" s="42">
        <v>365451</v>
      </c>
      <c r="U146" s="42">
        <v>67545</v>
      </c>
      <c r="W146" s="42">
        <v>934379</v>
      </c>
      <c r="Y146" s="42">
        <v>289162</v>
      </c>
      <c r="AA146" s="42">
        <v>0</v>
      </c>
      <c r="AC146" s="42">
        <v>1051164</v>
      </c>
      <c r="AE146" s="42">
        <v>687659</v>
      </c>
      <c r="AG146" s="42">
        <v>62670</v>
      </c>
      <c r="AI146" s="42">
        <v>0</v>
      </c>
      <c r="AK146" s="42">
        <v>564854</v>
      </c>
      <c r="AL146" s="9" t="s">
        <v>753</v>
      </c>
      <c r="AM146" s="9"/>
      <c r="AN146" s="9" t="s">
        <v>448</v>
      </c>
      <c r="AP146" s="42">
        <v>495622</v>
      </c>
      <c r="AR146" s="42">
        <v>7366</v>
      </c>
      <c r="AT146" s="42">
        <v>0</v>
      </c>
      <c r="AV146" s="42">
        <v>71701</v>
      </c>
      <c r="AX146" s="42">
        <v>103094</v>
      </c>
      <c r="AZ146" s="42">
        <v>0</v>
      </c>
      <c r="BB146" s="5">
        <f t="shared" si="21"/>
        <v>12036311</v>
      </c>
      <c r="BD146" s="42">
        <v>0</v>
      </c>
      <c r="BF146" s="42">
        <v>0</v>
      </c>
      <c r="BH146" s="42">
        <v>0</v>
      </c>
      <c r="BJ146" s="42">
        <v>0</v>
      </c>
      <c r="BL146" s="5">
        <f t="shared" si="20"/>
        <v>12036311</v>
      </c>
      <c r="BN146" s="5">
        <f>'Gov Fd Rev'!AQ146-'Gov Fd Exp'!BL146</f>
        <v>269672</v>
      </c>
      <c r="BP146" s="42">
        <v>624718</v>
      </c>
      <c r="BR146" s="42">
        <v>-8408</v>
      </c>
      <c r="BT146" s="42">
        <v>0</v>
      </c>
      <c r="BV146" s="5">
        <f t="shared" si="22"/>
        <v>885982</v>
      </c>
      <c r="BW146" s="5"/>
      <c r="BX146" s="5">
        <f>BV146-'Gov Fd BS'!AI146</f>
        <v>0</v>
      </c>
    </row>
    <row r="147" spans="1:76">
      <c r="A147" s="9" t="s">
        <v>651</v>
      </c>
      <c r="B147" s="9"/>
      <c r="C147" s="9" t="s">
        <v>63</v>
      </c>
      <c r="D147" s="9"/>
      <c r="E147" s="23">
        <v>43836</v>
      </c>
      <c r="G147" s="42">
        <v>21471021</v>
      </c>
      <c r="I147" s="42">
        <v>5911989</v>
      </c>
      <c r="K147" s="42">
        <v>942808</v>
      </c>
      <c r="M147" s="42">
        <v>0</v>
      </c>
      <c r="O147" s="42">
        <v>4280324</v>
      </c>
      <c r="Q147" s="42">
        <v>4248204</v>
      </c>
      <c r="S147" s="42">
        <v>1279716</v>
      </c>
      <c r="U147" s="42">
        <v>97631</v>
      </c>
      <c r="W147" s="42">
        <v>2739161</v>
      </c>
      <c r="Y147" s="42">
        <v>1178598</v>
      </c>
      <c r="AA147" s="42">
        <v>377641</v>
      </c>
      <c r="AC147" s="42">
        <v>4711834</v>
      </c>
      <c r="AE147" s="42">
        <v>1338485</v>
      </c>
      <c r="AG147" s="42">
        <v>369573</v>
      </c>
      <c r="AI147" s="42">
        <v>1571049</v>
      </c>
      <c r="AK147" s="42">
        <v>1272714</v>
      </c>
      <c r="AL147" s="9" t="s">
        <v>651</v>
      </c>
      <c r="AM147" s="9"/>
      <c r="AN147" s="9" t="s">
        <v>63</v>
      </c>
      <c r="AP147" s="42">
        <v>1095378</v>
      </c>
      <c r="AR147" s="42">
        <f>3142+163562</f>
        <v>166704</v>
      </c>
      <c r="AT147" s="42">
        <v>0</v>
      </c>
      <c r="AV147" s="42">
        <v>496471</v>
      </c>
      <c r="AX147" s="42">
        <v>147088</v>
      </c>
      <c r="AZ147" s="42">
        <v>0</v>
      </c>
      <c r="BB147" s="5">
        <f t="shared" si="21"/>
        <v>53696389</v>
      </c>
      <c r="BD147" s="42">
        <v>13181</v>
      </c>
      <c r="BF147" s="42">
        <v>0</v>
      </c>
      <c r="BH147" s="42">
        <v>0</v>
      </c>
      <c r="BJ147" s="42">
        <v>0</v>
      </c>
      <c r="BL147" s="5">
        <f t="shared" si="20"/>
        <v>53709570</v>
      </c>
      <c r="BN147" s="5">
        <f>'Gov Fd Rev'!AQ147-'Gov Fd Exp'!BL147</f>
        <v>-1374135</v>
      </c>
      <c r="BP147" s="42">
        <v>3904741</v>
      </c>
      <c r="BR147" s="42">
        <v>0</v>
      </c>
      <c r="BT147" s="42">
        <v>0</v>
      </c>
      <c r="BV147" s="5">
        <f t="shared" si="22"/>
        <v>2530606</v>
      </c>
      <c r="BW147" s="5"/>
      <c r="BX147" s="5">
        <f>BV147-'Gov Fd BS'!AI147</f>
        <v>0</v>
      </c>
    </row>
    <row r="148" spans="1:76">
      <c r="A148" s="9" t="s">
        <v>713</v>
      </c>
      <c r="B148" s="9"/>
      <c r="C148" s="9" t="s">
        <v>20</v>
      </c>
      <c r="D148" s="9"/>
      <c r="E148" s="23">
        <v>46557</v>
      </c>
      <c r="G148" s="42">
        <v>5565889</v>
      </c>
      <c r="I148" s="42">
        <v>1324809</v>
      </c>
      <c r="K148" s="42">
        <v>9585</v>
      </c>
      <c r="M148" s="42">
        <v>0</v>
      </c>
      <c r="O148" s="42">
        <v>0</v>
      </c>
      <c r="Q148" s="42">
        <v>656575</v>
      </c>
      <c r="S148" s="42">
        <v>516578</v>
      </c>
      <c r="U148" s="42">
        <v>54181</v>
      </c>
      <c r="W148" s="42">
        <v>1334826</v>
      </c>
      <c r="Y148" s="42">
        <v>453747</v>
      </c>
      <c r="AA148" s="42">
        <v>0</v>
      </c>
      <c r="AC148" s="42">
        <v>1395541</v>
      </c>
      <c r="AE148" s="42">
        <v>705316</v>
      </c>
      <c r="AG148" s="42">
        <v>276363</v>
      </c>
      <c r="AI148" s="42">
        <v>0</v>
      </c>
      <c r="AK148" s="42">
        <v>354170</v>
      </c>
      <c r="AL148" s="9" t="s">
        <v>713</v>
      </c>
      <c r="AM148" s="9"/>
      <c r="AN148" s="9" t="s">
        <v>20</v>
      </c>
      <c r="AP148" s="42">
        <v>701917</v>
      </c>
      <c r="AR148" s="42">
        <v>5284</v>
      </c>
      <c r="AT148" s="42">
        <v>0</v>
      </c>
      <c r="AV148" s="42">
        <v>290302</v>
      </c>
      <c r="AX148" s="42">
        <v>62519</v>
      </c>
      <c r="AZ148" s="42">
        <v>265000</v>
      </c>
      <c r="BB148" s="5">
        <f t="shared" si="21"/>
        <v>13972602</v>
      </c>
      <c r="BD148" s="42">
        <v>110000</v>
      </c>
      <c r="BF148" s="42">
        <v>0</v>
      </c>
      <c r="BH148" s="42">
        <v>0</v>
      </c>
      <c r="BJ148" s="42">
        <v>0</v>
      </c>
      <c r="BL148" s="5">
        <f t="shared" si="20"/>
        <v>14082602</v>
      </c>
      <c r="BN148" s="5">
        <f>'Gov Fd Rev'!AQ148-'Gov Fd Exp'!BL148</f>
        <v>1285753</v>
      </c>
      <c r="BP148" s="42">
        <v>1855859</v>
      </c>
      <c r="BR148" s="42">
        <v>0</v>
      </c>
      <c r="BT148" s="42">
        <v>0</v>
      </c>
      <c r="BV148" s="5">
        <f t="shared" si="22"/>
        <v>3141612</v>
      </c>
      <c r="BW148" s="5"/>
      <c r="BX148" s="5">
        <f>BV148-'Gov Fd BS'!AI148</f>
        <v>0</v>
      </c>
    </row>
    <row r="149" spans="1:76">
      <c r="A149" s="9" t="s">
        <v>604</v>
      </c>
      <c r="B149" s="9"/>
      <c r="C149" s="9" t="s">
        <v>71</v>
      </c>
      <c r="D149" s="9"/>
      <c r="E149" s="23">
        <v>50542</v>
      </c>
      <c r="G149" s="42">
        <v>3284601</v>
      </c>
      <c r="I149" s="42">
        <v>743339</v>
      </c>
      <c r="K149" s="42">
        <v>173480</v>
      </c>
      <c r="M149" s="42">
        <v>0</v>
      </c>
      <c r="O149" s="42">
        <v>341274</v>
      </c>
      <c r="Q149" s="42">
        <v>394860</v>
      </c>
      <c r="S149" s="42">
        <v>706412</v>
      </c>
      <c r="U149" s="42">
        <v>14006</v>
      </c>
      <c r="W149" s="42">
        <v>682338</v>
      </c>
      <c r="Y149" s="42">
        <v>217412</v>
      </c>
      <c r="AA149" s="42">
        <v>0</v>
      </c>
      <c r="AC149" s="42">
        <v>711816</v>
      </c>
      <c r="AE149" s="42">
        <v>509768</v>
      </c>
      <c r="AG149" s="42">
        <v>75675</v>
      </c>
      <c r="AI149" s="42">
        <v>225933</v>
      </c>
      <c r="AK149" s="42">
        <v>206608</v>
      </c>
      <c r="AL149" s="9" t="s">
        <v>604</v>
      </c>
      <c r="AM149" s="9"/>
      <c r="AN149" s="9" t="s">
        <v>71</v>
      </c>
      <c r="AP149" s="42">
        <v>373681</v>
      </c>
      <c r="AR149" s="42">
        <v>3622078</v>
      </c>
      <c r="AT149" s="42">
        <v>0</v>
      </c>
      <c r="AV149" s="42">
        <v>102211</v>
      </c>
      <c r="AX149" s="42">
        <v>878085</v>
      </c>
      <c r="AZ149" s="42">
        <v>0</v>
      </c>
      <c r="BB149" s="5">
        <f t="shared" ref="BB149:BB150" si="24">SUM(G149:AZ149)</f>
        <v>13263577</v>
      </c>
      <c r="BD149" s="42">
        <v>11220095</v>
      </c>
      <c r="BF149" s="42">
        <v>0</v>
      </c>
      <c r="BH149" s="42">
        <v>0</v>
      </c>
      <c r="BJ149" s="42">
        <v>0</v>
      </c>
      <c r="BL149" s="5">
        <f t="shared" si="20"/>
        <v>24483672</v>
      </c>
      <c r="BN149" s="5">
        <f>'Gov Fd Rev'!AQ149-'Gov Fd Exp'!BL149</f>
        <v>-411183</v>
      </c>
      <c r="BP149" s="42">
        <v>14948497</v>
      </c>
      <c r="BR149" s="42">
        <v>0</v>
      </c>
      <c r="BT149" s="42">
        <v>0</v>
      </c>
      <c r="BV149" s="5">
        <f t="shared" si="22"/>
        <v>14537314</v>
      </c>
      <c r="BW149" s="5"/>
      <c r="BX149" s="5">
        <f>BV149-'Gov Fd BS'!AI149</f>
        <v>0</v>
      </c>
    </row>
    <row r="150" spans="1:76" hidden="1">
      <c r="A150" s="9" t="s">
        <v>735</v>
      </c>
      <c r="B150" s="9"/>
      <c r="C150" s="9" t="s">
        <v>53</v>
      </c>
      <c r="D150" s="9"/>
      <c r="E150" s="23">
        <v>48934</v>
      </c>
      <c r="G150" s="42">
        <v>0</v>
      </c>
      <c r="I150" s="42">
        <v>0</v>
      </c>
      <c r="K150" s="42">
        <v>0</v>
      </c>
      <c r="M150" s="42">
        <v>0</v>
      </c>
      <c r="O150" s="42">
        <v>0</v>
      </c>
      <c r="Q150" s="42">
        <v>0</v>
      </c>
      <c r="S150" s="42">
        <v>0</v>
      </c>
      <c r="U150" s="42">
        <v>0</v>
      </c>
      <c r="W150" s="42">
        <v>0</v>
      </c>
      <c r="Y150" s="42">
        <v>0</v>
      </c>
      <c r="AA150" s="42">
        <v>0</v>
      </c>
      <c r="AC150" s="42">
        <v>0</v>
      </c>
      <c r="AE150" s="42">
        <v>0</v>
      </c>
      <c r="AG150" s="42">
        <v>0</v>
      </c>
      <c r="AI150" s="42">
        <v>0</v>
      </c>
      <c r="AK150" s="42">
        <v>0</v>
      </c>
      <c r="AL150" s="9" t="s">
        <v>735</v>
      </c>
      <c r="AM150" s="9"/>
      <c r="AN150" s="9" t="s">
        <v>53</v>
      </c>
      <c r="AP150" s="42">
        <v>0</v>
      </c>
      <c r="AR150" s="42">
        <v>0</v>
      </c>
      <c r="AT150" s="42">
        <v>0</v>
      </c>
      <c r="AV150" s="42">
        <v>0</v>
      </c>
      <c r="AX150" s="42">
        <v>0</v>
      </c>
      <c r="AZ150" s="42">
        <v>0</v>
      </c>
      <c r="BB150" s="5">
        <f t="shared" si="24"/>
        <v>0</v>
      </c>
      <c r="BD150" s="42">
        <v>0</v>
      </c>
      <c r="BF150" s="42">
        <v>0</v>
      </c>
      <c r="BH150" s="42">
        <v>0</v>
      </c>
      <c r="BJ150" s="42">
        <v>0</v>
      </c>
      <c r="BL150" s="5">
        <f t="shared" si="20"/>
        <v>0</v>
      </c>
      <c r="BN150" s="5">
        <f>'Gov Fd Rev'!AQ150-'Gov Fd Exp'!BL150</f>
        <v>0</v>
      </c>
      <c r="BP150" s="42">
        <v>0</v>
      </c>
      <c r="BR150" s="42">
        <v>0</v>
      </c>
      <c r="BT150" s="42">
        <v>0</v>
      </c>
      <c r="BV150" s="5">
        <f t="shared" si="22"/>
        <v>0</v>
      </c>
      <c r="BW150" s="5"/>
      <c r="BX150" s="5">
        <f>BV150-'Gov Fd BS'!AI150</f>
        <v>0</v>
      </c>
    </row>
    <row r="151" spans="1:76" hidden="1">
      <c r="A151" s="9" t="s">
        <v>652</v>
      </c>
      <c r="B151" s="9"/>
      <c r="C151" s="9" t="s">
        <v>40</v>
      </c>
      <c r="D151" s="9"/>
      <c r="E151" s="23">
        <v>47837</v>
      </c>
      <c r="G151" s="42">
        <v>0</v>
      </c>
      <c r="I151" s="42">
        <v>0</v>
      </c>
      <c r="K151" s="42">
        <v>0</v>
      </c>
      <c r="M151" s="42">
        <v>0</v>
      </c>
      <c r="O151" s="42">
        <v>0</v>
      </c>
      <c r="Q151" s="42">
        <v>0</v>
      </c>
      <c r="S151" s="42">
        <v>0</v>
      </c>
      <c r="U151" s="42">
        <v>0</v>
      </c>
      <c r="W151" s="42">
        <v>0</v>
      </c>
      <c r="Y151" s="42">
        <v>0</v>
      </c>
      <c r="AA151" s="42">
        <v>0</v>
      </c>
      <c r="AC151" s="42">
        <v>0</v>
      </c>
      <c r="AE151" s="42">
        <v>0</v>
      </c>
      <c r="AG151" s="42">
        <v>0</v>
      </c>
      <c r="AI151" s="42">
        <v>0</v>
      </c>
      <c r="AK151" s="42">
        <v>0</v>
      </c>
      <c r="AL151" s="9" t="s">
        <v>652</v>
      </c>
      <c r="AM151" s="9"/>
      <c r="AN151" s="9" t="s">
        <v>40</v>
      </c>
      <c r="AP151" s="42">
        <v>0</v>
      </c>
      <c r="AR151" s="42">
        <v>0</v>
      </c>
      <c r="AT151" s="42">
        <v>0</v>
      </c>
      <c r="AV151" s="42">
        <v>0</v>
      </c>
      <c r="AX151" s="42">
        <v>0</v>
      </c>
      <c r="AZ151" s="42">
        <v>0</v>
      </c>
      <c r="BB151" s="5">
        <f t="shared" ref="BB151:BB161" si="25">SUM(G151:AZ151)</f>
        <v>0</v>
      </c>
      <c r="BD151" s="42">
        <v>0</v>
      </c>
      <c r="BF151" s="42">
        <v>0</v>
      </c>
      <c r="BH151" s="42">
        <v>0</v>
      </c>
      <c r="BJ151" s="42">
        <v>0</v>
      </c>
      <c r="BL151" s="5">
        <f t="shared" si="20"/>
        <v>0</v>
      </c>
      <c r="BN151" s="5">
        <f>'Gov Fd Rev'!AQ151-'Gov Fd Exp'!BL151</f>
        <v>0</v>
      </c>
      <c r="BP151" s="42">
        <v>0</v>
      </c>
      <c r="BR151" s="42">
        <v>0</v>
      </c>
      <c r="BT151" s="42">
        <v>0</v>
      </c>
      <c r="BV151" s="5">
        <f t="shared" si="22"/>
        <v>0</v>
      </c>
      <c r="BW151" s="5"/>
      <c r="BX151" s="5">
        <f>BV151-'Gov Fd BS'!AI151</f>
        <v>0</v>
      </c>
    </row>
    <row r="152" spans="1:76">
      <c r="A152" s="9" t="s">
        <v>365</v>
      </c>
      <c r="B152" s="9"/>
      <c r="C152" s="9" t="s">
        <v>364</v>
      </c>
      <c r="D152" s="9"/>
      <c r="E152" s="23">
        <v>47928</v>
      </c>
      <c r="G152" s="42">
        <v>6195616</v>
      </c>
      <c r="I152" s="42">
        <v>868831</v>
      </c>
      <c r="K152" s="42">
        <v>226199</v>
      </c>
      <c r="M152" s="42">
        <v>0</v>
      </c>
      <c r="O152" s="42">
        <v>423305</v>
      </c>
      <c r="Q152" s="42">
        <v>541064</v>
      </c>
      <c r="S152" s="42">
        <v>399223</v>
      </c>
      <c r="U152" s="42">
        <v>44755</v>
      </c>
      <c r="W152" s="42">
        <v>738983</v>
      </c>
      <c r="Y152" s="42">
        <v>363609</v>
      </c>
      <c r="AA152" s="42">
        <v>25261</v>
      </c>
      <c r="AC152" s="42">
        <v>1063540</v>
      </c>
      <c r="AE152" s="42">
        <v>688288</v>
      </c>
      <c r="AG152" s="42">
        <v>197724</v>
      </c>
      <c r="AI152" s="42">
        <v>574733</v>
      </c>
      <c r="AK152" s="42">
        <v>0</v>
      </c>
      <c r="AL152" s="9" t="s">
        <v>365</v>
      </c>
      <c r="AM152" s="9"/>
      <c r="AN152" s="9" t="s">
        <v>364</v>
      </c>
      <c r="AP152" s="42">
        <v>516198</v>
      </c>
      <c r="AR152" s="42">
        <v>323919</v>
      </c>
      <c r="AT152" s="42">
        <v>0</v>
      </c>
      <c r="AV152" s="42">
        <v>230000</v>
      </c>
      <c r="AX152" s="42">
        <v>154529</v>
      </c>
      <c r="AZ152" s="42">
        <v>0</v>
      </c>
      <c r="BB152" s="5">
        <f t="shared" si="25"/>
        <v>13575777</v>
      </c>
      <c r="BD152" s="42">
        <v>250624</v>
      </c>
      <c r="BF152" s="42">
        <v>0</v>
      </c>
      <c r="BH152" s="42">
        <v>0</v>
      </c>
      <c r="BJ152" s="42">
        <v>0</v>
      </c>
      <c r="BL152" s="5">
        <f t="shared" si="20"/>
        <v>13826401</v>
      </c>
      <c r="BN152" s="5">
        <f>'Gov Fd Rev'!AQ152-'Gov Fd Exp'!BL152</f>
        <v>-357461</v>
      </c>
      <c r="BP152" s="42">
        <v>5094256</v>
      </c>
      <c r="BR152" s="42">
        <v>0</v>
      </c>
      <c r="BT152" s="42">
        <v>0</v>
      </c>
      <c r="BV152" s="5">
        <f t="shared" si="22"/>
        <v>4736795</v>
      </c>
      <c r="BW152" s="5"/>
      <c r="BX152" s="5">
        <f>BV152-'Gov Fd BS'!AI152</f>
        <v>0</v>
      </c>
    </row>
    <row r="153" spans="1:76">
      <c r="A153" s="9" t="s">
        <v>426</v>
      </c>
      <c r="B153" s="9"/>
      <c r="C153" s="9" t="s">
        <v>50</v>
      </c>
      <c r="D153" s="9"/>
      <c r="E153" s="23">
        <v>43844</v>
      </c>
      <c r="G153" s="42">
        <v>61711771</v>
      </c>
      <c r="I153" s="42">
        <v>29477646</v>
      </c>
      <c r="K153" s="42">
        <v>3091291</v>
      </c>
      <c r="M153" s="42">
        <v>11816</v>
      </c>
      <c r="O153" s="42">
        <v>862336</v>
      </c>
      <c r="Q153" s="42">
        <v>10919710</v>
      </c>
      <c r="S153" s="42">
        <v>17431368</v>
      </c>
      <c r="U153" s="42">
        <v>1135863</v>
      </c>
      <c r="W153" s="42">
        <v>14333319</v>
      </c>
      <c r="Y153" s="42">
        <v>3795897</v>
      </c>
      <c r="AA153" s="42">
        <v>2491063</v>
      </c>
      <c r="AC153" s="42">
        <v>19504200</v>
      </c>
      <c r="AE153" s="42">
        <v>16296573</v>
      </c>
      <c r="AG153" s="42">
        <v>8877094</v>
      </c>
      <c r="AI153" s="42">
        <v>0</v>
      </c>
      <c r="AK153" s="42">
        <v>70402708</v>
      </c>
      <c r="AL153" s="9" t="s">
        <v>426</v>
      </c>
      <c r="AM153" s="9"/>
      <c r="AN153" s="9" t="s">
        <v>50</v>
      </c>
      <c r="AP153" s="42">
        <v>1697331</v>
      </c>
      <c r="AR153" s="42">
        <v>908877</v>
      </c>
      <c r="AT153" s="42">
        <v>0</v>
      </c>
      <c r="AV153" s="42">
        <v>7960000</v>
      </c>
      <c r="AX153" s="42">
        <v>6647585</v>
      </c>
      <c r="AZ153" s="42">
        <f>12955000+2280563</f>
        <v>15235563</v>
      </c>
      <c r="BB153" s="5">
        <f t="shared" si="25"/>
        <v>292792011</v>
      </c>
      <c r="BD153" s="42">
        <v>1242486</v>
      </c>
      <c r="BF153" s="42">
        <v>0</v>
      </c>
      <c r="BH153" s="42">
        <v>0</v>
      </c>
      <c r="BJ153" s="42">
        <v>194092687</v>
      </c>
      <c r="BL153" s="5">
        <f t="shared" si="20"/>
        <v>488127184</v>
      </c>
      <c r="BN153" s="5">
        <f>'Gov Fd Rev'!AQ153-'Gov Fd Exp'!BL153</f>
        <v>-15094298</v>
      </c>
      <c r="BP153" s="42">
        <v>77376370</v>
      </c>
      <c r="BR153" s="42">
        <v>0</v>
      </c>
      <c r="BT153" s="42">
        <v>0</v>
      </c>
      <c r="BV153" s="5">
        <f t="shared" si="22"/>
        <v>62282072</v>
      </c>
      <c r="BW153" s="5"/>
      <c r="BX153" s="5">
        <f>BV153-'Gov Fd BS'!AI153</f>
        <v>0</v>
      </c>
    </row>
    <row r="154" spans="1:76">
      <c r="A154" s="9" t="s">
        <v>877</v>
      </c>
      <c r="B154" s="9"/>
      <c r="C154" s="9" t="s">
        <v>32</v>
      </c>
      <c r="D154" s="9"/>
      <c r="E154" s="23">
        <v>43851</v>
      </c>
      <c r="G154" s="42">
        <v>6266892</v>
      </c>
      <c r="I154" s="42">
        <v>1694275</v>
      </c>
      <c r="K154" s="42">
        <v>217372</v>
      </c>
      <c r="M154" s="42">
        <v>0</v>
      </c>
      <c r="O154" s="42">
        <v>0</v>
      </c>
      <c r="Q154" s="42">
        <v>739855</v>
      </c>
      <c r="S154" s="42">
        <v>1117812</v>
      </c>
      <c r="U154" s="42">
        <v>0</v>
      </c>
      <c r="W154" s="42">
        <f>95375+1054412</f>
        <v>1149787</v>
      </c>
      <c r="Y154" s="42">
        <v>617870</v>
      </c>
      <c r="AA154" s="42">
        <v>98367</v>
      </c>
      <c r="AC154" s="42">
        <v>1388082</v>
      </c>
      <c r="AE154" s="42">
        <v>294251</v>
      </c>
      <c r="AG154" s="42">
        <v>148174</v>
      </c>
      <c r="AI154" s="42">
        <v>0</v>
      </c>
      <c r="AK154" s="42">
        <v>608056</v>
      </c>
      <c r="AL154" s="9" t="s">
        <v>877</v>
      </c>
      <c r="AM154" s="9"/>
      <c r="AN154" s="9" t="s">
        <v>32</v>
      </c>
      <c r="AP154" s="42">
        <v>510483</v>
      </c>
      <c r="AR154" s="42">
        <v>440431</v>
      </c>
      <c r="AT154" s="42">
        <v>0</v>
      </c>
      <c r="AV154" s="42">
        <v>137823</v>
      </c>
      <c r="AX154" s="42">
        <v>10391</v>
      </c>
      <c r="AZ154" s="42">
        <v>0</v>
      </c>
      <c r="BB154" s="5">
        <f t="shared" si="25"/>
        <v>15439921</v>
      </c>
      <c r="BD154" s="42">
        <v>1400334</v>
      </c>
      <c r="BF154" s="42">
        <v>0</v>
      </c>
      <c r="BH154" s="42">
        <v>0</v>
      </c>
      <c r="BJ154" s="42">
        <v>0</v>
      </c>
      <c r="BL154" s="5">
        <f t="shared" si="20"/>
        <v>16840255</v>
      </c>
      <c r="BN154" s="5">
        <f>'Gov Fd Rev'!AQ154-'Gov Fd Exp'!BL154</f>
        <v>-99313</v>
      </c>
      <c r="BP154" s="42">
        <v>8174775</v>
      </c>
      <c r="BR154" s="42">
        <v>0</v>
      </c>
      <c r="BT154" s="42">
        <v>0</v>
      </c>
      <c r="BV154" s="5">
        <f t="shared" si="22"/>
        <v>8075462</v>
      </c>
      <c r="BW154" s="5"/>
      <c r="BX154" s="5">
        <f>BV154-'Gov Fd BS'!AI154</f>
        <v>0</v>
      </c>
    </row>
    <row r="155" spans="1:76" hidden="1">
      <c r="A155" s="9" t="s">
        <v>653</v>
      </c>
      <c r="B155" s="9"/>
      <c r="C155" s="9" t="s">
        <v>22</v>
      </c>
      <c r="D155" s="9"/>
      <c r="E155" s="23">
        <v>43869</v>
      </c>
      <c r="G155" s="42">
        <v>0</v>
      </c>
      <c r="I155" s="42">
        <v>0</v>
      </c>
      <c r="K155" s="42">
        <v>0</v>
      </c>
      <c r="M155" s="42">
        <v>0</v>
      </c>
      <c r="O155" s="42">
        <v>0</v>
      </c>
      <c r="Q155" s="42">
        <v>0</v>
      </c>
      <c r="S155" s="42">
        <v>0</v>
      </c>
      <c r="U155" s="42">
        <v>0</v>
      </c>
      <c r="W155" s="42">
        <v>0</v>
      </c>
      <c r="Y155" s="42">
        <v>0</v>
      </c>
      <c r="AA155" s="42">
        <v>0</v>
      </c>
      <c r="AC155" s="42">
        <v>0</v>
      </c>
      <c r="AE155" s="42">
        <v>0</v>
      </c>
      <c r="AG155" s="42">
        <v>0</v>
      </c>
      <c r="AI155" s="42">
        <v>0</v>
      </c>
      <c r="AK155" s="42">
        <v>0</v>
      </c>
      <c r="AL155" s="9" t="s">
        <v>653</v>
      </c>
      <c r="AM155" s="9"/>
      <c r="AN155" s="9" t="s">
        <v>22</v>
      </c>
      <c r="AP155" s="42">
        <v>0</v>
      </c>
      <c r="AR155" s="42">
        <v>0</v>
      </c>
      <c r="AT155" s="42">
        <v>0</v>
      </c>
      <c r="AV155" s="42">
        <v>0</v>
      </c>
      <c r="AX155" s="42">
        <v>0</v>
      </c>
      <c r="AZ155" s="42">
        <v>0</v>
      </c>
      <c r="BB155" s="5">
        <f t="shared" si="25"/>
        <v>0</v>
      </c>
      <c r="BD155" s="42">
        <v>0</v>
      </c>
      <c r="BF155" s="42">
        <v>0</v>
      </c>
      <c r="BH155" s="42">
        <v>0</v>
      </c>
      <c r="BJ155" s="42">
        <v>0</v>
      </c>
      <c r="BL155" s="5">
        <f t="shared" si="20"/>
        <v>0</v>
      </c>
      <c r="BN155" s="5">
        <f>'Gov Fd Rev'!AQ155-'Gov Fd Exp'!BL155</f>
        <v>0</v>
      </c>
      <c r="BP155" s="42">
        <v>0</v>
      </c>
      <c r="BR155" s="42">
        <v>0</v>
      </c>
      <c r="BT155" s="42">
        <v>0</v>
      </c>
      <c r="BV155" s="5">
        <f t="shared" si="22"/>
        <v>0</v>
      </c>
      <c r="BW155" s="5"/>
      <c r="BX155" s="5">
        <f>BV155-'Gov Fd BS'!AI155</f>
        <v>0</v>
      </c>
    </row>
    <row r="156" spans="1:76">
      <c r="A156" s="9" t="s">
        <v>736</v>
      </c>
      <c r="B156" s="9"/>
      <c r="C156" s="9" t="s">
        <v>23</v>
      </c>
      <c r="D156" s="9"/>
      <c r="E156" s="23">
        <v>43877</v>
      </c>
      <c r="G156" s="42">
        <v>23644328</v>
      </c>
      <c r="I156" s="42">
        <v>6631601</v>
      </c>
      <c r="K156" s="42">
        <v>156218</v>
      </c>
      <c r="M156" s="42">
        <v>0</v>
      </c>
      <c r="O156" s="42">
        <f>43894+186635</f>
        <v>230529</v>
      </c>
      <c r="Q156" s="42">
        <v>2618690</v>
      </c>
      <c r="S156" s="42">
        <v>2845809</v>
      </c>
      <c r="U156" s="42">
        <v>176816</v>
      </c>
      <c r="W156" s="42">
        <v>3064169</v>
      </c>
      <c r="Y156" s="42">
        <v>1169027</v>
      </c>
      <c r="AA156" s="42">
        <v>398364</v>
      </c>
      <c r="AC156" s="42">
        <v>4016730</v>
      </c>
      <c r="AE156" s="42">
        <v>2865062</v>
      </c>
      <c r="AG156" s="42">
        <v>136137</v>
      </c>
      <c r="AI156" s="42">
        <v>0</v>
      </c>
      <c r="AK156" s="42">
        <v>3241302</v>
      </c>
      <c r="AL156" s="9" t="s">
        <v>736</v>
      </c>
      <c r="AM156" s="9"/>
      <c r="AN156" s="9" t="s">
        <v>23</v>
      </c>
      <c r="AP156" s="42">
        <v>1226922</v>
      </c>
      <c r="AR156" s="42">
        <v>1722954</v>
      </c>
      <c r="AT156" s="42">
        <v>0</v>
      </c>
      <c r="AV156" s="42">
        <v>2565327</v>
      </c>
      <c r="AX156" s="42">
        <v>1122901</v>
      </c>
      <c r="AZ156" s="42">
        <v>0</v>
      </c>
      <c r="BB156" s="5">
        <f t="shared" si="25"/>
        <v>57832886</v>
      </c>
      <c r="BD156" s="42">
        <v>0</v>
      </c>
      <c r="BF156" s="42">
        <v>0</v>
      </c>
      <c r="BH156" s="42">
        <v>0</v>
      </c>
      <c r="BJ156" s="42">
        <v>9639596</v>
      </c>
      <c r="BL156" s="5">
        <f t="shared" si="20"/>
        <v>67472482</v>
      </c>
      <c r="BN156" s="5">
        <f>'Gov Fd Rev'!AQ156-'Gov Fd Exp'!BL156</f>
        <v>3946939</v>
      </c>
      <c r="BP156" s="42">
        <v>10737171</v>
      </c>
      <c r="BR156" s="42">
        <v>0</v>
      </c>
      <c r="BT156" s="42">
        <v>0</v>
      </c>
      <c r="BV156" s="5">
        <f t="shared" si="22"/>
        <v>14684110</v>
      </c>
      <c r="BW156" s="5"/>
      <c r="BX156" s="5">
        <f>BV156-'Gov Fd BS'!AI156</f>
        <v>0</v>
      </c>
    </row>
    <row r="157" spans="1:76">
      <c r="A157" s="9" t="s">
        <v>200</v>
      </c>
      <c r="B157" s="9"/>
      <c r="C157" s="9" t="s">
        <v>10</v>
      </c>
      <c r="D157" s="9"/>
      <c r="E157" s="23">
        <v>43885</v>
      </c>
      <c r="G157" s="42">
        <v>4564931</v>
      </c>
      <c r="I157" s="42">
        <v>1265834</v>
      </c>
      <c r="K157" s="42">
        <v>459801</v>
      </c>
      <c r="M157" s="42">
        <v>0</v>
      </c>
      <c r="O157" s="42">
        <v>0</v>
      </c>
      <c r="Q157" s="42">
        <v>518992</v>
      </c>
      <c r="S157" s="42">
        <v>337394</v>
      </c>
      <c r="U157" s="42">
        <v>28758</v>
      </c>
      <c r="W157" s="42">
        <v>978107</v>
      </c>
      <c r="Y157" s="42">
        <v>306077</v>
      </c>
      <c r="AA157" s="42">
        <v>0</v>
      </c>
      <c r="AC157" s="42">
        <v>549908</v>
      </c>
      <c r="AE157" s="42">
        <v>398945</v>
      </c>
      <c r="AG157" s="42">
        <v>6325</v>
      </c>
      <c r="AI157" s="42">
        <v>0</v>
      </c>
      <c r="AK157" s="42">
        <v>1022066</v>
      </c>
      <c r="AL157" s="9" t="s">
        <v>200</v>
      </c>
      <c r="AM157" s="9"/>
      <c r="AN157" s="9" t="s">
        <v>10</v>
      </c>
      <c r="AP157" s="42">
        <v>291408</v>
      </c>
      <c r="AR157" s="42">
        <v>537439</v>
      </c>
      <c r="AT157" s="42">
        <v>0</v>
      </c>
      <c r="AV157" s="42">
        <v>0</v>
      </c>
      <c r="AX157" s="42">
        <v>0</v>
      </c>
      <c r="AZ157" s="42">
        <v>357</v>
      </c>
      <c r="BB157" s="5">
        <f t="shared" si="25"/>
        <v>11266342</v>
      </c>
      <c r="BD157" s="42">
        <v>0</v>
      </c>
      <c r="BF157" s="42">
        <v>0</v>
      </c>
      <c r="BH157" s="42">
        <v>0</v>
      </c>
      <c r="BJ157" s="42">
        <v>0</v>
      </c>
      <c r="BL157" s="5">
        <f t="shared" ref="BL157:BL158" si="26">BB157+BD157+BJ157</f>
        <v>11266342</v>
      </c>
      <c r="BN157" s="5">
        <f>'Gov Fd Rev'!AQ157-'Gov Fd Exp'!BL157</f>
        <v>-342251</v>
      </c>
      <c r="BP157" s="42">
        <v>871030</v>
      </c>
      <c r="BR157" s="42">
        <v>0</v>
      </c>
      <c r="BT157" s="42">
        <v>0</v>
      </c>
      <c r="BV157" s="5">
        <f t="shared" si="22"/>
        <v>528779</v>
      </c>
      <c r="BW157" s="5"/>
      <c r="BX157" s="5">
        <f>BV157-'Gov Fd BS'!AI157</f>
        <v>0</v>
      </c>
    </row>
    <row r="158" spans="1:76">
      <c r="A158" s="9" t="s">
        <v>530</v>
      </c>
      <c r="B158" s="9"/>
      <c r="C158" s="9" t="s">
        <v>65</v>
      </c>
      <c r="D158" s="9"/>
      <c r="E158" s="23">
        <v>43893</v>
      </c>
      <c r="G158" s="42">
        <v>11154940</v>
      </c>
      <c r="I158" s="42">
        <v>2071415</v>
      </c>
      <c r="K158" s="42">
        <v>33750</v>
      </c>
      <c r="M158" s="42">
        <v>0</v>
      </c>
      <c r="O158" s="42">
        <f>306485+234428</f>
        <v>540913</v>
      </c>
      <c r="Q158" s="42">
        <v>1026337</v>
      </c>
      <c r="S158" s="42">
        <v>1149753</v>
      </c>
      <c r="U158" s="42">
        <v>57408</v>
      </c>
      <c r="W158" s="42">
        <v>1784392</v>
      </c>
      <c r="Y158" s="42">
        <v>670223</v>
      </c>
      <c r="AA158" s="42">
        <v>0</v>
      </c>
      <c r="AC158" s="42">
        <v>1966637</v>
      </c>
      <c r="AE158" s="42">
        <v>776761</v>
      </c>
      <c r="AG158" s="42">
        <v>0</v>
      </c>
      <c r="AI158" s="42">
        <v>778899</v>
      </c>
      <c r="AK158" s="42">
        <v>157678</v>
      </c>
      <c r="AL158" s="9" t="s">
        <v>530</v>
      </c>
      <c r="AM158" s="9"/>
      <c r="AN158" s="9" t="s">
        <v>65</v>
      </c>
      <c r="AP158" s="42">
        <v>1036930</v>
      </c>
      <c r="AR158" s="42">
        <v>0</v>
      </c>
      <c r="AT158" s="42">
        <v>0</v>
      </c>
      <c r="AV158" s="42">
        <v>290497</v>
      </c>
      <c r="AX158" s="42">
        <v>460634</v>
      </c>
      <c r="AZ158" s="42">
        <v>0</v>
      </c>
      <c r="BB158" s="5">
        <f t="shared" si="25"/>
        <v>23957167</v>
      </c>
      <c r="BD158" s="42">
        <v>0</v>
      </c>
      <c r="BF158" s="42">
        <v>0</v>
      </c>
      <c r="BH158" s="42">
        <v>0</v>
      </c>
      <c r="BJ158" s="42">
        <v>0</v>
      </c>
      <c r="BL158" s="5">
        <f t="shared" si="26"/>
        <v>23957167</v>
      </c>
      <c r="BN158" s="5">
        <f>'Gov Fd Rev'!AQ158-'Gov Fd Exp'!BL158</f>
        <v>179526</v>
      </c>
      <c r="BP158" s="42">
        <v>8946902</v>
      </c>
      <c r="BR158" s="42">
        <v>0</v>
      </c>
      <c r="BT158" s="42">
        <v>0</v>
      </c>
      <c r="BV158" s="5">
        <f t="shared" si="22"/>
        <v>9126428</v>
      </c>
      <c r="BW158" s="5"/>
      <c r="BX158" s="5">
        <f>BV158-'Gov Fd BS'!AI158</f>
        <v>0</v>
      </c>
    </row>
    <row r="159" spans="1:76">
      <c r="A159" s="9" t="s">
        <v>300</v>
      </c>
      <c r="B159" s="9"/>
      <c r="C159" s="9" t="s">
        <v>27</v>
      </c>
      <c r="D159" s="9"/>
      <c r="E159" s="23">
        <v>47027</v>
      </c>
      <c r="G159" s="42">
        <v>80713415</v>
      </c>
      <c r="I159" s="42">
        <v>22365520</v>
      </c>
      <c r="K159" s="42">
        <v>237822</v>
      </c>
      <c r="M159" s="42">
        <v>0</v>
      </c>
      <c r="O159" s="42">
        <v>0</v>
      </c>
      <c r="Q159" s="42">
        <v>10761978</v>
      </c>
      <c r="S159" s="42">
        <v>15121671</v>
      </c>
      <c r="U159" s="42">
        <v>0</v>
      </c>
      <c r="W159" s="42">
        <f>191358+11761836</f>
        <v>11953194</v>
      </c>
      <c r="Y159" s="42">
        <v>3934048</v>
      </c>
      <c r="AA159" s="42">
        <v>1082328</v>
      </c>
      <c r="AC159" s="42">
        <v>12479774</v>
      </c>
      <c r="AE159" s="42">
        <v>8244211</v>
      </c>
      <c r="AG159" s="42">
        <v>435246</v>
      </c>
      <c r="AI159" s="42">
        <v>0</v>
      </c>
      <c r="AK159" s="42">
        <v>633302</v>
      </c>
      <c r="AL159" s="9" t="s">
        <v>300</v>
      </c>
      <c r="AM159" s="9"/>
      <c r="AN159" s="9" t="s">
        <v>27</v>
      </c>
      <c r="AP159" s="42">
        <v>4895230</v>
      </c>
      <c r="AR159" s="42">
        <f>184246+2278290</f>
        <v>2462536</v>
      </c>
      <c r="AT159" s="42">
        <v>0</v>
      </c>
      <c r="AV159" s="42">
        <v>17997980</v>
      </c>
      <c r="AX159" s="42">
        <v>5733609</v>
      </c>
      <c r="AZ159" s="42">
        <v>41877</v>
      </c>
      <c r="BB159" s="5">
        <f t="shared" si="25"/>
        <v>199093741</v>
      </c>
      <c r="BD159" s="42">
        <v>449350</v>
      </c>
      <c r="BF159" s="42">
        <v>0</v>
      </c>
      <c r="BH159" s="42">
        <v>0</v>
      </c>
      <c r="BJ159" s="42">
        <v>14131488</v>
      </c>
      <c r="BL159" s="5">
        <f>BB159+BD159+BJ159</f>
        <v>213674579</v>
      </c>
      <c r="BN159" s="5">
        <f>'Gov Fd Rev'!AQ159-'Gov Fd Exp'!BL159</f>
        <v>-2148358</v>
      </c>
      <c r="BP159" s="42">
        <v>90994796</v>
      </c>
      <c r="BR159" s="42">
        <v>84329</v>
      </c>
      <c r="BT159" s="42">
        <v>0</v>
      </c>
      <c r="BV159" s="5">
        <f t="shared" ref="BV159:BV229" si="27">BN159+BP159+BR159+BT159</f>
        <v>88930767</v>
      </c>
      <c r="BW159" s="5"/>
      <c r="BX159" s="5">
        <f>BV159-'Gov Fd BS'!AI159</f>
        <v>0</v>
      </c>
    </row>
    <row r="160" spans="1:76">
      <c r="A160" s="9" t="s">
        <v>264</v>
      </c>
      <c r="B160" s="9"/>
      <c r="C160" s="9" t="s">
        <v>20</v>
      </c>
      <c r="D160" s="9"/>
      <c r="E160" s="23">
        <v>43901</v>
      </c>
      <c r="G160" s="42">
        <v>14962713</v>
      </c>
      <c r="I160" s="42">
        <v>11744792</v>
      </c>
      <c r="K160" s="42">
        <v>1561331</v>
      </c>
      <c r="M160" s="42">
        <v>37878</v>
      </c>
      <c r="O160" s="42">
        <v>6243153</v>
      </c>
      <c r="Q160" s="42">
        <v>3938857</v>
      </c>
      <c r="S160" s="42">
        <v>3992270</v>
      </c>
      <c r="U160" s="42">
        <v>54160</v>
      </c>
      <c r="W160" s="42">
        <v>4507546</v>
      </c>
      <c r="Y160" s="42">
        <v>2088351</v>
      </c>
      <c r="AA160" s="42">
        <v>530506</v>
      </c>
      <c r="AC160" s="42">
        <v>5264165</v>
      </c>
      <c r="AE160" s="42">
        <v>1359888</v>
      </c>
      <c r="AG160" s="42">
        <v>2414267</v>
      </c>
      <c r="AI160" s="42">
        <v>1284158</v>
      </c>
      <c r="AK160" s="42">
        <v>187414</v>
      </c>
      <c r="AL160" s="9" t="s">
        <v>264</v>
      </c>
      <c r="AM160" s="9"/>
      <c r="AN160" s="9" t="s">
        <v>20</v>
      </c>
      <c r="AP160" s="42">
        <v>511685</v>
      </c>
      <c r="AR160" s="42">
        <v>127257</v>
      </c>
      <c r="AT160" s="42">
        <v>0</v>
      </c>
      <c r="AV160" s="42">
        <v>525000</v>
      </c>
      <c r="AX160" s="42">
        <v>260250</v>
      </c>
      <c r="AZ160" s="42">
        <v>0</v>
      </c>
      <c r="BB160" s="5">
        <f t="shared" si="25"/>
        <v>61595641</v>
      </c>
      <c r="BD160" s="42">
        <v>180000</v>
      </c>
      <c r="BF160" s="42">
        <v>0</v>
      </c>
      <c r="BH160" s="42">
        <v>0</v>
      </c>
      <c r="BJ160" s="42">
        <v>0</v>
      </c>
      <c r="BL160" s="5">
        <f t="shared" ref="BL160:BL227" si="28">BB160+BD160+BJ160</f>
        <v>61775641</v>
      </c>
      <c r="BN160" s="5">
        <f>'Gov Fd Rev'!AQ160-'Gov Fd Exp'!BL160</f>
        <v>-7844667</v>
      </c>
      <c r="BP160" s="42">
        <v>35021019</v>
      </c>
      <c r="BR160" s="42">
        <v>0</v>
      </c>
      <c r="BT160" s="42">
        <v>0</v>
      </c>
      <c r="BV160" s="5">
        <f t="shared" si="27"/>
        <v>27176352</v>
      </c>
      <c r="BW160" s="5"/>
      <c r="BX160" s="5">
        <f>BV160-'Gov Fd BS'!AI160</f>
        <v>0</v>
      </c>
    </row>
    <row r="161" spans="1:76">
      <c r="A161" s="9" t="s">
        <v>242</v>
      </c>
      <c r="B161" s="9"/>
      <c r="C161" s="9" t="s">
        <v>18</v>
      </c>
      <c r="D161" s="9"/>
      <c r="E161" s="23">
        <v>46409</v>
      </c>
      <c r="G161" s="42">
        <v>5747841</v>
      </c>
      <c r="I161" s="42">
        <v>1389297</v>
      </c>
      <c r="K161" s="42">
        <v>77813</v>
      </c>
      <c r="M161" s="42">
        <v>0</v>
      </c>
      <c r="O161" s="42">
        <v>34</v>
      </c>
      <c r="Q161" s="42">
        <v>468781</v>
      </c>
      <c r="S161" s="42">
        <v>1016281</v>
      </c>
      <c r="U161" s="42">
        <v>42437</v>
      </c>
      <c r="W161" s="42">
        <v>986933</v>
      </c>
      <c r="Y161" s="42">
        <v>273787</v>
      </c>
      <c r="AA161" s="42">
        <v>3135</v>
      </c>
      <c r="AC161" s="42">
        <v>1269838</v>
      </c>
      <c r="AE161" s="42">
        <v>795342</v>
      </c>
      <c r="AG161" s="42">
        <v>66203</v>
      </c>
      <c r="AI161" s="42">
        <v>578154</v>
      </c>
      <c r="AK161" s="42">
        <v>193</v>
      </c>
      <c r="AL161" s="9" t="s">
        <v>242</v>
      </c>
      <c r="AM161" s="9"/>
      <c r="AN161" s="9" t="s">
        <v>18</v>
      </c>
      <c r="AP161" s="42">
        <v>306249</v>
      </c>
      <c r="AR161" s="42">
        <v>0</v>
      </c>
      <c r="AT161" s="42">
        <v>0</v>
      </c>
      <c r="AV161" s="42">
        <v>305000</v>
      </c>
      <c r="AX161" s="42">
        <v>34213</v>
      </c>
      <c r="AZ161" s="42">
        <v>0</v>
      </c>
      <c r="BB161" s="5">
        <f t="shared" si="25"/>
        <v>13361531</v>
      </c>
      <c r="BD161" s="42">
        <v>0</v>
      </c>
      <c r="BF161" s="42">
        <v>0</v>
      </c>
      <c r="BH161" s="42">
        <v>0</v>
      </c>
      <c r="BJ161" s="42">
        <v>0</v>
      </c>
      <c r="BL161" s="5">
        <f t="shared" si="28"/>
        <v>13361531</v>
      </c>
      <c r="BN161" s="5">
        <f>'Gov Fd Rev'!AQ161-'Gov Fd Exp'!BL161</f>
        <v>1085395</v>
      </c>
      <c r="BP161" s="42">
        <v>3637934</v>
      </c>
      <c r="BR161" s="42">
        <v>0</v>
      </c>
      <c r="BT161" s="42">
        <v>0</v>
      </c>
      <c r="BV161" s="5">
        <f t="shared" si="27"/>
        <v>4723329</v>
      </c>
      <c r="BW161" s="5"/>
      <c r="BX161" s="5">
        <f>BV161-'Gov Fd BS'!AI161</f>
        <v>0</v>
      </c>
    </row>
    <row r="162" spans="1:76">
      <c r="A162" s="9" t="s">
        <v>318</v>
      </c>
      <c r="B162" s="9"/>
      <c r="C162" s="9" t="s">
        <v>31</v>
      </c>
      <c r="D162" s="9"/>
      <c r="E162" s="23">
        <v>69682</v>
      </c>
      <c r="G162" s="42">
        <v>4285205</v>
      </c>
      <c r="I162" s="42">
        <v>1272980</v>
      </c>
      <c r="K162" s="42">
        <v>122961</v>
      </c>
      <c r="M162" s="42">
        <v>5329</v>
      </c>
      <c r="O162" s="42">
        <v>1911</v>
      </c>
      <c r="Q162" s="42">
        <v>676033</v>
      </c>
      <c r="S162" s="42">
        <v>571970</v>
      </c>
      <c r="U162" s="42">
        <v>39941</v>
      </c>
      <c r="W162" s="42">
        <v>896041</v>
      </c>
      <c r="Y162" s="42">
        <v>467695</v>
      </c>
      <c r="AA162" s="42">
        <v>1245</v>
      </c>
      <c r="AC162" s="42">
        <v>1246831</v>
      </c>
      <c r="AE162" s="42">
        <v>1103358</v>
      </c>
      <c r="AG162" s="42">
        <v>62893</v>
      </c>
      <c r="AI162" s="42">
        <v>491309</v>
      </c>
      <c r="AK162" s="42">
        <v>4576</v>
      </c>
      <c r="AL162" s="9" t="s">
        <v>318</v>
      </c>
      <c r="AM162" s="9"/>
      <c r="AN162" s="9" t="s">
        <v>31</v>
      </c>
      <c r="AP162" s="42">
        <v>294045</v>
      </c>
      <c r="AR162" s="42">
        <v>186146</v>
      </c>
      <c r="AT162" s="42">
        <v>0</v>
      </c>
      <c r="AV162" s="42">
        <v>693776</v>
      </c>
      <c r="AX162" s="42">
        <v>103759</v>
      </c>
      <c r="AZ162" s="42">
        <v>0</v>
      </c>
      <c r="BB162" s="5">
        <f t="shared" ref="BB162:BB227" si="29">SUM(G162:AZ162)</f>
        <v>12528004</v>
      </c>
      <c r="BD162" s="42">
        <v>246960</v>
      </c>
      <c r="BF162" s="42">
        <v>0</v>
      </c>
      <c r="BH162" s="42">
        <v>0</v>
      </c>
      <c r="BJ162" s="42">
        <v>0</v>
      </c>
      <c r="BL162" s="5">
        <f>BB162+BD162+BJ162</f>
        <v>12774964</v>
      </c>
      <c r="BN162" s="5">
        <f>'Gov Fd Rev'!AQ162-'Gov Fd Exp'!BL162</f>
        <v>20538</v>
      </c>
      <c r="BP162" s="42">
        <v>6413295</v>
      </c>
      <c r="BR162" s="42">
        <v>0</v>
      </c>
      <c r="BT162" s="42">
        <v>0</v>
      </c>
      <c r="BV162" s="5">
        <f t="shared" si="27"/>
        <v>6433833</v>
      </c>
      <c r="BW162" s="5"/>
      <c r="BX162" s="5">
        <f>BV162-'Gov Fd BS'!AI162</f>
        <v>0</v>
      </c>
    </row>
    <row r="163" spans="1:76">
      <c r="A163" s="9" t="s">
        <v>351</v>
      </c>
      <c r="B163" s="9"/>
      <c r="C163" s="9" t="s">
        <v>36</v>
      </c>
      <c r="D163" s="9"/>
      <c r="E163" s="23">
        <v>47688</v>
      </c>
      <c r="G163" s="42">
        <v>7370560</v>
      </c>
      <c r="I163" s="42">
        <v>2143001</v>
      </c>
      <c r="K163" s="42">
        <v>261113</v>
      </c>
      <c r="M163" s="42">
        <v>0</v>
      </c>
      <c r="O163" s="42">
        <v>0</v>
      </c>
      <c r="Q163" s="42">
        <v>880777</v>
      </c>
      <c r="S163" s="42">
        <v>1045611</v>
      </c>
      <c r="U163" s="42">
        <v>31442</v>
      </c>
      <c r="W163" s="42">
        <v>1587287</v>
      </c>
      <c r="Y163" s="42">
        <v>472652</v>
      </c>
      <c r="AA163" s="42">
        <v>0</v>
      </c>
      <c r="AC163" s="42">
        <v>1515393</v>
      </c>
      <c r="AE163" s="42">
        <v>1277338</v>
      </c>
      <c r="AG163" s="42">
        <v>119016</v>
      </c>
      <c r="AI163" s="42">
        <v>707397</v>
      </c>
      <c r="AK163" s="42">
        <v>0</v>
      </c>
      <c r="AL163" s="9" t="s">
        <v>351</v>
      </c>
      <c r="AM163" s="9"/>
      <c r="AN163" s="9" t="s">
        <v>36</v>
      </c>
      <c r="AP163" s="42">
        <v>427378</v>
      </c>
      <c r="AR163" s="42">
        <v>757729</v>
      </c>
      <c r="AT163" s="42">
        <v>0</v>
      </c>
      <c r="AV163" s="42">
        <v>195000</v>
      </c>
      <c r="AX163" s="42">
        <v>57100</v>
      </c>
      <c r="AZ163" s="42">
        <v>0</v>
      </c>
      <c r="BB163" s="5">
        <f t="shared" si="29"/>
        <v>18848794</v>
      </c>
      <c r="BD163" s="42">
        <v>75000</v>
      </c>
      <c r="BF163" s="42">
        <v>0</v>
      </c>
      <c r="BH163" s="42">
        <v>0</v>
      </c>
      <c r="BJ163" s="42">
        <v>0</v>
      </c>
      <c r="BL163" s="5">
        <f t="shared" si="28"/>
        <v>18923794</v>
      </c>
      <c r="BN163" s="5">
        <f>'Gov Fd Rev'!AQ163-'Gov Fd Exp'!BL163</f>
        <v>415813</v>
      </c>
      <c r="BP163" s="42">
        <v>5061096</v>
      </c>
      <c r="BR163" s="42">
        <v>0</v>
      </c>
      <c r="BT163" s="42">
        <v>0</v>
      </c>
      <c r="BV163" s="5">
        <f t="shared" si="27"/>
        <v>5476909</v>
      </c>
      <c r="BW163" s="5"/>
      <c r="BX163" s="5">
        <f>BV163-'Gov Fd BS'!AI163</f>
        <v>0</v>
      </c>
    </row>
    <row r="164" spans="1:76" hidden="1">
      <c r="A164" s="9" t="s">
        <v>654</v>
      </c>
      <c r="B164" s="9"/>
      <c r="C164" s="9" t="s">
        <v>40</v>
      </c>
      <c r="D164" s="9"/>
      <c r="E164" s="23">
        <v>47845</v>
      </c>
      <c r="G164" s="42">
        <v>0</v>
      </c>
      <c r="I164" s="42">
        <v>0</v>
      </c>
      <c r="K164" s="42">
        <v>0</v>
      </c>
      <c r="M164" s="42">
        <v>0</v>
      </c>
      <c r="O164" s="42">
        <v>0</v>
      </c>
      <c r="Q164" s="42">
        <v>0</v>
      </c>
      <c r="S164" s="42">
        <v>0</v>
      </c>
      <c r="U164" s="42">
        <v>0</v>
      </c>
      <c r="W164" s="42">
        <v>0</v>
      </c>
      <c r="Y164" s="42">
        <v>0</v>
      </c>
      <c r="AA164" s="42">
        <v>0</v>
      </c>
      <c r="AC164" s="42">
        <v>0</v>
      </c>
      <c r="AE164" s="42">
        <v>0</v>
      </c>
      <c r="AG164" s="42">
        <v>0</v>
      </c>
      <c r="AI164" s="42">
        <v>0</v>
      </c>
      <c r="AK164" s="42">
        <v>0</v>
      </c>
      <c r="AL164" s="9" t="s">
        <v>654</v>
      </c>
      <c r="AM164" s="9"/>
      <c r="AN164" s="9" t="s">
        <v>40</v>
      </c>
      <c r="AP164" s="42">
        <v>0</v>
      </c>
      <c r="AR164" s="42">
        <v>0</v>
      </c>
      <c r="AT164" s="42">
        <v>0</v>
      </c>
      <c r="AV164" s="42">
        <v>0</v>
      </c>
      <c r="AX164" s="42">
        <v>0</v>
      </c>
      <c r="AZ164" s="42">
        <v>0</v>
      </c>
      <c r="BB164" s="5">
        <f t="shared" si="29"/>
        <v>0</v>
      </c>
      <c r="BD164" s="42">
        <v>0</v>
      </c>
      <c r="BF164" s="42">
        <v>0</v>
      </c>
      <c r="BH164" s="42">
        <v>0</v>
      </c>
      <c r="BJ164" s="42">
        <v>0</v>
      </c>
      <c r="BL164" s="5">
        <f t="shared" si="28"/>
        <v>0</v>
      </c>
      <c r="BN164" s="5">
        <f>'Gov Fd Rev'!AQ164-'Gov Fd Exp'!BL164</f>
        <v>0</v>
      </c>
      <c r="BP164" s="42">
        <v>0</v>
      </c>
      <c r="BR164" s="42">
        <v>0</v>
      </c>
      <c r="BT164" s="42">
        <v>0</v>
      </c>
      <c r="BV164" s="5">
        <f t="shared" si="27"/>
        <v>0</v>
      </c>
      <c r="BW164" s="5"/>
      <c r="BX164" s="5">
        <f>BV164-'Gov Fd BS'!AI164</f>
        <v>0</v>
      </c>
    </row>
    <row r="165" spans="1:76">
      <c r="A165" s="9" t="s">
        <v>246</v>
      </c>
      <c r="B165" s="9"/>
      <c r="C165" s="9" t="s">
        <v>111</v>
      </c>
      <c r="D165" s="9"/>
      <c r="E165" s="23">
        <v>43919</v>
      </c>
      <c r="G165" s="42">
        <v>10876726</v>
      </c>
      <c r="I165" s="42">
        <v>3233622</v>
      </c>
      <c r="K165" s="42">
        <v>1116544</v>
      </c>
      <c r="M165" s="42">
        <v>7989</v>
      </c>
      <c r="O165" s="42">
        <f>7705+1799451</f>
        <v>1807156</v>
      </c>
      <c r="Q165" s="42">
        <v>1259966</v>
      </c>
      <c r="S165" s="42">
        <v>1981069</v>
      </c>
      <c r="U165" s="42">
        <v>117934</v>
      </c>
      <c r="W165" s="42">
        <v>1644116</v>
      </c>
      <c r="Y165" s="42">
        <v>553762</v>
      </c>
      <c r="AA165" s="42">
        <v>1450</v>
      </c>
      <c r="AC165" s="42">
        <v>2960905</v>
      </c>
      <c r="AE165" s="42">
        <v>1257544</v>
      </c>
      <c r="AG165" s="42">
        <v>43379</v>
      </c>
      <c r="AI165" s="42">
        <v>1197933</v>
      </c>
      <c r="AK165" s="42">
        <v>173488</v>
      </c>
      <c r="AL165" s="9" t="s">
        <v>246</v>
      </c>
      <c r="AM165" s="9"/>
      <c r="AN165" s="9" t="s">
        <v>111</v>
      </c>
      <c r="AP165" s="42">
        <v>430739</v>
      </c>
      <c r="AR165" s="42">
        <v>971588</v>
      </c>
      <c r="AT165" s="42">
        <v>0</v>
      </c>
      <c r="AV165" s="42">
        <v>279000</v>
      </c>
      <c r="AX165" s="42">
        <v>70328</v>
      </c>
      <c r="AZ165" s="42">
        <v>0</v>
      </c>
      <c r="BB165" s="5">
        <f t="shared" si="29"/>
        <v>29985238</v>
      </c>
      <c r="BD165" s="42">
        <v>481449</v>
      </c>
      <c r="BF165" s="42">
        <v>0</v>
      </c>
      <c r="BH165" s="42">
        <v>0</v>
      </c>
      <c r="BJ165" s="42">
        <v>0</v>
      </c>
      <c r="BL165" s="5">
        <f t="shared" si="28"/>
        <v>30466687</v>
      </c>
      <c r="BN165" s="5">
        <f>'Gov Fd Rev'!AQ165-'Gov Fd Exp'!BL165</f>
        <v>-1852772</v>
      </c>
      <c r="BP165" s="42">
        <v>11876239</v>
      </c>
      <c r="BR165" s="42">
        <v>0</v>
      </c>
      <c r="BT165" s="42">
        <v>0</v>
      </c>
      <c r="BV165" s="5">
        <f t="shared" si="27"/>
        <v>10023467</v>
      </c>
      <c r="BW165" s="5"/>
      <c r="BX165" s="5">
        <f>BV165-'Gov Fd BS'!AI165</f>
        <v>0</v>
      </c>
    </row>
    <row r="166" spans="1:76">
      <c r="A166" s="9" t="s">
        <v>440</v>
      </c>
      <c r="B166" s="9"/>
      <c r="C166" s="9" t="s">
        <v>51</v>
      </c>
      <c r="D166" s="9"/>
      <c r="E166" s="23">
        <v>48835</v>
      </c>
      <c r="G166" s="42">
        <v>8900493</v>
      </c>
      <c r="I166" s="42">
        <v>2522869</v>
      </c>
      <c r="K166" s="42">
        <v>218237</v>
      </c>
      <c r="M166" s="42">
        <v>0</v>
      </c>
      <c r="O166" s="42">
        <v>375882</v>
      </c>
      <c r="Q166" s="42">
        <v>458651</v>
      </c>
      <c r="S166" s="42">
        <v>680909</v>
      </c>
      <c r="U166" s="42">
        <v>38724</v>
      </c>
      <c r="W166" s="42">
        <v>1985148</v>
      </c>
      <c r="Y166" s="42">
        <v>445578</v>
      </c>
      <c r="AA166" s="42">
        <v>0</v>
      </c>
      <c r="AC166" s="42">
        <v>1781348</v>
      </c>
      <c r="AE166" s="42">
        <v>1288779</v>
      </c>
      <c r="AG166" s="42">
        <v>170395</v>
      </c>
      <c r="AI166" s="42">
        <v>928577</v>
      </c>
      <c r="AK166" s="42">
        <v>0</v>
      </c>
      <c r="AL166" s="9" t="s">
        <v>440</v>
      </c>
      <c r="AM166" s="9"/>
      <c r="AN166" s="9" t="s">
        <v>51</v>
      </c>
      <c r="AP166" s="42">
        <v>474404</v>
      </c>
      <c r="AR166" s="42">
        <v>243855</v>
      </c>
      <c r="AT166" s="42">
        <v>0</v>
      </c>
      <c r="AV166" s="42">
        <v>458361</v>
      </c>
      <c r="AX166" s="42">
        <v>181160</v>
      </c>
      <c r="AZ166" s="42">
        <v>0</v>
      </c>
      <c r="BB166" s="5">
        <f t="shared" si="29"/>
        <v>21153370</v>
      </c>
      <c r="BD166" s="42">
        <v>0</v>
      </c>
      <c r="BF166" s="42">
        <v>0</v>
      </c>
      <c r="BH166" s="42">
        <v>0</v>
      </c>
      <c r="BJ166" s="42">
        <v>0</v>
      </c>
      <c r="BL166" s="5">
        <f t="shared" si="28"/>
        <v>21153370</v>
      </c>
      <c r="BN166" s="5">
        <f>'Gov Fd Rev'!AQ166-'Gov Fd Exp'!BL166</f>
        <v>-421012</v>
      </c>
      <c r="BP166" s="42">
        <v>7967906</v>
      </c>
      <c r="BR166" s="42">
        <v>0</v>
      </c>
      <c r="BT166" s="42">
        <v>0</v>
      </c>
      <c r="BV166" s="5">
        <f t="shared" si="27"/>
        <v>7546894</v>
      </c>
      <c r="BW166" s="5"/>
      <c r="BX166" s="5">
        <f>BV166-'Gov Fd BS'!AI166</f>
        <v>0</v>
      </c>
    </row>
    <row r="167" spans="1:76">
      <c r="A167" s="9" t="s">
        <v>247</v>
      </c>
      <c r="B167" s="9"/>
      <c r="C167" s="9" t="s">
        <v>111</v>
      </c>
      <c r="D167" s="9"/>
      <c r="E167" s="23">
        <v>43927</v>
      </c>
      <c r="G167" s="42">
        <v>4012196</v>
      </c>
      <c r="I167" s="42">
        <v>2102406</v>
      </c>
      <c r="K167" s="42">
        <v>40855</v>
      </c>
      <c r="M167" s="42">
        <v>0</v>
      </c>
      <c r="O167" s="42">
        <v>0</v>
      </c>
      <c r="Q167" s="42">
        <v>575968</v>
      </c>
      <c r="S167" s="42">
        <v>257554</v>
      </c>
      <c r="U167" s="42">
        <v>19169</v>
      </c>
      <c r="W167" s="42">
        <v>750221</v>
      </c>
      <c r="Y167" s="42">
        <v>271333</v>
      </c>
      <c r="AA167" s="42">
        <v>831682</v>
      </c>
      <c r="AC167" s="42">
        <v>1063420</v>
      </c>
      <c r="AE167" s="42">
        <v>572629</v>
      </c>
      <c r="AG167" s="42">
        <v>0</v>
      </c>
      <c r="AI167" s="42">
        <v>530740</v>
      </c>
      <c r="AK167" s="42">
        <v>1000</v>
      </c>
      <c r="AL167" s="9" t="s">
        <v>247</v>
      </c>
      <c r="AM167" s="9"/>
      <c r="AN167" s="9" t="s">
        <v>111</v>
      </c>
      <c r="AP167" s="42">
        <v>342339</v>
      </c>
      <c r="AR167" s="42">
        <v>35499</v>
      </c>
      <c r="AT167" s="42">
        <v>0</v>
      </c>
      <c r="AV167" s="42">
        <v>307344</v>
      </c>
      <c r="AX167" s="42">
        <v>76627</v>
      </c>
      <c r="AZ167" s="42">
        <v>0</v>
      </c>
      <c r="BB167" s="5">
        <f t="shared" si="29"/>
        <v>11790982</v>
      </c>
      <c r="BD167" s="42">
        <v>0</v>
      </c>
      <c r="BF167" s="42">
        <v>0</v>
      </c>
      <c r="BH167" s="42">
        <v>0</v>
      </c>
      <c r="BJ167" s="42">
        <v>0</v>
      </c>
      <c r="BL167" s="5">
        <f t="shared" si="28"/>
        <v>11790982</v>
      </c>
      <c r="BN167" s="5">
        <f>'Gov Fd Rev'!AQ167-'Gov Fd Exp'!BL167</f>
        <v>308470</v>
      </c>
      <c r="BP167" s="42">
        <v>1175736</v>
      </c>
      <c r="BR167" s="42">
        <v>0</v>
      </c>
      <c r="BT167" s="42">
        <v>0</v>
      </c>
      <c r="BV167" s="5">
        <f t="shared" si="27"/>
        <v>1484206</v>
      </c>
      <c r="BW167" s="5"/>
      <c r="BX167" s="5">
        <f>BV167-'Gov Fd BS'!AI167</f>
        <v>0</v>
      </c>
    </row>
    <row r="168" spans="1:76">
      <c r="A168" s="9" t="s">
        <v>217</v>
      </c>
      <c r="B168" s="9"/>
      <c r="C168" s="9" t="s">
        <v>77</v>
      </c>
      <c r="D168" s="9"/>
      <c r="E168" s="23">
        <v>46037</v>
      </c>
      <c r="G168" s="42">
        <v>4531842</v>
      </c>
      <c r="I168" s="42">
        <v>1616161</v>
      </c>
      <c r="K168" s="42">
        <v>94079</v>
      </c>
      <c r="M168" s="42">
        <v>0</v>
      </c>
      <c r="O168" s="42">
        <v>1338811</v>
      </c>
      <c r="Q168" s="42">
        <v>362598</v>
      </c>
      <c r="S168" s="42">
        <v>970633</v>
      </c>
      <c r="U168" s="42">
        <v>24907</v>
      </c>
      <c r="W168" s="42">
        <v>1008350</v>
      </c>
      <c r="Y168" s="42">
        <v>459963</v>
      </c>
      <c r="AA168" s="42">
        <v>4745</v>
      </c>
      <c r="AC168" s="42">
        <v>1157638</v>
      </c>
      <c r="AE168" s="42">
        <v>1014849</v>
      </c>
      <c r="AG168" s="42">
        <v>45547</v>
      </c>
      <c r="AI168" s="42">
        <v>0</v>
      </c>
      <c r="AK168" s="42">
        <v>631685</v>
      </c>
      <c r="AL168" s="9" t="s">
        <v>217</v>
      </c>
      <c r="AM168" s="9"/>
      <c r="AN168" s="9" t="s">
        <v>77</v>
      </c>
      <c r="AP168" s="42">
        <v>238152</v>
      </c>
      <c r="AR168" s="42">
        <v>390136</v>
      </c>
      <c r="AT168" s="42">
        <v>0</v>
      </c>
      <c r="AV168" s="42">
        <v>425000</v>
      </c>
      <c r="AX168" s="42">
        <v>364857</v>
      </c>
      <c r="AZ168" s="42">
        <v>0</v>
      </c>
      <c r="BB168" s="5">
        <f t="shared" si="29"/>
        <v>14679953</v>
      </c>
      <c r="BD168" s="42">
        <v>0</v>
      </c>
      <c r="BF168" s="42">
        <v>0</v>
      </c>
      <c r="BH168" s="42">
        <v>0</v>
      </c>
      <c r="BJ168" s="42">
        <v>0</v>
      </c>
      <c r="BL168" s="5">
        <f t="shared" si="28"/>
        <v>14679953</v>
      </c>
      <c r="BN168" s="5">
        <f>'Gov Fd Rev'!AQ168-'Gov Fd Exp'!BL168</f>
        <v>511259</v>
      </c>
      <c r="BP168" s="42">
        <v>3178639</v>
      </c>
      <c r="BR168" s="42">
        <v>0</v>
      </c>
      <c r="BT168" s="42">
        <v>0</v>
      </c>
      <c r="BV168" s="5">
        <f t="shared" si="27"/>
        <v>3689898</v>
      </c>
      <c r="BW168" s="5"/>
      <c r="BX168" s="5">
        <f>BV168-'Gov Fd BS'!AI168</f>
        <v>0</v>
      </c>
    </row>
    <row r="169" spans="1:76">
      <c r="A169" s="9" t="s">
        <v>217</v>
      </c>
      <c r="B169" s="9"/>
      <c r="C169" s="9" t="s">
        <v>417</v>
      </c>
      <c r="D169" s="9"/>
      <c r="E169" s="23">
        <v>48512</v>
      </c>
      <c r="G169" s="42">
        <v>3870233</v>
      </c>
      <c r="I169" s="42">
        <v>751820</v>
      </c>
      <c r="K169" s="42">
        <v>0</v>
      </c>
      <c r="M169" s="42">
        <v>0</v>
      </c>
      <c r="O169" s="42">
        <f>19201+43</f>
        <v>19244</v>
      </c>
      <c r="Q169" s="42">
        <v>533050</v>
      </c>
      <c r="S169" s="42">
        <v>407212</v>
      </c>
      <c r="U169" s="42">
        <v>26641</v>
      </c>
      <c r="W169" s="42">
        <v>590634</v>
      </c>
      <c r="Y169" s="42">
        <v>256667</v>
      </c>
      <c r="AA169" s="42">
        <v>0</v>
      </c>
      <c r="AC169" s="42">
        <v>762432</v>
      </c>
      <c r="AE169" s="42">
        <v>687901</v>
      </c>
      <c r="AG169" s="42">
        <v>92715</v>
      </c>
      <c r="AI169" s="42">
        <v>0</v>
      </c>
      <c r="AK169" s="42">
        <v>416228</v>
      </c>
      <c r="AL169" s="9" t="s">
        <v>217</v>
      </c>
      <c r="AM169" s="9"/>
      <c r="AN169" s="9" t="s">
        <v>417</v>
      </c>
      <c r="AP169" s="42">
        <v>214057</v>
      </c>
      <c r="AR169" s="42">
        <v>72049</v>
      </c>
      <c r="AT169" s="42">
        <v>0</v>
      </c>
      <c r="AV169" s="42">
        <v>70000</v>
      </c>
      <c r="AX169" s="42">
        <v>38950</v>
      </c>
      <c r="AZ169" s="42">
        <v>0</v>
      </c>
      <c r="BB169" s="5">
        <f t="shared" si="29"/>
        <v>8809833</v>
      </c>
      <c r="BD169" s="42">
        <v>250000</v>
      </c>
      <c r="BF169" s="42">
        <v>0</v>
      </c>
      <c r="BH169" s="42">
        <v>0</v>
      </c>
      <c r="BJ169" s="42">
        <v>0</v>
      </c>
      <c r="BL169" s="5">
        <f t="shared" si="28"/>
        <v>9059833</v>
      </c>
      <c r="BN169" s="5">
        <f>'Gov Fd Rev'!AQ169-'Gov Fd Exp'!BL169</f>
        <v>-254892</v>
      </c>
      <c r="BP169" s="42">
        <v>2083947</v>
      </c>
      <c r="BR169" s="42">
        <v>0</v>
      </c>
      <c r="BT169" s="42">
        <v>0</v>
      </c>
      <c r="BV169" s="5">
        <f t="shared" si="27"/>
        <v>1829055</v>
      </c>
      <c r="BW169" s="5"/>
      <c r="BX169" s="5">
        <f>BV169-'Gov Fd BS'!AI169</f>
        <v>0</v>
      </c>
    </row>
    <row r="170" spans="1:76" hidden="1">
      <c r="A170" s="9" t="s">
        <v>655</v>
      </c>
      <c r="B170" s="9"/>
      <c r="C170" s="9" t="s">
        <v>55</v>
      </c>
      <c r="D170" s="9"/>
      <c r="E170" s="23">
        <v>49122</v>
      </c>
      <c r="G170" s="42">
        <v>0</v>
      </c>
      <c r="I170" s="42">
        <v>0</v>
      </c>
      <c r="K170" s="42">
        <v>0</v>
      </c>
      <c r="M170" s="42">
        <v>0</v>
      </c>
      <c r="O170" s="42">
        <v>0</v>
      </c>
      <c r="Q170" s="42">
        <v>0</v>
      </c>
      <c r="S170" s="42">
        <v>0</v>
      </c>
      <c r="U170" s="42">
        <v>0</v>
      </c>
      <c r="W170" s="42">
        <v>0</v>
      </c>
      <c r="Y170" s="42">
        <v>0</v>
      </c>
      <c r="AA170" s="42">
        <v>0</v>
      </c>
      <c r="AC170" s="42">
        <v>0</v>
      </c>
      <c r="AE170" s="42">
        <v>0</v>
      </c>
      <c r="AG170" s="42">
        <v>0</v>
      </c>
      <c r="AI170" s="42">
        <v>0</v>
      </c>
      <c r="AK170" s="42">
        <v>0</v>
      </c>
      <c r="AL170" s="9" t="s">
        <v>655</v>
      </c>
      <c r="AM170" s="9"/>
      <c r="AN170" s="9" t="s">
        <v>55</v>
      </c>
      <c r="AP170" s="42">
        <v>0</v>
      </c>
      <c r="AR170" s="42">
        <v>0</v>
      </c>
      <c r="AT170" s="42">
        <v>0</v>
      </c>
      <c r="AV170" s="42">
        <v>0</v>
      </c>
      <c r="AX170" s="42">
        <v>0</v>
      </c>
      <c r="AZ170" s="42">
        <v>0</v>
      </c>
      <c r="BB170" s="5">
        <f t="shared" si="29"/>
        <v>0</v>
      </c>
      <c r="BD170" s="42">
        <v>0</v>
      </c>
      <c r="BF170" s="42">
        <v>0</v>
      </c>
      <c r="BH170" s="42">
        <v>0</v>
      </c>
      <c r="BJ170" s="42">
        <v>0</v>
      </c>
      <c r="BL170" s="5">
        <f t="shared" si="28"/>
        <v>0</v>
      </c>
      <c r="BN170" s="5">
        <f>'Gov Fd Rev'!AQ170-'Gov Fd Exp'!BL170</f>
        <v>0</v>
      </c>
      <c r="BP170" s="42">
        <v>0</v>
      </c>
      <c r="BR170" s="42">
        <v>0</v>
      </c>
      <c r="BT170" s="42">
        <v>0</v>
      </c>
      <c r="BV170" s="5">
        <f t="shared" si="27"/>
        <v>0</v>
      </c>
      <c r="BW170" s="5"/>
      <c r="BX170" s="5">
        <f>BV170-'Gov Fd BS'!AI170</f>
        <v>0</v>
      </c>
    </row>
    <row r="171" spans="1:76">
      <c r="A171" s="9" t="s">
        <v>550</v>
      </c>
      <c r="B171" s="9"/>
      <c r="C171" s="9" t="s">
        <v>72</v>
      </c>
      <c r="D171" s="9"/>
      <c r="E171" s="23">
        <v>50674</v>
      </c>
      <c r="G171" s="42">
        <v>7530281</v>
      </c>
      <c r="I171" s="42">
        <v>1754999</v>
      </c>
      <c r="K171" s="42">
        <v>154918</v>
      </c>
      <c r="M171" s="42">
        <v>0</v>
      </c>
      <c r="O171" s="42">
        <v>0</v>
      </c>
      <c r="Q171" s="42">
        <v>462286</v>
      </c>
      <c r="S171" s="42">
        <v>535068</v>
      </c>
      <c r="U171" s="42">
        <v>33067</v>
      </c>
      <c r="W171" s="42">
        <v>1248010</v>
      </c>
      <c r="Y171" s="42">
        <v>538540</v>
      </c>
      <c r="AA171" s="42">
        <v>0</v>
      </c>
      <c r="AC171" s="42">
        <v>1399382</v>
      </c>
      <c r="AE171" s="42">
        <v>968302</v>
      </c>
      <c r="AG171" s="42">
        <v>0</v>
      </c>
      <c r="AI171" s="42">
        <v>0</v>
      </c>
      <c r="AK171" s="42">
        <v>621331</v>
      </c>
      <c r="AL171" s="9" t="s">
        <v>550</v>
      </c>
      <c r="AM171" s="9"/>
      <c r="AN171" s="9" t="s">
        <v>72</v>
      </c>
      <c r="AP171" s="42">
        <v>656945</v>
      </c>
      <c r="AR171" s="42">
        <v>67431</v>
      </c>
      <c r="AT171" s="42">
        <v>0</v>
      </c>
      <c r="AV171" s="42">
        <v>235000</v>
      </c>
      <c r="AX171" s="42">
        <v>92003</v>
      </c>
      <c r="AZ171" s="42">
        <v>0</v>
      </c>
      <c r="BB171" s="5">
        <f t="shared" si="29"/>
        <v>16297563</v>
      </c>
      <c r="BD171" s="42">
        <v>4681</v>
      </c>
      <c r="BF171" s="42">
        <v>0</v>
      </c>
      <c r="BH171" s="42">
        <v>0</v>
      </c>
      <c r="BJ171" s="42">
        <v>0</v>
      </c>
      <c r="BL171" s="5">
        <f t="shared" si="28"/>
        <v>16302244</v>
      </c>
      <c r="BN171" s="5">
        <f>'Gov Fd Rev'!AQ171-'Gov Fd Exp'!BL171</f>
        <v>678936</v>
      </c>
      <c r="BP171" s="42">
        <v>9234312</v>
      </c>
      <c r="BR171" s="42">
        <v>0</v>
      </c>
      <c r="BT171" s="42">
        <v>0</v>
      </c>
      <c r="BV171" s="5">
        <f t="shared" si="27"/>
        <v>9913248</v>
      </c>
      <c r="BW171" s="5"/>
      <c r="BX171" s="5">
        <f>BV171-'Gov Fd BS'!AI171</f>
        <v>0</v>
      </c>
    </row>
    <row r="172" spans="1:76" hidden="1">
      <c r="A172" s="8" t="s">
        <v>858</v>
      </c>
      <c r="B172" s="9"/>
      <c r="C172" s="9" t="s">
        <v>57</v>
      </c>
      <c r="D172" s="9"/>
      <c r="E172" s="23">
        <v>43935</v>
      </c>
      <c r="G172" s="42">
        <v>0</v>
      </c>
      <c r="I172" s="42">
        <v>0</v>
      </c>
      <c r="K172" s="42">
        <v>0</v>
      </c>
      <c r="M172" s="42">
        <v>0</v>
      </c>
      <c r="O172" s="42">
        <v>0</v>
      </c>
      <c r="Q172" s="42">
        <v>0</v>
      </c>
      <c r="S172" s="42">
        <v>0</v>
      </c>
      <c r="U172" s="42">
        <v>0</v>
      </c>
      <c r="W172" s="42">
        <v>0</v>
      </c>
      <c r="Y172" s="42">
        <v>0</v>
      </c>
      <c r="AA172" s="42">
        <v>0</v>
      </c>
      <c r="AC172" s="42">
        <v>0</v>
      </c>
      <c r="AE172" s="42">
        <v>0</v>
      </c>
      <c r="AG172" s="42">
        <v>0</v>
      </c>
      <c r="AI172" s="42">
        <v>0</v>
      </c>
      <c r="AK172" s="42">
        <v>0</v>
      </c>
      <c r="AL172" s="8" t="s">
        <v>858</v>
      </c>
      <c r="AM172" s="9"/>
      <c r="AN172" s="9" t="s">
        <v>57</v>
      </c>
      <c r="AP172" s="42">
        <v>0</v>
      </c>
      <c r="AR172" s="42">
        <v>0</v>
      </c>
      <c r="AT172" s="42">
        <v>0</v>
      </c>
      <c r="AV172" s="42">
        <v>0</v>
      </c>
      <c r="AX172" s="42">
        <v>0</v>
      </c>
      <c r="AZ172" s="42">
        <v>0</v>
      </c>
      <c r="BB172" s="5">
        <f t="shared" si="29"/>
        <v>0</v>
      </c>
      <c r="BD172" s="42">
        <v>0</v>
      </c>
      <c r="BF172" s="42">
        <v>0</v>
      </c>
      <c r="BH172" s="42">
        <v>0</v>
      </c>
      <c r="BJ172" s="42">
        <v>0</v>
      </c>
      <c r="BL172" s="5">
        <f t="shared" si="28"/>
        <v>0</v>
      </c>
      <c r="BN172" s="5">
        <f>'Gov Fd Rev'!AQ172-'Gov Fd Exp'!BL172</f>
        <v>0</v>
      </c>
      <c r="BP172" s="42">
        <v>0</v>
      </c>
      <c r="BR172" s="42">
        <v>0</v>
      </c>
      <c r="BT172" s="42">
        <v>0</v>
      </c>
      <c r="BV172" s="5">
        <f t="shared" si="27"/>
        <v>0</v>
      </c>
      <c r="BW172" s="5"/>
      <c r="BX172" s="5">
        <f>BV172-'Gov Fd BS'!AI172</f>
        <v>0</v>
      </c>
    </row>
    <row r="173" spans="1:76" hidden="1">
      <c r="A173" s="9" t="s">
        <v>656</v>
      </c>
      <c r="B173" s="9"/>
      <c r="C173" s="9" t="s">
        <v>548</v>
      </c>
      <c r="D173" s="9"/>
      <c r="E173" s="23">
        <v>50617</v>
      </c>
      <c r="G173" s="42">
        <v>0</v>
      </c>
      <c r="I173" s="42">
        <v>0</v>
      </c>
      <c r="K173" s="42">
        <v>0</v>
      </c>
      <c r="M173" s="42">
        <v>0</v>
      </c>
      <c r="O173" s="42">
        <v>0</v>
      </c>
      <c r="Q173" s="42">
        <v>0</v>
      </c>
      <c r="S173" s="42">
        <v>0</v>
      </c>
      <c r="U173" s="42">
        <v>0</v>
      </c>
      <c r="W173" s="42">
        <v>0</v>
      </c>
      <c r="Y173" s="42">
        <v>0</v>
      </c>
      <c r="AA173" s="42">
        <v>0</v>
      </c>
      <c r="AC173" s="42">
        <v>0</v>
      </c>
      <c r="AE173" s="42">
        <v>0</v>
      </c>
      <c r="AG173" s="42">
        <v>0</v>
      </c>
      <c r="AI173" s="42">
        <v>0</v>
      </c>
      <c r="AK173" s="42">
        <v>0</v>
      </c>
      <c r="AL173" s="9" t="s">
        <v>656</v>
      </c>
      <c r="AM173" s="9"/>
      <c r="AN173" s="9" t="s">
        <v>548</v>
      </c>
      <c r="AP173" s="42">
        <v>0</v>
      </c>
      <c r="AR173" s="42">
        <v>0</v>
      </c>
      <c r="AT173" s="42">
        <v>0</v>
      </c>
      <c r="AV173" s="42">
        <v>0</v>
      </c>
      <c r="AX173" s="42">
        <v>0</v>
      </c>
      <c r="AZ173" s="42">
        <v>0</v>
      </c>
      <c r="BB173" s="5">
        <f t="shared" si="29"/>
        <v>0</v>
      </c>
      <c r="BD173" s="42">
        <v>0</v>
      </c>
      <c r="BF173" s="42">
        <v>0</v>
      </c>
      <c r="BH173" s="42">
        <v>0</v>
      </c>
      <c r="BJ173" s="42">
        <v>0</v>
      </c>
      <c r="BL173" s="5">
        <f t="shared" si="28"/>
        <v>0</v>
      </c>
      <c r="BN173" s="5">
        <f>'Gov Fd Rev'!AQ173-'Gov Fd Exp'!BL173</f>
        <v>0</v>
      </c>
      <c r="BP173" s="42">
        <v>0</v>
      </c>
      <c r="BR173" s="42">
        <v>0</v>
      </c>
      <c r="BT173" s="42">
        <v>0</v>
      </c>
      <c r="BV173" s="5">
        <f t="shared" si="27"/>
        <v>0</v>
      </c>
      <c r="BW173" s="5"/>
      <c r="BX173" s="5">
        <f>BV173-'Gov Fd BS'!AI173</f>
        <v>0</v>
      </c>
    </row>
    <row r="174" spans="1:76">
      <c r="A174" s="9" t="s">
        <v>657</v>
      </c>
      <c r="B174" s="9"/>
      <c r="C174" s="9" t="s">
        <v>220</v>
      </c>
      <c r="D174" s="9"/>
      <c r="E174" s="23">
        <v>46094</v>
      </c>
      <c r="G174" s="42">
        <v>14146458</v>
      </c>
      <c r="I174" s="42">
        <v>3732342</v>
      </c>
      <c r="K174" s="42">
        <v>0</v>
      </c>
      <c r="M174" s="42">
        <v>0</v>
      </c>
      <c r="O174" s="42">
        <v>74670</v>
      </c>
      <c r="Q174" s="42">
        <v>1823342</v>
      </c>
      <c r="S174" s="42">
        <v>3399046</v>
      </c>
      <c r="U174" s="42">
        <v>296181</v>
      </c>
      <c r="W174" s="42">
        <v>1300814</v>
      </c>
      <c r="Y174" s="42">
        <v>826003</v>
      </c>
      <c r="AA174" s="42">
        <v>30634</v>
      </c>
      <c r="AC174" s="42">
        <v>2702310</v>
      </c>
      <c r="AE174" s="42">
        <v>1505131</v>
      </c>
      <c r="AG174" s="42">
        <v>200956</v>
      </c>
      <c r="AI174" s="42">
        <v>1459723</v>
      </c>
      <c r="AK174" s="42">
        <v>20366</v>
      </c>
      <c r="AL174" s="9" t="s">
        <v>657</v>
      </c>
      <c r="AM174" s="9"/>
      <c r="AN174" s="9" t="s">
        <v>220</v>
      </c>
      <c r="AP174" s="42">
        <v>612399</v>
      </c>
      <c r="AR174" s="42">
        <v>4863677</v>
      </c>
      <c r="AT174" s="42">
        <v>0</v>
      </c>
      <c r="AV174" s="42">
        <v>1809890</v>
      </c>
      <c r="AX174" s="42">
        <v>2099543</v>
      </c>
      <c r="AZ174" s="42">
        <v>0</v>
      </c>
      <c r="BB174" s="5">
        <f t="shared" si="29"/>
        <v>40903485</v>
      </c>
      <c r="BD174" s="42">
        <v>2475825</v>
      </c>
      <c r="BF174" s="42">
        <v>0</v>
      </c>
      <c r="BH174" s="42">
        <v>0</v>
      </c>
      <c r="BJ174" s="42">
        <v>0</v>
      </c>
      <c r="BL174" s="5">
        <f t="shared" si="28"/>
        <v>43379310</v>
      </c>
      <c r="BN174" s="5">
        <f>'Gov Fd Rev'!AQ174-'Gov Fd Exp'!BL174</f>
        <v>105470</v>
      </c>
      <c r="BP174" s="42">
        <v>12913256</v>
      </c>
      <c r="BR174" s="42">
        <v>7359</v>
      </c>
      <c r="BT174" s="42">
        <v>0</v>
      </c>
      <c r="BV174" s="5">
        <f t="shared" si="27"/>
        <v>13026085</v>
      </c>
      <c r="BW174" s="5"/>
      <c r="BX174" s="5">
        <f>BV174-'Gov Fd BS'!AI174</f>
        <v>0</v>
      </c>
    </row>
    <row r="175" spans="1:76">
      <c r="A175" s="9" t="s">
        <v>360</v>
      </c>
      <c r="B175" s="9"/>
      <c r="C175" s="9" t="s">
        <v>24</v>
      </c>
      <c r="D175" s="9"/>
      <c r="E175" s="23">
        <v>46789</v>
      </c>
      <c r="G175" s="42">
        <v>6663482</v>
      </c>
      <c r="I175" s="42">
        <v>2353960</v>
      </c>
      <c r="K175" s="42">
        <v>75456</v>
      </c>
      <c r="M175" s="42">
        <v>0</v>
      </c>
      <c r="O175" s="42">
        <v>961936</v>
      </c>
      <c r="Q175" s="42">
        <v>448419</v>
      </c>
      <c r="S175" s="42">
        <v>714000</v>
      </c>
      <c r="U175" s="42">
        <v>108494</v>
      </c>
      <c r="W175" s="42">
        <v>1210085</v>
      </c>
      <c r="Y175" s="42">
        <v>257907</v>
      </c>
      <c r="AA175" s="42">
        <v>0</v>
      </c>
      <c r="AC175" s="42">
        <v>1091061</v>
      </c>
      <c r="AE175" s="42">
        <v>1004648</v>
      </c>
      <c r="AG175" s="42">
        <v>107845</v>
      </c>
      <c r="AI175" s="42">
        <v>658540</v>
      </c>
      <c r="AK175" s="42">
        <v>97691</v>
      </c>
      <c r="AL175" s="9" t="s">
        <v>360</v>
      </c>
      <c r="AM175" s="9"/>
      <c r="AN175" s="9" t="s">
        <v>24</v>
      </c>
      <c r="AP175" s="42">
        <v>767827</v>
      </c>
      <c r="AR175" s="42">
        <v>307147</v>
      </c>
      <c r="AT175" s="42">
        <v>0</v>
      </c>
      <c r="AV175" s="42">
        <v>30354</v>
      </c>
      <c r="AX175" s="42">
        <v>4144</v>
      </c>
      <c r="AZ175" s="42">
        <v>0</v>
      </c>
      <c r="BB175" s="5">
        <f t="shared" ref="BB175" si="30">SUM(G175:AZ175)</f>
        <v>16862996</v>
      </c>
      <c r="BD175" s="42">
        <v>0</v>
      </c>
      <c r="BF175" s="42">
        <v>0</v>
      </c>
      <c r="BH175" s="42">
        <v>0</v>
      </c>
      <c r="BJ175" s="42">
        <v>0</v>
      </c>
      <c r="BL175" s="5">
        <f>BB175+BD175+BJ175</f>
        <v>16862996</v>
      </c>
      <c r="BN175" s="5">
        <f>'Gov Fd Rev'!AQ175-'Gov Fd Exp'!BL175</f>
        <v>-990802</v>
      </c>
      <c r="BP175" s="42">
        <v>4924916</v>
      </c>
      <c r="BR175" s="42">
        <v>-4404</v>
      </c>
      <c r="BT175" s="42">
        <v>0</v>
      </c>
      <c r="BV175" s="5">
        <f t="shared" si="27"/>
        <v>3929710</v>
      </c>
      <c r="BW175" s="5"/>
      <c r="BX175" s="5">
        <f>BV175-'Gov Fd BS'!AI175</f>
        <v>0</v>
      </c>
    </row>
    <row r="176" spans="1:76">
      <c r="A176" s="9" t="s">
        <v>360</v>
      </c>
      <c r="B176" s="9"/>
      <c r="C176" s="9" t="s">
        <v>39</v>
      </c>
      <c r="D176" s="9"/>
      <c r="E176" s="23">
        <v>47795</v>
      </c>
      <c r="G176" s="42">
        <v>6696189</v>
      </c>
      <c r="I176" s="42">
        <v>1602244</v>
      </c>
      <c r="K176" s="42">
        <v>126125</v>
      </c>
      <c r="M176" s="42">
        <v>3500</v>
      </c>
      <c r="O176" s="42">
        <v>2837278</v>
      </c>
      <c r="Q176" s="42">
        <v>640132</v>
      </c>
      <c r="S176" s="42">
        <v>1100139</v>
      </c>
      <c r="U176" s="42">
        <v>153817</v>
      </c>
      <c r="W176" s="42">
        <v>1347771</v>
      </c>
      <c r="Y176" s="42">
        <v>546870</v>
      </c>
      <c r="AA176" s="42">
        <v>26594</v>
      </c>
      <c r="AC176" s="42">
        <v>1355331</v>
      </c>
      <c r="AE176" s="42">
        <v>1471121</v>
      </c>
      <c r="AG176" s="42">
        <v>226529</v>
      </c>
      <c r="AI176" s="42">
        <v>845168</v>
      </c>
      <c r="AK176" s="42">
        <v>63243</v>
      </c>
      <c r="AL176" s="9" t="s">
        <v>360</v>
      </c>
      <c r="AM176" s="9"/>
      <c r="AN176" s="9" t="s">
        <v>39</v>
      </c>
      <c r="AP176" s="42">
        <v>273059</v>
      </c>
      <c r="AR176" s="42">
        <v>0</v>
      </c>
      <c r="AT176" s="42">
        <v>0</v>
      </c>
      <c r="AV176" s="42">
        <v>44233</v>
      </c>
      <c r="AX176" s="42">
        <v>9923</v>
      </c>
      <c r="AZ176" s="42">
        <v>0</v>
      </c>
      <c r="BB176" s="5">
        <f t="shared" si="29"/>
        <v>19369266</v>
      </c>
      <c r="BD176" s="42">
        <v>0</v>
      </c>
      <c r="BF176" s="42">
        <v>0</v>
      </c>
      <c r="BH176" s="42">
        <v>0</v>
      </c>
      <c r="BJ176" s="42">
        <v>0</v>
      </c>
      <c r="BL176" s="5">
        <f>BB176+BD176+BJ176</f>
        <v>19369266</v>
      </c>
      <c r="BN176" s="5">
        <f>'Gov Fd Rev'!AQ176-'Gov Fd Exp'!BL176</f>
        <v>1450438</v>
      </c>
      <c r="BP176" s="42">
        <v>-564826</v>
      </c>
      <c r="BR176" s="42">
        <v>-1951</v>
      </c>
      <c r="BT176" s="42">
        <v>0</v>
      </c>
      <c r="BV176" s="5">
        <f>BN176+BP176+BR176+BT176</f>
        <v>883661</v>
      </c>
      <c r="BW176" s="5"/>
      <c r="BX176" s="5">
        <f>BV176-'Gov Fd BS'!AI176</f>
        <v>0</v>
      </c>
    </row>
    <row r="177" spans="1:76" hidden="1">
      <c r="A177" s="9" t="s">
        <v>859</v>
      </c>
      <c r="B177" s="9"/>
      <c r="C177" s="9" t="s">
        <v>548</v>
      </c>
      <c r="D177" s="9"/>
      <c r="E177" s="23">
        <v>50625</v>
      </c>
      <c r="G177" s="42">
        <v>0</v>
      </c>
      <c r="I177" s="42">
        <v>0</v>
      </c>
      <c r="K177" s="42">
        <v>0</v>
      </c>
      <c r="M177" s="42">
        <v>0</v>
      </c>
      <c r="O177" s="42">
        <v>0</v>
      </c>
      <c r="Q177" s="42">
        <v>0</v>
      </c>
      <c r="S177" s="42">
        <v>0</v>
      </c>
      <c r="U177" s="42">
        <v>0</v>
      </c>
      <c r="W177" s="42">
        <v>0</v>
      </c>
      <c r="Y177" s="42">
        <v>0</v>
      </c>
      <c r="AA177" s="42">
        <v>0</v>
      </c>
      <c r="AC177" s="42">
        <v>0</v>
      </c>
      <c r="AE177" s="42">
        <v>0</v>
      </c>
      <c r="AG177" s="42">
        <v>0</v>
      </c>
      <c r="AI177" s="42">
        <v>0</v>
      </c>
      <c r="AK177" s="42">
        <v>0</v>
      </c>
      <c r="AL177" s="9" t="s">
        <v>859</v>
      </c>
      <c r="AM177" s="9"/>
      <c r="AN177" s="9" t="s">
        <v>548</v>
      </c>
      <c r="AP177" s="42">
        <v>0</v>
      </c>
      <c r="AR177" s="42">
        <v>0</v>
      </c>
      <c r="AT177" s="42">
        <v>0</v>
      </c>
      <c r="AV177" s="42">
        <v>0</v>
      </c>
      <c r="AX177" s="42">
        <v>0</v>
      </c>
      <c r="AZ177" s="42">
        <v>0</v>
      </c>
      <c r="BB177" s="5">
        <f t="shared" si="29"/>
        <v>0</v>
      </c>
      <c r="BD177" s="42">
        <v>0</v>
      </c>
      <c r="BF177" s="42">
        <v>0</v>
      </c>
      <c r="BH177" s="42">
        <v>0</v>
      </c>
      <c r="BJ177" s="42">
        <v>0</v>
      </c>
      <c r="BL177" s="5">
        <f t="shared" si="28"/>
        <v>0</v>
      </c>
      <c r="BN177" s="5">
        <f>'Gov Fd Rev'!AQ177-'Gov Fd Exp'!BL177</f>
        <v>0</v>
      </c>
      <c r="BP177" s="42">
        <v>0</v>
      </c>
      <c r="BR177" s="42">
        <v>0</v>
      </c>
      <c r="BT177" s="42">
        <v>0</v>
      </c>
      <c r="BV177" s="5">
        <f t="shared" si="27"/>
        <v>0</v>
      </c>
      <c r="BW177" s="5"/>
      <c r="BX177" s="5">
        <f>BV177-'Gov Fd BS'!AI177</f>
        <v>0</v>
      </c>
    </row>
    <row r="178" spans="1:76">
      <c r="A178" s="9" t="s">
        <v>672</v>
      </c>
      <c r="B178" s="9"/>
      <c r="C178" s="9" t="s">
        <v>46</v>
      </c>
      <c r="D178" s="9"/>
      <c r="E178" s="23">
        <v>48413</v>
      </c>
      <c r="G178" s="42">
        <v>6552772</v>
      </c>
      <c r="I178" s="42">
        <v>1429494</v>
      </c>
      <c r="K178" s="42">
        <v>110175</v>
      </c>
      <c r="M178" s="42">
        <v>0</v>
      </c>
      <c r="O178" s="42">
        <v>0</v>
      </c>
      <c r="Q178" s="42">
        <v>628002</v>
      </c>
      <c r="S178" s="42">
        <v>282483</v>
      </c>
      <c r="U178" s="42">
        <v>29747</v>
      </c>
      <c r="W178" s="42">
        <v>1047928</v>
      </c>
      <c r="Y178" s="42">
        <v>457635</v>
      </c>
      <c r="AA178" s="42">
        <v>16309</v>
      </c>
      <c r="AC178" s="42">
        <v>784260</v>
      </c>
      <c r="AE178" s="42">
        <v>815229</v>
      </c>
      <c r="AG178" s="42">
        <v>121138</v>
      </c>
      <c r="AI178" s="42">
        <v>0</v>
      </c>
      <c r="AK178" s="42">
        <v>594747</v>
      </c>
      <c r="AL178" s="9" t="s">
        <v>672</v>
      </c>
      <c r="AM178" s="9"/>
      <c r="AN178" s="9" t="s">
        <v>46</v>
      </c>
      <c r="AP178" s="42">
        <v>433725</v>
      </c>
      <c r="AR178" s="42">
        <v>20104377</v>
      </c>
      <c r="AT178" s="42">
        <v>0</v>
      </c>
      <c r="AV178" s="42">
        <v>771198</v>
      </c>
      <c r="AX178" s="42">
        <v>822649</v>
      </c>
      <c r="AZ178" s="42">
        <v>0</v>
      </c>
      <c r="BB178" s="5">
        <f t="shared" si="29"/>
        <v>35001868</v>
      </c>
      <c r="BD178" s="42">
        <v>434302</v>
      </c>
      <c r="BF178" s="42">
        <v>0</v>
      </c>
      <c r="BH178" s="42">
        <v>0</v>
      </c>
      <c r="BJ178" s="42">
        <v>0</v>
      </c>
      <c r="BL178" s="5">
        <f t="shared" si="28"/>
        <v>35436170</v>
      </c>
      <c r="BN178" s="5">
        <f>'Gov Fd Rev'!AQ178-'Gov Fd Exp'!BL178</f>
        <v>-15936205</v>
      </c>
      <c r="BP178" s="42">
        <v>30468896</v>
      </c>
      <c r="BR178" s="42">
        <v>0</v>
      </c>
      <c r="BT178" s="42">
        <v>0</v>
      </c>
      <c r="BV178" s="5">
        <f t="shared" si="27"/>
        <v>14532691</v>
      </c>
      <c r="BW178" s="5"/>
      <c r="BX178" s="5">
        <f>BV178-'Gov Fd BS'!AI178</f>
        <v>0</v>
      </c>
    </row>
    <row r="179" spans="1:76" hidden="1">
      <c r="A179" s="9" t="s">
        <v>658</v>
      </c>
      <c r="B179" s="9"/>
      <c r="C179" s="9" t="s">
        <v>10</v>
      </c>
      <c r="D179" s="9"/>
      <c r="E179" s="23">
        <v>45773</v>
      </c>
      <c r="G179" s="42">
        <v>0</v>
      </c>
      <c r="I179" s="42">
        <v>0</v>
      </c>
      <c r="K179" s="42">
        <v>0</v>
      </c>
      <c r="M179" s="42">
        <v>0</v>
      </c>
      <c r="O179" s="42">
        <v>0</v>
      </c>
      <c r="Q179" s="42">
        <v>0</v>
      </c>
      <c r="S179" s="42">
        <v>0</v>
      </c>
      <c r="U179" s="42">
        <v>0</v>
      </c>
      <c r="W179" s="42">
        <v>0</v>
      </c>
      <c r="Y179" s="42">
        <v>0</v>
      </c>
      <c r="AA179" s="42">
        <v>0</v>
      </c>
      <c r="AC179" s="42">
        <v>0</v>
      </c>
      <c r="AE179" s="42">
        <v>0</v>
      </c>
      <c r="AG179" s="42">
        <v>0</v>
      </c>
      <c r="AI179" s="42">
        <v>0</v>
      </c>
      <c r="AK179" s="42">
        <v>0</v>
      </c>
      <c r="AL179" s="9" t="s">
        <v>658</v>
      </c>
      <c r="AM179" s="9"/>
      <c r="AN179" s="9" t="s">
        <v>10</v>
      </c>
      <c r="AP179" s="42">
        <v>0</v>
      </c>
      <c r="AR179" s="42">
        <v>0</v>
      </c>
      <c r="AT179" s="42">
        <v>0</v>
      </c>
      <c r="AV179" s="42">
        <v>0</v>
      </c>
      <c r="AX179" s="42">
        <v>0</v>
      </c>
      <c r="AZ179" s="42">
        <v>0</v>
      </c>
      <c r="BB179" s="5">
        <f t="shared" si="29"/>
        <v>0</v>
      </c>
      <c r="BD179" s="42">
        <v>0</v>
      </c>
      <c r="BF179" s="42">
        <v>0</v>
      </c>
      <c r="BH179" s="42">
        <v>0</v>
      </c>
      <c r="BJ179" s="42">
        <v>0</v>
      </c>
      <c r="BL179" s="5">
        <f t="shared" si="28"/>
        <v>0</v>
      </c>
      <c r="BN179" s="5">
        <f>'Gov Fd Rev'!AQ179-'Gov Fd Exp'!BL179</f>
        <v>0</v>
      </c>
      <c r="BP179" s="42">
        <v>0</v>
      </c>
      <c r="BR179" s="42">
        <v>0</v>
      </c>
      <c r="BT179" s="42">
        <v>0</v>
      </c>
      <c r="BV179" s="5">
        <f t="shared" si="27"/>
        <v>0</v>
      </c>
      <c r="BW179" s="5"/>
      <c r="BX179" s="5">
        <f>BV179-'Gov Fd BS'!AI179</f>
        <v>0</v>
      </c>
    </row>
    <row r="180" spans="1:76" hidden="1">
      <c r="A180" s="9" t="s">
        <v>687</v>
      </c>
      <c r="B180" s="9"/>
      <c r="C180" s="9" t="s">
        <v>72</v>
      </c>
      <c r="D180" s="9"/>
      <c r="E180" s="23">
        <v>50682</v>
      </c>
      <c r="G180" s="42">
        <v>0</v>
      </c>
      <c r="I180" s="42">
        <v>0</v>
      </c>
      <c r="K180" s="42">
        <v>0</v>
      </c>
      <c r="M180" s="42">
        <v>0</v>
      </c>
      <c r="O180" s="42">
        <v>0</v>
      </c>
      <c r="Q180" s="42">
        <v>0</v>
      </c>
      <c r="S180" s="42">
        <v>0</v>
      </c>
      <c r="U180" s="42">
        <v>0</v>
      </c>
      <c r="W180" s="42">
        <v>0</v>
      </c>
      <c r="Y180" s="42">
        <v>0</v>
      </c>
      <c r="AA180" s="42">
        <v>0</v>
      </c>
      <c r="AC180" s="42">
        <v>0</v>
      </c>
      <c r="AE180" s="42">
        <v>0</v>
      </c>
      <c r="AG180" s="42">
        <v>0</v>
      </c>
      <c r="AI180" s="42">
        <v>0</v>
      </c>
      <c r="AK180" s="42">
        <v>0</v>
      </c>
      <c r="AL180" s="9" t="s">
        <v>687</v>
      </c>
      <c r="AM180" s="9"/>
      <c r="AN180" s="9" t="s">
        <v>72</v>
      </c>
      <c r="AP180" s="42">
        <v>0</v>
      </c>
      <c r="AR180" s="42">
        <v>0</v>
      </c>
      <c r="AT180" s="42">
        <v>0</v>
      </c>
      <c r="AV180" s="42">
        <v>0</v>
      </c>
      <c r="AX180" s="42">
        <v>0</v>
      </c>
      <c r="AZ180" s="42">
        <v>0</v>
      </c>
      <c r="BB180" s="5">
        <f t="shared" ref="BB180" si="31">SUM(G180:AZ180)</f>
        <v>0</v>
      </c>
      <c r="BD180" s="42">
        <v>0</v>
      </c>
      <c r="BF180" s="42">
        <v>0</v>
      </c>
      <c r="BH180" s="42">
        <v>0</v>
      </c>
      <c r="BJ180" s="42">
        <v>0</v>
      </c>
      <c r="BL180" s="5">
        <f t="shared" ref="BL180" si="32">BB180+BD180+BJ180</f>
        <v>0</v>
      </c>
      <c r="BN180" s="5">
        <f>'Gov Fd Rev'!AQ180-'Gov Fd Exp'!BL180</f>
        <v>0</v>
      </c>
      <c r="BP180" s="42">
        <v>0</v>
      </c>
      <c r="BR180" s="42">
        <v>0</v>
      </c>
      <c r="BT180" s="42">
        <v>0</v>
      </c>
      <c r="BV180" s="5">
        <f t="shared" ref="BV180" si="33">BN180+BP180+BR180+BT180</f>
        <v>0</v>
      </c>
      <c r="BW180" s="5"/>
      <c r="BX180" s="5">
        <f>BV180-'Gov Fd BS'!AI180</f>
        <v>0</v>
      </c>
    </row>
    <row r="181" spans="1:76">
      <c r="A181" s="9" t="s">
        <v>381</v>
      </c>
      <c r="B181" s="9"/>
      <c r="C181" s="9" t="s">
        <v>44</v>
      </c>
      <c r="D181" s="9"/>
      <c r="E181" s="23">
        <v>43943</v>
      </c>
      <c r="G181" s="42">
        <v>29316237</v>
      </c>
      <c r="I181" s="42">
        <v>10191730</v>
      </c>
      <c r="K181" s="42">
        <v>212032</v>
      </c>
      <c r="M181" s="42">
        <v>0</v>
      </c>
      <c r="O181" s="42">
        <f>306469+10694827</f>
        <v>11001296</v>
      </c>
      <c r="Q181" s="42">
        <v>4122265</v>
      </c>
      <c r="S181" s="42">
        <v>3944319</v>
      </c>
      <c r="U181" s="42">
        <v>49142</v>
      </c>
      <c r="W181" s="42">
        <v>4661567</v>
      </c>
      <c r="Y181" s="42">
        <v>1553011</v>
      </c>
      <c r="AA181" s="42">
        <v>658010</v>
      </c>
      <c r="AC181" s="42">
        <v>6071696</v>
      </c>
      <c r="AE181" s="42">
        <v>3503997</v>
      </c>
      <c r="AG181" s="42">
        <v>1507988</v>
      </c>
      <c r="AI181" s="42">
        <v>0</v>
      </c>
      <c r="AK181" s="42">
        <v>1807453</v>
      </c>
      <c r="AL181" s="9" t="s">
        <v>381</v>
      </c>
      <c r="AM181" s="9"/>
      <c r="AN181" s="9" t="s">
        <v>44</v>
      </c>
      <c r="AP181" s="42">
        <v>1305291</v>
      </c>
      <c r="AR181" s="42">
        <v>706770</v>
      </c>
      <c r="AT181" s="42">
        <v>0</v>
      </c>
      <c r="AV181" s="42">
        <v>1215153</v>
      </c>
      <c r="AX181" s="42">
        <v>2182272</v>
      </c>
      <c r="AZ181" s="42">
        <v>0</v>
      </c>
      <c r="BB181" s="5">
        <f t="shared" si="29"/>
        <v>84010229</v>
      </c>
      <c r="BD181" s="42">
        <v>1145619</v>
      </c>
      <c r="BF181" s="42">
        <v>0</v>
      </c>
      <c r="BH181" s="42">
        <v>0</v>
      </c>
      <c r="BJ181" s="42">
        <v>0</v>
      </c>
      <c r="BL181" s="5">
        <f t="shared" si="28"/>
        <v>85155848</v>
      </c>
      <c r="BN181" s="5">
        <f>'Gov Fd Rev'!AQ181-'Gov Fd Exp'!BL181</f>
        <v>-1258838</v>
      </c>
      <c r="BP181" s="42">
        <v>6892838</v>
      </c>
      <c r="BR181" s="42">
        <v>0</v>
      </c>
      <c r="BT181" s="42">
        <v>0</v>
      </c>
      <c r="BV181" s="5">
        <f t="shared" si="27"/>
        <v>5634000</v>
      </c>
      <c r="BW181" s="5"/>
      <c r="BX181" s="5">
        <f>BV181-'Gov Fd BS'!AI181</f>
        <v>0</v>
      </c>
    </row>
    <row r="182" spans="1:76">
      <c r="A182" s="9" t="s">
        <v>265</v>
      </c>
      <c r="B182" s="9"/>
      <c r="C182" s="9" t="s">
        <v>20</v>
      </c>
      <c r="D182" s="9"/>
      <c r="E182" s="23">
        <v>43950</v>
      </c>
      <c r="G182" s="42">
        <v>25608051</v>
      </c>
      <c r="I182" s="42">
        <v>16450165</v>
      </c>
      <c r="K182" s="42">
        <v>1218513</v>
      </c>
      <c r="M182" s="42">
        <v>127089</v>
      </c>
      <c r="O182" s="42">
        <v>30310</v>
      </c>
      <c r="Q182" s="42">
        <v>4563083</v>
      </c>
      <c r="S182" s="42">
        <v>5457395</v>
      </c>
      <c r="U182" s="42">
        <v>100594</v>
      </c>
      <c r="W182" s="42">
        <v>4947608</v>
      </c>
      <c r="Y182" s="42">
        <v>2009442</v>
      </c>
      <c r="AA182" s="42">
        <v>597727</v>
      </c>
      <c r="AC182" s="42">
        <v>7049166</v>
      </c>
      <c r="AE182" s="42">
        <v>4389554</v>
      </c>
      <c r="AG182" s="42">
        <v>1634949</v>
      </c>
      <c r="AI182" s="42">
        <v>0</v>
      </c>
      <c r="AK182" s="42">
        <v>890386</v>
      </c>
      <c r="AL182" s="9" t="s">
        <v>265</v>
      </c>
      <c r="AM182" s="9"/>
      <c r="AN182" s="9" t="s">
        <v>20</v>
      </c>
      <c r="AP182" s="42">
        <v>1039052</v>
      </c>
      <c r="AR182" s="42">
        <v>10660001</v>
      </c>
      <c r="AT182" s="42">
        <v>0</v>
      </c>
      <c r="AV182" s="42">
        <v>2425900</v>
      </c>
      <c r="AX182" s="42">
        <v>2015581</v>
      </c>
      <c r="AZ182" s="42">
        <v>0</v>
      </c>
      <c r="BB182" s="5">
        <f t="shared" si="29"/>
        <v>91214566</v>
      </c>
      <c r="BD182" s="42">
        <v>1348749</v>
      </c>
      <c r="BF182" s="42">
        <v>0</v>
      </c>
      <c r="BH182" s="42">
        <v>0</v>
      </c>
      <c r="BJ182" s="42">
        <v>0</v>
      </c>
      <c r="BL182" s="5">
        <f t="shared" si="28"/>
        <v>92563315</v>
      </c>
      <c r="BN182" s="5">
        <f>'Gov Fd Rev'!AQ182-'Gov Fd Exp'!BL182</f>
        <v>-12419964</v>
      </c>
      <c r="BP182" s="42">
        <v>20326809</v>
      </c>
      <c r="BR182" s="42">
        <v>0</v>
      </c>
      <c r="BT182" s="42">
        <v>0</v>
      </c>
      <c r="BV182" s="5">
        <f t="shared" si="27"/>
        <v>7906845</v>
      </c>
      <c r="BW182" s="5"/>
      <c r="BX182" s="5">
        <f>BV182-'Gov Fd BS'!AI182</f>
        <v>0</v>
      </c>
    </row>
    <row r="183" spans="1:76" hidden="1">
      <c r="A183" s="9" t="s">
        <v>614</v>
      </c>
      <c r="B183" s="9"/>
      <c r="C183" s="9" t="s">
        <v>28</v>
      </c>
      <c r="D183" s="9"/>
      <c r="E183" s="23">
        <v>47050</v>
      </c>
      <c r="G183" s="42">
        <v>0</v>
      </c>
      <c r="I183" s="42">
        <v>0</v>
      </c>
      <c r="K183" s="42">
        <v>0</v>
      </c>
      <c r="M183" s="42">
        <v>0</v>
      </c>
      <c r="O183" s="42">
        <v>0</v>
      </c>
      <c r="Q183" s="42">
        <v>0</v>
      </c>
      <c r="S183" s="42">
        <v>0</v>
      </c>
      <c r="U183" s="42">
        <v>0</v>
      </c>
      <c r="W183" s="42">
        <v>0</v>
      </c>
      <c r="Y183" s="42">
        <v>0</v>
      </c>
      <c r="AA183" s="42">
        <v>0</v>
      </c>
      <c r="AC183" s="42">
        <v>0</v>
      </c>
      <c r="AE183" s="42">
        <v>0</v>
      </c>
      <c r="AG183" s="42">
        <v>0</v>
      </c>
      <c r="AI183" s="42">
        <v>0</v>
      </c>
      <c r="AK183" s="42">
        <v>0</v>
      </c>
      <c r="AL183" s="9" t="s">
        <v>614</v>
      </c>
      <c r="AM183" s="9"/>
      <c r="AN183" s="9" t="s">
        <v>28</v>
      </c>
      <c r="AP183" s="42">
        <v>0</v>
      </c>
      <c r="AR183" s="42">
        <v>0</v>
      </c>
      <c r="AT183" s="42">
        <v>0</v>
      </c>
      <c r="AV183" s="42">
        <v>0</v>
      </c>
      <c r="AX183" s="42">
        <v>0</v>
      </c>
      <c r="AZ183" s="42">
        <v>0</v>
      </c>
      <c r="BB183" s="5">
        <f t="shared" si="29"/>
        <v>0</v>
      </c>
      <c r="BD183" s="42">
        <v>0</v>
      </c>
      <c r="BF183" s="42">
        <v>0</v>
      </c>
      <c r="BH183" s="42">
        <v>0</v>
      </c>
      <c r="BJ183" s="42">
        <v>0</v>
      </c>
      <c r="BL183" s="5">
        <f t="shared" si="28"/>
        <v>0</v>
      </c>
      <c r="BN183" s="5">
        <f>'Gov Fd Rev'!AQ183-'Gov Fd Exp'!BL183</f>
        <v>0</v>
      </c>
      <c r="BP183" s="42">
        <v>0</v>
      </c>
      <c r="BR183" s="42">
        <v>0</v>
      </c>
      <c r="BT183" s="42">
        <v>0</v>
      </c>
      <c r="BV183" s="5">
        <f t="shared" si="27"/>
        <v>0</v>
      </c>
      <c r="BW183" s="5"/>
      <c r="BX183" s="5">
        <f>BV183-'Gov Fd BS'!AI183</f>
        <v>0</v>
      </c>
    </row>
    <row r="184" spans="1:76">
      <c r="A184" s="9" t="s">
        <v>535</v>
      </c>
      <c r="B184" s="9"/>
      <c r="C184" s="9" t="s">
        <v>66</v>
      </c>
      <c r="D184" s="9"/>
      <c r="E184" s="23">
        <v>50328</v>
      </c>
      <c r="G184" s="42">
        <v>4468414</v>
      </c>
      <c r="I184" s="42">
        <v>903233</v>
      </c>
      <c r="K184" s="42">
        <v>16389</v>
      </c>
      <c r="M184" s="42">
        <v>0</v>
      </c>
      <c r="O184" s="42">
        <v>80514</v>
      </c>
      <c r="Q184" s="42">
        <v>697107</v>
      </c>
      <c r="S184" s="42">
        <v>507746</v>
      </c>
      <c r="U184" s="42">
        <v>47317</v>
      </c>
      <c r="W184" s="42">
        <v>726301</v>
      </c>
      <c r="Y184" s="42">
        <v>417110</v>
      </c>
      <c r="AA184" s="42">
        <v>0</v>
      </c>
      <c r="AC184" s="42">
        <v>1393965</v>
      </c>
      <c r="AE184" s="42">
        <v>703584</v>
      </c>
      <c r="AG184" s="42">
        <v>5400</v>
      </c>
      <c r="AI184" s="42">
        <v>355784</v>
      </c>
      <c r="AK184" s="42">
        <v>135742</v>
      </c>
      <c r="AL184" s="9" t="s">
        <v>535</v>
      </c>
      <c r="AM184" s="9"/>
      <c r="AN184" s="9" t="s">
        <v>66</v>
      </c>
      <c r="AP184" s="42">
        <v>314030</v>
      </c>
      <c r="AR184" s="42">
        <v>12877</v>
      </c>
      <c r="AT184" s="42">
        <v>0</v>
      </c>
      <c r="AV184" s="42">
        <v>397000</v>
      </c>
      <c r="AX184" s="42">
        <v>346450</v>
      </c>
      <c r="AZ184" s="42">
        <v>132940</v>
      </c>
      <c r="BB184" s="5">
        <f t="shared" si="29"/>
        <v>11661903</v>
      </c>
      <c r="BD184" s="42">
        <v>39789</v>
      </c>
      <c r="BF184" s="42">
        <v>0</v>
      </c>
      <c r="BH184" s="42">
        <v>0</v>
      </c>
      <c r="BJ184" s="42">
        <v>9866740</v>
      </c>
      <c r="BL184" s="5">
        <f t="shared" si="28"/>
        <v>21568432</v>
      </c>
      <c r="BN184" s="5">
        <f>'Gov Fd Rev'!AQ184-'Gov Fd Exp'!BL184</f>
        <v>1124596</v>
      </c>
      <c r="BP184" s="42">
        <v>3821908</v>
      </c>
      <c r="BR184" s="42">
        <v>0</v>
      </c>
      <c r="BT184" s="42">
        <v>0</v>
      </c>
      <c r="BV184" s="5">
        <f t="shared" si="27"/>
        <v>4946504</v>
      </c>
      <c r="BW184" s="5"/>
      <c r="BX184" s="5">
        <f>BV184-'Gov Fd BS'!AI184</f>
        <v>0</v>
      </c>
    </row>
    <row r="185" spans="1:76">
      <c r="A185" s="9" t="s">
        <v>621</v>
      </c>
      <c r="B185" s="9"/>
      <c r="C185" s="9" t="s">
        <v>113</v>
      </c>
      <c r="D185" s="9"/>
      <c r="E185" s="23">
        <v>43968</v>
      </c>
      <c r="G185" s="42">
        <v>17321992</v>
      </c>
      <c r="I185" s="42">
        <v>7343730</v>
      </c>
      <c r="K185" s="42">
        <v>0</v>
      </c>
      <c r="M185" s="42">
        <v>0</v>
      </c>
      <c r="O185" s="42">
        <v>3260994</v>
      </c>
      <c r="Q185" s="42">
        <v>2591899</v>
      </c>
      <c r="S185" s="42">
        <v>2118418</v>
      </c>
      <c r="U185" s="42">
        <v>0</v>
      </c>
      <c r="W185" s="42">
        <f>48278+3007761</f>
        <v>3056039</v>
      </c>
      <c r="Y185" s="42">
        <v>759968</v>
      </c>
      <c r="AA185" s="42">
        <v>260435</v>
      </c>
      <c r="AC185" s="42">
        <v>3575773</v>
      </c>
      <c r="AE185" s="42">
        <v>2875254</v>
      </c>
      <c r="AG185" s="42">
        <v>380980</v>
      </c>
      <c r="AI185" s="42">
        <v>0</v>
      </c>
      <c r="AK185" s="42">
        <v>1943853</v>
      </c>
      <c r="AL185" s="9" t="s">
        <v>621</v>
      </c>
      <c r="AM185" s="9"/>
      <c r="AN185" s="9" t="s">
        <v>113</v>
      </c>
      <c r="AP185" s="42">
        <v>716804</v>
      </c>
      <c r="AR185" s="42">
        <v>0</v>
      </c>
      <c r="AT185" s="42">
        <v>0</v>
      </c>
      <c r="AV185" s="42">
        <v>965000</v>
      </c>
      <c r="AX185" s="42">
        <v>664831</v>
      </c>
      <c r="AZ185" s="42">
        <v>0</v>
      </c>
      <c r="BB185" s="5">
        <f t="shared" si="29"/>
        <v>47835970</v>
      </c>
      <c r="BD185" s="42">
        <v>0</v>
      </c>
      <c r="BF185" s="42">
        <v>0</v>
      </c>
      <c r="BH185" s="42">
        <v>0</v>
      </c>
      <c r="BJ185" s="42">
        <v>0</v>
      </c>
      <c r="BL185" s="5">
        <f t="shared" si="28"/>
        <v>47835970</v>
      </c>
      <c r="BN185" s="5">
        <f>'Gov Fd Rev'!AQ185-'Gov Fd Exp'!BL185</f>
        <v>-168027</v>
      </c>
      <c r="BP185" s="42">
        <v>6680263</v>
      </c>
      <c r="BR185" s="42">
        <v>0</v>
      </c>
      <c r="BT185" s="42">
        <v>0</v>
      </c>
      <c r="BV185" s="5">
        <f t="shared" si="27"/>
        <v>6512236</v>
      </c>
      <c r="BW185" s="5"/>
      <c r="BX185" s="5">
        <f>BV185-'Gov Fd BS'!AI185</f>
        <v>0</v>
      </c>
    </row>
    <row r="186" spans="1:76">
      <c r="A186" s="9" t="s">
        <v>221</v>
      </c>
      <c r="B186" s="9"/>
      <c r="C186" s="9" t="s">
        <v>220</v>
      </c>
      <c r="D186" s="9"/>
      <c r="E186" s="23">
        <v>46102</v>
      </c>
      <c r="G186" s="42">
        <v>32596384</v>
      </c>
      <c r="I186" s="42">
        <v>10554169</v>
      </c>
      <c r="K186" s="42">
        <v>0</v>
      </c>
      <c r="M186" s="42">
        <v>0</v>
      </c>
      <c r="O186" s="42">
        <v>3010092</v>
      </c>
      <c r="Q186" s="42">
        <v>3938563</v>
      </c>
      <c r="S186" s="42">
        <v>5722637</v>
      </c>
      <c r="U186" s="42">
        <v>0</v>
      </c>
      <c r="W186" s="42">
        <f>8649+6397096</f>
        <v>6405745</v>
      </c>
      <c r="Y186" s="42">
        <v>1332332</v>
      </c>
      <c r="AA186" s="42">
        <v>262218</v>
      </c>
      <c r="AC186" s="42">
        <v>5713801</v>
      </c>
      <c r="AE186" s="42">
        <v>5643285</v>
      </c>
      <c r="AG186" s="42">
        <v>113051</v>
      </c>
      <c r="AI186" s="42">
        <v>0</v>
      </c>
      <c r="AK186" s="42">
        <v>4827708</v>
      </c>
      <c r="AL186" s="9" t="s">
        <v>221</v>
      </c>
      <c r="AM186" s="9"/>
      <c r="AN186" s="9" t="s">
        <v>220</v>
      </c>
      <c r="AP186" s="42">
        <v>1559800</v>
      </c>
      <c r="AR186" s="42">
        <v>649550</v>
      </c>
      <c r="AT186" s="42">
        <v>0</v>
      </c>
      <c r="AV186" s="42">
        <v>1243433</v>
      </c>
      <c r="AX186" s="42">
        <v>2773337</v>
      </c>
      <c r="AZ186" s="42">
        <v>0</v>
      </c>
      <c r="BB186" s="5">
        <f t="shared" si="29"/>
        <v>86346105</v>
      </c>
      <c r="BD186" s="42">
        <v>92899</v>
      </c>
      <c r="BF186" s="42">
        <v>0</v>
      </c>
      <c r="BH186" s="42">
        <v>0</v>
      </c>
      <c r="BJ186" s="42">
        <v>0</v>
      </c>
      <c r="BL186" s="5">
        <f t="shared" si="28"/>
        <v>86439004</v>
      </c>
      <c r="BN186" s="5">
        <f>'Gov Fd Rev'!AQ186-'Gov Fd Exp'!BL186</f>
        <v>10315507</v>
      </c>
      <c r="BP186" s="42">
        <v>10048940</v>
      </c>
      <c r="BR186" s="42">
        <v>0</v>
      </c>
      <c r="BT186" s="42">
        <v>0</v>
      </c>
      <c r="BV186" s="5">
        <f t="shared" si="27"/>
        <v>20364447</v>
      </c>
      <c r="BW186" s="5"/>
      <c r="BX186" s="5">
        <f>BV186-'Gov Fd BS'!AI186</f>
        <v>0</v>
      </c>
    </row>
    <row r="187" spans="1:76">
      <c r="A187" s="9" t="s">
        <v>347</v>
      </c>
      <c r="B187" s="9"/>
      <c r="C187" s="9" t="s">
        <v>346</v>
      </c>
      <c r="D187" s="9"/>
      <c r="E187" s="23">
        <v>47621</v>
      </c>
      <c r="G187" s="42">
        <v>3858062</v>
      </c>
      <c r="I187" s="42">
        <v>593666</v>
      </c>
      <c r="K187" s="42">
        <v>153395</v>
      </c>
      <c r="M187" s="42">
        <v>0</v>
      </c>
      <c r="O187" s="42">
        <v>4840</v>
      </c>
      <c r="Q187" s="42">
        <v>274887</v>
      </c>
      <c r="S187" s="42">
        <v>617439</v>
      </c>
      <c r="U187" s="42">
        <v>50736</v>
      </c>
      <c r="W187" s="42">
        <v>618585</v>
      </c>
      <c r="Y187" s="42">
        <v>345261</v>
      </c>
      <c r="AA187" s="42">
        <v>183396</v>
      </c>
      <c r="AC187" s="42">
        <v>634468</v>
      </c>
      <c r="AE187" s="42">
        <v>527927</v>
      </c>
      <c r="AG187" s="42">
        <v>100365</v>
      </c>
      <c r="AI187" s="42">
        <v>338177</v>
      </c>
      <c r="AK187" s="42">
        <v>3658</v>
      </c>
      <c r="AL187" s="9" t="s">
        <v>347</v>
      </c>
      <c r="AM187" s="9"/>
      <c r="AN187" s="9" t="s">
        <v>346</v>
      </c>
      <c r="AP187" s="42">
        <v>162676</v>
      </c>
      <c r="AR187" s="42">
        <v>0</v>
      </c>
      <c r="AT187" s="42">
        <v>0</v>
      </c>
      <c r="AV187" s="42">
        <v>130000</v>
      </c>
      <c r="AX187" s="42">
        <v>52038</v>
      </c>
      <c r="AZ187" s="42">
        <v>0</v>
      </c>
      <c r="BB187" s="5">
        <f t="shared" si="29"/>
        <v>8649576</v>
      </c>
      <c r="BD187" s="42">
        <v>0</v>
      </c>
      <c r="BF187" s="42">
        <v>0</v>
      </c>
      <c r="BH187" s="42">
        <v>0</v>
      </c>
      <c r="BJ187" s="42">
        <v>0</v>
      </c>
      <c r="BL187" s="5">
        <f t="shared" si="28"/>
        <v>8649576</v>
      </c>
      <c r="BN187" s="5">
        <f>'Gov Fd Rev'!AQ187-'Gov Fd Exp'!BL187</f>
        <v>81798</v>
      </c>
      <c r="BP187" s="42">
        <v>2454813</v>
      </c>
      <c r="BR187" s="42">
        <v>0</v>
      </c>
      <c r="BT187" s="42">
        <v>0</v>
      </c>
      <c r="BV187" s="5">
        <f t="shared" si="27"/>
        <v>2536611</v>
      </c>
      <c r="BW187" s="5"/>
      <c r="BX187" s="5">
        <f>BV187-'Gov Fd BS'!AI187</f>
        <v>0</v>
      </c>
    </row>
    <row r="188" spans="1:76">
      <c r="A188" s="9" t="s">
        <v>292</v>
      </c>
      <c r="B188" s="9"/>
      <c r="C188" s="9" t="s">
        <v>25</v>
      </c>
      <c r="D188" s="9"/>
      <c r="E188" s="23">
        <v>46870</v>
      </c>
      <c r="G188" s="42">
        <v>8174111</v>
      </c>
      <c r="I188" s="42">
        <v>2378872</v>
      </c>
      <c r="K188" s="42">
        <v>425399</v>
      </c>
      <c r="M188" s="42">
        <v>0</v>
      </c>
      <c r="O188" s="42">
        <v>252043</v>
      </c>
      <c r="Q188" s="42">
        <v>951006</v>
      </c>
      <c r="S188" s="42">
        <v>780593</v>
      </c>
      <c r="U188" s="42">
        <v>36950</v>
      </c>
      <c r="W188" s="42">
        <v>1382167</v>
      </c>
      <c r="Y188" s="42">
        <v>579010</v>
      </c>
      <c r="AA188" s="42">
        <v>0</v>
      </c>
      <c r="AC188" s="42">
        <v>1712880</v>
      </c>
      <c r="AE188" s="42">
        <v>1726927</v>
      </c>
      <c r="AG188" s="42">
        <v>135121</v>
      </c>
      <c r="AI188" s="42">
        <v>958873</v>
      </c>
      <c r="AK188" s="42">
        <v>2221</v>
      </c>
      <c r="AL188" s="9" t="s">
        <v>292</v>
      </c>
      <c r="AM188" s="9"/>
      <c r="AN188" s="9" t="s">
        <v>25</v>
      </c>
      <c r="AP188" s="42">
        <v>672445</v>
      </c>
      <c r="AR188" s="42">
        <v>1478586</v>
      </c>
      <c r="AT188" s="42">
        <v>0</v>
      </c>
      <c r="AV188" s="42">
        <v>738559</v>
      </c>
      <c r="AX188" s="42">
        <v>855083</v>
      </c>
      <c r="AZ188" s="42">
        <v>138861</v>
      </c>
      <c r="BB188" s="5">
        <f t="shared" si="29"/>
        <v>23379707</v>
      </c>
      <c r="BD188" s="42">
        <v>2642584</v>
      </c>
      <c r="BF188" s="42">
        <v>0</v>
      </c>
      <c r="BH188" s="42">
        <v>0</v>
      </c>
      <c r="BJ188" s="42">
        <v>8640195</v>
      </c>
      <c r="BL188" s="5">
        <f t="shared" si="28"/>
        <v>34662486</v>
      </c>
      <c r="BN188" s="5">
        <f>'Gov Fd Rev'!AQ188-'Gov Fd Exp'!BL188</f>
        <v>-170397</v>
      </c>
      <c r="BP188" s="42">
        <v>18074285</v>
      </c>
      <c r="BR188" s="42">
        <v>0</v>
      </c>
      <c r="BT188" s="42">
        <v>0</v>
      </c>
      <c r="BV188" s="5">
        <f t="shared" si="27"/>
        <v>17903888</v>
      </c>
      <c r="BW188" s="5"/>
      <c r="BX188" s="5">
        <f>BV188-'Gov Fd BS'!AI188</f>
        <v>0</v>
      </c>
    </row>
    <row r="189" spans="1:76" s="24" customFormat="1">
      <c r="A189" s="51" t="s">
        <v>366</v>
      </c>
      <c r="B189" s="51"/>
      <c r="C189" s="51" t="s">
        <v>364</v>
      </c>
      <c r="D189" s="51"/>
      <c r="E189" s="23">
        <v>47936</v>
      </c>
      <c r="G189" s="42">
        <v>6940791</v>
      </c>
      <c r="H189" s="42"/>
      <c r="I189" s="42">
        <v>2223352</v>
      </c>
      <c r="J189" s="42"/>
      <c r="K189" s="42">
        <v>87496</v>
      </c>
      <c r="L189" s="42"/>
      <c r="M189" s="42">
        <v>0</v>
      </c>
      <c r="N189" s="42"/>
      <c r="O189" s="42">
        <f>10192+121887</f>
        <v>132079</v>
      </c>
      <c r="P189" s="42"/>
      <c r="Q189" s="42">
        <v>523392</v>
      </c>
      <c r="R189" s="42"/>
      <c r="S189" s="42">
        <v>796985</v>
      </c>
      <c r="T189" s="42"/>
      <c r="U189" s="42">
        <v>102631</v>
      </c>
      <c r="V189" s="42"/>
      <c r="W189" s="42">
        <v>1245403</v>
      </c>
      <c r="X189" s="42"/>
      <c r="Y189" s="42">
        <v>408160</v>
      </c>
      <c r="Z189" s="42"/>
      <c r="AA189" s="42">
        <v>45314</v>
      </c>
      <c r="AB189" s="42"/>
      <c r="AC189" s="42">
        <v>2464821</v>
      </c>
      <c r="AD189" s="42"/>
      <c r="AE189" s="42">
        <v>829414</v>
      </c>
      <c r="AF189" s="42"/>
      <c r="AG189" s="42">
        <v>8683</v>
      </c>
      <c r="AH189" s="42"/>
      <c r="AI189" s="42">
        <v>0</v>
      </c>
      <c r="AJ189" s="42"/>
      <c r="AK189" s="42">
        <v>610937</v>
      </c>
      <c r="AL189" s="51" t="s">
        <v>366</v>
      </c>
      <c r="AM189" s="51"/>
      <c r="AN189" s="51" t="s">
        <v>364</v>
      </c>
      <c r="AP189" s="42">
        <v>288454</v>
      </c>
      <c r="AQ189" s="42"/>
      <c r="AR189" s="42">
        <v>765209</v>
      </c>
      <c r="AS189" s="42"/>
      <c r="AT189" s="42">
        <v>0</v>
      </c>
      <c r="AU189" s="42"/>
      <c r="AV189" s="42">
        <v>215000</v>
      </c>
      <c r="AW189" s="42"/>
      <c r="AX189" s="42">
        <v>65404</v>
      </c>
      <c r="AY189" s="42"/>
      <c r="AZ189" s="42">
        <v>0</v>
      </c>
      <c r="BA189" s="42"/>
      <c r="BB189" s="5">
        <f t="shared" si="29"/>
        <v>17753525</v>
      </c>
      <c r="BC189" s="42"/>
      <c r="BD189" s="42">
        <v>24620</v>
      </c>
      <c r="BE189" s="42"/>
      <c r="BF189" s="42">
        <v>0</v>
      </c>
      <c r="BG189" s="42"/>
      <c r="BH189" s="42">
        <v>0</v>
      </c>
      <c r="BI189" s="42"/>
      <c r="BJ189" s="42">
        <v>0</v>
      </c>
      <c r="BK189" s="42"/>
      <c r="BL189" s="5">
        <f t="shared" si="28"/>
        <v>17778145</v>
      </c>
      <c r="BM189" s="42"/>
      <c r="BN189" s="5">
        <f>'Gov Fd Rev'!AQ189-'Gov Fd Exp'!BL189</f>
        <v>-1382430</v>
      </c>
      <c r="BO189" s="42"/>
      <c r="BP189" s="42">
        <v>6155233</v>
      </c>
      <c r="BQ189" s="42"/>
      <c r="BR189" s="42">
        <v>0</v>
      </c>
      <c r="BS189" s="42"/>
      <c r="BT189" s="42">
        <v>0</v>
      </c>
      <c r="BU189" s="42"/>
      <c r="BV189" s="5">
        <f t="shared" si="27"/>
        <v>4772803</v>
      </c>
      <c r="BW189" s="5"/>
      <c r="BX189" s="5">
        <f>BV189-'Gov Fd BS'!AI189</f>
        <v>0</v>
      </c>
    </row>
    <row r="190" spans="1:76" ht="12" hidden="1" customHeight="1">
      <c r="A190" s="9" t="s">
        <v>615</v>
      </c>
      <c r="B190" s="9"/>
      <c r="C190" s="9" t="s">
        <v>61</v>
      </c>
      <c r="D190" s="9"/>
      <c r="E190" s="23">
        <v>49775</v>
      </c>
      <c r="G190" s="42">
        <v>0</v>
      </c>
      <c r="I190" s="42">
        <v>0</v>
      </c>
      <c r="K190" s="42">
        <v>0</v>
      </c>
      <c r="M190" s="42">
        <v>0</v>
      </c>
      <c r="O190" s="42">
        <v>0</v>
      </c>
      <c r="Q190" s="42">
        <v>0</v>
      </c>
      <c r="S190" s="42">
        <v>0</v>
      </c>
      <c r="U190" s="42">
        <v>0</v>
      </c>
      <c r="W190" s="42">
        <v>0</v>
      </c>
      <c r="Y190" s="42">
        <v>0</v>
      </c>
      <c r="AA190" s="42">
        <v>0</v>
      </c>
      <c r="AC190" s="42">
        <v>0</v>
      </c>
      <c r="AE190" s="42">
        <v>0</v>
      </c>
      <c r="AG190" s="42">
        <v>0</v>
      </c>
      <c r="AI190" s="42">
        <v>0</v>
      </c>
      <c r="AK190" s="42">
        <v>0</v>
      </c>
      <c r="AL190" s="9" t="s">
        <v>615</v>
      </c>
      <c r="AM190" s="9"/>
      <c r="AN190" s="9" t="s">
        <v>61</v>
      </c>
      <c r="AP190" s="42">
        <v>0</v>
      </c>
      <c r="AR190" s="42">
        <v>0</v>
      </c>
      <c r="AT190" s="42">
        <v>0</v>
      </c>
      <c r="AV190" s="42">
        <v>0</v>
      </c>
      <c r="AX190" s="42">
        <v>0</v>
      </c>
      <c r="AZ190" s="42">
        <v>0</v>
      </c>
      <c r="BB190" s="5">
        <f t="shared" si="29"/>
        <v>0</v>
      </c>
      <c r="BD190" s="42">
        <v>0</v>
      </c>
      <c r="BF190" s="42">
        <v>0</v>
      </c>
      <c r="BH190" s="42">
        <v>0</v>
      </c>
      <c r="BJ190" s="42">
        <v>0</v>
      </c>
      <c r="BL190" s="5">
        <f t="shared" si="28"/>
        <v>0</v>
      </c>
      <c r="BN190" s="5">
        <f>'Gov Fd Rev'!AQ190-'Gov Fd Exp'!BL190</f>
        <v>0</v>
      </c>
      <c r="BP190" s="42">
        <v>0</v>
      </c>
      <c r="BR190" s="42">
        <v>0</v>
      </c>
      <c r="BT190" s="42">
        <v>0</v>
      </c>
      <c r="BV190" s="5">
        <f t="shared" si="27"/>
        <v>0</v>
      </c>
      <c r="BW190" s="5"/>
      <c r="BX190" s="5">
        <f>BV190-'Gov Fd BS'!AI190</f>
        <v>0</v>
      </c>
    </row>
    <row r="191" spans="1:76">
      <c r="A191" s="9" t="s">
        <v>492</v>
      </c>
      <c r="B191" s="9"/>
      <c r="C191" s="9" t="s">
        <v>62</v>
      </c>
      <c r="D191" s="9"/>
      <c r="E191" s="23">
        <v>49841</v>
      </c>
      <c r="G191" s="42">
        <v>7177993</v>
      </c>
      <c r="I191" s="42">
        <v>2434874</v>
      </c>
      <c r="K191" s="42">
        <v>157429</v>
      </c>
      <c r="M191" s="42">
        <v>0</v>
      </c>
      <c r="O191" s="42">
        <v>383997</v>
      </c>
      <c r="Q191" s="42">
        <v>1059535</v>
      </c>
      <c r="S191" s="42">
        <v>444795</v>
      </c>
      <c r="U191" s="42">
        <v>18048</v>
      </c>
      <c r="W191" s="42">
        <v>1652364</v>
      </c>
      <c r="Y191" s="42">
        <v>420049</v>
      </c>
      <c r="AA191" s="42">
        <v>910</v>
      </c>
      <c r="AC191" s="42">
        <v>1339624</v>
      </c>
      <c r="AE191" s="42">
        <v>1074056</v>
      </c>
      <c r="AG191" s="42">
        <v>98631</v>
      </c>
      <c r="AI191" s="42">
        <v>697728</v>
      </c>
      <c r="AK191" s="42">
        <v>26578</v>
      </c>
      <c r="AL191" s="9" t="s">
        <v>492</v>
      </c>
      <c r="AM191" s="9"/>
      <c r="AN191" s="9" t="s">
        <v>62</v>
      </c>
      <c r="AP191" s="42">
        <v>507290</v>
      </c>
      <c r="AR191" s="42">
        <v>39141</v>
      </c>
      <c r="AT191" s="42">
        <v>0</v>
      </c>
      <c r="AV191" s="42">
        <v>595000</v>
      </c>
      <c r="AX191" s="42">
        <v>356281</v>
      </c>
      <c r="AZ191" s="42">
        <v>0</v>
      </c>
      <c r="BB191" s="5">
        <f t="shared" si="29"/>
        <v>18484323</v>
      </c>
      <c r="BD191" s="42">
        <v>0</v>
      </c>
      <c r="BF191" s="42">
        <v>0</v>
      </c>
      <c r="BH191" s="42">
        <v>0</v>
      </c>
      <c r="BJ191" s="42">
        <v>0</v>
      </c>
      <c r="BL191" s="5">
        <f t="shared" si="28"/>
        <v>18484323</v>
      </c>
      <c r="BN191" s="5">
        <f>'Gov Fd Rev'!AQ191-'Gov Fd Exp'!BL191</f>
        <v>-1702668</v>
      </c>
      <c r="BP191" s="42">
        <v>4127201</v>
      </c>
      <c r="BR191" s="42">
        <v>-18539</v>
      </c>
      <c r="BT191" s="42">
        <v>0</v>
      </c>
      <c r="BV191" s="5">
        <f t="shared" si="27"/>
        <v>2405994</v>
      </c>
      <c r="BW191" s="5"/>
      <c r="BX191" s="5">
        <f>BV191-'Gov Fd BS'!AI191</f>
        <v>0</v>
      </c>
    </row>
    <row r="192" spans="1:76" ht="12" hidden="1" customHeight="1">
      <c r="A192" s="8" t="s">
        <v>878</v>
      </c>
      <c r="B192" s="9"/>
      <c r="C192" s="9" t="s">
        <v>41</v>
      </c>
      <c r="D192" s="9"/>
      <c r="E192" s="23">
        <v>45369</v>
      </c>
      <c r="G192" s="42">
        <v>0</v>
      </c>
      <c r="I192" s="42">
        <v>0</v>
      </c>
      <c r="K192" s="42">
        <v>0</v>
      </c>
      <c r="M192" s="42">
        <v>0</v>
      </c>
      <c r="O192" s="42">
        <v>0</v>
      </c>
      <c r="Q192" s="42">
        <v>0</v>
      </c>
      <c r="S192" s="42">
        <v>0</v>
      </c>
      <c r="U192" s="42">
        <v>0</v>
      </c>
      <c r="W192" s="42">
        <v>0</v>
      </c>
      <c r="Y192" s="42">
        <v>0</v>
      </c>
      <c r="AA192" s="42">
        <v>0</v>
      </c>
      <c r="AC192" s="42">
        <v>0</v>
      </c>
      <c r="AE192" s="42">
        <v>0</v>
      </c>
      <c r="AG192" s="42">
        <v>0</v>
      </c>
      <c r="AI192" s="42">
        <v>0</v>
      </c>
      <c r="AK192" s="42">
        <v>0</v>
      </c>
      <c r="AL192" s="8" t="s">
        <v>878</v>
      </c>
      <c r="AM192" s="9"/>
      <c r="AN192" s="9" t="s">
        <v>41</v>
      </c>
      <c r="AP192" s="42">
        <v>0</v>
      </c>
      <c r="AR192" s="42">
        <v>0</v>
      </c>
      <c r="AT192" s="42">
        <v>0</v>
      </c>
      <c r="AV192" s="42">
        <v>0</v>
      </c>
      <c r="AX192" s="42">
        <v>0</v>
      </c>
      <c r="AZ192" s="42">
        <v>0</v>
      </c>
      <c r="BB192" s="5">
        <f t="shared" si="29"/>
        <v>0</v>
      </c>
      <c r="BD192" s="42">
        <v>0</v>
      </c>
      <c r="BF192" s="42">
        <v>0</v>
      </c>
      <c r="BH192" s="42">
        <v>0</v>
      </c>
      <c r="BJ192" s="42">
        <v>0</v>
      </c>
      <c r="BL192" s="5">
        <f t="shared" si="28"/>
        <v>0</v>
      </c>
      <c r="BN192" s="5">
        <f>'Gov Fd Rev'!AQ192-'Gov Fd Exp'!BL192</f>
        <v>0</v>
      </c>
      <c r="BP192" s="42">
        <v>0</v>
      </c>
      <c r="BR192" s="42">
        <v>0</v>
      </c>
      <c r="BT192" s="42">
        <v>0</v>
      </c>
      <c r="BV192" s="5">
        <f t="shared" si="27"/>
        <v>0</v>
      </c>
      <c r="BW192" s="5"/>
      <c r="BX192" s="5">
        <f>BV192-'Gov Fd BS'!AI192</f>
        <v>0</v>
      </c>
    </row>
    <row r="193" spans="1:76" s="24" customFormat="1">
      <c r="A193" s="51" t="s">
        <v>266</v>
      </c>
      <c r="B193" s="51"/>
      <c r="C193" s="51" t="s">
        <v>20</v>
      </c>
      <c r="D193" s="51"/>
      <c r="E193" s="51">
        <v>43976</v>
      </c>
      <c r="G193" s="24">
        <v>9049519</v>
      </c>
      <c r="I193" s="24">
        <v>2749086</v>
      </c>
      <c r="K193" s="24">
        <v>112285</v>
      </c>
      <c r="M193" s="24">
        <v>0</v>
      </c>
      <c r="O193" s="24">
        <v>14650</v>
      </c>
      <c r="Q193" s="24">
        <v>1391035</v>
      </c>
      <c r="S193" s="24">
        <v>543701</v>
      </c>
      <c r="U193" s="24">
        <v>33499</v>
      </c>
      <c r="W193" s="24">
        <v>1446104</v>
      </c>
      <c r="Y193" s="24">
        <v>683382</v>
      </c>
      <c r="AA193" s="24">
        <v>33442</v>
      </c>
      <c r="AC193" s="24">
        <v>1708857</v>
      </c>
      <c r="AE193" s="24">
        <v>693156</v>
      </c>
      <c r="AG193" s="24">
        <v>259559</v>
      </c>
      <c r="AI193" s="24">
        <v>0</v>
      </c>
      <c r="AK193" s="24">
        <v>446655</v>
      </c>
      <c r="AL193" s="51" t="s">
        <v>266</v>
      </c>
      <c r="AM193" s="51"/>
      <c r="AN193" s="51" t="s">
        <v>20</v>
      </c>
      <c r="AP193" s="24">
        <v>531056</v>
      </c>
      <c r="AR193" s="24">
        <v>409514</v>
      </c>
      <c r="AT193" s="24">
        <v>0</v>
      </c>
      <c r="AV193" s="24">
        <v>1280000</v>
      </c>
      <c r="AX193" s="24">
        <v>854092</v>
      </c>
      <c r="AZ193" s="24">
        <v>304956</v>
      </c>
      <c r="BB193" s="64">
        <f t="shared" si="29"/>
        <v>22544548</v>
      </c>
      <c r="BD193" s="24">
        <v>1064010</v>
      </c>
      <c r="BF193" s="24">
        <v>0</v>
      </c>
      <c r="BH193" s="24">
        <v>0</v>
      </c>
      <c r="BJ193" s="24">
        <v>18583176</v>
      </c>
      <c r="BL193" s="64">
        <f t="shared" si="28"/>
        <v>42191734</v>
      </c>
      <c r="BN193" s="64">
        <f>'Gov Fd Rev'!AQ193-'Gov Fd Exp'!BL193</f>
        <v>1956462</v>
      </c>
      <c r="BP193" s="24">
        <v>16790116</v>
      </c>
      <c r="BR193" s="24">
        <v>0</v>
      </c>
      <c r="BT193" s="24">
        <v>0</v>
      </c>
      <c r="BV193" s="64">
        <f t="shared" si="27"/>
        <v>18746578</v>
      </c>
      <c r="BW193" s="64"/>
      <c r="BX193" s="64">
        <f>BV193-'Gov Fd BS'!AI193</f>
        <v>0</v>
      </c>
    </row>
    <row r="194" spans="1:76" hidden="1">
      <c r="A194" s="9" t="s">
        <v>739</v>
      </c>
      <c r="B194" s="9"/>
      <c r="C194" s="9" t="s">
        <v>28</v>
      </c>
      <c r="D194" s="9"/>
      <c r="E194" s="23">
        <v>47068</v>
      </c>
      <c r="G194" s="42">
        <v>0</v>
      </c>
      <c r="I194" s="42">
        <v>0</v>
      </c>
      <c r="K194" s="42">
        <v>0</v>
      </c>
      <c r="M194" s="42">
        <v>0</v>
      </c>
      <c r="O194" s="42">
        <v>0</v>
      </c>
      <c r="Q194" s="42">
        <v>0</v>
      </c>
      <c r="S194" s="42">
        <v>0</v>
      </c>
      <c r="U194" s="42">
        <v>0</v>
      </c>
      <c r="W194" s="42">
        <v>0</v>
      </c>
      <c r="Y194" s="42">
        <v>0</v>
      </c>
      <c r="AA194" s="42">
        <v>0</v>
      </c>
      <c r="AC194" s="42">
        <v>0</v>
      </c>
      <c r="AE194" s="42">
        <v>0</v>
      </c>
      <c r="AG194" s="42">
        <v>0</v>
      </c>
      <c r="AI194" s="42">
        <v>0</v>
      </c>
      <c r="AK194" s="42">
        <v>0</v>
      </c>
      <c r="AL194" s="9" t="s">
        <v>739</v>
      </c>
      <c r="AM194" s="9"/>
      <c r="AN194" s="9" t="s">
        <v>28</v>
      </c>
      <c r="AP194" s="42">
        <v>0</v>
      </c>
      <c r="AR194" s="42">
        <v>0</v>
      </c>
      <c r="AT194" s="42">
        <v>0</v>
      </c>
      <c r="AV194" s="42">
        <v>0</v>
      </c>
      <c r="AX194" s="42">
        <v>0</v>
      </c>
      <c r="AZ194" s="42">
        <v>0</v>
      </c>
      <c r="BB194" s="5">
        <f t="shared" si="29"/>
        <v>0</v>
      </c>
      <c r="BD194" s="42">
        <v>0</v>
      </c>
      <c r="BF194" s="42">
        <v>0</v>
      </c>
      <c r="BH194" s="42">
        <v>0</v>
      </c>
      <c r="BJ194" s="42">
        <v>0</v>
      </c>
      <c r="BL194" s="5">
        <f t="shared" si="28"/>
        <v>0</v>
      </c>
      <c r="BN194" s="5">
        <f>'Gov Fd Rev'!AQ194-'Gov Fd Exp'!BL194</f>
        <v>0</v>
      </c>
      <c r="BP194" s="42">
        <v>0</v>
      </c>
      <c r="BR194" s="42">
        <v>0</v>
      </c>
      <c r="BT194" s="42">
        <v>0</v>
      </c>
      <c r="BV194" s="5">
        <f t="shared" si="27"/>
        <v>0</v>
      </c>
      <c r="BW194" s="5"/>
      <c r="BX194" s="5">
        <f>BV194-'Gov Fd BS'!AI194</f>
        <v>0</v>
      </c>
    </row>
    <row r="195" spans="1:76">
      <c r="A195" s="9" t="s">
        <v>218</v>
      </c>
      <c r="B195" s="9"/>
      <c r="C195" s="9" t="s">
        <v>77</v>
      </c>
      <c r="D195" s="9"/>
      <c r="E195" s="23">
        <v>46045</v>
      </c>
      <c r="G195" s="42">
        <v>3283871</v>
      </c>
      <c r="I195" s="42">
        <v>779735</v>
      </c>
      <c r="K195" s="42">
        <v>197193</v>
      </c>
      <c r="M195" s="42">
        <v>0</v>
      </c>
      <c r="O195" s="42">
        <v>311487</v>
      </c>
      <c r="Q195" s="42">
        <v>408136</v>
      </c>
      <c r="S195" s="42">
        <v>700360</v>
      </c>
      <c r="U195" s="42">
        <v>51085</v>
      </c>
      <c r="W195" s="42">
        <v>644642</v>
      </c>
      <c r="Y195" s="42">
        <v>296907</v>
      </c>
      <c r="AA195" s="42">
        <v>0</v>
      </c>
      <c r="AC195" s="42">
        <v>901648</v>
      </c>
      <c r="AE195" s="42">
        <v>556519</v>
      </c>
      <c r="AG195" s="42">
        <v>9058</v>
      </c>
      <c r="AI195" s="42">
        <v>398558</v>
      </c>
      <c r="AK195" s="42">
        <v>134026</v>
      </c>
      <c r="AL195" s="9" t="s">
        <v>218</v>
      </c>
      <c r="AM195" s="9"/>
      <c r="AN195" s="9" t="s">
        <v>77</v>
      </c>
      <c r="AP195" s="42">
        <v>179293</v>
      </c>
      <c r="AR195" s="42">
        <v>77662</v>
      </c>
      <c r="AT195" s="42">
        <v>0</v>
      </c>
      <c r="AV195" s="42">
        <v>360000</v>
      </c>
      <c r="AX195" s="42">
        <v>314208</v>
      </c>
      <c r="AZ195" s="42">
        <v>0</v>
      </c>
      <c r="BB195" s="5">
        <f t="shared" si="29"/>
        <v>9604388</v>
      </c>
      <c r="BD195" s="42">
        <v>64756</v>
      </c>
      <c r="BF195" s="42">
        <v>0</v>
      </c>
      <c r="BH195" s="42">
        <v>0</v>
      </c>
      <c r="BJ195" s="42">
        <v>0</v>
      </c>
      <c r="BL195" s="5">
        <f t="shared" si="28"/>
        <v>9669144</v>
      </c>
      <c r="BN195" s="5">
        <f>'Gov Fd Rev'!AQ195-'Gov Fd Exp'!BL195</f>
        <v>-598026</v>
      </c>
      <c r="BP195" s="42">
        <v>3701660</v>
      </c>
      <c r="BR195" s="42">
        <v>0</v>
      </c>
      <c r="BT195" s="42">
        <v>0</v>
      </c>
      <c r="BV195" s="5">
        <f t="shared" si="27"/>
        <v>3103634</v>
      </c>
      <c r="BW195" s="5"/>
      <c r="BX195" s="5">
        <f>BV195-'Gov Fd BS'!AI195</f>
        <v>0</v>
      </c>
    </row>
    <row r="196" spans="1:76">
      <c r="A196" s="9" t="s">
        <v>737</v>
      </c>
      <c r="B196" s="9"/>
      <c r="C196" s="9" t="s">
        <v>13</v>
      </c>
      <c r="D196" s="9"/>
      <c r="E196" s="23">
        <v>45914</v>
      </c>
      <c r="G196" s="42">
        <v>6537201</v>
      </c>
      <c r="I196" s="42">
        <v>1564307</v>
      </c>
      <c r="K196" s="42">
        <v>234767</v>
      </c>
      <c r="M196" s="42">
        <v>0</v>
      </c>
      <c r="O196" s="42">
        <v>1100</v>
      </c>
      <c r="Q196" s="42">
        <v>344486</v>
      </c>
      <c r="S196" s="42">
        <v>389625</v>
      </c>
      <c r="U196" s="42">
        <v>50024</v>
      </c>
      <c r="W196" s="42">
        <v>892404</v>
      </c>
      <c r="Y196" s="42">
        <v>375472</v>
      </c>
      <c r="AA196" s="42">
        <v>0</v>
      </c>
      <c r="AC196" s="42">
        <v>925490</v>
      </c>
      <c r="AE196" s="42">
        <v>1237771</v>
      </c>
      <c r="AG196" s="42">
        <v>59979</v>
      </c>
      <c r="AI196" s="42">
        <v>0</v>
      </c>
      <c r="AK196" s="42">
        <v>486983</v>
      </c>
      <c r="AL196" s="9" t="s">
        <v>737</v>
      </c>
      <c r="AM196" s="9"/>
      <c r="AN196" s="9" t="s">
        <v>13</v>
      </c>
      <c r="AP196" s="42">
        <v>122396</v>
      </c>
      <c r="AR196" s="42">
        <v>0</v>
      </c>
      <c r="AT196" s="42">
        <v>0</v>
      </c>
      <c r="AV196" s="42">
        <v>65000</v>
      </c>
      <c r="AX196" s="42">
        <v>15194</v>
      </c>
      <c r="AZ196" s="42">
        <v>0</v>
      </c>
      <c r="BB196" s="5">
        <f t="shared" si="29"/>
        <v>13302199</v>
      </c>
      <c r="BD196" s="42">
        <v>4854</v>
      </c>
      <c r="BF196" s="42">
        <v>0</v>
      </c>
      <c r="BH196" s="42">
        <v>0</v>
      </c>
      <c r="BJ196" s="42">
        <v>0</v>
      </c>
      <c r="BL196" s="5">
        <f t="shared" si="28"/>
        <v>13307053</v>
      </c>
      <c r="BN196" s="5">
        <f>'Gov Fd Rev'!AQ196-'Gov Fd Exp'!BL196</f>
        <v>758275</v>
      </c>
      <c r="BP196" s="42">
        <v>3468890</v>
      </c>
      <c r="BR196" s="42">
        <v>0</v>
      </c>
      <c r="BT196" s="42">
        <v>0</v>
      </c>
      <c r="BV196" s="5">
        <f t="shared" si="27"/>
        <v>4227165</v>
      </c>
      <c r="BW196" s="5"/>
      <c r="BX196" s="5">
        <f>BV196-'Gov Fd BS'!AI196</f>
        <v>0</v>
      </c>
    </row>
    <row r="197" spans="1:76">
      <c r="A197" s="9" t="s">
        <v>237</v>
      </c>
      <c r="B197" s="9"/>
      <c r="C197" s="9" t="s">
        <v>112</v>
      </c>
      <c r="D197" s="9"/>
      <c r="E197" s="23">
        <v>46334</v>
      </c>
      <c r="G197" s="42">
        <v>4075557</v>
      </c>
      <c r="I197" s="42">
        <v>2538103</v>
      </c>
      <c r="K197" s="42">
        <v>0</v>
      </c>
      <c r="M197" s="42">
        <v>0</v>
      </c>
      <c r="O197" s="42">
        <v>117795</v>
      </c>
      <c r="Q197" s="42">
        <v>519705</v>
      </c>
      <c r="S197" s="42">
        <v>249538</v>
      </c>
      <c r="U197" s="42">
        <v>16533</v>
      </c>
      <c r="W197" s="42">
        <v>626072</v>
      </c>
      <c r="Y197" s="42">
        <v>359715</v>
      </c>
      <c r="AA197" s="42">
        <v>0</v>
      </c>
      <c r="AC197" s="42">
        <v>835949</v>
      </c>
      <c r="AE197" s="42">
        <v>611333</v>
      </c>
      <c r="AG197" s="42">
        <v>0</v>
      </c>
      <c r="AI197" s="42">
        <v>510130</v>
      </c>
      <c r="AK197" s="42">
        <v>0</v>
      </c>
      <c r="AL197" s="9" t="s">
        <v>237</v>
      </c>
      <c r="AM197" s="9"/>
      <c r="AN197" s="9" t="s">
        <v>112</v>
      </c>
      <c r="AP197" s="42">
        <v>182614</v>
      </c>
      <c r="AR197" s="42">
        <v>128429</v>
      </c>
      <c r="AT197" s="42">
        <v>0</v>
      </c>
      <c r="AV197" s="42">
        <v>271852</v>
      </c>
      <c r="AX197" s="42">
        <v>63545</v>
      </c>
      <c r="AZ197" s="42">
        <v>0</v>
      </c>
      <c r="BB197" s="5">
        <f t="shared" si="29"/>
        <v>11106870</v>
      </c>
      <c r="BD197" s="42">
        <v>51509</v>
      </c>
      <c r="BF197" s="42">
        <v>0</v>
      </c>
      <c r="BH197" s="42">
        <v>0</v>
      </c>
      <c r="BJ197" s="42">
        <v>0</v>
      </c>
      <c r="BL197" s="5">
        <f t="shared" si="28"/>
        <v>11158379</v>
      </c>
      <c r="BN197" s="5">
        <f>'Gov Fd Rev'!AQ197-'Gov Fd Exp'!BL197</f>
        <v>-68794</v>
      </c>
      <c r="BP197" s="42">
        <v>2784439</v>
      </c>
      <c r="BR197" s="42">
        <v>0</v>
      </c>
      <c r="BT197" s="42">
        <v>0</v>
      </c>
      <c r="BV197" s="5">
        <f t="shared" si="27"/>
        <v>2715645</v>
      </c>
      <c r="BW197" s="5"/>
      <c r="BX197" s="5">
        <f>BV197-'Gov Fd BS'!AI197</f>
        <v>0</v>
      </c>
    </row>
    <row r="198" spans="1:76">
      <c r="A198" s="9" t="s">
        <v>714</v>
      </c>
      <c r="B198" s="9"/>
      <c r="C198" s="9" t="s">
        <v>56</v>
      </c>
      <c r="D198" s="9"/>
      <c r="E198" s="23">
        <v>49197</v>
      </c>
      <c r="G198" s="42">
        <v>9738769</v>
      </c>
      <c r="I198" s="42">
        <v>1632190</v>
      </c>
      <c r="K198" s="42">
        <v>52573</v>
      </c>
      <c r="M198" s="42">
        <v>30799</v>
      </c>
      <c r="O198" s="42">
        <v>1522</v>
      </c>
      <c r="Q198" s="42">
        <v>822248</v>
      </c>
      <c r="S198" s="42">
        <v>573814</v>
      </c>
      <c r="U198" s="42">
        <v>52446</v>
      </c>
      <c r="W198" s="42">
        <v>2020049</v>
      </c>
      <c r="Y198" s="42">
        <v>579575</v>
      </c>
      <c r="AA198" s="42">
        <v>159039</v>
      </c>
      <c r="AC198" s="42">
        <v>1358521</v>
      </c>
      <c r="AE198" s="42">
        <v>797577</v>
      </c>
      <c r="AG198" s="42">
        <v>71965</v>
      </c>
      <c r="AI198" s="42">
        <v>668420</v>
      </c>
      <c r="AK198" s="42">
        <v>334</v>
      </c>
      <c r="AL198" s="9" t="s">
        <v>714</v>
      </c>
      <c r="AM198" s="9"/>
      <c r="AN198" s="9" t="s">
        <v>56</v>
      </c>
      <c r="AP198" s="42">
        <v>380240</v>
      </c>
      <c r="AR198" s="42">
        <v>0</v>
      </c>
      <c r="AT198" s="42">
        <v>0</v>
      </c>
      <c r="AV198" s="42">
        <v>384563</v>
      </c>
      <c r="AX198" s="42">
        <v>988682</v>
      </c>
      <c r="AZ198" s="42">
        <v>177882</v>
      </c>
      <c r="BB198" s="5">
        <f t="shared" si="29"/>
        <v>20491208</v>
      </c>
      <c r="BD198" s="42">
        <v>0</v>
      </c>
      <c r="BF198" s="42">
        <v>0</v>
      </c>
      <c r="BH198" s="42">
        <v>0</v>
      </c>
      <c r="BJ198" s="42">
        <v>9815588</v>
      </c>
      <c r="BL198" s="5">
        <f t="shared" si="28"/>
        <v>30306796</v>
      </c>
      <c r="BN198" s="5">
        <f>'Gov Fd Rev'!AQ198-'Gov Fd Exp'!BL198</f>
        <v>493327</v>
      </c>
      <c r="BP198" s="42">
        <v>1891352</v>
      </c>
      <c r="BR198" s="42">
        <v>0</v>
      </c>
      <c r="BT198" s="42">
        <v>0</v>
      </c>
      <c r="BV198" s="5">
        <f t="shared" si="27"/>
        <v>2384679</v>
      </c>
      <c r="BW198" s="5"/>
      <c r="BX198" s="5">
        <f>BV198-'Gov Fd BS'!AI198</f>
        <v>0</v>
      </c>
    </row>
    <row r="199" spans="1:76">
      <c r="A199" s="9" t="s">
        <v>335</v>
      </c>
      <c r="B199" s="9"/>
      <c r="C199" s="9" t="s">
        <v>33</v>
      </c>
      <c r="D199" s="9"/>
      <c r="E199" s="23">
        <v>43984</v>
      </c>
      <c r="G199" s="42">
        <v>23021908</v>
      </c>
      <c r="I199" s="42">
        <v>6773630</v>
      </c>
      <c r="K199" s="42">
        <v>2634910</v>
      </c>
      <c r="M199" s="42">
        <v>96140</v>
      </c>
      <c r="O199" s="42">
        <v>5561892</v>
      </c>
      <c r="Q199" s="42">
        <v>5080808</v>
      </c>
      <c r="S199" s="42">
        <v>4384302</v>
      </c>
      <c r="U199" s="42">
        <v>135643</v>
      </c>
      <c r="W199" s="42">
        <v>3847219</v>
      </c>
      <c r="Y199" s="42">
        <v>1406882</v>
      </c>
      <c r="AA199" s="42">
        <v>0</v>
      </c>
      <c r="AC199" s="42">
        <v>5587548</v>
      </c>
      <c r="AE199" s="42">
        <v>2076964</v>
      </c>
      <c r="AG199" s="42">
        <v>121610</v>
      </c>
      <c r="AI199" s="42">
        <v>1625328</v>
      </c>
      <c r="AK199" s="42">
        <v>607178</v>
      </c>
      <c r="AL199" s="9" t="s">
        <v>335</v>
      </c>
      <c r="AM199" s="9"/>
      <c r="AN199" s="9" t="s">
        <v>33</v>
      </c>
      <c r="AP199" s="42">
        <v>1412382</v>
      </c>
      <c r="AR199" s="42">
        <v>24005540</v>
      </c>
      <c r="AT199" s="42">
        <v>0</v>
      </c>
      <c r="AV199" s="42">
        <v>1499571</v>
      </c>
      <c r="AX199" s="42">
        <v>2892806</v>
      </c>
      <c r="AZ199" s="42">
        <v>0</v>
      </c>
      <c r="BB199" s="5">
        <f t="shared" si="29"/>
        <v>92772261</v>
      </c>
      <c r="BD199" s="42">
        <v>150624</v>
      </c>
      <c r="BF199" s="42">
        <v>0</v>
      </c>
      <c r="BH199" s="42">
        <v>0</v>
      </c>
      <c r="BJ199" s="42">
        <v>0</v>
      </c>
      <c r="BL199" s="5">
        <f t="shared" si="28"/>
        <v>92922885</v>
      </c>
      <c r="BN199" s="5">
        <f>'Gov Fd Rev'!AQ199-'Gov Fd Exp'!BL199</f>
        <v>-24260855</v>
      </c>
      <c r="BP199" s="42">
        <v>47908004</v>
      </c>
      <c r="BR199" s="42">
        <v>6395</v>
      </c>
      <c r="BT199" s="42">
        <v>0</v>
      </c>
      <c r="BV199" s="5">
        <f t="shared" si="27"/>
        <v>23653544</v>
      </c>
      <c r="BW199" s="5"/>
      <c r="BX199" s="5">
        <f>BV199-'Gov Fd BS'!AI199</f>
        <v>0</v>
      </c>
    </row>
    <row r="200" spans="1:76">
      <c r="A200" s="9" t="s">
        <v>320</v>
      </c>
      <c r="B200" s="9"/>
      <c r="C200" s="9" t="s">
        <v>32</v>
      </c>
      <c r="D200" s="9"/>
      <c r="E200" s="23">
        <v>47332</v>
      </c>
      <c r="G200" s="42">
        <v>6641100</v>
      </c>
      <c r="I200" s="42">
        <v>3209907</v>
      </c>
      <c r="K200" s="42">
        <v>17351</v>
      </c>
      <c r="M200" s="42">
        <v>0</v>
      </c>
      <c r="O200" s="42">
        <v>1100935</v>
      </c>
      <c r="Q200" s="42">
        <v>1424991</v>
      </c>
      <c r="S200" s="42">
        <v>293544</v>
      </c>
      <c r="U200" s="42">
        <v>0</v>
      </c>
      <c r="W200" s="42">
        <f>36433+1252708</f>
        <v>1289141</v>
      </c>
      <c r="Y200" s="42">
        <v>494051</v>
      </c>
      <c r="AA200" s="42">
        <v>400339</v>
      </c>
      <c r="AC200" s="42">
        <v>1533692</v>
      </c>
      <c r="AE200" s="42">
        <v>850854</v>
      </c>
      <c r="AG200" s="42">
        <v>238500</v>
      </c>
      <c r="AI200" s="42">
        <v>0</v>
      </c>
      <c r="AK200" s="42">
        <v>1784107</v>
      </c>
      <c r="AL200" s="9" t="s">
        <v>320</v>
      </c>
      <c r="AM200" s="9"/>
      <c r="AN200" s="9" t="s">
        <v>32</v>
      </c>
      <c r="AP200" s="42">
        <v>498646</v>
      </c>
      <c r="AR200" s="42">
        <v>3570933</v>
      </c>
      <c r="AT200" s="42">
        <v>0</v>
      </c>
      <c r="AV200" s="42">
        <v>391000</v>
      </c>
      <c r="AX200" s="42">
        <v>294280</v>
      </c>
      <c r="AZ200" s="42">
        <v>0</v>
      </c>
      <c r="BB200" s="5">
        <f t="shared" si="29"/>
        <v>24033371</v>
      </c>
      <c r="BD200" s="42">
        <v>2000</v>
      </c>
      <c r="BF200" s="42">
        <v>0</v>
      </c>
      <c r="BH200" s="42">
        <v>0</v>
      </c>
      <c r="BJ200" s="42">
        <v>0</v>
      </c>
      <c r="BL200" s="5">
        <f t="shared" si="28"/>
        <v>24035371</v>
      </c>
      <c r="BN200" s="5">
        <f>'Gov Fd Rev'!AQ200-'Gov Fd Exp'!BL200</f>
        <v>3562795</v>
      </c>
      <c r="BP200" s="42">
        <v>5051506</v>
      </c>
      <c r="BR200" s="42">
        <v>0</v>
      </c>
      <c r="BT200" s="42">
        <v>0</v>
      </c>
      <c r="BV200" s="5">
        <f t="shared" si="27"/>
        <v>8614301</v>
      </c>
      <c r="BW200" s="5"/>
      <c r="BX200" s="5">
        <f>BV200-'Gov Fd BS'!AI200</f>
        <v>0</v>
      </c>
    </row>
    <row r="201" spans="1:76">
      <c r="A201" s="9" t="s">
        <v>382</v>
      </c>
      <c r="B201" s="9"/>
      <c r="C201" s="9" t="s">
        <v>44</v>
      </c>
      <c r="D201" s="9"/>
      <c r="E201" s="23">
        <v>48157</v>
      </c>
      <c r="G201" s="42">
        <v>7153409</v>
      </c>
      <c r="I201" s="42">
        <v>1848989</v>
      </c>
      <c r="K201" s="42">
        <v>254055</v>
      </c>
      <c r="M201" s="42">
        <v>0</v>
      </c>
      <c r="O201" s="42">
        <v>1634909</v>
      </c>
      <c r="Q201" s="42">
        <v>1109229</v>
      </c>
      <c r="S201" s="42">
        <v>486859</v>
      </c>
      <c r="U201" s="42">
        <v>24645</v>
      </c>
      <c r="W201" s="42">
        <v>1421379</v>
      </c>
      <c r="Y201" s="42">
        <v>455812</v>
      </c>
      <c r="AA201" s="42">
        <v>0</v>
      </c>
      <c r="AC201" s="42">
        <v>1195380</v>
      </c>
      <c r="AE201" s="42">
        <v>1288282</v>
      </c>
      <c r="AG201" s="42">
        <v>356996</v>
      </c>
      <c r="AI201" s="42">
        <v>689167</v>
      </c>
      <c r="AK201" s="42">
        <v>28428</v>
      </c>
      <c r="AL201" s="9" t="s">
        <v>382</v>
      </c>
      <c r="AM201" s="9"/>
      <c r="AN201" s="9" t="s">
        <v>44</v>
      </c>
      <c r="AP201" s="42">
        <v>499362</v>
      </c>
      <c r="AR201" s="42">
        <v>209722</v>
      </c>
      <c r="AT201" s="42">
        <v>0</v>
      </c>
      <c r="AV201" s="42">
        <v>101155</v>
      </c>
      <c r="AX201" s="42">
        <v>61649</v>
      </c>
      <c r="AZ201" s="42">
        <v>0</v>
      </c>
      <c r="BB201" s="5">
        <f t="shared" si="29"/>
        <v>18819427</v>
      </c>
      <c r="BD201" s="42">
        <v>8000</v>
      </c>
      <c r="BF201" s="42">
        <v>0</v>
      </c>
      <c r="BH201" s="42">
        <v>0</v>
      </c>
      <c r="BJ201" s="42">
        <v>0</v>
      </c>
      <c r="BL201" s="5">
        <f t="shared" si="28"/>
        <v>18827427</v>
      </c>
      <c r="BN201" s="5">
        <f>'Gov Fd Rev'!AQ201-'Gov Fd Exp'!BL201</f>
        <v>953777</v>
      </c>
      <c r="BP201" s="42">
        <v>2064231</v>
      </c>
      <c r="BR201" s="42">
        <v>-440</v>
      </c>
      <c r="BT201" s="42">
        <v>0</v>
      </c>
      <c r="BV201" s="5">
        <f t="shared" si="27"/>
        <v>3017568</v>
      </c>
      <c r="BW201" s="5"/>
      <c r="BX201" s="5">
        <f>BV201-'Gov Fd BS'!AI201</f>
        <v>0</v>
      </c>
    </row>
    <row r="202" spans="1:76">
      <c r="A202" s="9" t="s">
        <v>321</v>
      </c>
      <c r="B202" s="9"/>
      <c r="C202" s="9" t="s">
        <v>32</v>
      </c>
      <c r="D202" s="9"/>
      <c r="E202" s="23">
        <v>47340</v>
      </c>
      <c r="G202" s="42">
        <v>33699765</v>
      </c>
      <c r="I202" s="42">
        <v>10101757</v>
      </c>
      <c r="K202" s="42">
        <v>0</v>
      </c>
      <c r="M202" s="42">
        <v>0</v>
      </c>
      <c r="O202" s="42">
        <v>1347684</v>
      </c>
      <c r="Q202" s="42">
        <v>5023686</v>
      </c>
      <c r="S202" s="42">
        <v>4200561</v>
      </c>
      <c r="U202" s="42">
        <v>37757</v>
      </c>
      <c r="W202" s="42">
        <v>4976195</v>
      </c>
      <c r="Y202" s="42">
        <v>1326267</v>
      </c>
      <c r="AA202" s="42">
        <v>215204</v>
      </c>
      <c r="AC202" s="42">
        <v>5320575</v>
      </c>
      <c r="AE202" s="42">
        <v>4789681</v>
      </c>
      <c r="AG202" s="42">
        <v>499437</v>
      </c>
      <c r="AI202" s="42">
        <v>2085983</v>
      </c>
      <c r="AK202" s="42">
        <v>843891</v>
      </c>
      <c r="AL202" s="9" t="s">
        <v>321</v>
      </c>
      <c r="AM202" s="9"/>
      <c r="AN202" s="9" t="s">
        <v>32</v>
      </c>
      <c r="AP202" s="42">
        <v>2105386</v>
      </c>
      <c r="AR202" s="42">
        <v>720724</v>
      </c>
      <c r="AT202" s="42">
        <v>0</v>
      </c>
      <c r="AV202" s="42">
        <v>2135000</v>
      </c>
      <c r="AX202" s="42">
        <v>290535</v>
      </c>
      <c r="AZ202" s="42">
        <v>0</v>
      </c>
      <c r="BB202" s="5">
        <f t="shared" si="29"/>
        <v>79720088</v>
      </c>
      <c r="BD202" s="42">
        <v>1234685</v>
      </c>
      <c r="BF202" s="42">
        <v>0</v>
      </c>
      <c r="BH202" s="42">
        <v>0</v>
      </c>
      <c r="BJ202" s="42">
        <v>0</v>
      </c>
      <c r="BL202" s="5">
        <f t="shared" si="28"/>
        <v>80954773</v>
      </c>
      <c r="BN202" s="5">
        <f>'Gov Fd Rev'!AQ202-'Gov Fd Exp'!BL202</f>
        <v>1104234</v>
      </c>
      <c r="BP202" s="42">
        <v>23946615</v>
      </c>
      <c r="BR202" s="42">
        <v>0</v>
      </c>
      <c r="BT202" s="42">
        <v>0</v>
      </c>
      <c r="BV202" s="5">
        <f t="shared" si="27"/>
        <v>25050849</v>
      </c>
      <c r="BW202" s="5"/>
      <c r="BX202" s="5">
        <f>BV202-'Gov Fd BS'!AI202</f>
        <v>0</v>
      </c>
    </row>
    <row r="203" spans="1:76" ht="12" hidden="1" customHeight="1">
      <c r="A203" s="9" t="s">
        <v>611</v>
      </c>
      <c r="B203" s="9"/>
      <c r="C203" s="9" t="s">
        <v>70</v>
      </c>
      <c r="D203" s="9"/>
      <c r="E203" s="23">
        <v>50484</v>
      </c>
      <c r="G203" s="42">
        <v>0</v>
      </c>
      <c r="I203" s="42">
        <v>0</v>
      </c>
      <c r="K203" s="42">
        <v>0</v>
      </c>
      <c r="M203" s="42">
        <v>0</v>
      </c>
      <c r="O203" s="42">
        <v>0</v>
      </c>
      <c r="Q203" s="42">
        <v>0</v>
      </c>
      <c r="S203" s="42">
        <v>0</v>
      </c>
      <c r="U203" s="42">
        <v>0</v>
      </c>
      <c r="W203" s="42">
        <v>0</v>
      </c>
      <c r="Y203" s="42">
        <v>0</v>
      </c>
      <c r="AA203" s="42">
        <v>0</v>
      </c>
      <c r="AC203" s="42">
        <v>0</v>
      </c>
      <c r="AE203" s="42">
        <v>0</v>
      </c>
      <c r="AG203" s="42">
        <v>0</v>
      </c>
      <c r="AI203" s="42">
        <v>0</v>
      </c>
      <c r="AK203" s="42">
        <v>0</v>
      </c>
      <c r="AL203" s="9" t="s">
        <v>611</v>
      </c>
      <c r="AM203" s="9"/>
      <c r="AN203" s="9" t="s">
        <v>70</v>
      </c>
      <c r="AP203" s="42">
        <v>0</v>
      </c>
      <c r="AR203" s="42">
        <v>0</v>
      </c>
      <c r="AT203" s="42">
        <v>0</v>
      </c>
      <c r="AV203" s="42">
        <v>0</v>
      </c>
      <c r="AX203" s="42">
        <v>0</v>
      </c>
      <c r="AZ203" s="42">
        <v>0</v>
      </c>
      <c r="BB203" s="5">
        <f t="shared" si="29"/>
        <v>0</v>
      </c>
      <c r="BD203" s="42">
        <v>0</v>
      </c>
      <c r="BF203" s="42">
        <v>0</v>
      </c>
      <c r="BH203" s="42">
        <v>0</v>
      </c>
      <c r="BJ203" s="42">
        <v>0</v>
      </c>
      <c r="BL203" s="5">
        <f t="shared" si="28"/>
        <v>0</v>
      </c>
      <c r="BN203" s="5">
        <f>'Gov Fd Rev'!AQ203-'Gov Fd Exp'!BL203</f>
        <v>0</v>
      </c>
      <c r="BP203" s="42">
        <v>0</v>
      </c>
      <c r="BR203" s="42">
        <v>0</v>
      </c>
      <c r="BT203" s="42">
        <v>0</v>
      </c>
      <c r="BV203" s="5">
        <f t="shared" si="27"/>
        <v>0</v>
      </c>
      <c r="BW203" s="5"/>
      <c r="BX203" s="5">
        <f>BV203-'Gov Fd BS'!AI203</f>
        <v>0</v>
      </c>
    </row>
    <row r="204" spans="1:76">
      <c r="A204" s="9" t="s">
        <v>486</v>
      </c>
      <c r="B204" s="9"/>
      <c r="C204" s="9" t="s">
        <v>61</v>
      </c>
      <c r="D204" s="9"/>
      <c r="E204" s="23">
        <v>49783</v>
      </c>
      <c r="G204" s="42">
        <v>3688411</v>
      </c>
      <c r="I204" s="42">
        <v>735584</v>
      </c>
      <c r="K204" s="42">
        <v>0</v>
      </c>
      <c r="M204" s="42">
        <v>0</v>
      </c>
      <c r="O204" s="42">
        <v>0</v>
      </c>
      <c r="Q204" s="42">
        <v>615022</v>
      </c>
      <c r="S204" s="42">
        <v>85898</v>
      </c>
      <c r="U204" s="42">
        <v>22573</v>
      </c>
      <c r="W204" s="42">
        <v>526325</v>
      </c>
      <c r="Y204" s="42">
        <v>250404</v>
      </c>
      <c r="AA204" s="42">
        <v>742</v>
      </c>
      <c r="AC204" s="42">
        <v>970580</v>
      </c>
      <c r="AE204" s="42">
        <v>332304</v>
      </c>
      <c r="AG204" s="42">
        <v>70977</v>
      </c>
      <c r="AI204" s="42">
        <v>0</v>
      </c>
      <c r="AK204" s="42">
        <v>341014</v>
      </c>
      <c r="AL204" s="9" t="s">
        <v>486</v>
      </c>
      <c r="AM204" s="9"/>
      <c r="AN204" s="9" t="s">
        <v>61</v>
      </c>
      <c r="AP204" s="42">
        <v>457648</v>
      </c>
      <c r="AR204" s="42">
        <v>0</v>
      </c>
      <c r="AT204" s="42">
        <v>0</v>
      </c>
      <c r="AV204" s="42">
        <v>325000</v>
      </c>
      <c r="AX204" s="42">
        <v>175000</v>
      </c>
      <c r="AZ204" s="42">
        <v>389417</v>
      </c>
      <c r="BB204" s="5">
        <f t="shared" si="29"/>
        <v>8986899</v>
      </c>
      <c r="BD204" s="42">
        <v>111203</v>
      </c>
      <c r="BF204" s="42">
        <v>0</v>
      </c>
      <c r="BH204" s="42">
        <v>0</v>
      </c>
      <c r="BJ204" s="42">
        <v>715000</v>
      </c>
      <c r="BL204" s="5">
        <f t="shared" si="28"/>
        <v>9813102</v>
      </c>
      <c r="BN204" s="5">
        <f>'Gov Fd Rev'!AQ204-'Gov Fd Exp'!BL204</f>
        <v>149084</v>
      </c>
      <c r="BP204" s="42">
        <v>4417347</v>
      </c>
      <c r="BR204" s="42">
        <v>0</v>
      </c>
      <c r="BT204" s="42">
        <v>0</v>
      </c>
      <c r="BV204" s="5">
        <f t="shared" si="27"/>
        <v>4566431</v>
      </c>
      <c r="BW204" s="5"/>
      <c r="BX204" s="5">
        <f>BV204-'Gov Fd BS'!AI204</f>
        <v>0</v>
      </c>
    </row>
    <row r="205" spans="1:76" ht="12" hidden="1" customHeight="1">
      <c r="A205" s="9" t="s">
        <v>758</v>
      </c>
      <c r="B205" s="9"/>
      <c r="C205" s="9" t="s">
        <v>419</v>
      </c>
      <c r="D205" s="9"/>
      <c r="E205" s="23">
        <v>48595</v>
      </c>
      <c r="G205" s="42">
        <v>0</v>
      </c>
      <c r="I205" s="42">
        <v>0</v>
      </c>
      <c r="K205" s="42">
        <v>0</v>
      </c>
      <c r="M205" s="42">
        <v>0</v>
      </c>
      <c r="O205" s="42">
        <v>0</v>
      </c>
      <c r="Q205" s="42">
        <v>0</v>
      </c>
      <c r="S205" s="42">
        <v>0</v>
      </c>
      <c r="U205" s="42">
        <v>0</v>
      </c>
      <c r="W205" s="42">
        <v>0</v>
      </c>
      <c r="Y205" s="42">
        <v>0</v>
      </c>
      <c r="AA205" s="42">
        <v>0</v>
      </c>
      <c r="AC205" s="42">
        <v>0</v>
      </c>
      <c r="AE205" s="42">
        <v>0</v>
      </c>
      <c r="AG205" s="42">
        <v>0</v>
      </c>
      <c r="AI205" s="42">
        <v>0</v>
      </c>
      <c r="AK205" s="42">
        <v>0</v>
      </c>
      <c r="AL205" s="9" t="s">
        <v>758</v>
      </c>
      <c r="AM205" s="9"/>
      <c r="AN205" s="9" t="s">
        <v>419</v>
      </c>
      <c r="AP205" s="42">
        <v>0</v>
      </c>
      <c r="AR205" s="42">
        <v>0</v>
      </c>
      <c r="AT205" s="42">
        <v>0</v>
      </c>
      <c r="AV205" s="42">
        <v>0</v>
      </c>
      <c r="AX205" s="42">
        <v>0</v>
      </c>
      <c r="AZ205" s="42">
        <v>0</v>
      </c>
      <c r="BB205" s="5">
        <f t="shared" si="29"/>
        <v>0</v>
      </c>
      <c r="BD205" s="42">
        <v>0</v>
      </c>
      <c r="BF205" s="42">
        <v>0</v>
      </c>
      <c r="BH205" s="42">
        <v>0</v>
      </c>
      <c r="BJ205" s="42">
        <v>0</v>
      </c>
      <c r="BL205" s="5">
        <f t="shared" si="28"/>
        <v>0</v>
      </c>
      <c r="BN205" s="5">
        <f>'Gov Fd Rev'!AQ205-'Gov Fd Exp'!BL205</f>
        <v>0</v>
      </c>
      <c r="BP205" s="42">
        <v>0</v>
      </c>
      <c r="BR205" s="42">
        <v>0</v>
      </c>
      <c r="BT205" s="42">
        <v>0</v>
      </c>
      <c r="BV205" s="5">
        <f t="shared" si="27"/>
        <v>0</v>
      </c>
      <c r="BW205" s="5"/>
      <c r="BX205" s="5">
        <f>BV205-'Gov Fd BS'!AI205</f>
        <v>0</v>
      </c>
    </row>
    <row r="206" spans="1:76" ht="12" hidden="1" customHeight="1">
      <c r="A206" s="9" t="s">
        <v>741</v>
      </c>
      <c r="B206" s="9"/>
      <c r="C206" s="9" t="s">
        <v>60</v>
      </c>
      <c r="D206" s="9"/>
      <c r="E206" s="23">
        <v>43992</v>
      </c>
      <c r="G206" s="42">
        <v>0</v>
      </c>
      <c r="I206" s="42">
        <v>0</v>
      </c>
      <c r="K206" s="42">
        <v>0</v>
      </c>
      <c r="M206" s="42">
        <v>0</v>
      </c>
      <c r="O206" s="42">
        <v>0</v>
      </c>
      <c r="Q206" s="42">
        <v>0</v>
      </c>
      <c r="S206" s="42">
        <v>0</v>
      </c>
      <c r="U206" s="42">
        <v>0</v>
      </c>
      <c r="W206" s="42">
        <v>0</v>
      </c>
      <c r="Y206" s="42">
        <v>0</v>
      </c>
      <c r="AA206" s="42">
        <v>0</v>
      </c>
      <c r="AC206" s="42">
        <v>0</v>
      </c>
      <c r="AE206" s="42">
        <v>0</v>
      </c>
      <c r="AG206" s="42">
        <v>0</v>
      </c>
      <c r="AI206" s="42">
        <v>0</v>
      </c>
      <c r="AK206" s="42">
        <v>0</v>
      </c>
      <c r="AL206" s="9" t="s">
        <v>741</v>
      </c>
      <c r="AM206" s="9"/>
      <c r="AN206" s="9" t="s">
        <v>60</v>
      </c>
      <c r="AP206" s="42">
        <v>0</v>
      </c>
      <c r="AR206" s="42">
        <v>0</v>
      </c>
      <c r="AT206" s="42">
        <v>0</v>
      </c>
      <c r="AV206" s="42">
        <v>0</v>
      </c>
      <c r="AX206" s="42">
        <v>0</v>
      </c>
      <c r="AZ206" s="42">
        <v>0</v>
      </c>
      <c r="BB206" s="5">
        <f t="shared" si="29"/>
        <v>0</v>
      </c>
      <c r="BD206" s="42">
        <v>0</v>
      </c>
      <c r="BF206" s="42">
        <v>0</v>
      </c>
      <c r="BH206" s="42">
        <v>0</v>
      </c>
      <c r="BJ206" s="42">
        <v>0</v>
      </c>
      <c r="BL206" s="5">
        <f t="shared" si="28"/>
        <v>0</v>
      </c>
      <c r="BN206" s="5">
        <f>'Gov Fd Rev'!AQ206-'Gov Fd Exp'!BL206</f>
        <v>0</v>
      </c>
      <c r="BP206" s="42">
        <v>0</v>
      </c>
      <c r="BR206" s="42">
        <v>0</v>
      </c>
      <c r="BT206" s="42">
        <v>0</v>
      </c>
      <c r="BV206" s="5">
        <f t="shared" si="27"/>
        <v>0</v>
      </c>
      <c r="BW206" s="5"/>
      <c r="BX206" s="5">
        <f>BV206-'Gov Fd BS'!AI206</f>
        <v>0</v>
      </c>
    </row>
    <row r="207" spans="1:76">
      <c r="A207" s="9" t="s">
        <v>540</v>
      </c>
      <c r="B207" s="9"/>
      <c r="C207" s="9" t="s">
        <v>69</v>
      </c>
      <c r="D207" s="9"/>
      <c r="E207" s="23">
        <v>44008</v>
      </c>
      <c r="G207" s="42">
        <v>14931614</v>
      </c>
      <c r="I207" s="42">
        <v>4034882</v>
      </c>
      <c r="K207" s="42">
        <v>282101</v>
      </c>
      <c r="M207" s="42">
        <v>0</v>
      </c>
      <c r="O207" s="42">
        <f>318+70833</f>
        <v>71151</v>
      </c>
      <c r="Q207" s="42">
        <v>1458786</v>
      </c>
      <c r="S207" s="42">
        <v>1522551</v>
      </c>
      <c r="U207" s="42">
        <v>34560</v>
      </c>
      <c r="W207" s="42">
        <v>2106088</v>
      </c>
      <c r="Y207" s="42">
        <v>573852</v>
      </c>
      <c r="AA207" s="42">
        <v>168863</v>
      </c>
      <c r="AC207" s="42">
        <v>2505224</v>
      </c>
      <c r="AE207" s="42">
        <v>1352107</v>
      </c>
      <c r="AG207" s="42">
        <v>400122</v>
      </c>
      <c r="AI207" s="42">
        <v>0</v>
      </c>
      <c r="AK207" s="42">
        <v>1786100</v>
      </c>
      <c r="AL207" s="9" t="s">
        <v>540</v>
      </c>
      <c r="AM207" s="9"/>
      <c r="AN207" s="9" t="s">
        <v>69</v>
      </c>
      <c r="AP207" s="42">
        <v>858614</v>
      </c>
      <c r="AR207" s="42">
        <v>0</v>
      </c>
      <c r="AT207" s="42">
        <v>0</v>
      </c>
      <c r="AV207" s="42">
        <v>220146</v>
      </c>
      <c r="AX207" s="42">
        <v>262296</v>
      </c>
      <c r="AZ207" s="42">
        <v>0</v>
      </c>
      <c r="BB207" s="5">
        <f t="shared" si="29"/>
        <v>32569057</v>
      </c>
      <c r="BD207" s="42">
        <v>0</v>
      </c>
      <c r="BF207" s="42">
        <v>0</v>
      </c>
      <c r="BH207" s="42">
        <v>0</v>
      </c>
      <c r="BJ207" s="42">
        <v>0</v>
      </c>
      <c r="BL207" s="5">
        <f t="shared" si="28"/>
        <v>32569057</v>
      </c>
      <c r="BN207" s="5">
        <f>'Gov Fd Rev'!AQ207-'Gov Fd Exp'!BL207</f>
        <v>2120</v>
      </c>
      <c r="BP207" s="42">
        <v>4971935</v>
      </c>
      <c r="BR207" s="42">
        <v>0</v>
      </c>
      <c r="BT207" s="42">
        <v>0</v>
      </c>
      <c r="BV207" s="5">
        <f t="shared" si="27"/>
        <v>4974055</v>
      </c>
      <c r="BW207" s="5"/>
      <c r="BX207" s="5">
        <f>BV207-'Gov Fd BS'!AI207</f>
        <v>0</v>
      </c>
    </row>
    <row r="208" spans="1:76">
      <c r="A208" s="9" t="s">
        <v>441</v>
      </c>
      <c r="B208" s="9"/>
      <c r="C208" s="9" t="s">
        <v>51</v>
      </c>
      <c r="D208" s="9"/>
      <c r="E208" s="23">
        <v>48843</v>
      </c>
      <c r="G208" s="42">
        <v>11979679</v>
      </c>
      <c r="I208" s="42">
        <v>2374525</v>
      </c>
      <c r="K208" s="42">
        <v>116169</v>
      </c>
      <c r="M208" s="42">
        <v>0</v>
      </c>
      <c r="O208" s="42">
        <v>223182</v>
      </c>
      <c r="Q208" s="42">
        <v>721444</v>
      </c>
      <c r="S208" s="42">
        <v>491481</v>
      </c>
      <c r="U208" s="42">
        <v>109326</v>
      </c>
      <c r="W208" s="42">
        <v>1452046</v>
      </c>
      <c r="Y208" s="42">
        <v>450752</v>
      </c>
      <c r="AA208" s="42">
        <v>0</v>
      </c>
      <c r="AC208" s="42">
        <v>1878796</v>
      </c>
      <c r="AE208" s="42">
        <v>1588982</v>
      </c>
      <c r="AG208" s="42">
        <v>181580</v>
      </c>
      <c r="AI208" s="42">
        <v>1155501</v>
      </c>
      <c r="AK208" s="42">
        <v>2762</v>
      </c>
      <c r="AL208" s="9" t="s">
        <v>441</v>
      </c>
      <c r="AM208" s="9"/>
      <c r="AN208" s="9" t="s">
        <v>51</v>
      </c>
      <c r="AP208" s="42">
        <v>565309</v>
      </c>
      <c r="AR208" s="42">
        <v>1648538</v>
      </c>
      <c r="AT208" s="42">
        <v>0</v>
      </c>
      <c r="AV208" s="42">
        <v>561497</v>
      </c>
      <c r="AX208" s="42">
        <v>184036</v>
      </c>
      <c r="AZ208" s="42">
        <v>74649</v>
      </c>
      <c r="BB208" s="5">
        <f t="shared" si="29"/>
        <v>25760254</v>
      </c>
      <c r="BD208" s="42">
        <v>1575000</v>
      </c>
      <c r="BF208" s="42">
        <v>0</v>
      </c>
      <c r="BH208" s="42">
        <v>0</v>
      </c>
      <c r="BJ208" s="42">
        <v>2289117</v>
      </c>
      <c r="BL208" s="5">
        <f t="shared" si="28"/>
        <v>29624371</v>
      </c>
      <c r="BN208" s="5">
        <f>'Gov Fd Rev'!AQ208-'Gov Fd Exp'!BL208</f>
        <v>352424</v>
      </c>
      <c r="BP208" s="42">
        <v>11329653</v>
      </c>
      <c r="BR208" s="42">
        <v>0</v>
      </c>
      <c r="BT208" s="42">
        <v>0</v>
      </c>
      <c r="BV208" s="5">
        <f t="shared" si="27"/>
        <v>11682077</v>
      </c>
      <c r="BW208" s="5"/>
      <c r="BX208" s="5">
        <f>BV208-'Gov Fd BS'!AI208</f>
        <v>0</v>
      </c>
    </row>
    <row r="209" spans="1:76" ht="12" hidden="1" customHeight="1">
      <c r="A209" s="9" t="s">
        <v>610</v>
      </c>
      <c r="B209" s="9"/>
      <c r="C209" s="9" t="s">
        <v>21</v>
      </c>
      <c r="D209" s="9"/>
      <c r="E209" s="23">
        <v>46649</v>
      </c>
      <c r="G209" s="42">
        <v>0</v>
      </c>
      <c r="I209" s="42">
        <v>0</v>
      </c>
      <c r="K209" s="42">
        <v>0</v>
      </c>
      <c r="M209" s="42">
        <v>0</v>
      </c>
      <c r="O209" s="42">
        <v>0</v>
      </c>
      <c r="Q209" s="42">
        <v>0</v>
      </c>
      <c r="S209" s="42">
        <v>0</v>
      </c>
      <c r="U209" s="42">
        <v>0</v>
      </c>
      <c r="W209" s="42">
        <v>0</v>
      </c>
      <c r="Y209" s="42">
        <v>0</v>
      </c>
      <c r="AA209" s="42">
        <v>0</v>
      </c>
      <c r="AC209" s="42">
        <v>0</v>
      </c>
      <c r="AE209" s="42">
        <v>0</v>
      </c>
      <c r="AG209" s="42">
        <v>0</v>
      </c>
      <c r="AI209" s="42">
        <v>0</v>
      </c>
      <c r="AK209" s="42">
        <v>0</v>
      </c>
      <c r="AL209" s="9" t="s">
        <v>610</v>
      </c>
      <c r="AM209" s="9"/>
      <c r="AN209" s="9" t="s">
        <v>21</v>
      </c>
      <c r="AP209" s="42">
        <v>0</v>
      </c>
      <c r="AR209" s="42">
        <v>0</v>
      </c>
      <c r="AT209" s="42">
        <v>0</v>
      </c>
      <c r="AV209" s="42">
        <v>0</v>
      </c>
      <c r="AX209" s="42">
        <v>0</v>
      </c>
      <c r="AZ209" s="42">
        <v>0</v>
      </c>
      <c r="BB209" s="5">
        <f t="shared" si="29"/>
        <v>0</v>
      </c>
      <c r="BD209" s="42">
        <v>0</v>
      </c>
      <c r="BF209" s="42">
        <v>0</v>
      </c>
      <c r="BH209" s="42">
        <v>0</v>
      </c>
      <c r="BJ209" s="42">
        <v>0</v>
      </c>
      <c r="BL209" s="5">
        <f t="shared" si="28"/>
        <v>0</v>
      </c>
      <c r="BN209" s="5">
        <f>'Gov Fd Rev'!AQ209-'Gov Fd Exp'!BL209</f>
        <v>0</v>
      </c>
      <c r="BP209" s="42">
        <v>0</v>
      </c>
      <c r="BR209" s="42">
        <v>0</v>
      </c>
      <c r="BT209" s="42">
        <v>0</v>
      </c>
      <c r="BV209" s="5">
        <f t="shared" si="27"/>
        <v>0</v>
      </c>
      <c r="BW209" s="5"/>
      <c r="BX209" s="5">
        <f>BV209-'Gov Fd BS'!AI209</f>
        <v>0</v>
      </c>
    </row>
    <row r="210" spans="1:76" ht="12" hidden="1" customHeight="1">
      <c r="A210" s="9" t="s">
        <v>659</v>
      </c>
      <c r="B210" s="9"/>
      <c r="C210" s="9" t="s">
        <v>40</v>
      </c>
      <c r="D210" s="9"/>
      <c r="E210" s="23">
        <v>47852</v>
      </c>
      <c r="G210" s="42">
        <v>0</v>
      </c>
      <c r="I210" s="42">
        <v>0</v>
      </c>
      <c r="K210" s="42">
        <v>0</v>
      </c>
      <c r="M210" s="42">
        <v>0</v>
      </c>
      <c r="O210" s="42">
        <v>0</v>
      </c>
      <c r="Q210" s="42">
        <v>0</v>
      </c>
      <c r="S210" s="42">
        <v>0</v>
      </c>
      <c r="U210" s="42">
        <v>0</v>
      </c>
      <c r="W210" s="42">
        <v>0</v>
      </c>
      <c r="Y210" s="42">
        <v>0</v>
      </c>
      <c r="AA210" s="42">
        <v>0</v>
      </c>
      <c r="AC210" s="42">
        <v>0</v>
      </c>
      <c r="AE210" s="42">
        <v>0</v>
      </c>
      <c r="AG210" s="42">
        <v>0</v>
      </c>
      <c r="AI210" s="42">
        <v>0</v>
      </c>
      <c r="AK210" s="42">
        <v>0</v>
      </c>
      <c r="AL210" s="9" t="s">
        <v>659</v>
      </c>
      <c r="AM210" s="9"/>
      <c r="AN210" s="9" t="s">
        <v>40</v>
      </c>
      <c r="AP210" s="42">
        <v>0</v>
      </c>
      <c r="AR210" s="42">
        <v>0</v>
      </c>
      <c r="AT210" s="42">
        <v>0</v>
      </c>
      <c r="AV210" s="42">
        <v>0</v>
      </c>
      <c r="AX210" s="42">
        <v>0</v>
      </c>
      <c r="AZ210" s="42">
        <v>0</v>
      </c>
      <c r="BB210" s="5">
        <f t="shared" si="29"/>
        <v>0</v>
      </c>
      <c r="BD210" s="42">
        <v>0</v>
      </c>
      <c r="BF210" s="42">
        <v>0</v>
      </c>
      <c r="BH210" s="42">
        <v>0</v>
      </c>
      <c r="BJ210" s="42">
        <v>0</v>
      </c>
      <c r="BL210" s="5">
        <f t="shared" si="28"/>
        <v>0</v>
      </c>
      <c r="BN210" s="5">
        <f>'Gov Fd Rev'!AQ210-'Gov Fd Exp'!BL210</f>
        <v>0</v>
      </c>
      <c r="BP210" s="42">
        <v>0</v>
      </c>
      <c r="BR210" s="42">
        <v>0</v>
      </c>
      <c r="BT210" s="42">
        <v>0</v>
      </c>
      <c r="BV210" s="5">
        <f t="shared" si="27"/>
        <v>0</v>
      </c>
      <c r="BW210" s="5"/>
      <c r="BX210" s="5">
        <f>BV210-'Gov Fd BS'!AI210</f>
        <v>0</v>
      </c>
    </row>
    <row r="211" spans="1:76">
      <c r="A211" s="9" t="s">
        <v>639</v>
      </c>
      <c r="B211" s="9"/>
      <c r="C211" s="9" t="s">
        <v>79</v>
      </c>
      <c r="D211" s="9"/>
      <c r="E211" s="23">
        <v>44016</v>
      </c>
      <c r="G211" s="42">
        <v>18674331</v>
      </c>
      <c r="I211" s="42">
        <v>6151316</v>
      </c>
      <c r="K211" s="42">
        <v>129647</v>
      </c>
      <c r="M211" s="42">
        <v>0</v>
      </c>
      <c r="O211" s="42">
        <v>237810</v>
      </c>
      <c r="Q211" s="42">
        <v>2520218</v>
      </c>
      <c r="S211" s="42">
        <v>2083318</v>
      </c>
      <c r="U211" s="42">
        <v>67830</v>
      </c>
      <c r="W211" s="42">
        <v>3207357</v>
      </c>
      <c r="Y211" s="42">
        <v>779975</v>
      </c>
      <c r="AA211" s="42">
        <v>152614</v>
      </c>
      <c r="AC211" s="42">
        <v>3972808</v>
      </c>
      <c r="AE211" s="42">
        <v>1515760</v>
      </c>
      <c r="AG211" s="42">
        <v>527681</v>
      </c>
      <c r="AI211" s="42">
        <v>0</v>
      </c>
      <c r="AK211" s="42">
        <v>2071481</v>
      </c>
      <c r="AL211" s="9" t="s">
        <v>639</v>
      </c>
      <c r="AM211" s="9"/>
      <c r="AN211" s="9" t="s">
        <v>79</v>
      </c>
      <c r="AP211" s="42">
        <v>922393</v>
      </c>
      <c r="AR211" s="42">
        <v>977238</v>
      </c>
      <c r="AT211" s="42">
        <v>0</v>
      </c>
      <c r="AV211" s="42">
        <v>473568</v>
      </c>
      <c r="AX211" s="42">
        <v>752481</v>
      </c>
      <c r="AZ211" s="42">
        <v>0</v>
      </c>
      <c r="BB211" s="5">
        <f t="shared" si="29"/>
        <v>45217826</v>
      </c>
      <c r="BD211" s="42">
        <v>3853</v>
      </c>
      <c r="BF211" s="42">
        <v>0</v>
      </c>
      <c r="BH211" s="42">
        <v>0</v>
      </c>
      <c r="BJ211" s="42">
        <v>0</v>
      </c>
      <c r="BL211" s="5">
        <f t="shared" si="28"/>
        <v>45221679</v>
      </c>
      <c r="BN211" s="5">
        <f>'Gov Fd Rev'!AQ211-'Gov Fd Exp'!BL211</f>
        <v>-2028420</v>
      </c>
      <c r="BP211" s="42">
        <v>22244793</v>
      </c>
      <c r="BR211" s="42">
        <v>0</v>
      </c>
      <c r="BT211" s="42">
        <v>0</v>
      </c>
      <c r="BV211" s="5">
        <f t="shared" si="27"/>
        <v>20216373</v>
      </c>
      <c r="BW211" s="5"/>
      <c r="BX211" s="5">
        <f>BV211-'Gov Fd BS'!AI211</f>
        <v>0</v>
      </c>
    </row>
    <row r="212" spans="1:76">
      <c r="A212" s="9" t="s">
        <v>544</v>
      </c>
      <c r="B212" s="9"/>
      <c r="C212" s="9" t="s">
        <v>70</v>
      </c>
      <c r="D212" s="9"/>
      <c r="E212" s="23">
        <v>50492</v>
      </c>
      <c r="G212" s="42">
        <v>3060938</v>
      </c>
      <c r="I212" s="42">
        <v>1242609</v>
      </c>
      <c r="K212" s="42">
        <v>214071</v>
      </c>
      <c r="M212" s="42">
        <v>250</v>
      </c>
      <c r="O212" s="42">
        <v>0</v>
      </c>
      <c r="Q212" s="42">
        <v>299592</v>
      </c>
      <c r="S212" s="42">
        <v>108938</v>
      </c>
      <c r="U212" s="42">
        <v>28200</v>
      </c>
      <c r="W212" s="42">
        <v>951506</v>
      </c>
      <c r="Y212" s="42">
        <v>282515</v>
      </c>
      <c r="AA212" s="42">
        <v>19</v>
      </c>
      <c r="AC212" s="42">
        <v>1080915</v>
      </c>
      <c r="AE212" s="42">
        <v>619224</v>
      </c>
      <c r="AG212" s="42">
        <v>13386</v>
      </c>
      <c r="AI212" s="42">
        <v>379518</v>
      </c>
      <c r="AK212" s="42">
        <v>0</v>
      </c>
      <c r="AL212" s="9" t="s">
        <v>544</v>
      </c>
      <c r="AM212" s="9"/>
      <c r="AN212" s="9" t="s">
        <v>70</v>
      </c>
      <c r="AP212" s="42">
        <v>129903</v>
      </c>
      <c r="AR212" s="42">
        <f>1699+173894</f>
        <v>175593</v>
      </c>
      <c r="AT212" s="42">
        <v>0</v>
      </c>
      <c r="AV212" s="42">
        <v>131377</v>
      </c>
      <c r="AX212" s="42">
        <v>77608</v>
      </c>
      <c r="AZ212" s="42">
        <v>0</v>
      </c>
      <c r="BB212" s="5">
        <f t="shared" si="29"/>
        <v>8796162</v>
      </c>
      <c r="BD212" s="42">
        <v>58385</v>
      </c>
      <c r="BF212" s="42">
        <v>0</v>
      </c>
      <c r="BH212" s="42">
        <v>0</v>
      </c>
      <c r="BJ212" s="42">
        <v>0</v>
      </c>
      <c r="BL212" s="5">
        <f t="shared" si="28"/>
        <v>8854547</v>
      </c>
      <c r="BN212" s="5">
        <f>'Gov Fd Rev'!AQ212-'Gov Fd Exp'!BL212</f>
        <v>-475305</v>
      </c>
      <c r="BP212" s="42">
        <v>2115559</v>
      </c>
      <c r="BR212" s="42">
        <v>0</v>
      </c>
      <c r="BT212" s="42">
        <v>0</v>
      </c>
      <c r="BV212" s="5">
        <f t="shared" si="27"/>
        <v>1640254</v>
      </c>
      <c r="BW212" s="5"/>
      <c r="BX212" s="5">
        <f>BV212-'Gov Fd BS'!AI212</f>
        <v>0</v>
      </c>
    </row>
    <row r="213" spans="1:76">
      <c r="A213" s="9" t="s">
        <v>636</v>
      </c>
      <c r="B213" s="9"/>
      <c r="C213" s="9" t="s">
        <v>27</v>
      </c>
      <c r="D213" s="9"/>
      <c r="E213" s="23">
        <v>46961</v>
      </c>
      <c r="G213" s="42">
        <v>40035468</v>
      </c>
      <c r="I213" s="42">
        <v>12259107</v>
      </c>
      <c r="K213" s="42">
        <v>818692</v>
      </c>
      <c r="M213" s="42">
        <v>0</v>
      </c>
      <c r="O213" s="42">
        <v>0</v>
      </c>
      <c r="Q213" s="42">
        <v>3829929</v>
      </c>
      <c r="S213" s="42">
        <v>3576642</v>
      </c>
      <c r="U213" s="42">
        <v>483327</v>
      </c>
      <c r="W213" s="42">
        <v>6915941</v>
      </c>
      <c r="Y213" s="42">
        <v>1832162</v>
      </c>
      <c r="AA213" s="42">
        <v>12934</v>
      </c>
      <c r="AC213" s="42">
        <v>5895886</v>
      </c>
      <c r="AE213" s="42">
        <v>3255254</v>
      </c>
      <c r="AG213" s="42">
        <v>474767</v>
      </c>
      <c r="AI213" s="42">
        <v>2602593</v>
      </c>
      <c r="AK213" s="42">
        <v>1678180</v>
      </c>
      <c r="AL213" s="9" t="s">
        <v>636</v>
      </c>
      <c r="AM213" s="9"/>
      <c r="AN213" s="9" t="s">
        <v>27</v>
      </c>
      <c r="AP213" s="42">
        <v>1322760</v>
      </c>
      <c r="AR213" s="42">
        <v>1449940</v>
      </c>
      <c r="AT213" s="42">
        <v>0</v>
      </c>
      <c r="AV213" s="42">
        <v>3649407</v>
      </c>
      <c r="AX213" s="42">
        <v>1452124</v>
      </c>
      <c r="AZ213" s="42">
        <v>0</v>
      </c>
      <c r="BB213" s="5">
        <f t="shared" si="29"/>
        <v>91545113</v>
      </c>
      <c r="BD213" s="42">
        <v>1554187</v>
      </c>
      <c r="BF213" s="42">
        <v>0</v>
      </c>
      <c r="BH213" s="42">
        <v>0</v>
      </c>
      <c r="BJ213" s="42">
        <v>6542611</v>
      </c>
      <c r="BL213" s="5">
        <f t="shared" si="28"/>
        <v>99641911</v>
      </c>
      <c r="BN213" s="5">
        <f>'Gov Fd Rev'!AQ213-'Gov Fd Exp'!BL213</f>
        <v>-835516</v>
      </c>
      <c r="BP213" s="42">
        <v>28493989</v>
      </c>
      <c r="BR213" s="42">
        <v>0</v>
      </c>
      <c r="BT213" s="42">
        <v>0</v>
      </c>
      <c r="BV213" s="5">
        <f t="shared" si="27"/>
        <v>27658473</v>
      </c>
      <c r="BW213" s="5"/>
      <c r="BX213" s="5">
        <f>BV213-'Gov Fd BS'!AI213</f>
        <v>0</v>
      </c>
    </row>
    <row r="214" spans="1:76">
      <c r="A214" s="9" t="s">
        <v>257</v>
      </c>
      <c r="B214" s="9"/>
      <c r="C214" s="9" t="s">
        <v>110</v>
      </c>
      <c r="D214" s="9"/>
      <c r="E214" s="23">
        <v>44024</v>
      </c>
      <c r="G214" s="42">
        <v>7735642</v>
      </c>
      <c r="I214" s="42">
        <v>2903764</v>
      </c>
      <c r="K214" s="42">
        <v>81017</v>
      </c>
      <c r="M214" s="42">
        <v>0</v>
      </c>
      <c r="O214" s="42">
        <v>0</v>
      </c>
      <c r="Q214" s="42">
        <v>834288</v>
      </c>
      <c r="S214" s="42">
        <v>766350</v>
      </c>
      <c r="U214" s="42">
        <v>80166</v>
      </c>
      <c r="W214" s="42">
        <v>1284240</v>
      </c>
      <c r="Y214" s="42">
        <v>451780</v>
      </c>
      <c r="AA214" s="42">
        <v>0</v>
      </c>
      <c r="AC214" s="42">
        <v>1499221</v>
      </c>
      <c r="AE214" s="42">
        <v>720504</v>
      </c>
      <c r="AG214" s="42">
        <v>181191</v>
      </c>
      <c r="AI214" s="42">
        <v>0</v>
      </c>
      <c r="AK214" s="42">
        <v>1156810</v>
      </c>
      <c r="AL214" s="9" t="s">
        <v>257</v>
      </c>
      <c r="AM214" s="9"/>
      <c r="AN214" s="9" t="s">
        <v>110</v>
      </c>
      <c r="AP214" s="42">
        <v>587971</v>
      </c>
      <c r="AR214" s="42">
        <v>661732</v>
      </c>
      <c r="AT214" s="42">
        <v>0</v>
      </c>
      <c r="AV214" s="42">
        <v>170000</v>
      </c>
      <c r="AX214" s="42">
        <v>1119857</v>
      </c>
      <c r="AZ214" s="42">
        <v>0</v>
      </c>
      <c r="BB214" s="5">
        <f t="shared" si="29"/>
        <v>20234533</v>
      </c>
      <c r="BD214" s="42">
        <v>41406</v>
      </c>
      <c r="BF214" s="42">
        <v>0</v>
      </c>
      <c r="BH214" s="42">
        <v>0</v>
      </c>
      <c r="BJ214" s="42">
        <v>9514617</v>
      </c>
      <c r="BL214" s="5">
        <f t="shared" si="28"/>
        <v>29790556</v>
      </c>
      <c r="BN214" s="5">
        <f>'Gov Fd Rev'!AQ214-'Gov Fd Exp'!BL214</f>
        <v>-258360</v>
      </c>
      <c r="BP214" s="42">
        <v>4007711</v>
      </c>
      <c r="BR214" s="42">
        <v>0</v>
      </c>
      <c r="BT214" s="42">
        <v>0</v>
      </c>
      <c r="BV214" s="5">
        <f t="shared" si="27"/>
        <v>3749351</v>
      </c>
      <c r="BW214" s="5"/>
      <c r="BX214" s="5">
        <f>BV214-'Gov Fd BS'!AI214</f>
        <v>0</v>
      </c>
    </row>
    <row r="215" spans="1:76">
      <c r="A215" s="9" t="s">
        <v>637</v>
      </c>
      <c r="B215" s="9"/>
      <c r="C215" s="9" t="s">
        <v>29</v>
      </c>
      <c r="D215" s="9"/>
      <c r="E215" s="23">
        <v>65680</v>
      </c>
      <c r="G215" s="42">
        <v>8710695</v>
      </c>
      <c r="I215" s="42">
        <v>2813940</v>
      </c>
      <c r="K215" s="42">
        <v>455363</v>
      </c>
      <c r="M215" s="42">
        <v>0</v>
      </c>
      <c r="O215" s="42">
        <v>2018128</v>
      </c>
      <c r="Q215" s="42">
        <v>555422</v>
      </c>
      <c r="S215" s="42">
        <v>1089731</v>
      </c>
      <c r="U215" s="42">
        <v>160175</v>
      </c>
      <c r="W215" s="42">
        <v>1741317</v>
      </c>
      <c r="Y215" s="42">
        <v>709547</v>
      </c>
      <c r="AA215" s="42">
        <v>30976</v>
      </c>
      <c r="AC215" s="42">
        <v>2440573</v>
      </c>
      <c r="AE215" s="42">
        <v>2439989</v>
      </c>
      <c r="AG215" s="42">
        <v>693966</v>
      </c>
      <c r="AI215" s="42">
        <v>0</v>
      </c>
      <c r="AK215" s="42">
        <v>1169311</v>
      </c>
      <c r="AL215" s="9" t="s">
        <v>637</v>
      </c>
      <c r="AM215" s="9"/>
      <c r="AN215" s="9" t="s">
        <v>29</v>
      </c>
      <c r="AP215" s="42">
        <v>538376</v>
      </c>
      <c r="AR215" s="42">
        <v>457386</v>
      </c>
      <c r="AT215" s="42">
        <v>0</v>
      </c>
      <c r="AV215" s="42">
        <v>1091240</v>
      </c>
      <c r="AX215" s="42">
        <v>1935052</v>
      </c>
      <c r="AZ215" s="42">
        <v>0</v>
      </c>
      <c r="BB215" s="5">
        <f t="shared" si="29"/>
        <v>29051187</v>
      </c>
      <c r="BD215" s="42">
        <v>0</v>
      </c>
      <c r="BF215" s="42">
        <v>0</v>
      </c>
      <c r="BH215" s="42">
        <v>0</v>
      </c>
      <c r="BJ215" s="42">
        <v>0</v>
      </c>
      <c r="BL215" s="5">
        <f t="shared" si="28"/>
        <v>29051187</v>
      </c>
      <c r="BN215" s="5">
        <f>'Gov Fd Rev'!AQ215-'Gov Fd Exp'!BL215</f>
        <v>732734</v>
      </c>
      <c r="BP215" s="42">
        <v>14011328</v>
      </c>
      <c r="BR215" s="42">
        <v>0</v>
      </c>
      <c r="BT215" s="42">
        <v>0</v>
      </c>
      <c r="BV215" s="5">
        <f t="shared" si="27"/>
        <v>14744062</v>
      </c>
      <c r="BW215" s="5"/>
      <c r="BX215" s="5">
        <f>BV215-'Gov Fd BS'!AI215</f>
        <v>0</v>
      </c>
    </row>
    <row r="216" spans="1:76">
      <c r="A216" s="9" t="s">
        <v>311</v>
      </c>
      <c r="B216" s="9"/>
      <c r="C216" s="9" t="s">
        <v>29</v>
      </c>
      <c r="D216" s="9"/>
      <c r="E216" s="23">
        <v>44032</v>
      </c>
      <c r="G216" s="42">
        <v>8991292</v>
      </c>
      <c r="I216" s="42">
        <v>3141481</v>
      </c>
      <c r="K216" s="42">
        <v>115377</v>
      </c>
      <c r="M216" s="42">
        <v>0</v>
      </c>
      <c r="O216" s="42">
        <v>0</v>
      </c>
      <c r="Q216" s="42">
        <v>1094089</v>
      </c>
      <c r="S216" s="42">
        <v>1241407</v>
      </c>
      <c r="U216" s="42">
        <v>49946</v>
      </c>
      <c r="W216" s="42">
        <v>2066517</v>
      </c>
      <c r="Y216" s="42">
        <v>394298</v>
      </c>
      <c r="AA216" s="42">
        <v>0</v>
      </c>
      <c r="AC216" s="42">
        <v>2442535</v>
      </c>
      <c r="AE216" s="42">
        <v>1394463</v>
      </c>
      <c r="AG216" s="42">
        <v>172381</v>
      </c>
      <c r="AI216" s="42">
        <v>865735</v>
      </c>
      <c r="AK216" s="42">
        <v>5455</v>
      </c>
      <c r="AL216" s="9" t="s">
        <v>311</v>
      </c>
      <c r="AM216" s="9"/>
      <c r="AN216" s="9" t="s">
        <v>29</v>
      </c>
      <c r="AP216" s="42">
        <v>558979</v>
      </c>
      <c r="AR216" s="42">
        <v>1340372</v>
      </c>
      <c r="AT216" s="42">
        <v>0</v>
      </c>
      <c r="AV216" s="42">
        <v>610000</v>
      </c>
      <c r="AX216" s="42">
        <v>1077817</v>
      </c>
      <c r="AZ216" s="42">
        <v>0</v>
      </c>
      <c r="BB216" s="5">
        <f t="shared" si="29"/>
        <v>25562144</v>
      </c>
      <c r="BD216" s="42">
        <v>44</v>
      </c>
      <c r="BF216" s="42">
        <v>0</v>
      </c>
      <c r="BH216" s="42">
        <v>0</v>
      </c>
      <c r="BJ216" s="42">
        <v>19641210</v>
      </c>
      <c r="BL216" s="5">
        <f t="shared" si="28"/>
        <v>45203398</v>
      </c>
      <c r="BN216" s="5">
        <f>'Gov Fd Rev'!AQ216-'Gov Fd Exp'!BL216</f>
        <v>-614268</v>
      </c>
      <c r="BP216" s="42">
        <v>5098411</v>
      </c>
      <c r="BR216" s="42">
        <v>-3707</v>
      </c>
      <c r="BT216" s="42">
        <v>0</v>
      </c>
      <c r="BV216" s="5">
        <f t="shared" si="27"/>
        <v>4480436</v>
      </c>
      <c r="BW216" s="5"/>
      <c r="BX216" s="5">
        <f>BV216-'Gov Fd BS'!AI216</f>
        <v>0</v>
      </c>
    </row>
    <row r="217" spans="1:76">
      <c r="A217" s="9" t="s">
        <v>531</v>
      </c>
      <c r="B217" s="9"/>
      <c r="C217" s="9" t="s">
        <v>65</v>
      </c>
      <c r="D217" s="9"/>
      <c r="E217" s="23">
        <v>50278</v>
      </c>
      <c r="G217" s="42">
        <v>5826420</v>
      </c>
      <c r="I217" s="42">
        <v>1552207</v>
      </c>
      <c r="K217" s="42">
        <v>1131</v>
      </c>
      <c r="M217" s="42">
        <v>0</v>
      </c>
      <c r="O217" s="42">
        <v>87396</v>
      </c>
      <c r="Q217" s="42">
        <v>329357</v>
      </c>
      <c r="S217" s="42">
        <v>779325</v>
      </c>
      <c r="U217" s="42">
        <v>15109</v>
      </c>
      <c r="W217" s="42">
        <v>1059787</v>
      </c>
      <c r="Y217" s="42">
        <v>387387</v>
      </c>
      <c r="AA217" s="42">
        <v>0</v>
      </c>
      <c r="AC217" s="42">
        <v>1050159</v>
      </c>
      <c r="AE217" s="42">
        <v>955259</v>
      </c>
      <c r="AG217" s="42">
        <v>40359</v>
      </c>
      <c r="AI217" s="42">
        <v>438410</v>
      </c>
      <c r="AK217" s="42">
        <v>13278</v>
      </c>
      <c r="AL217" s="9" t="s">
        <v>531</v>
      </c>
      <c r="AM217" s="9"/>
      <c r="AN217" s="9" t="s">
        <v>65</v>
      </c>
      <c r="AP217" s="42">
        <v>325271</v>
      </c>
      <c r="AR217" s="42">
        <v>16430</v>
      </c>
      <c r="AT217" s="42">
        <v>0</v>
      </c>
      <c r="AV217" s="42">
        <v>191706</v>
      </c>
      <c r="AX217" s="42">
        <v>22758</v>
      </c>
      <c r="AZ217" s="42">
        <v>0</v>
      </c>
      <c r="BB217" s="5">
        <f t="shared" si="29"/>
        <v>13091749</v>
      </c>
      <c r="BD217" s="42">
        <v>20000</v>
      </c>
      <c r="BF217" s="42">
        <v>0</v>
      </c>
      <c r="BH217" s="42">
        <v>0</v>
      </c>
      <c r="BJ217" s="42">
        <v>0</v>
      </c>
      <c r="BL217" s="5">
        <f t="shared" si="28"/>
        <v>13111749</v>
      </c>
      <c r="BN217" s="5">
        <f>'Gov Fd Rev'!AQ217-'Gov Fd Exp'!BL217</f>
        <v>-907505</v>
      </c>
      <c r="BP217" s="42">
        <v>2912992</v>
      </c>
      <c r="BR217" s="42">
        <v>0</v>
      </c>
      <c r="BT217" s="42">
        <v>0</v>
      </c>
      <c r="BV217" s="5">
        <f t="shared" si="27"/>
        <v>2005487</v>
      </c>
      <c r="BW217" s="5"/>
      <c r="BX217" s="5">
        <f>BV217-'Gov Fd BS'!AI217</f>
        <v>0</v>
      </c>
    </row>
    <row r="218" spans="1:76">
      <c r="A218" s="9" t="s">
        <v>673</v>
      </c>
      <c r="B218" s="9"/>
      <c r="C218" s="9" t="s">
        <v>20</v>
      </c>
      <c r="D218" s="9"/>
      <c r="E218" s="23">
        <v>44040</v>
      </c>
      <c r="G218" s="42">
        <v>15320234</v>
      </c>
      <c r="I218" s="42">
        <v>3790092</v>
      </c>
      <c r="K218" s="42">
        <v>98165</v>
      </c>
      <c r="M218" s="42">
        <v>0</v>
      </c>
      <c r="O218" s="42">
        <v>3964205</v>
      </c>
      <c r="Q218" s="42">
        <v>2312124</v>
      </c>
      <c r="S218" s="42">
        <v>2060361</v>
      </c>
      <c r="U218" s="42">
        <v>53745</v>
      </c>
      <c r="W218" s="42">
        <v>3436871</v>
      </c>
      <c r="Y218" s="42">
        <v>938567</v>
      </c>
      <c r="AA218" s="42">
        <v>615812</v>
      </c>
      <c r="AC218" s="42">
        <v>4045501</v>
      </c>
      <c r="AE218" s="42">
        <v>893402</v>
      </c>
      <c r="AG218" s="42">
        <v>391754</v>
      </c>
      <c r="AI218" s="42">
        <v>1276378</v>
      </c>
      <c r="AK218" s="42">
        <v>1117859</v>
      </c>
      <c r="AL218" s="9" t="s">
        <v>673</v>
      </c>
      <c r="AM218" s="9"/>
      <c r="AN218" s="9" t="s">
        <v>20</v>
      </c>
      <c r="AP218" s="42">
        <v>512156</v>
      </c>
      <c r="AR218" s="42">
        <v>2431018</v>
      </c>
      <c r="AT218" s="42">
        <v>0</v>
      </c>
      <c r="AV218" s="42">
        <v>1524783</v>
      </c>
      <c r="AX218" s="42">
        <v>2793021</v>
      </c>
      <c r="AZ218" s="42">
        <v>0</v>
      </c>
      <c r="BB218" s="5">
        <f t="shared" si="29"/>
        <v>47576048</v>
      </c>
      <c r="BD218" s="42">
        <v>1401460</v>
      </c>
      <c r="BF218" s="42">
        <v>0</v>
      </c>
      <c r="BH218" s="42">
        <v>0</v>
      </c>
      <c r="BJ218" s="42">
        <v>7362218</v>
      </c>
      <c r="BL218" s="5">
        <f t="shared" si="28"/>
        <v>56339726</v>
      </c>
      <c r="BN218" s="5">
        <f>'Gov Fd Rev'!AQ218-'Gov Fd Exp'!BL218</f>
        <v>-2535125</v>
      </c>
      <c r="BP218" s="42">
        <v>9097509</v>
      </c>
      <c r="BR218" s="42">
        <v>0</v>
      </c>
      <c r="BT218" s="42">
        <v>0</v>
      </c>
      <c r="BV218" s="5">
        <f t="shared" si="27"/>
        <v>6562384</v>
      </c>
      <c r="BW218" s="5"/>
      <c r="BX218" s="5">
        <f>BV218-'Gov Fd BS'!AI218</f>
        <v>0</v>
      </c>
    </row>
    <row r="219" spans="1:76">
      <c r="A219" s="9" t="s">
        <v>638</v>
      </c>
      <c r="B219" s="9"/>
      <c r="C219" s="9" t="s">
        <v>12</v>
      </c>
      <c r="D219" s="9"/>
      <c r="E219" s="23">
        <v>44057</v>
      </c>
      <c r="G219" s="42">
        <v>9201667</v>
      </c>
      <c r="I219" s="42">
        <v>3491282</v>
      </c>
      <c r="K219" s="42">
        <v>159587</v>
      </c>
      <c r="M219" s="42">
        <v>0</v>
      </c>
      <c r="O219" s="42">
        <v>1240993</v>
      </c>
      <c r="Q219" s="42">
        <v>1145219</v>
      </c>
      <c r="S219" s="42">
        <v>420418</v>
      </c>
      <c r="U219" s="42">
        <v>16980</v>
      </c>
      <c r="W219" s="42">
        <v>1931276</v>
      </c>
      <c r="Y219" s="42">
        <v>554340</v>
      </c>
      <c r="AA219" s="42">
        <v>29104</v>
      </c>
      <c r="AC219" s="42">
        <v>3071952</v>
      </c>
      <c r="AE219" s="42">
        <v>1142260</v>
      </c>
      <c r="AG219" s="42">
        <v>31046</v>
      </c>
      <c r="AI219" s="42">
        <v>0</v>
      </c>
      <c r="AK219" s="42">
        <v>1398700</v>
      </c>
      <c r="AL219" s="9" t="s">
        <v>638</v>
      </c>
      <c r="AM219" s="9"/>
      <c r="AN219" s="9" t="s">
        <v>12</v>
      </c>
      <c r="AP219" s="42">
        <v>583217</v>
      </c>
      <c r="AR219" s="42">
        <v>1324372</v>
      </c>
      <c r="AT219" s="42">
        <v>0</v>
      </c>
      <c r="AV219" s="42">
        <v>755000</v>
      </c>
      <c r="AX219" s="42">
        <v>439549</v>
      </c>
      <c r="AZ219" s="42">
        <v>0</v>
      </c>
      <c r="BB219" s="5">
        <f t="shared" si="29"/>
        <v>26936962</v>
      </c>
      <c r="BD219" s="42">
        <v>63397</v>
      </c>
      <c r="BF219" s="42">
        <v>0</v>
      </c>
      <c r="BH219" s="42">
        <v>0</v>
      </c>
      <c r="BJ219" s="42">
        <v>0</v>
      </c>
      <c r="BL219" s="5">
        <f t="shared" si="28"/>
        <v>27000359</v>
      </c>
      <c r="BN219" s="5">
        <f>'Gov Fd Rev'!AQ219-'Gov Fd Exp'!BL219</f>
        <v>-819273</v>
      </c>
      <c r="BP219" s="42">
        <v>11561249</v>
      </c>
      <c r="BR219" s="42">
        <v>0</v>
      </c>
      <c r="BT219" s="42">
        <v>0</v>
      </c>
      <c r="BV219" s="5">
        <f t="shared" si="27"/>
        <v>10741976</v>
      </c>
      <c r="BW219" s="5"/>
      <c r="BX219" s="5">
        <f>BV219-'Gov Fd BS'!AI219</f>
        <v>0</v>
      </c>
    </row>
    <row r="220" spans="1:76" hidden="1">
      <c r="A220" s="9" t="s">
        <v>826</v>
      </c>
      <c r="B220" s="9"/>
      <c r="C220" s="9" t="s">
        <v>53</v>
      </c>
      <c r="D220" s="9"/>
      <c r="E220" s="23">
        <v>48942</v>
      </c>
      <c r="G220" s="42">
        <v>0</v>
      </c>
      <c r="I220" s="42">
        <v>0</v>
      </c>
      <c r="K220" s="42">
        <v>0</v>
      </c>
      <c r="M220" s="42">
        <v>0</v>
      </c>
      <c r="O220" s="42">
        <v>0</v>
      </c>
      <c r="Q220" s="42">
        <v>0</v>
      </c>
      <c r="S220" s="42">
        <v>0</v>
      </c>
      <c r="U220" s="42">
        <v>0</v>
      </c>
      <c r="W220" s="42">
        <v>0</v>
      </c>
      <c r="Y220" s="42">
        <v>0</v>
      </c>
      <c r="AA220" s="42">
        <v>0</v>
      </c>
      <c r="AC220" s="42">
        <v>0</v>
      </c>
      <c r="AE220" s="42">
        <v>0</v>
      </c>
      <c r="AG220" s="42">
        <v>0</v>
      </c>
      <c r="AI220" s="42">
        <v>0</v>
      </c>
      <c r="AK220" s="42">
        <v>0</v>
      </c>
      <c r="AL220" s="9" t="s">
        <v>826</v>
      </c>
      <c r="AM220" s="9"/>
      <c r="AN220" s="9" t="s">
        <v>53</v>
      </c>
      <c r="AP220" s="42">
        <v>0</v>
      </c>
      <c r="AR220" s="42">
        <v>0</v>
      </c>
      <c r="AT220" s="42">
        <v>0</v>
      </c>
      <c r="AV220" s="42">
        <v>0</v>
      </c>
      <c r="AX220" s="42">
        <v>0</v>
      </c>
      <c r="AZ220" s="42">
        <v>0</v>
      </c>
      <c r="BB220" s="5">
        <f t="shared" si="29"/>
        <v>0</v>
      </c>
      <c r="BD220" s="42">
        <v>0</v>
      </c>
      <c r="BF220" s="42">
        <v>0</v>
      </c>
      <c r="BH220" s="42">
        <v>0</v>
      </c>
      <c r="BJ220" s="42">
        <v>0</v>
      </c>
      <c r="BL220" s="5">
        <f t="shared" si="28"/>
        <v>0</v>
      </c>
      <c r="BN220" s="5">
        <f>'Gov Fd Rev'!AQ220-'Gov Fd Exp'!BL220</f>
        <v>0</v>
      </c>
      <c r="BP220" s="42">
        <v>0</v>
      </c>
      <c r="BR220" s="42">
        <v>0</v>
      </c>
      <c r="BT220" s="42">
        <v>0</v>
      </c>
      <c r="BV220" s="5">
        <f t="shared" si="27"/>
        <v>0</v>
      </c>
      <c r="BW220" s="5"/>
      <c r="BX220" s="5">
        <f>BV220-'Gov Fd BS'!AI220</f>
        <v>0</v>
      </c>
    </row>
    <row r="221" spans="1:76" hidden="1">
      <c r="A221" s="9" t="s">
        <v>660</v>
      </c>
      <c r="B221" s="9"/>
      <c r="C221" s="9" t="s">
        <v>77</v>
      </c>
      <c r="D221" s="9"/>
      <c r="E221" s="23">
        <v>45377</v>
      </c>
      <c r="G221" s="42">
        <v>0</v>
      </c>
      <c r="I221" s="42">
        <v>0</v>
      </c>
      <c r="K221" s="42">
        <v>0</v>
      </c>
      <c r="M221" s="42">
        <v>0</v>
      </c>
      <c r="O221" s="42">
        <v>0</v>
      </c>
      <c r="Q221" s="42">
        <v>0</v>
      </c>
      <c r="S221" s="42">
        <v>0</v>
      </c>
      <c r="U221" s="42">
        <v>0</v>
      </c>
      <c r="W221" s="42">
        <v>0</v>
      </c>
      <c r="Y221" s="42">
        <v>0</v>
      </c>
      <c r="AA221" s="42">
        <v>0</v>
      </c>
      <c r="AC221" s="42">
        <v>0</v>
      </c>
      <c r="AE221" s="42">
        <v>0</v>
      </c>
      <c r="AG221" s="42">
        <v>0</v>
      </c>
      <c r="AI221" s="42">
        <v>0</v>
      </c>
      <c r="AK221" s="42">
        <v>0</v>
      </c>
      <c r="AL221" s="9" t="s">
        <v>660</v>
      </c>
      <c r="AM221" s="9"/>
      <c r="AN221" s="9" t="s">
        <v>77</v>
      </c>
      <c r="AP221" s="42">
        <v>0</v>
      </c>
      <c r="AR221" s="42">
        <v>0</v>
      </c>
      <c r="AT221" s="42">
        <v>0</v>
      </c>
      <c r="AV221" s="42">
        <v>0</v>
      </c>
      <c r="AX221" s="42">
        <v>0</v>
      </c>
      <c r="AZ221" s="42">
        <v>0</v>
      </c>
      <c r="BB221" s="5">
        <f t="shared" si="29"/>
        <v>0</v>
      </c>
      <c r="BD221" s="42">
        <v>0</v>
      </c>
      <c r="BF221" s="42">
        <v>0</v>
      </c>
      <c r="BH221" s="42">
        <v>0</v>
      </c>
      <c r="BJ221" s="42">
        <v>0</v>
      </c>
      <c r="BL221" s="5">
        <f t="shared" si="28"/>
        <v>0</v>
      </c>
      <c r="BN221" s="5">
        <f>'Gov Fd Rev'!AQ221-'Gov Fd Exp'!BL221</f>
        <v>0</v>
      </c>
      <c r="BP221" s="42">
        <v>0</v>
      </c>
      <c r="BR221" s="42">
        <v>0</v>
      </c>
      <c r="BT221" s="42">
        <v>0</v>
      </c>
      <c r="BV221" s="5">
        <f t="shared" si="27"/>
        <v>0</v>
      </c>
      <c r="BW221" s="5"/>
      <c r="BX221" s="5">
        <f>BV221-'Gov Fd BS'!AI221</f>
        <v>0</v>
      </c>
    </row>
    <row r="222" spans="1:76">
      <c r="A222" s="9" t="s">
        <v>742</v>
      </c>
      <c r="B222" s="9"/>
      <c r="C222" s="9" t="s">
        <v>79</v>
      </c>
      <c r="D222" s="9"/>
      <c r="E222" s="23">
        <v>45385</v>
      </c>
      <c r="G222" s="42">
        <v>4769330</v>
      </c>
      <c r="I222" s="42">
        <v>901970</v>
      </c>
      <c r="K222" s="42">
        <v>195820</v>
      </c>
      <c r="M222" s="42">
        <v>0</v>
      </c>
      <c r="O222" s="42">
        <v>0</v>
      </c>
      <c r="Q222" s="42">
        <v>400791</v>
      </c>
      <c r="S222" s="42">
        <v>12486</v>
      </c>
      <c r="U222" s="42">
        <v>50055</v>
      </c>
      <c r="W222" s="42">
        <v>905958</v>
      </c>
      <c r="Y222" s="42">
        <v>437607</v>
      </c>
      <c r="AA222" s="42">
        <v>6335</v>
      </c>
      <c r="AC222" s="42">
        <v>1163261</v>
      </c>
      <c r="AE222" s="42">
        <v>381650</v>
      </c>
      <c r="AG222" s="42">
        <v>1565</v>
      </c>
      <c r="AI222" s="42">
        <v>510242</v>
      </c>
      <c r="AK222" s="42">
        <v>140549</v>
      </c>
      <c r="AL222" s="9" t="s">
        <v>742</v>
      </c>
      <c r="AM222" s="9"/>
      <c r="AN222" s="9" t="s">
        <v>79</v>
      </c>
      <c r="AP222" s="42">
        <v>328585</v>
      </c>
      <c r="AR222" s="42">
        <v>0</v>
      </c>
      <c r="AT222" s="42">
        <v>0</v>
      </c>
      <c r="AV222" s="42">
        <v>392288</v>
      </c>
      <c r="AX222" s="42">
        <v>118666</v>
      </c>
      <c r="AZ222" s="42">
        <v>0</v>
      </c>
      <c r="BB222" s="5">
        <f t="shared" si="29"/>
        <v>10717158</v>
      </c>
      <c r="BD222" s="42">
        <v>0</v>
      </c>
      <c r="BF222" s="42">
        <v>0</v>
      </c>
      <c r="BH222" s="42">
        <v>0</v>
      </c>
      <c r="BJ222" s="42">
        <v>0</v>
      </c>
      <c r="BL222" s="5">
        <f t="shared" si="28"/>
        <v>10717158</v>
      </c>
      <c r="BN222" s="5">
        <f>'Gov Fd Rev'!AQ222-'Gov Fd Exp'!BL222</f>
        <v>-757235</v>
      </c>
      <c r="BP222" s="42">
        <v>2433413</v>
      </c>
      <c r="BR222" s="42">
        <v>0</v>
      </c>
      <c r="BT222" s="42">
        <v>0</v>
      </c>
      <c r="BV222" s="5">
        <f t="shared" si="27"/>
        <v>1676178</v>
      </c>
      <c r="BW222" s="5"/>
      <c r="BX222" s="5">
        <f>BV222-'Gov Fd BS'!AI222</f>
        <v>0</v>
      </c>
    </row>
    <row r="223" spans="1:76">
      <c r="A223" s="9" t="s">
        <v>517</v>
      </c>
      <c r="B223" s="9"/>
      <c r="C223" s="9" t="s">
        <v>64</v>
      </c>
      <c r="D223" s="9"/>
      <c r="E223" s="23">
        <v>44065</v>
      </c>
      <c r="G223" s="42">
        <v>6840954</v>
      </c>
      <c r="I223" s="42">
        <v>1908256</v>
      </c>
      <c r="K223" s="42">
        <v>229846</v>
      </c>
      <c r="M223" s="42">
        <v>0</v>
      </c>
      <c r="O223" s="42">
        <v>910740</v>
      </c>
      <c r="Q223" s="42">
        <v>1038988</v>
      </c>
      <c r="S223" s="42">
        <v>197691</v>
      </c>
      <c r="U223" s="42">
        <v>30647</v>
      </c>
      <c r="W223" s="42">
        <v>1399671</v>
      </c>
      <c r="Y223" s="42">
        <v>869846</v>
      </c>
      <c r="AA223" s="42">
        <v>0</v>
      </c>
      <c r="AC223" s="42">
        <v>1572457</v>
      </c>
      <c r="AE223" s="42">
        <v>529808</v>
      </c>
      <c r="AG223" s="42">
        <v>0</v>
      </c>
      <c r="AI223" s="42">
        <v>680583</v>
      </c>
      <c r="AK223" s="42">
        <v>272759</v>
      </c>
      <c r="AL223" s="9" t="s">
        <v>517</v>
      </c>
      <c r="AM223" s="9"/>
      <c r="AN223" s="9" t="s">
        <v>64</v>
      </c>
      <c r="AP223" s="42">
        <v>504554</v>
      </c>
      <c r="AR223" s="42">
        <v>238262</v>
      </c>
      <c r="AT223" s="42">
        <v>0</v>
      </c>
      <c r="AV223" s="42">
        <v>615000</v>
      </c>
      <c r="AX223" s="42">
        <v>512770</v>
      </c>
      <c r="AZ223" s="42">
        <v>0</v>
      </c>
      <c r="BB223" s="5">
        <f t="shared" si="29"/>
        <v>18352832</v>
      </c>
      <c r="BD223" s="42">
        <v>93280</v>
      </c>
      <c r="BF223" s="42">
        <v>0</v>
      </c>
      <c r="BH223" s="42">
        <v>0</v>
      </c>
      <c r="BJ223" s="42">
        <v>0</v>
      </c>
      <c r="BL223" s="5">
        <f t="shared" si="28"/>
        <v>18446112</v>
      </c>
      <c r="BN223" s="5">
        <f>'Gov Fd Rev'!AQ223-'Gov Fd Exp'!BL223</f>
        <v>-1184913</v>
      </c>
      <c r="BP223" s="42">
        <v>9701397</v>
      </c>
      <c r="BR223" s="42">
        <v>-2033</v>
      </c>
      <c r="BT223" s="42">
        <v>0</v>
      </c>
      <c r="BV223" s="5">
        <f t="shared" si="27"/>
        <v>8514451</v>
      </c>
      <c r="BW223" s="5"/>
      <c r="BX223" s="5">
        <f>BV223-'Gov Fd BS'!AI223</f>
        <v>0</v>
      </c>
    </row>
    <row r="224" spans="1:76" hidden="1">
      <c r="A224" s="9" t="s">
        <v>784</v>
      </c>
      <c r="B224" s="9"/>
      <c r="C224" s="9" t="s">
        <v>28</v>
      </c>
      <c r="D224" s="9"/>
      <c r="E224" s="23">
        <v>47068</v>
      </c>
      <c r="G224" s="42">
        <v>0</v>
      </c>
      <c r="I224" s="42">
        <v>0</v>
      </c>
      <c r="K224" s="42">
        <v>0</v>
      </c>
      <c r="M224" s="42">
        <v>0</v>
      </c>
      <c r="O224" s="42">
        <v>0</v>
      </c>
      <c r="Q224" s="42">
        <v>0</v>
      </c>
      <c r="S224" s="42">
        <v>0</v>
      </c>
      <c r="U224" s="42">
        <v>0</v>
      </c>
      <c r="W224" s="42">
        <v>0</v>
      </c>
      <c r="Y224" s="42">
        <v>0</v>
      </c>
      <c r="AA224" s="42">
        <v>0</v>
      </c>
      <c r="AC224" s="42">
        <v>0</v>
      </c>
      <c r="AE224" s="42">
        <v>0</v>
      </c>
      <c r="AG224" s="42">
        <v>0</v>
      </c>
      <c r="AI224" s="42">
        <v>0</v>
      </c>
      <c r="AK224" s="42">
        <v>0</v>
      </c>
      <c r="AL224" s="9" t="s">
        <v>784</v>
      </c>
      <c r="AM224" s="9"/>
      <c r="AN224" s="9" t="s">
        <v>28</v>
      </c>
      <c r="AP224" s="42">
        <v>0</v>
      </c>
      <c r="AR224" s="42">
        <v>0</v>
      </c>
      <c r="AT224" s="42">
        <v>0</v>
      </c>
      <c r="AV224" s="42">
        <v>0</v>
      </c>
      <c r="AX224" s="42">
        <v>0</v>
      </c>
      <c r="AZ224" s="42">
        <v>0</v>
      </c>
      <c r="BB224" s="5">
        <f t="shared" si="29"/>
        <v>0</v>
      </c>
      <c r="BD224" s="42">
        <v>0</v>
      </c>
      <c r="BF224" s="42">
        <v>0</v>
      </c>
      <c r="BH224" s="42">
        <v>0</v>
      </c>
      <c r="BJ224" s="42">
        <v>0</v>
      </c>
      <c r="BL224" s="5">
        <f t="shared" si="28"/>
        <v>0</v>
      </c>
      <c r="BN224" s="5">
        <f>'Gov Fd Rev'!AQ224-'Gov Fd Exp'!BL224</f>
        <v>0</v>
      </c>
      <c r="BP224" s="42">
        <v>0</v>
      </c>
      <c r="BR224" s="42">
        <v>0</v>
      </c>
      <c r="BT224" s="42">
        <v>0</v>
      </c>
      <c r="BV224" s="5">
        <f t="shared" si="27"/>
        <v>0</v>
      </c>
      <c r="BW224" s="5"/>
      <c r="BX224" s="5">
        <f>BV224-'Gov Fd BS'!AI224</f>
        <v>0</v>
      </c>
    </row>
    <row r="225" spans="1:76">
      <c r="A225" s="9" t="s">
        <v>238</v>
      </c>
      <c r="B225" s="9"/>
      <c r="C225" s="9" t="s">
        <v>112</v>
      </c>
      <c r="D225" s="9"/>
      <c r="E225" s="23">
        <v>46342</v>
      </c>
      <c r="G225" s="42">
        <v>10212870</v>
      </c>
      <c r="I225" s="42">
        <v>4147835</v>
      </c>
      <c r="K225" s="42">
        <v>381750</v>
      </c>
      <c r="M225" s="42">
        <v>0</v>
      </c>
      <c r="O225" s="42">
        <v>0</v>
      </c>
      <c r="Q225" s="42">
        <v>2117044</v>
      </c>
      <c r="S225" s="42">
        <v>1363451</v>
      </c>
      <c r="U225" s="42">
        <v>23747</v>
      </c>
      <c r="W225" s="42">
        <v>1684537</v>
      </c>
      <c r="Y225" s="42">
        <v>499924</v>
      </c>
      <c r="AA225" s="42">
        <v>150760</v>
      </c>
      <c r="AC225" s="42">
        <v>1803691</v>
      </c>
      <c r="AE225" s="42">
        <v>2591002</v>
      </c>
      <c r="AG225" s="42">
        <v>0</v>
      </c>
      <c r="AI225" s="42">
        <v>1186282</v>
      </c>
      <c r="AK225" s="42">
        <v>19845</v>
      </c>
      <c r="AL225" s="9" t="s">
        <v>238</v>
      </c>
      <c r="AM225" s="9"/>
      <c r="AN225" s="9" t="s">
        <v>112</v>
      </c>
      <c r="AP225" s="42">
        <v>426689</v>
      </c>
      <c r="AR225" s="42">
        <v>0</v>
      </c>
      <c r="AT225" s="42">
        <v>0</v>
      </c>
      <c r="AV225" s="42">
        <v>592734</v>
      </c>
      <c r="AX225" s="42">
        <v>367186</v>
      </c>
      <c r="AZ225" s="42">
        <v>0</v>
      </c>
      <c r="BB225" s="5">
        <f t="shared" si="29"/>
        <v>27569347</v>
      </c>
      <c r="BD225" s="42">
        <v>50844</v>
      </c>
      <c r="BF225" s="42">
        <v>0</v>
      </c>
      <c r="BH225" s="42">
        <v>0</v>
      </c>
      <c r="BJ225" s="42">
        <v>0</v>
      </c>
      <c r="BL225" s="5">
        <f t="shared" si="28"/>
        <v>27620191</v>
      </c>
      <c r="BN225" s="5">
        <f>'Gov Fd Rev'!AQ225-'Gov Fd Exp'!BL225</f>
        <v>545747</v>
      </c>
      <c r="BP225" s="42">
        <v>5528958</v>
      </c>
      <c r="BR225" s="42">
        <v>0</v>
      </c>
      <c r="BT225" s="42">
        <v>0</v>
      </c>
      <c r="BV225" s="5">
        <f t="shared" si="27"/>
        <v>6074705</v>
      </c>
      <c r="BW225" s="5"/>
      <c r="BX225" s="5">
        <f>BV225-'Gov Fd BS'!AI225</f>
        <v>0</v>
      </c>
    </row>
    <row r="226" spans="1:76" hidden="1">
      <c r="A226" s="9" t="s">
        <v>785</v>
      </c>
      <c r="B226" s="9"/>
      <c r="C226" s="9" t="s">
        <v>227</v>
      </c>
      <c r="D226" s="9"/>
      <c r="E226" s="23">
        <v>46193</v>
      </c>
      <c r="G226" s="42">
        <v>0</v>
      </c>
      <c r="I226" s="42">
        <v>0</v>
      </c>
      <c r="K226" s="42">
        <v>0</v>
      </c>
      <c r="M226" s="42">
        <v>0</v>
      </c>
      <c r="O226" s="42">
        <v>0</v>
      </c>
      <c r="Q226" s="42">
        <v>0</v>
      </c>
      <c r="S226" s="42">
        <v>0</v>
      </c>
      <c r="U226" s="42">
        <v>0</v>
      </c>
      <c r="W226" s="42">
        <v>0</v>
      </c>
      <c r="Y226" s="42">
        <v>0</v>
      </c>
      <c r="AA226" s="42">
        <v>0</v>
      </c>
      <c r="AC226" s="42">
        <v>0</v>
      </c>
      <c r="AE226" s="42">
        <v>0</v>
      </c>
      <c r="AG226" s="42">
        <v>0</v>
      </c>
      <c r="AI226" s="42">
        <v>0</v>
      </c>
      <c r="AK226" s="42">
        <v>0</v>
      </c>
      <c r="AL226" s="9" t="s">
        <v>785</v>
      </c>
      <c r="AM226" s="9"/>
      <c r="AN226" s="9" t="s">
        <v>227</v>
      </c>
      <c r="AP226" s="42">
        <v>0</v>
      </c>
      <c r="AR226" s="42">
        <v>0</v>
      </c>
      <c r="AT226" s="42">
        <v>0</v>
      </c>
      <c r="AV226" s="42">
        <v>0</v>
      </c>
      <c r="AX226" s="42">
        <v>0</v>
      </c>
      <c r="AZ226" s="42">
        <v>0</v>
      </c>
      <c r="BB226" s="5">
        <f t="shared" si="29"/>
        <v>0</v>
      </c>
      <c r="BD226" s="42">
        <v>0</v>
      </c>
      <c r="BF226" s="42">
        <v>0</v>
      </c>
      <c r="BH226" s="42">
        <v>0</v>
      </c>
      <c r="BJ226" s="42">
        <v>0</v>
      </c>
      <c r="BL226" s="5">
        <f t="shared" si="28"/>
        <v>0</v>
      </c>
      <c r="BN226" s="5">
        <f>'Gov Fd Rev'!AQ226-'Gov Fd Exp'!BL226</f>
        <v>0</v>
      </c>
      <c r="BP226" s="42">
        <v>0</v>
      </c>
      <c r="BR226" s="42">
        <v>0</v>
      </c>
      <c r="BT226" s="42">
        <v>0</v>
      </c>
      <c r="BV226" s="5">
        <f t="shared" si="27"/>
        <v>0</v>
      </c>
      <c r="BW226" s="5"/>
      <c r="BX226" s="5">
        <f>BV226-'Gov Fd BS'!AI226</f>
        <v>0</v>
      </c>
    </row>
    <row r="227" spans="1:76">
      <c r="A227" s="9" t="s">
        <v>207</v>
      </c>
      <c r="B227" s="9"/>
      <c r="C227" s="9" t="s">
        <v>12</v>
      </c>
      <c r="D227" s="9"/>
      <c r="E227" s="23">
        <v>45864</v>
      </c>
      <c r="G227" s="42">
        <v>5500574</v>
      </c>
      <c r="I227" s="42">
        <v>816237</v>
      </c>
      <c r="K227" s="42">
        <v>188529</v>
      </c>
      <c r="M227" s="42">
        <v>0</v>
      </c>
      <c r="O227" s="42">
        <v>0</v>
      </c>
      <c r="Q227" s="42">
        <v>473565</v>
      </c>
      <c r="S227" s="42">
        <v>264707</v>
      </c>
      <c r="U227" s="42">
        <v>18436</v>
      </c>
      <c r="W227" s="42">
        <v>1070693</v>
      </c>
      <c r="Y227" s="42">
        <v>293432</v>
      </c>
      <c r="AA227" s="42">
        <v>23970</v>
      </c>
      <c r="AC227" s="42">
        <v>1184427</v>
      </c>
      <c r="AE227" s="42">
        <v>1088321</v>
      </c>
      <c r="AG227" s="42">
        <v>21777</v>
      </c>
      <c r="AI227" s="42">
        <v>0</v>
      </c>
      <c r="AK227" s="42">
        <v>476342</v>
      </c>
      <c r="AL227" s="9" t="s">
        <v>207</v>
      </c>
      <c r="AM227" s="9"/>
      <c r="AN227" s="9" t="s">
        <v>12</v>
      </c>
      <c r="AP227" s="42">
        <v>362473</v>
      </c>
      <c r="AR227" s="42">
        <v>493324</v>
      </c>
      <c r="AT227" s="42">
        <v>0</v>
      </c>
      <c r="AV227" s="42">
        <v>757000</v>
      </c>
      <c r="AX227" s="42">
        <v>258109</v>
      </c>
      <c r="AZ227" s="42">
        <v>0</v>
      </c>
      <c r="BB227" s="5">
        <f t="shared" si="29"/>
        <v>13291916</v>
      </c>
      <c r="BD227" s="42">
        <v>4000</v>
      </c>
      <c r="BF227" s="42">
        <v>0</v>
      </c>
      <c r="BH227" s="42">
        <v>0</v>
      </c>
      <c r="BJ227" s="42">
        <v>0</v>
      </c>
      <c r="BL227" s="5">
        <f t="shared" si="28"/>
        <v>13295916</v>
      </c>
      <c r="BN227" s="5">
        <f>'Gov Fd Rev'!AQ227-'Gov Fd Exp'!BL227</f>
        <v>-1238170</v>
      </c>
      <c r="BP227" s="42">
        <v>10578110</v>
      </c>
      <c r="BR227" s="42">
        <v>0</v>
      </c>
      <c r="BT227" s="42">
        <v>0</v>
      </c>
      <c r="BV227" s="5">
        <f>BN227+BP227+BR227+BT227</f>
        <v>9339940</v>
      </c>
      <c r="BW227" s="5"/>
      <c r="BX227" s="5">
        <f>BV227-'Gov Fd BS'!AI227</f>
        <v>0</v>
      </c>
    </row>
    <row r="228" spans="1:76">
      <c r="A228" s="9" t="s">
        <v>301</v>
      </c>
      <c r="B228" s="9"/>
      <c r="C228" s="9" t="s">
        <v>27</v>
      </c>
      <c r="D228" s="9"/>
      <c r="E228" s="23">
        <v>44073</v>
      </c>
      <c r="G228" s="42">
        <v>7111479</v>
      </c>
      <c r="I228" s="42">
        <v>2069871</v>
      </c>
      <c r="K228" s="42">
        <v>117695</v>
      </c>
      <c r="M228" s="42">
        <v>0</v>
      </c>
      <c r="O228" s="42">
        <v>0</v>
      </c>
      <c r="Q228" s="42">
        <v>1811497</v>
      </c>
      <c r="S228" s="42">
        <v>907678</v>
      </c>
      <c r="U228" s="42">
        <v>18962</v>
      </c>
      <c r="W228" s="42">
        <v>1132950</v>
      </c>
      <c r="Y228" s="42">
        <v>585130</v>
      </c>
      <c r="AA228" s="42">
        <v>166171</v>
      </c>
      <c r="AC228" s="42">
        <v>1237236</v>
      </c>
      <c r="AE228" s="42">
        <v>9853</v>
      </c>
      <c r="AG228" s="42">
        <v>62444</v>
      </c>
      <c r="AI228" s="42">
        <v>0</v>
      </c>
      <c r="AK228" s="42">
        <v>496176</v>
      </c>
      <c r="AL228" s="9" t="s">
        <v>301</v>
      </c>
      <c r="AM228" s="9"/>
      <c r="AN228" s="9" t="s">
        <v>27</v>
      </c>
      <c r="AP228" s="42">
        <v>859508</v>
      </c>
      <c r="AR228" s="42">
        <v>193203</v>
      </c>
      <c r="AT228" s="42">
        <v>0</v>
      </c>
      <c r="AV228" s="42">
        <v>425360</v>
      </c>
      <c r="AX228" s="42">
        <v>728434</v>
      </c>
      <c r="AZ228" s="42">
        <v>0</v>
      </c>
      <c r="BB228" s="5">
        <f t="shared" ref="BB228:BB295" si="34">SUM(G228:AZ228)</f>
        <v>17933647</v>
      </c>
      <c r="BD228" s="42">
        <v>70830</v>
      </c>
      <c r="BF228" s="42">
        <v>0</v>
      </c>
      <c r="BH228" s="42">
        <v>0</v>
      </c>
      <c r="BJ228" s="42">
        <v>0</v>
      </c>
      <c r="BL228" s="5">
        <f t="shared" ref="BL228:BL295" si="35">BB228+BD228+BJ228</f>
        <v>18004477</v>
      </c>
      <c r="BN228" s="5">
        <f>'Gov Fd Rev'!AQ228-'Gov Fd Exp'!BL228</f>
        <v>-204659</v>
      </c>
      <c r="BP228" s="42">
        <v>9447937</v>
      </c>
      <c r="BR228" s="42">
        <v>0</v>
      </c>
      <c r="BT228" s="42">
        <v>0</v>
      </c>
      <c r="BV228" s="5">
        <f t="shared" si="27"/>
        <v>9243278</v>
      </c>
      <c r="BW228" s="5"/>
      <c r="BX228" s="5">
        <f>BV228-'Gov Fd BS'!AI228</f>
        <v>0</v>
      </c>
    </row>
    <row r="229" spans="1:76">
      <c r="A229" s="9" t="s">
        <v>661</v>
      </c>
      <c r="B229" s="9"/>
      <c r="C229" s="9" t="s">
        <v>42</v>
      </c>
      <c r="D229" s="9"/>
      <c r="E229" s="23">
        <v>45393</v>
      </c>
      <c r="G229" s="42">
        <v>11657421</v>
      </c>
      <c r="I229" s="42">
        <v>2324898</v>
      </c>
      <c r="K229" s="42">
        <v>122242</v>
      </c>
      <c r="M229" s="42">
        <v>0</v>
      </c>
      <c r="O229" s="42">
        <v>0</v>
      </c>
      <c r="Q229" s="42">
        <v>1509492</v>
      </c>
      <c r="S229" s="42">
        <v>1316563</v>
      </c>
      <c r="U229" s="42">
        <v>999</v>
      </c>
      <c r="W229" s="42">
        <v>1448550</v>
      </c>
      <c r="Y229" s="42">
        <v>815838</v>
      </c>
      <c r="AA229" s="42">
        <v>39222</v>
      </c>
      <c r="AC229" s="42">
        <v>2127302</v>
      </c>
      <c r="AE229" s="42">
        <v>1410024</v>
      </c>
      <c r="AG229" s="42">
        <v>486283</v>
      </c>
      <c r="AI229" s="42">
        <v>0</v>
      </c>
      <c r="AK229" s="42">
        <v>887628</v>
      </c>
      <c r="AL229" s="9" t="s">
        <v>661</v>
      </c>
      <c r="AM229" s="9"/>
      <c r="AN229" s="9" t="s">
        <v>42</v>
      </c>
      <c r="AP229" s="42">
        <v>1001680</v>
      </c>
      <c r="AR229" s="42">
        <v>0</v>
      </c>
      <c r="AT229" s="42">
        <v>0</v>
      </c>
      <c r="AV229" s="42">
        <v>840769</v>
      </c>
      <c r="AX229" s="42">
        <v>1894837</v>
      </c>
      <c r="AZ229" s="42">
        <v>0</v>
      </c>
      <c r="BB229" s="5">
        <f t="shared" si="34"/>
        <v>27883748</v>
      </c>
      <c r="BD229" s="42">
        <v>0</v>
      </c>
      <c r="BF229" s="42">
        <v>0</v>
      </c>
      <c r="BH229" s="42">
        <v>0</v>
      </c>
      <c r="BJ229" s="42">
        <v>0</v>
      </c>
      <c r="BL229" s="5">
        <f t="shared" si="35"/>
        <v>27883748</v>
      </c>
      <c r="BN229" s="5">
        <f>'Gov Fd Rev'!AQ229-'Gov Fd Exp'!BL229</f>
        <v>788620</v>
      </c>
      <c r="BP229" s="42">
        <v>1982161</v>
      </c>
      <c r="BR229" s="42">
        <v>0</v>
      </c>
      <c r="BT229" s="42">
        <v>0</v>
      </c>
      <c r="BV229" s="5">
        <f t="shared" si="27"/>
        <v>2770781</v>
      </c>
      <c r="BW229" s="5"/>
      <c r="BX229" s="5">
        <f>BV229-'Gov Fd BS'!AI229</f>
        <v>0</v>
      </c>
    </row>
    <row r="230" spans="1:76">
      <c r="A230" s="9" t="s">
        <v>478</v>
      </c>
      <c r="B230" s="9"/>
      <c r="C230" s="9" t="s">
        <v>59</v>
      </c>
      <c r="D230" s="9"/>
      <c r="E230" s="23">
        <v>49619</v>
      </c>
      <c r="G230" s="42">
        <v>2287372</v>
      </c>
      <c r="I230" s="42">
        <v>660527</v>
      </c>
      <c r="K230" s="42">
        <v>27219</v>
      </c>
      <c r="M230" s="42">
        <v>0</v>
      </c>
      <c r="O230" s="42">
        <v>1244516</v>
      </c>
      <c r="Q230" s="42">
        <v>353568</v>
      </c>
      <c r="S230" s="42">
        <v>445809</v>
      </c>
      <c r="U230" s="42">
        <v>186933</v>
      </c>
      <c r="W230" s="42">
        <v>535531</v>
      </c>
      <c r="Y230" s="42">
        <v>279694</v>
      </c>
      <c r="AA230" s="42">
        <v>0</v>
      </c>
      <c r="AC230" s="42">
        <v>568912</v>
      </c>
      <c r="AE230" s="42">
        <v>470810</v>
      </c>
      <c r="AG230" s="42">
        <v>0</v>
      </c>
      <c r="AI230" s="42">
        <v>0</v>
      </c>
      <c r="AK230" s="42">
        <v>261084</v>
      </c>
      <c r="AL230" s="9" t="s">
        <v>478</v>
      </c>
      <c r="AM230" s="9"/>
      <c r="AN230" s="9" t="s">
        <v>59</v>
      </c>
      <c r="AP230" s="42">
        <v>136828</v>
      </c>
      <c r="AR230" s="42">
        <v>71649</v>
      </c>
      <c r="AT230" s="42">
        <v>0</v>
      </c>
      <c r="AV230" s="42">
        <v>74103</v>
      </c>
      <c r="AX230" s="42">
        <v>5850</v>
      </c>
      <c r="AZ230" s="42">
        <v>0</v>
      </c>
      <c r="BB230" s="5">
        <f t="shared" si="34"/>
        <v>7610405</v>
      </c>
      <c r="BD230" s="42">
        <v>0</v>
      </c>
      <c r="BF230" s="42">
        <v>0</v>
      </c>
      <c r="BH230" s="42">
        <v>0</v>
      </c>
      <c r="BJ230" s="42">
        <v>0</v>
      </c>
      <c r="BL230" s="5">
        <f t="shared" si="35"/>
        <v>7610405</v>
      </c>
      <c r="BN230" s="5">
        <f>'Gov Fd Rev'!AQ230-'Gov Fd Exp'!BL230</f>
        <v>-24231</v>
      </c>
      <c r="BP230" s="42">
        <v>1098374</v>
      </c>
      <c r="BR230" s="42">
        <v>0</v>
      </c>
      <c r="BT230" s="42">
        <v>0</v>
      </c>
      <c r="BV230" s="5">
        <f t="shared" ref="BV230:BV298" si="36">BN230+BP230+BR230+BT230</f>
        <v>1074143</v>
      </c>
      <c r="BW230" s="5"/>
      <c r="BX230" s="5">
        <f>BV230-'Gov Fd BS'!AI230</f>
        <v>0</v>
      </c>
    </row>
    <row r="231" spans="1:76">
      <c r="A231" s="9" t="s">
        <v>478</v>
      </c>
      <c r="B231" s="9"/>
      <c r="C231" s="9" t="s">
        <v>63</v>
      </c>
      <c r="D231" s="9"/>
      <c r="E231" s="23">
        <v>50013</v>
      </c>
      <c r="G231" s="42">
        <v>15613080</v>
      </c>
      <c r="I231" s="42">
        <v>5997990</v>
      </c>
      <c r="K231" s="42">
        <v>148839</v>
      </c>
      <c r="M231" s="42">
        <v>0</v>
      </c>
      <c r="O231" s="42">
        <f>70492+1447974</f>
        <v>1518466</v>
      </c>
      <c r="Q231" s="42">
        <v>2612969</v>
      </c>
      <c r="S231" s="42">
        <v>1962081</v>
      </c>
      <c r="U231" s="42">
        <v>27003</v>
      </c>
      <c r="W231" s="42">
        <v>2906624</v>
      </c>
      <c r="Y231" s="42">
        <v>1253241</v>
      </c>
      <c r="AA231" s="42">
        <v>201716</v>
      </c>
      <c r="AC231" s="42">
        <v>2825198</v>
      </c>
      <c r="AE231" s="42">
        <v>2049071</v>
      </c>
      <c r="AG231" s="42">
        <v>8546</v>
      </c>
      <c r="AI231" s="42">
        <v>1044894</v>
      </c>
      <c r="AK231" s="42">
        <v>138130</v>
      </c>
      <c r="AL231" s="9" t="s">
        <v>478</v>
      </c>
      <c r="AM231" s="9"/>
      <c r="AN231" s="9" t="s">
        <v>63</v>
      </c>
      <c r="AP231" s="42">
        <v>1188541</v>
      </c>
      <c r="AR231" s="42">
        <v>1248095</v>
      </c>
      <c r="AT231" s="42">
        <v>0</v>
      </c>
      <c r="AV231" s="42">
        <v>1717967</v>
      </c>
      <c r="AX231" s="42">
        <v>466946</v>
      </c>
      <c r="AZ231" s="42">
        <v>0</v>
      </c>
      <c r="BB231" s="5">
        <f t="shared" si="34"/>
        <v>42929397</v>
      </c>
      <c r="BD231" s="42">
        <v>55000</v>
      </c>
      <c r="BF231" s="42">
        <v>0</v>
      </c>
      <c r="BH231" s="42">
        <v>0</v>
      </c>
      <c r="BJ231" s="42">
        <v>0</v>
      </c>
      <c r="BL231" s="5">
        <f>BB231+BD231+BJ231</f>
        <v>42984397</v>
      </c>
      <c r="BN231" s="5">
        <f>'Gov Fd Rev'!AQ231-'Gov Fd Exp'!BL231</f>
        <v>-7163</v>
      </c>
      <c r="BP231" s="42">
        <v>-3457432</v>
      </c>
      <c r="BR231" s="42">
        <v>0</v>
      </c>
      <c r="BT231" s="42">
        <v>0</v>
      </c>
      <c r="BV231" s="5">
        <f t="shared" si="36"/>
        <v>-3464595</v>
      </c>
      <c r="BW231" s="5"/>
      <c r="BX231" s="5">
        <f>BV231-'Gov Fd BS'!AI231</f>
        <v>0</v>
      </c>
    </row>
    <row r="232" spans="1:76" hidden="1">
      <c r="A232" s="8" t="s">
        <v>845</v>
      </c>
      <c r="B232" s="9"/>
      <c r="C232" s="9" t="s">
        <v>71</v>
      </c>
      <c r="D232" s="9"/>
      <c r="E232" s="23">
        <v>50559</v>
      </c>
      <c r="G232" s="42">
        <v>0</v>
      </c>
      <c r="I232" s="42">
        <v>0</v>
      </c>
      <c r="K232" s="42">
        <v>0</v>
      </c>
      <c r="M232" s="42">
        <v>0</v>
      </c>
      <c r="O232" s="42">
        <v>0</v>
      </c>
      <c r="Q232" s="42">
        <v>0</v>
      </c>
      <c r="S232" s="42">
        <v>0</v>
      </c>
      <c r="U232" s="42">
        <v>0</v>
      </c>
      <c r="W232" s="42">
        <v>0</v>
      </c>
      <c r="Y232" s="42">
        <v>0</v>
      </c>
      <c r="AA232" s="42">
        <v>0</v>
      </c>
      <c r="AC232" s="42">
        <v>0</v>
      </c>
      <c r="AE232" s="42">
        <v>0</v>
      </c>
      <c r="AG232" s="42">
        <v>0</v>
      </c>
      <c r="AI232" s="42">
        <v>0</v>
      </c>
      <c r="AK232" s="42">
        <v>0</v>
      </c>
      <c r="AL232" s="8" t="s">
        <v>845</v>
      </c>
      <c r="AM232" s="9"/>
      <c r="AN232" s="9" t="s">
        <v>71</v>
      </c>
      <c r="AP232" s="42">
        <v>0</v>
      </c>
      <c r="AR232" s="42">
        <v>0</v>
      </c>
      <c r="AT232" s="42">
        <v>0</v>
      </c>
      <c r="AV232" s="42">
        <v>0</v>
      </c>
      <c r="AX232" s="42">
        <v>0</v>
      </c>
      <c r="AZ232" s="42">
        <v>0</v>
      </c>
      <c r="BB232" s="5">
        <f t="shared" si="34"/>
        <v>0</v>
      </c>
      <c r="BD232" s="42">
        <v>0</v>
      </c>
      <c r="BF232" s="42">
        <v>0</v>
      </c>
      <c r="BH232" s="42">
        <v>0</v>
      </c>
      <c r="BJ232" s="42">
        <v>0</v>
      </c>
      <c r="BL232" s="5">
        <f>BB232+BD232+BJ232</f>
        <v>0</v>
      </c>
      <c r="BN232" s="5">
        <f>'Gov Fd Rev'!AQ232-'Gov Fd Exp'!BL232</f>
        <v>0</v>
      </c>
      <c r="BP232" s="42">
        <v>0</v>
      </c>
      <c r="BR232" s="42">
        <v>0</v>
      </c>
      <c r="BT232" s="42">
        <v>0</v>
      </c>
      <c r="BV232" s="5">
        <f t="shared" si="36"/>
        <v>0</v>
      </c>
      <c r="BW232" s="5"/>
      <c r="BX232" s="5">
        <f>BV232-'Gov Fd BS'!AI232</f>
        <v>0</v>
      </c>
    </row>
    <row r="233" spans="1:76">
      <c r="A233" s="9" t="s">
        <v>316</v>
      </c>
      <c r="B233" s="9"/>
      <c r="C233" s="9" t="s">
        <v>113</v>
      </c>
      <c r="D233" s="9"/>
      <c r="E233" s="23">
        <v>47266</v>
      </c>
      <c r="G233" s="42">
        <v>5493470</v>
      </c>
      <c r="I233" s="42">
        <v>1848353</v>
      </c>
      <c r="K233" s="42">
        <v>0</v>
      </c>
      <c r="M233" s="42">
        <v>0</v>
      </c>
      <c r="O233" s="42">
        <v>12537</v>
      </c>
      <c r="Q233" s="42">
        <v>715503</v>
      </c>
      <c r="S233" s="42">
        <v>273561</v>
      </c>
      <c r="U233" s="42">
        <v>78452</v>
      </c>
      <c r="W233" s="42">
        <v>1418727</v>
      </c>
      <c r="Y233" s="42">
        <v>347678</v>
      </c>
      <c r="AA233" s="42">
        <v>0</v>
      </c>
      <c r="AC233" s="42">
        <v>1163738</v>
      </c>
      <c r="AE233" s="42">
        <v>1158221</v>
      </c>
      <c r="AG233" s="42">
        <v>1745</v>
      </c>
      <c r="AI233" s="42">
        <v>0</v>
      </c>
      <c r="AK233" s="42">
        <v>474052</v>
      </c>
      <c r="AL233" s="9" t="s">
        <v>316</v>
      </c>
      <c r="AM233" s="9"/>
      <c r="AN233" s="9" t="s">
        <v>113</v>
      </c>
      <c r="AP233" s="42">
        <v>756257</v>
      </c>
      <c r="AR233" s="42">
        <v>2213288</v>
      </c>
      <c r="AT233" s="42">
        <v>0</v>
      </c>
      <c r="AV233" s="42">
        <v>350000</v>
      </c>
      <c r="AX233" s="42">
        <v>263749</v>
      </c>
      <c r="AZ233" s="42">
        <v>0</v>
      </c>
      <c r="BB233" s="5">
        <f t="shared" si="34"/>
        <v>16569331</v>
      </c>
      <c r="BD233" s="42">
        <v>148980</v>
      </c>
      <c r="BF233" s="42">
        <v>0</v>
      </c>
      <c r="BH233" s="42">
        <v>0</v>
      </c>
      <c r="BJ233" s="42">
        <v>0</v>
      </c>
      <c r="BL233" s="5">
        <f t="shared" ref="BL233" si="37">BB233+BD233+BJ233</f>
        <v>16718311</v>
      </c>
      <c r="BN233" s="5">
        <f>'Gov Fd Rev'!AQ233-'Gov Fd Exp'!BL233</f>
        <v>-2062606</v>
      </c>
      <c r="BP233" s="42">
        <v>10056721</v>
      </c>
      <c r="BR233" s="42">
        <v>0</v>
      </c>
      <c r="BT233" s="42">
        <v>0</v>
      </c>
      <c r="BV233" s="5">
        <f t="shared" si="36"/>
        <v>7994115</v>
      </c>
      <c r="BW233" s="5"/>
      <c r="BX233" s="5">
        <f>BV233-'Gov Fd BS'!AI233</f>
        <v>0</v>
      </c>
    </row>
    <row r="234" spans="1:76">
      <c r="A234" s="9" t="s">
        <v>754</v>
      </c>
      <c r="B234" s="9"/>
      <c r="C234" s="9" t="s">
        <v>346</v>
      </c>
      <c r="D234" s="9"/>
      <c r="E234" s="23">
        <v>45401</v>
      </c>
      <c r="G234" s="42">
        <v>8722565</v>
      </c>
      <c r="I234" s="42">
        <v>2075516</v>
      </c>
      <c r="K234" s="42">
        <v>449634</v>
      </c>
      <c r="M234" s="42">
        <v>0</v>
      </c>
      <c r="O234" s="42">
        <v>1296245</v>
      </c>
      <c r="Q234" s="42">
        <v>973146</v>
      </c>
      <c r="S234" s="42">
        <v>669590</v>
      </c>
      <c r="U234" s="42">
        <v>67254</v>
      </c>
      <c r="W234" s="42">
        <v>1830278</v>
      </c>
      <c r="Y234" s="42">
        <v>404716</v>
      </c>
      <c r="AA234" s="42">
        <v>0</v>
      </c>
      <c r="AC234" s="42">
        <v>1808967</v>
      </c>
      <c r="AE234" s="42">
        <v>1088098</v>
      </c>
      <c r="AG234" s="42">
        <v>60604</v>
      </c>
      <c r="AI234" s="42">
        <v>0</v>
      </c>
      <c r="AK234" s="42">
        <v>694548</v>
      </c>
      <c r="AL234" s="9" t="s">
        <v>754</v>
      </c>
      <c r="AM234" s="9"/>
      <c r="AN234" s="9" t="s">
        <v>346</v>
      </c>
      <c r="AP234" s="42">
        <v>396980</v>
      </c>
      <c r="AR234" s="42">
        <v>40093</v>
      </c>
      <c r="AT234" s="42">
        <v>0</v>
      </c>
      <c r="AV234" s="42">
        <v>220000</v>
      </c>
      <c r="AX234" s="42">
        <v>62775</v>
      </c>
      <c r="AZ234" s="42">
        <v>0</v>
      </c>
      <c r="BB234" s="5">
        <f t="shared" si="34"/>
        <v>20861009</v>
      </c>
      <c r="BD234" s="42">
        <v>290000</v>
      </c>
      <c r="BF234" s="42">
        <v>0</v>
      </c>
      <c r="BH234" s="42">
        <v>0</v>
      </c>
      <c r="BJ234" s="42">
        <v>0</v>
      </c>
      <c r="BL234" s="5">
        <f t="shared" si="35"/>
        <v>21151009</v>
      </c>
      <c r="BN234" s="5">
        <f>'Gov Fd Rev'!AQ234-'Gov Fd Exp'!BL234</f>
        <v>287422</v>
      </c>
      <c r="BP234" s="42">
        <v>12015116</v>
      </c>
      <c r="BR234" s="42">
        <v>0</v>
      </c>
      <c r="BT234" s="42">
        <v>0</v>
      </c>
      <c r="BV234" s="5">
        <f t="shared" si="36"/>
        <v>12302538</v>
      </c>
      <c r="BW234" s="5"/>
      <c r="BX234" s="5">
        <f>BV234-'Gov Fd BS'!AI234</f>
        <v>0</v>
      </c>
    </row>
    <row r="235" spans="1:76">
      <c r="A235" s="9" t="s">
        <v>230</v>
      </c>
      <c r="B235" s="9"/>
      <c r="C235" s="9" t="s">
        <v>17</v>
      </c>
      <c r="D235" s="9"/>
      <c r="E235" s="23">
        <v>46235</v>
      </c>
      <c r="G235" s="42">
        <v>7501651</v>
      </c>
      <c r="I235" s="42">
        <v>1702183</v>
      </c>
      <c r="K235" s="42">
        <v>324976</v>
      </c>
      <c r="M235" s="42">
        <v>0</v>
      </c>
      <c r="O235" s="42">
        <v>452070</v>
      </c>
      <c r="Q235" s="42">
        <v>872004</v>
      </c>
      <c r="S235" s="42">
        <v>571590</v>
      </c>
      <c r="U235" s="42">
        <v>137805</v>
      </c>
      <c r="W235" s="42">
        <v>1276416</v>
      </c>
      <c r="Y235" s="42">
        <v>487686</v>
      </c>
      <c r="AA235" s="42">
        <v>112774</v>
      </c>
      <c r="AC235" s="42">
        <v>1328768</v>
      </c>
      <c r="AE235" s="42">
        <v>1205016</v>
      </c>
      <c r="AG235" s="42">
        <v>161976</v>
      </c>
      <c r="AI235" s="42">
        <v>689475</v>
      </c>
      <c r="AK235" s="42">
        <v>41700</v>
      </c>
      <c r="AL235" s="9" t="s">
        <v>230</v>
      </c>
      <c r="AM235" s="9"/>
      <c r="AN235" s="9" t="s">
        <v>17</v>
      </c>
      <c r="AP235" s="42">
        <v>548605</v>
      </c>
      <c r="AR235" s="42">
        <v>152129</v>
      </c>
      <c r="AT235" s="42">
        <v>0</v>
      </c>
      <c r="AV235" s="42">
        <v>27499</v>
      </c>
      <c r="AX235" s="42">
        <v>1602</v>
      </c>
      <c r="AZ235" s="42">
        <v>0</v>
      </c>
      <c r="BB235" s="5">
        <f t="shared" si="34"/>
        <v>17595925</v>
      </c>
      <c r="BD235" s="42">
        <v>0</v>
      </c>
      <c r="BF235" s="42">
        <v>0</v>
      </c>
      <c r="BH235" s="42">
        <v>0</v>
      </c>
      <c r="BJ235" s="42">
        <v>0</v>
      </c>
      <c r="BL235" s="5">
        <f t="shared" si="35"/>
        <v>17595925</v>
      </c>
      <c r="BN235" s="5">
        <f>'Gov Fd Rev'!AQ235-'Gov Fd Exp'!BL235</f>
        <v>-576048</v>
      </c>
      <c r="BP235" s="42">
        <v>3475216</v>
      </c>
      <c r="BR235" s="42">
        <v>0</v>
      </c>
      <c r="BT235" s="42">
        <v>0</v>
      </c>
      <c r="BV235" s="5">
        <f t="shared" si="36"/>
        <v>2899168</v>
      </c>
      <c r="BW235" s="5"/>
      <c r="BX235" s="5">
        <f>BV235-'Gov Fd BS'!AI235</f>
        <v>0</v>
      </c>
    </row>
    <row r="236" spans="1:76">
      <c r="A236" s="9" t="s">
        <v>280</v>
      </c>
      <c r="B236" s="9"/>
      <c r="C236" s="9" t="s">
        <v>21</v>
      </c>
      <c r="D236" s="9"/>
      <c r="E236" s="23">
        <v>44099</v>
      </c>
      <c r="G236" s="42">
        <v>12611287</v>
      </c>
      <c r="I236" s="42">
        <v>4568941</v>
      </c>
      <c r="K236" s="42">
        <v>1664696</v>
      </c>
      <c r="M236" s="42">
        <v>77360</v>
      </c>
      <c r="O236" s="42">
        <v>207419</v>
      </c>
      <c r="Q236" s="42">
        <v>1443708</v>
      </c>
      <c r="S236" s="42">
        <v>967466</v>
      </c>
      <c r="U236" s="42">
        <v>79175</v>
      </c>
      <c r="W236" s="42">
        <v>2136332</v>
      </c>
      <c r="Y236" s="42">
        <v>775461</v>
      </c>
      <c r="AA236" s="42">
        <v>12339</v>
      </c>
      <c r="AC236" s="42">
        <v>1538006</v>
      </c>
      <c r="AE236" s="42">
        <v>995675</v>
      </c>
      <c r="AG236" s="42">
        <v>6984</v>
      </c>
      <c r="AI236" s="42">
        <v>0</v>
      </c>
      <c r="AK236" s="42">
        <v>994274</v>
      </c>
      <c r="AL236" s="9" t="s">
        <v>280</v>
      </c>
      <c r="AM236" s="9"/>
      <c r="AN236" s="9" t="s">
        <v>21</v>
      </c>
      <c r="AP236" s="42">
        <v>644186</v>
      </c>
      <c r="AR236" s="42">
        <v>773740</v>
      </c>
      <c r="AT236" s="42">
        <v>0</v>
      </c>
      <c r="AV236" s="42">
        <v>0</v>
      </c>
      <c r="AX236" s="42">
        <v>0</v>
      </c>
      <c r="AZ236" s="42">
        <v>0</v>
      </c>
      <c r="BB236" s="5">
        <f t="shared" si="34"/>
        <v>29497049</v>
      </c>
      <c r="BD236" s="42">
        <v>272277</v>
      </c>
      <c r="BF236" s="42">
        <v>0</v>
      </c>
      <c r="BH236" s="42">
        <v>0</v>
      </c>
      <c r="BJ236" s="42">
        <v>0</v>
      </c>
      <c r="BL236" s="5">
        <f t="shared" si="35"/>
        <v>29769326</v>
      </c>
      <c r="BN236" s="5">
        <f>'Gov Fd Rev'!AQ236-'Gov Fd Exp'!BL236</f>
        <v>544502</v>
      </c>
      <c r="BP236" s="42">
        <v>10014374</v>
      </c>
      <c r="BR236" s="42">
        <v>0</v>
      </c>
      <c r="BT236" s="42">
        <v>0</v>
      </c>
      <c r="BV236" s="5">
        <f t="shared" si="36"/>
        <v>10558876</v>
      </c>
      <c r="BW236" s="5"/>
      <c r="BX236" s="5">
        <f>BV236-'Gov Fd BS'!AI236</f>
        <v>0</v>
      </c>
    </row>
    <row r="237" spans="1:76">
      <c r="A237" s="9" t="s">
        <v>302</v>
      </c>
      <c r="B237" s="9"/>
      <c r="C237" s="9" t="s">
        <v>27</v>
      </c>
      <c r="D237" s="9"/>
      <c r="E237" s="23">
        <v>46979</v>
      </c>
      <c r="G237" s="42">
        <v>32567172</v>
      </c>
      <c r="I237" s="42">
        <v>9040272</v>
      </c>
      <c r="K237" s="42">
        <v>543</v>
      </c>
      <c r="M237" s="42">
        <v>0</v>
      </c>
      <c r="O237" s="42">
        <v>42206</v>
      </c>
      <c r="Q237" s="42">
        <v>3212213</v>
      </c>
      <c r="S237" s="42">
        <v>4459924</v>
      </c>
      <c r="U237" s="42">
        <v>802317</v>
      </c>
      <c r="W237" s="42">
        <v>4641166</v>
      </c>
      <c r="Y237" s="42">
        <v>1478531</v>
      </c>
      <c r="AA237" s="42">
        <v>89016</v>
      </c>
      <c r="AC237" s="42">
        <v>4771992</v>
      </c>
      <c r="AE237" s="42">
        <v>5458627</v>
      </c>
      <c r="AG237" s="42">
        <v>863696</v>
      </c>
      <c r="AI237" s="42">
        <v>0</v>
      </c>
      <c r="AK237" s="42">
        <v>2913530</v>
      </c>
      <c r="AL237" s="9" t="s">
        <v>302</v>
      </c>
      <c r="AM237" s="9"/>
      <c r="AN237" s="9" t="s">
        <v>27</v>
      </c>
      <c r="AP237" s="42">
        <v>763777</v>
      </c>
      <c r="AR237" s="42">
        <v>537950</v>
      </c>
      <c r="AT237" s="42">
        <v>0</v>
      </c>
      <c r="AV237" s="42">
        <v>545026</v>
      </c>
      <c r="AX237" s="42">
        <v>337794</v>
      </c>
      <c r="AZ237" s="42">
        <v>0</v>
      </c>
      <c r="BB237" s="5">
        <f t="shared" si="34"/>
        <v>72525752</v>
      </c>
      <c r="BD237" s="42">
        <v>0</v>
      </c>
      <c r="BF237" s="42">
        <v>0</v>
      </c>
      <c r="BH237" s="42">
        <v>0</v>
      </c>
      <c r="BJ237" s="42">
        <v>0</v>
      </c>
      <c r="BL237" s="5">
        <f t="shared" si="35"/>
        <v>72525752</v>
      </c>
      <c r="BN237" s="5">
        <f>'Gov Fd Rev'!AQ237-'Gov Fd Exp'!BL237</f>
        <v>-3166945</v>
      </c>
      <c r="BP237" s="42">
        <v>3560851</v>
      </c>
      <c r="BR237" s="42">
        <v>0</v>
      </c>
      <c r="BT237" s="42">
        <v>0</v>
      </c>
      <c r="BV237" s="5">
        <f t="shared" si="36"/>
        <v>393906</v>
      </c>
      <c r="BW237" s="5"/>
      <c r="BX237" s="5">
        <f>BV237-'Gov Fd BS'!AI237</f>
        <v>0</v>
      </c>
    </row>
    <row r="238" spans="1:76" hidden="1">
      <c r="A238" s="8" t="s">
        <v>846</v>
      </c>
      <c r="B238" s="9"/>
      <c r="C238" s="9" t="s">
        <v>220</v>
      </c>
      <c r="D238" s="9"/>
      <c r="E238" s="23">
        <v>44107</v>
      </c>
      <c r="G238" s="42">
        <v>0</v>
      </c>
      <c r="I238" s="42">
        <v>0</v>
      </c>
      <c r="K238" s="42">
        <v>0</v>
      </c>
      <c r="M238" s="42">
        <v>0</v>
      </c>
      <c r="O238" s="42">
        <v>0</v>
      </c>
      <c r="Q238" s="42">
        <v>0</v>
      </c>
      <c r="S238" s="42">
        <v>0</v>
      </c>
      <c r="U238" s="42">
        <v>0</v>
      </c>
      <c r="W238" s="42">
        <v>0</v>
      </c>
      <c r="Y238" s="42">
        <v>0</v>
      </c>
      <c r="AA238" s="42">
        <v>0</v>
      </c>
      <c r="AC238" s="42">
        <v>0</v>
      </c>
      <c r="AE238" s="42">
        <v>0</v>
      </c>
      <c r="AG238" s="42">
        <v>0</v>
      </c>
      <c r="AI238" s="42">
        <v>0</v>
      </c>
      <c r="AK238" s="42">
        <v>0</v>
      </c>
      <c r="AL238" s="8" t="s">
        <v>846</v>
      </c>
      <c r="AM238" s="9"/>
      <c r="AN238" s="9" t="s">
        <v>220</v>
      </c>
      <c r="AP238" s="42">
        <v>0</v>
      </c>
      <c r="AR238" s="42">
        <v>0</v>
      </c>
      <c r="AT238" s="42">
        <v>0</v>
      </c>
      <c r="AV238" s="42">
        <v>0</v>
      </c>
      <c r="AX238" s="42">
        <v>0</v>
      </c>
      <c r="AZ238" s="42">
        <v>0</v>
      </c>
      <c r="BB238" s="5">
        <f t="shared" si="34"/>
        <v>0</v>
      </c>
      <c r="BD238" s="42">
        <v>0</v>
      </c>
      <c r="BF238" s="42">
        <v>0</v>
      </c>
      <c r="BH238" s="42">
        <v>0</v>
      </c>
      <c r="BJ238" s="42">
        <v>0</v>
      </c>
      <c r="BL238" s="5">
        <f t="shared" si="35"/>
        <v>0</v>
      </c>
      <c r="BN238" s="5">
        <f>'Gov Fd Rev'!AQ238-'Gov Fd Exp'!BL238</f>
        <v>0</v>
      </c>
      <c r="BP238" s="42">
        <v>0</v>
      </c>
      <c r="BR238" s="42">
        <v>0</v>
      </c>
      <c r="BT238" s="42">
        <v>0</v>
      </c>
      <c r="BV238" s="5">
        <f t="shared" si="36"/>
        <v>0</v>
      </c>
      <c r="BW238" s="5"/>
      <c r="BX238" s="5">
        <f>BV238-'Gov Fd BS'!AI238</f>
        <v>0</v>
      </c>
    </row>
    <row r="239" spans="1:76">
      <c r="A239" s="8" t="s">
        <v>796</v>
      </c>
      <c r="B239" s="9"/>
      <c r="C239" s="9" t="s">
        <v>27</v>
      </c>
      <c r="D239" s="9"/>
      <c r="E239" s="23">
        <v>46953</v>
      </c>
      <c r="G239" s="42">
        <v>11502538</v>
      </c>
      <c r="I239" s="42">
        <v>2424844</v>
      </c>
      <c r="K239" s="42">
        <v>204541</v>
      </c>
      <c r="M239" s="42">
        <v>0</v>
      </c>
      <c r="O239" s="42">
        <v>1750364</v>
      </c>
      <c r="Q239" s="42">
        <v>1179052</v>
      </c>
      <c r="S239" s="42">
        <v>544488</v>
      </c>
      <c r="U239" s="42">
        <v>11392</v>
      </c>
      <c r="W239" s="42">
        <v>2213409</v>
      </c>
      <c r="Y239" s="42">
        <v>1428576</v>
      </c>
      <c r="AA239" s="42">
        <v>0</v>
      </c>
      <c r="AC239" s="42">
        <v>2905635</v>
      </c>
      <c r="AE239" s="42">
        <v>1048818</v>
      </c>
      <c r="AG239" s="42">
        <v>88454</v>
      </c>
      <c r="AI239" s="42">
        <v>0</v>
      </c>
      <c r="AK239" s="42">
        <v>1640134</v>
      </c>
      <c r="AL239" s="8" t="s">
        <v>796</v>
      </c>
      <c r="AM239" s="9"/>
      <c r="AN239" s="9" t="s">
        <v>27</v>
      </c>
      <c r="AP239" s="42">
        <v>899053</v>
      </c>
      <c r="AR239" s="42">
        <v>0</v>
      </c>
      <c r="AT239" s="42">
        <v>0</v>
      </c>
      <c r="AV239" s="42">
        <v>993303</v>
      </c>
      <c r="AX239" s="42">
        <v>869631</v>
      </c>
      <c r="AZ239" s="42">
        <v>136216</v>
      </c>
      <c r="BB239" s="5">
        <f t="shared" si="34"/>
        <v>29840448</v>
      </c>
      <c r="BD239" s="42">
        <v>66052</v>
      </c>
      <c r="BF239" s="42">
        <v>0</v>
      </c>
      <c r="BH239" s="42">
        <v>0</v>
      </c>
      <c r="BJ239" s="42">
        <v>9244850</v>
      </c>
      <c r="BL239" s="5">
        <f t="shared" si="35"/>
        <v>39151350</v>
      </c>
      <c r="BN239" s="5">
        <f>'Gov Fd Rev'!AQ239-'Gov Fd Exp'!BL239</f>
        <v>202448</v>
      </c>
      <c r="BP239" s="42">
        <v>13725670</v>
      </c>
      <c r="BR239" s="42">
        <v>-58</v>
      </c>
      <c r="BT239" s="42">
        <v>0</v>
      </c>
      <c r="BV239" s="5">
        <f t="shared" si="36"/>
        <v>13928060</v>
      </c>
      <c r="BW239" s="5"/>
      <c r="BX239" s="5">
        <f>BV239-'Gov Fd BS'!AI239</f>
        <v>0</v>
      </c>
    </row>
    <row r="240" spans="1:76" hidden="1">
      <c r="A240" s="8" t="s">
        <v>338</v>
      </c>
      <c r="B240" s="9"/>
      <c r="C240" s="9" t="s">
        <v>337</v>
      </c>
      <c r="D240" s="9"/>
      <c r="E240" s="23">
        <v>47498</v>
      </c>
      <c r="G240" s="42">
        <v>0</v>
      </c>
      <c r="I240" s="42">
        <v>0</v>
      </c>
      <c r="K240" s="42">
        <v>0</v>
      </c>
      <c r="M240" s="42">
        <v>0</v>
      </c>
      <c r="O240" s="42">
        <v>0</v>
      </c>
      <c r="Q240" s="42">
        <v>0</v>
      </c>
      <c r="S240" s="42">
        <v>0</v>
      </c>
      <c r="U240" s="42">
        <v>0</v>
      </c>
      <c r="W240" s="42">
        <v>0</v>
      </c>
      <c r="Y240" s="42">
        <v>0</v>
      </c>
      <c r="AA240" s="42">
        <v>0</v>
      </c>
      <c r="AC240" s="42">
        <v>0</v>
      </c>
      <c r="AE240" s="42">
        <v>0</v>
      </c>
      <c r="AG240" s="42">
        <v>0</v>
      </c>
      <c r="AI240" s="42">
        <v>0</v>
      </c>
      <c r="AK240" s="42">
        <v>0</v>
      </c>
      <c r="AL240" s="8" t="s">
        <v>338</v>
      </c>
      <c r="AM240" s="9"/>
      <c r="AN240" s="9" t="s">
        <v>337</v>
      </c>
      <c r="AP240" s="42">
        <v>0</v>
      </c>
      <c r="AR240" s="42">
        <v>0</v>
      </c>
      <c r="AT240" s="42">
        <v>0</v>
      </c>
      <c r="AV240" s="42">
        <v>0</v>
      </c>
      <c r="AX240" s="42">
        <v>0</v>
      </c>
      <c r="AZ240" s="42">
        <v>0</v>
      </c>
      <c r="BB240" s="5">
        <f t="shared" si="34"/>
        <v>0</v>
      </c>
      <c r="BD240" s="42">
        <v>0</v>
      </c>
      <c r="BF240" s="42">
        <v>0</v>
      </c>
      <c r="BH240" s="42">
        <v>0</v>
      </c>
      <c r="BJ240" s="42">
        <v>0</v>
      </c>
      <c r="BL240" s="5">
        <f t="shared" si="35"/>
        <v>0</v>
      </c>
      <c r="BN240" s="5">
        <f>'Gov Fd Rev'!AQ240-'Gov Fd Exp'!BL240</f>
        <v>0</v>
      </c>
      <c r="BP240" s="42">
        <v>0</v>
      </c>
      <c r="BR240" s="42">
        <v>0</v>
      </c>
      <c r="BT240" s="42">
        <v>0</v>
      </c>
      <c r="BV240" s="5">
        <f t="shared" si="36"/>
        <v>0</v>
      </c>
      <c r="BW240" s="5"/>
      <c r="BX240" s="5">
        <f>BV240-'Gov Fd BS'!AI240</f>
        <v>0</v>
      </c>
    </row>
    <row r="241" spans="1:76">
      <c r="A241" s="8" t="s">
        <v>487</v>
      </c>
      <c r="B241" s="9"/>
      <c r="C241" s="9" t="s">
        <v>61</v>
      </c>
      <c r="D241" s="9"/>
      <c r="E241" s="23">
        <v>49791</v>
      </c>
      <c r="G241" s="42">
        <v>3948940</v>
      </c>
      <c r="I241" s="42">
        <v>581051</v>
      </c>
      <c r="K241" s="42">
        <v>92899</v>
      </c>
      <c r="M241" s="42">
        <v>0</v>
      </c>
      <c r="O241" s="42">
        <f>1056+105849</f>
        <v>106905</v>
      </c>
      <c r="Q241" s="42">
        <v>629304</v>
      </c>
      <c r="S241" s="42">
        <v>298491</v>
      </c>
      <c r="U241" s="42">
        <v>7169</v>
      </c>
      <c r="W241" s="42">
        <v>551947</v>
      </c>
      <c r="Y241" s="42">
        <v>258215</v>
      </c>
      <c r="AA241" s="42">
        <v>1323</v>
      </c>
      <c r="AC241" s="42">
        <v>646356</v>
      </c>
      <c r="AE241" s="42">
        <v>570204</v>
      </c>
      <c r="AG241" s="42">
        <v>21330</v>
      </c>
      <c r="AI241" s="42">
        <v>0</v>
      </c>
      <c r="AK241" s="42">
        <v>282135</v>
      </c>
      <c r="AL241" s="8" t="s">
        <v>487</v>
      </c>
      <c r="AM241" s="9"/>
      <c r="AN241" s="9" t="s">
        <v>61</v>
      </c>
      <c r="AP241" s="42">
        <v>202374</v>
      </c>
      <c r="AR241" s="42">
        <v>164976</v>
      </c>
      <c r="AT241" s="42">
        <v>0</v>
      </c>
      <c r="AV241" s="42">
        <v>259597</v>
      </c>
      <c r="AX241" s="42">
        <v>416590</v>
      </c>
      <c r="AZ241" s="42">
        <v>0</v>
      </c>
      <c r="BB241" s="5">
        <f t="shared" si="34"/>
        <v>9039806</v>
      </c>
      <c r="BD241" s="42">
        <v>0</v>
      </c>
      <c r="BF241" s="42">
        <v>0</v>
      </c>
      <c r="BH241" s="42">
        <v>0</v>
      </c>
      <c r="BJ241" s="42">
        <v>0</v>
      </c>
      <c r="BL241" s="5">
        <f t="shared" si="35"/>
        <v>9039806</v>
      </c>
      <c r="BN241" s="5">
        <f>'Gov Fd Rev'!AQ241-'Gov Fd Exp'!BL241</f>
        <v>355547</v>
      </c>
      <c r="BP241" s="42">
        <v>3143769</v>
      </c>
      <c r="BR241" s="42">
        <v>0</v>
      </c>
      <c r="BT241" s="42">
        <v>0</v>
      </c>
      <c r="BV241" s="5">
        <f t="shared" si="36"/>
        <v>3499316</v>
      </c>
      <c r="BW241" s="5"/>
      <c r="BX241" s="5">
        <f>BV241-'Gov Fd BS'!AI241</f>
        <v>0</v>
      </c>
    </row>
    <row r="242" spans="1:76" hidden="1">
      <c r="A242" s="8" t="s">
        <v>847</v>
      </c>
      <c r="B242" s="9"/>
      <c r="C242" s="9" t="s">
        <v>341</v>
      </c>
      <c r="D242" s="9"/>
      <c r="E242" s="23">
        <v>45245</v>
      </c>
      <c r="G242" s="42">
        <v>0</v>
      </c>
      <c r="I242" s="42">
        <v>0</v>
      </c>
      <c r="K242" s="42">
        <v>0</v>
      </c>
      <c r="M242" s="42">
        <v>0</v>
      </c>
      <c r="O242" s="42">
        <v>0</v>
      </c>
      <c r="Q242" s="42">
        <v>0</v>
      </c>
      <c r="S242" s="42">
        <v>0</v>
      </c>
      <c r="U242" s="42">
        <v>0</v>
      </c>
      <c r="W242" s="42">
        <v>0</v>
      </c>
      <c r="Y242" s="42">
        <v>0</v>
      </c>
      <c r="AA242" s="42">
        <v>0</v>
      </c>
      <c r="AC242" s="42">
        <v>0</v>
      </c>
      <c r="AE242" s="42">
        <v>0</v>
      </c>
      <c r="AG242" s="42">
        <v>0</v>
      </c>
      <c r="AI242" s="42">
        <v>0</v>
      </c>
      <c r="AK242" s="42">
        <v>0</v>
      </c>
      <c r="AL242" s="8" t="s">
        <v>847</v>
      </c>
      <c r="AM242" s="9"/>
      <c r="AN242" s="9" t="s">
        <v>341</v>
      </c>
      <c r="AP242" s="42">
        <v>0</v>
      </c>
      <c r="AR242" s="42">
        <v>0</v>
      </c>
      <c r="AT242" s="42">
        <v>0</v>
      </c>
      <c r="AV242" s="42">
        <v>0</v>
      </c>
      <c r="AX242" s="42">
        <v>0</v>
      </c>
      <c r="AZ242" s="42">
        <v>0</v>
      </c>
      <c r="BB242" s="5">
        <f t="shared" si="34"/>
        <v>0</v>
      </c>
      <c r="BD242" s="42">
        <v>0</v>
      </c>
      <c r="BF242" s="42">
        <v>0</v>
      </c>
      <c r="BH242" s="42">
        <v>0</v>
      </c>
      <c r="BJ242" s="42">
        <v>0</v>
      </c>
      <c r="BL242" s="5">
        <f t="shared" si="35"/>
        <v>0</v>
      </c>
      <c r="BN242" s="5">
        <f>'Gov Fd Rev'!AQ242-'Gov Fd Exp'!BL242</f>
        <v>0</v>
      </c>
      <c r="BP242" s="42">
        <v>0</v>
      </c>
      <c r="BR242" s="42">
        <v>0</v>
      </c>
      <c r="BT242" s="42">
        <v>0</v>
      </c>
      <c r="BV242" s="5">
        <f t="shared" si="36"/>
        <v>0</v>
      </c>
      <c r="BW242" s="5"/>
      <c r="BX242" s="5">
        <f>BV242-'Gov Fd BS'!AI242</f>
        <v>0</v>
      </c>
    </row>
    <row r="243" spans="1:76">
      <c r="A243" s="9" t="s">
        <v>371</v>
      </c>
      <c r="B243" s="9"/>
      <c r="C243" s="9" t="s">
        <v>42</v>
      </c>
      <c r="D243" s="9"/>
      <c r="E243" s="23">
        <v>44115</v>
      </c>
      <c r="G243" s="42">
        <v>9887089</v>
      </c>
      <c r="I243" s="42">
        <v>0</v>
      </c>
      <c r="K243" s="42">
        <v>0</v>
      </c>
      <c r="M243" s="42">
        <v>0</v>
      </c>
      <c r="O243" s="42">
        <v>0</v>
      </c>
      <c r="Q243" s="42">
        <v>609970</v>
      </c>
      <c r="S243" s="42">
        <v>301093</v>
      </c>
      <c r="U243" s="42">
        <v>79588</v>
      </c>
      <c r="W243" s="42">
        <v>1506325</v>
      </c>
      <c r="Y243" s="42">
        <v>502551</v>
      </c>
      <c r="AA243" s="42">
        <v>29284</v>
      </c>
      <c r="AC243" s="42">
        <v>1208877</v>
      </c>
      <c r="AE243" s="42">
        <v>613996</v>
      </c>
      <c r="AG243" s="42">
        <v>274241</v>
      </c>
      <c r="AI243" s="42">
        <v>583763</v>
      </c>
      <c r="AK243" s="42">
        <v>1776</v>
      </c>
      <c r="AL243" s="9" t="s">
        <v>371</v>
      </c>
      <c r="AM243" s="9"/>
      <c r="AN243" s="9" t="s">
        <v>42</v>
      </c>
      <c r="AP243" s="42">
        <v>452268</v>
      </c>
      <c r="AR243" s="42">
        <v>174798</v>
      </c>
      <c r="AT243" s="42">
        <v>0</v>
      </c>
      <c r="AV243" s="42">
        <v>983849</v>
      </c>
      <c r="AX243" s="42">
        <v>485280</v>
      </c>
      <c r="AZ243" s="42">
        <v>0</v>
      </c>
      <c r="BB243" s="5">
        <f t="shared" si="34"/>
        <v>17694748</v>
      </c>
      <c r="BD243" s="42">
        <v>0</v>
      </c>
      <c r="BF243" s="42">
        <v>0</v>
      </c>
      <c r="BH243" s="42">
        <v>0</v>
      </c>
      <c r="BJ243" s="42">
        <v>0</v>
      </c>
      <c r="BL243" s="5">
        <f t="shared" si="35"/>
        <v>17694748</v>
      </c>
      <c r="BN243" s="5">
        <f>'Gov Fd Rev'!AQ243-'Gov Fd Exp'!BL243</f>
        <v>-1496596</v>
      </c>
      <c r="BP243" s="42">
        <v>3469188</v>
      </c>
      <c r="BR243" s="42">
        <v>2333</v>
      </c>
      <c r="BT243" s="42">
        <v>0</v>
      </c>
      <c r="BV243" s="5">
        <f t="shared" si="36"/>
        <v>1974925</v>
      </c>
      <c r="BW243" s="5"/>
      <c r="BX243" s="5">
        <f>BV243-'Gov Fd BS'!AI243</f>
        <v>0</v>
      </c>
    </row>
    <row r="244" spans="1:76" hidden="1">
      <c r="A244" s="9" t="s">
        <v>662</v>
      </c>
      <c r="B244" s="9"/>
      <c r="C244" s="9" t="s">
        <v>22</v>
      </c>
      <c r="D244" s="9"/>
      <c r="E244" s="23">
        <v>45419</v>
      </c>
      <c r="G244" s="42">
        <v>0</v>
      </c>
      <c r="I244" s="42">
        <v>0</v>
      </c>
      <c r="K244" s="42">
        <v>0</v>
      </c>
      <c r="M244" s="42">
        <v>0</v>
      </c>
      <c r="O244" s="42">
        <v>0</v>
      </c>
      <c r="Q244" s="42">
        <v>0</v>
      </c>
      <c r="S244" s="42">
        <v>0</v>
      </c>
      <c r="U244" s="42">
        <v>0</v>
      </c>
      <c r="W244" s="42">
        <v>0</v>
      </c>
      <c r="Y244" s="42">
        <v>0</v>
      </c>
      <c r="AA244" s="42">
        <v>0</v>
      </c>
      <c r="AC244" s="42">
        <v>0</v>
      </c>
      <c r="AE244" s="42">
        <v>0</v>
      </c>
      <c r="AG244" s="42">
        <v>0</v>
      </c>
      <c r="AI244" s="42">
        <v>0</v>
      </c>
      <c r="AK244" s="42">
        <v>0</v>
      </c>
      <c r="AL244" s="9" t="s">
        <v>662</v>
      </c>
      <c r="AM244" s="9"/>
      <c r="AN244" s="9" t="s">
        <v>22</v>
      </c>
      <c r="AP244" s="42">
        <v>0</v>
      </c>
      <c r="AR244" s="42">
        <v>0</v>
      </c>
      <c r="AT244" s="42">
        <v>0</v>
      </c>
      <c r="AV244" s="42">
        <v>0</v>
      </c>
      <c r="AX244" s="42">
        <v>0</v>
      </c>
      <c r="AZ244" s="42">
        <v>0</v>
      </c>
      <c r="BB244" s="5">
        <f t="shared" si="34"/>
        <v>0</v>
      </c>
      <c r="BD244" s="42">
        <v>0</v>
      </c>
      <c r="BF244" s="42">
        <v>0</v>
      </c>
      <c r="BH244" s="42">
        <v>0</v>
      </c>
      <c r="BJ244" s="42">
        <v>0</v>
      </c>
      <c r="BL244" s="5">
        <f t="shared" si="35"/>
        <v>0</v>
      </c>
      <c r="BN244" s="5">
        <f>'Gov Fd Rev'!AQ244-'Gov Fd Exp'!BL244</f>
        <v>0</v>
      </c>
      <c r="BP244" s="42">
        <v>0</v>
      </c>
      <c r="BR244" s="42">
        <v>0</v>
      </c>
      <c r="BT244" s="42">
        <v>0</v>
      </c>
      <c r="BV244" s="5">
        <f t="shared" si="36"/>
        <v>0</v>
      </c>
      <c r="BW244" s="5"/>
      <c r="BX244" s="5">
        <f>BV244-'Gov Fd BS'!AI244</f>
        <v>0</v>
      </c>
    </row>
    <row r="245" spans="1:76">
      <c r="A245" s="9" t="s">
        <v>414</v>
      </c>
      <c r="B245" s="9"/>
      <c r="C245" s="9" t="s">
        <v>47</v>
      </c>
      <c r="D245" s="9"/>
      <c r="E245" s="23">
        <v>48496</v>
      </c>
      <c r="G245" s="42">
        <v>12263773</v>
      </c>
      <c r="I245" s="42">
        <v>3032484</v>
      </c>
      <c r="K245" s="42">
        <v>113217</v>
      </c>
      <c r="M245" s="42">
        <v>0</v>
      </c>
      <c r="O245" s="42">
        <v>148582</v>
      </c>
      <c r="Q245" s="42">
        <v>1586402</v>
      </c>
      <c r="S245" s="42">
        <v>1600503</v>
      </c>
      <c r="U245" s="42">
        <v>26183</v>
      </c>
      <c r="W245" s="42">
        <v>2074697</v>
      </c>
      <c r="Y245" s="42">
        <v>854114</v>
      </c>
      <c r="AA245" s="42">
        <v>28754</v>
      </c>
      <c r="AC245" s="42">
        <v>2481079</v>
      </c>
      <c r="AE245" s="42">
        <v>1770872</v>
      </c>
      <c r="AG245" s="42">
        <v>216613</v>
      </c>
      <c r="AI245" s="42">
        <v>1029311</v>
      </c>
      <c r="AK245" s="42">
        <v>194263</v>
      </c>
      <c r="AL245" s="9" t="s">
        <v>414</v>
      </c>
      <c r="AM245" s="9"/>
      <c r="AN245" s="9" t="s">
        <v>47</v>
      </c>
      <c r="AP245" s="42">
        <v>1136079</v>
      </c>
      <c r="AR245" s="42">
        <v>288260</v>
      </c>
      <c r="AT245" s="42">
        <v>0</v>
      </c>
      <c r="AV245" s="42">
        <v>1153707</v>
      </c>
      <c r="AX245" s="42">
        <v>1139116</v>
      </c>
      <c r="AZ245" s="42">
        <v>0</v>
      </c>
      <c r="BB245" s="5">
        <f t="shared" si="34"/>
        <v>31138009</v>
      </c>
      <c r="BD245" s="42">
        <v>0</v>
      </c>
      <c r="BF245" s="42">
        <v>0</v>
      </c>
      <c r="BH245" s="42">
        <v>0</v>
      </c>
      <c r="BJ245" s="42">
        <v>0</v>
      </c>
      <c r="BL245" s="5">
        <f>BB245+BD245+BJ245</f>
        <v>31138009</v>
      </c>
      <c r="BN245" s="5">
        <f>'Gov Fd Rev'!AQ245-'Gov Fd Exp'!BL245</f>
        <v>4139239</v>
      </c>
      <c r="BP245" s="42">
        <v>11365133</v>
      </c>
      <c r="BR245" s="42">
        <v>0</v>
      </c>
      <c r="BT245" s="42">
        <v>0</v>
      </c>
      <c r="BV245" s="5">
        <f t="shared" si="36"/>
        <v>15504372</v>
      </c>
      <c r="BW245" s="5"/>
      <c r="BX245" s="5">
        <f>BV245-'Gov Fd BS'!AI245</f>
        <v>0</v>
      </c>
    </row>
    <row r="246" spans="1:76">
      <c r="A246" s="9" t="s">
        <v>414</v>
      </c>
      <c r="B246" s="9"/>
      <c r="C246" s="9" t="s">
        <v>78</v>
      </c>
      <c r="D246" s="9"/>
      <c r="E246" s="23">
        <v>48801</v>
      </c>
      <c r="G246" s="42">
        <v>6700574</v>
      </c>
      <c r="I246" s="42">
        <v>2595930</v>
      </c>
      <c r="K246" s="42">
        <v>178045</v>
      </c>
      <c r="M246" s="42">
        <v>0</v>
      </c>
      <c r="O246" s="42">
        <v>0</v>
      </c>
      <c r="Q246" s="42">
        <v>483715</v>
      </c>
      <c r="S246" s="42">
        <v>654605</v>
      </c>
      <c r="U246" s="42">
        <v>193779</v>
      </c>
      <c r="W246" s="42">
        <v>1099138</v>
      </c>
      <c r="Y246" s="42">
        <v>445954</v>
      </c>
      <c r="AA246" s="42">
        <v>0</v>
      </c>
      <c r="AC246" s="42">
        <v>1742559</v>
      </c>
      <c r="AE246" s="42">
        <v>1308121</v>
      </c>
      <c r="AG246" s="42">
        <v>367</v>
      </c>
      <c r="AI246" s="42">
        <v>0</v>
      </c>
      <c r="AK246" s="42">
        <v>688370</v>
      </c>
      <c r="AL246" s="9" t="s">
        <v>414</v>
      </c>
      <c r="AM246" s="9"/>
      <c r="AN246" s="9" t="s">
        <v>78</v>
      </c>
      <c r="AP246" s="42">
        <v>296867</v>
      </c>
      <c r="AR246" s="42">
        <v>820873</v>
      </c>
      <c r="AT246" s="42">
        <v>0</v>
      </c>
      <c r="AV246" s="42">
        <v>172584</v>
      </c>
      <c r="AX246" s="42">
        <v>749395</v>
      </c>
      <c r="AZ246" s="42">
        <v>0</v>
      </c>
      <c r="BB246" s="5">
        <f t="shared" si="34"/>
        <v>18130876</v>
      </c>
      <c r="BD246" s="42">
        <v>0</v>
      </c>
      <c r="BF246" s="42">
        <v>0</v>
      </c>
      <c r="BH246" s="42">
        <v>0</v>
      </c>
      <c r="BJ246" s="42">
        <v>0</v>
      </c>
      <c r="BL246" s="5">
        <f t="shared" si="35"/>
        <v>18130876</v>
      </c>
      <c r="BN246" s="5">
        <f>'Gov Fd Rev'!AQ246-'Gov Fd Exp'!BL246</f>
        <v>-225393</v>
      </c>
      <c r="BP246" s="42">
        <v>8653827</v>
      </c>
      <c r="BR246" s="42">
        <v>0</v>
      </c>
      <c r="BT246" s="42">
        <v>0</v>
      </c>
      <c r="BV246" s="5">
        <f t="shared" si="36"/>
        <v>8428434</v>
      </c>
      <c r="BW246" s="5"/>
      <c r="BX246" s="5">
        <f>BV246-'Gov Fd BS'!AI246</f>
        <v>0</v>
      </c>
    </row>
    <row r="247" spans="1:76">
      <c r="A247" s="9" t="s">
        <v>303</v>
      </c>
      <c r="B247" s="9"/>
      <c r="C247" s="9" t="s">
        <v>27</v>
      </c>
      <c r="D247" s="9"/>
      <c r="E247" s="23">
        <v>47019</v>
      </c>
      <c r="G247" s="42">
        <v>81091077</v>
      </c>
      <c r="I247" s="42">
        <v>17414250</v>
      </c>
      <c r="K247" s="42">
        <v>6513919</v>
      </c>
      <c r="M247" s="42">
        <v>0</v>
      </c>
      <c r="O247" s="42">
        <v>0</v>
      </c>
      <c r="Q247" s="42">
        <v>12243664</v>
      </c>
      <c r="S247" s="42">
        <v>8528419</v>
      </c>
      <c r="U247" s="42">
        <v>392731</v>
      </c>
      <c r="W247" s="42">
        <v>8384587</v>
      </c>
      <c r="Y247" s="42">
        <v>5616389</v>
      </c>
      <c r="AA247" s="42">
        <v>757218</v>
      </c>
      <c r="AC247" s="42">
        <v>14432290</v>
      </c>
      <c r="AE247" s="42">
        <v>7328457</v>
      </c>
      <c r="AG247" s="42">
        <v>1446040</v>
      </c>
      <c r="AI247" s="42">
        <v>4763766</v>
      </c>
      <c r="AK247" s="42">
        <v>2909959</v>
      </c>
      <c r="AL247" s="9" t="s">
        <v>303</v>
      </c>
      <c r="AM247" s="9"/>
      <c r="AN247" s="9" t="s">
        <v>27</v>
      </c>
      <c r="AP247" s="42">
        <v>4504183</v>
      </c>
      <c r="AR247" s="42">
        <v>3097070</v>
      </c>
      <c r="AT247" s="42">
        <v>0</v>
      </c>
      <c r="AV247" s="42">
        <v>14220000</v>
      </c>
      <c r="AX247" s="42">
        <v>5643800</v>
      </c>
      <c r="AZ247" s="42">
        <v>0</v>
      </c>
      <c r="BB247" s="5">
        <f t="shared" si="34"/>
        <v>199287819</v>
      </c>
      <c r="BD247" s="42">
        <v>332252</v>
      </c>
      <c r="BF247" s="42">
        <v>0</v>
      </c>
      <c r="BH247" s="42">
        <v>0</v>
      </c>
      <c r="BJ247" s="42">
        <v>77551753</v>
      </c>
      <c r="BL247" s="5">
        <f t="shared" si="35"/>
        <v>277171824</v>
      </c>
      <c r="BN247" s="5">
        <f>'Gov Fd Rev'!AQ247-'Gov Fd Exp'!BL247</f>
        <v>-2984857</v>
      </c>
      <c r="BP247" s="42">
        <v>71818188</v>
      </c>
      <c r="BR247" s="42">
        <v>0</v>
      </c>
      <c r="BT247" s="42">
        <v>0</v>
      </c>
      <c r="BV247" s="5">
        <f t="shared" si="36"/>
        <v>68833331</v>
      </c>
      <c r="BW247" s="5"/>
      <c r="BX247" s="5">
        <f>BV247-'Gov Fd BS'!AI247</f>
        <v>0</v>
      </c>
    </row>
    <row r="248" spans="1:76">
      <c r="A248" s="9" t="s">
        <v>348</v>
      </c>
      <c r="B248" s="9"/>
      <c r="C248" s="9" t="s">
        <v>346</v>
      </c>
      <c r="D248" s="9"/>
      <c r="E248" s="23">
        <v>44123</v>
      </c>
      <c r="G248" s="42">
        <v>10947247</v>
      </c>
      <c r="I248" s="42">
        <v>2097763</v>
      </c>
      <c r="K248" s="42">
        <v>834722</v>
      </c>
      <c r="M248" s="42">
        <v>0</v>
      </c>
      <c r="O248" s="42">
        <v>2212</v>
      </c>
      <c r="Q248" s="42">
        <v>1004792</v>
      </c>
      <c r="S248" s="42">
        <v>2908361</v>
      </c>
      <c r="U248" s="42">
        <v>22751</v>
      </c>
      <c r="W248" s="42">
        <v>1982172</v>
      </c>
      <c r="Y248" s="42">
        <v>91053</v>
      </c>
      <c r="AA248" s="42">
        <v>9858</v>
      </c>
      <c r="AC248" s="42">
        <v>1743503</v>
      </c>
      <c r="AE248" s="42">
        <v>1747213</v>
      </c>
      <c r="AG248" s="42">
        <v>40578</v>
      </c>
      <c r="AI248" s="42">
        <v>1105645</v>
      </c>
      <c r="AK248" s="42">
        <v>92411</v>
      </c>
      <c r="AL248" s="9" t="s">
        <v>348</v>
      </c>
      <c r="AM248" s="9"/>
      <c r="AN248" s="9" t="s">
        <v>346</v>
      </c>
      <c r="AP248" s="42">
        <v>602941</v>
      </c>
      <c r="AR248" s="42">
        <v>266990</v>
      </c>
      <c r="AT248" s="42">
        <v>0</v>
      </c>
      <c r="AV248" s="42">
        <v>488000</v>
      </c>
      <c r="AX248" s="42">
        <v>435301</v>
      </c>
      <c r="AZ248" s="42">
        <v>0</v>
      </c>
      <c r="BB248" s="5">
        <f t="shared" si="34"/>
        <v>26423513</v>
      </c>
      <c r="BD248" s="42">
        <v>359958</v>
      </c>
      <c r="BF248" s="42">
        <v>0</v>
      </c>
      <c r="BH248" s="42">
        <v>0</v>
      </c>
      <c r="BJ248" s="42">
        <v>0</v>
      </c>
      <c r="BL248" s="5">
        <f t="shared" si="35"/>
        <v>26783471</v>
      </c>
      <c r="BN248" s="5">
        <f>'Gov Fd Rev'!AQ248-'Gov Fd Exp'!BL248</f>
        <v>673475</v>
      </c>
      <c r="BP248" s="42">
        <v>8721047</v>
      </c>
      <c r="BR248" s="42">
        <v>0</v>
      </c>
      <c r="BT248" s="42">
        <v>0</v>
      </c>
      <c r="BV248" s="5">
        <f t="shared" si="36"/>
        <v>9394522</v>
      </c>
      <c r="BW248" s="5"/>
      <c r="BX248" s="5">
        <f>BV248-'Gov Fd BS'!AI248</f>
        <v>0</v>
      </c>
    </row>
    <row r="249" spans="1:76">
      <c r="A249" s="9" t="s">
        <v>203</v>
      </c>
      <c r="B249" s="9"/>
      <c r="C249" s="9" t="s">
        <v>11</v>
      </c>
      <c r="D249" s="9"/>
      <c r="E249" s="23">
        <v>45823</v>
      </c>
      <c r="G249" s="42">
        <v>4716605</v>
      </c>
      <c r="I249" s="42">
        <v>731703</v>
      </c>
      <c r="K249" s="42">
        <v>314264</v>
      </c>
      <c r="M249" s="42">
        <v>0</v>
      </c>
      <c r="O249" s="42">
        <v>252075</v>
      </c>
      <c r="Q249" s="42">
        <v>519368</v>
      </c>
      <c r="S249" s="42">
        <v>346485</v>
      </c>
      <c r="U249" s="42">
        <v>48709</v>
      </c>
      <c r="W249" s="42">
        <v>930343</v>
      </c>
      <c r="Y249" s="42">
        <v>348773</v>
      </c>
      <c r="AA249" s="42">
        <v>0</v>
      </c>
      <c r="AC249" s="42">
        <v>615145</v>
      </c>
      <c r="AE249" s="42">
        <v>820073</v>
      </c>
      <c r="AG249" s="42">
        <v>0</v>
      </c>
      <c r="AI249" s="42">
        <v>382125</v>
      </c>
      <c r="AK249" s="42">
        <v>7168</v>
      </c>
      <c r="AL249" s="9" t="s">
        <v>203</v>
      </c>
      <c r="AM249" s="9"/>
      <c r="AN249" s="9" t="s">
        <v>11</v>
      </c>
      <c r="AP249" s="42">
        <v>354981</v>
      </c>
      <c r="AR249" s="42">
        <v>72375</v>
      </c>
      <c r="AT249" s="42">
        <v>0</v>
      </c>
      <c r="AV249" s="42">
        <v>62000</v>
      </c>
      <c r="AX249" s="42">
        <v>9429</v>
      </c>
      <c r="AZ249" s="42">
        <v>0</v>
      </c>
      <c r="BB249" s="5">
        <f t="shared" si="34"/>
        <v>10531621</v>
      </c>
      <c r="BD249" s="42">
        <v>71429</v>
      </c>
      <c r="BF249" s="42">
        <v>0</v>
      </c>
      <c r="BH249" s="42">
        <v>0</v>
      </c>
      <c r="BJ249" s="42">
        <v>0</v>
      </c>
      <c r="BL249" s="5">
        <f t="shared" si="35"/>
        <v>10603050</v>
      </c>
      <c r="BN249" s="5">
        <f>'Gov Fd Rev'!AQ249-'Gov Fd Exp'!BL249</f>
        <v>-139141</v>
      </c>
      <c r="BP249" s="42">
        <v>753371</v>
      </c>
      <c r="BR249" s="42">
        <v>0</v>
      </c>
      <c r="BT249" s="42">
        <v>0</v>
      </c>
      <c r="BV249" s="5">
        <f t="shared" si="36"/>
        <v>614230</v>
      </c>
      <c r="BW249" s="5"/>
      <c r="BX249" s="5">
        <f>BV249-'Gov Fd BS'!AI249</f>
        <v>0</v>
      </c>
    </row>
    <row r="250" spans="1:76">
      <c r="A250" s="9" t="s">
        <v>342</v>
      </c>
      <c r="B250" s="9"/>
      <c r="C250" s="9" t="s">
        <v>34</v>
      </c>
      <c r="D250" s="9"/>
      <c r="E250" s="23">
        <v>47571</v>
      </c>
      <c r="G250" s="42">
        <v>2582862</v>
      </c>
      <c r="I250" s="42">
        <v>580862</v>
      </c>
      <c r="K250" s="42">
        <v>93566</v>
      </c>
      <c r="M250" s="42">
        <v>0</v>
      </c>
      <c r="O250" s="42">
        <v>0</v>
      </c>
      <c r="Q250" s="42">
        <v>266553</v>
      </c>
      <c r="S250" s="42">
        <v>231036</v>
      </c>
      <c r="U250" s="42">
        <v>11740</v>
      </c>
      <c r="W250" s="42">
        <v>469681</v>
      </c>
      <c r="Y250" s="42">
        <v>213011</v>
      </c>
      <c r="AA250" s="42">
        <v>8065</v>
      </c>
      <c r="AC250" s="42">
        <v>389597</v>
      </c>
      <c r="AE250" s="42">
        <v>291609</v>
      </c>
      <c r="AG250" s="42">
        <v>85504</v>
      </c>
      <c r="AI250" s="42">
        <v>0</v>
      </c>
      <c r="AK250" s="42">
        <v>236970</v>
      </c>
      <c r="AL250" s="9" t="s">
        <v>342</v>
      </c>
      <c r="AM250" s="9"/>
      <c r="AN250" s="9" t="s">
        <v>34</v>
      </c>
      <c r="AP250" s="42">
        <v>229630</v>
      </c>
      <c r="AR250" s="42">
        <v>0</v>
      </c>
      <c r="AT250" s="42">
        <v>0</v>
      </c>
      <c r="AV250" s="42">
        <v>175000</v>
      </c>
      <c r="AX250" s="42">
        <v>187961</v>
      </c>
      <c r="AZ250" s="42">
        <v>0</v>
      </c>
      <c r="BB250" s="5">
        <f t="shared" si="34"/>
        <v>6053647</v>
      </c>
      <c r="BD250" s="42">
        <v>21009</v>
      </c>
      <c r="BF250" s="42">
        <v>0</v>
      </c>
      <c r="BH250" s="42">
        <v>0</v>
      </c>
      <c r="BJ250" s="42">
        <v>0</v>
      </c>
      <c r="BL250" s="5">
        <f t="shared" si="35"/>
        <v>6074656</v>
      </c>
      <c r="BN250" s="5">
        <f>'Gov Fd Rev'!AQ250-'Gov Fd Exp'!BL250</f>
        <v>171557</v>
      </c>
      <c r="BP250" s="42">
        <v>2880662</v>
      </c>
      <c r="BR250" s="42">
        <v>0</v>
      </c>
      <c r="BT250" s="42">
        <v>0</v>
      </c>
      <c r="BV250" s="5">
        <f t="shared" si="36"/>
        <v>3052219</v>
      </c>
      <c r="BW250" s="5"/>
      <c r="BX250" s="5">
        <f>BV250-'Gov Fd BS'!AI250</f>
        <v>0</v>
      </c>
    </row>
    <row r="251" spans="1:76" hidden="1">
      <c r="A251" s="8" t="s">
        <v>879</v>
      </c>
      <c r="B251" s="8"/>
      <c r="C251" s="8" t="s">
        <v>60</v>
      </c>
      <c r="D251" s="8"/>
      <c r="E251" s="23">
        <v>49700</v>
      </c>
      <c r="G251" s="42">
        <v>0</v>
      </c>
      <c r="I251" s="42">
        <v>0</v>
      </c>
      <c r="K251" s="42">
        <v>0</v>
      </c>
      <c r="M251" s="42">
        <v>0</v>
      </c>
      <c r="O251" s="42">
        <v>0</v>
      </c>
      <c r="Q251" s="42">
        <v>0</v>
      </c>
      <c r="S251" s="42">
        <v>0</v>
      </c>
      <c r="U251" s="42">
        <v>0</v>
      </c>
      <c r="W251" s="42">
        <v>0</v>
      </c>
      <c r="Y251" s="42">
        <v>0</v>
      </c>
      <c r="AA251" s="42">
        <v>0</v>
      </c>
      <c r="AC251" s="42">
        <v>0</v>
      </c>
      <c r="AE251" s="42">
        <v>0</v>
      </c>
      <c r="AG251" s="42">
        <v>0</v>
      </c>
      <c r="AI251" s="42">
        <v>0</v>
      </c>
      <c r="AK251" s="42">
        <v>0</v>
      </c>
      <c r="AL251" s="8" t="s">
        <v>879</v>
      </c>
      <c r="AM251" s="8"/>
      <c r="AN251" s="8" t="s">
        <v>60</v>
      </c>
      <c r="AP251" s="42">
        <v>0</v>
      </c>
      <c r="AR251" s="42">
        <v>0</v>
      </c>
      <c r="AT251" s="42">
        <v>0</v>
      </c>
      <c r="AV251" s="42">
        <v>0</v>
      </c>
      <c r="AX251" s="42">
        <v>0</v>
      </c>
      <c r="AZ251" s="42">
        <v>0</v>
      </c>
      <c r="BB251" s="5">
        <f t="shared" ref="BB251" si="38">SUM(G251:AZ251)</f>
        <v>0</v>
      </c>
      <c r="BD251" s="42">
        <v>0</v>
      </c>
      <c r="BF251" s="42">
        <v>0</v>
      </c>
      <c r="BH251" s="42">
        <v>0</v>
      </c>
      <c r="BJ251" s="42">
        <v>0</v>
      </c>
      <c r="BL251" s="5">
        <f t="shared" ref="BL251" si="39">BB251+BD251+BJ251</f>
        <v>0</v>
      </c>
      <c r="BN251" s="5">
        <f>'Gov Fd Rev'!AQ251-'Gov Fd Exp'!BL251</f>
        <v>0</v>
      </c>
      <c r="BP251" s="42">
        <v>0</v>
      </c>
      <c r="BR251" s="42">
        <v>0</v>
      </c>
      <c r="BT251" s="42">
        <v>0</v>
      </c>
      <c r="BV251" s="5">
        <f t="shared" ref="BV251" si="40">BN251+BP251+BR251+BT251</f>
        <v>0</v>
      </c>
      <c r="BW251" s="5"/>
      <c r="BX251" s="5">
        <f>BV251-'Gov Fd BS'!AI251</f>
        <v>0</v>
      </c>
    </row>
    <row r="252" spans="1:76">
      <c r="A252" s="9" t="s">
        <v>518</v>
      </c>
      <c r="B252" s="9"/>
      <c r="C252" s="9" t="s">
        <v>64</v>
      </c>
      <c r="D252" s="9"/>
      <c r="E252" s="23">
        <v>50161</v>
      </c>
      <c r="G252" s="42">
        <v>14566472</v>
      </c>
      <c r="I252" s="42">
        <v>3021252</v>
      </c>
      <c r="K252" s="42">
        <v>434305</v>
      </c>
      <c r="M252" s="42">
        <v>0</v>
      </c>
      <c r="O252" s="42">
        <v>9751</v>
      </c>
      <c r="Q252" s="42">
        <v>1571627</v>
      </c>
      <c r="S252" s="42">
        <v>875816</v>
      </c>
      <c r="U252" s="42">
        <v>349618</v>
      </c>
      <c r="W252" s="42">
        <v>2251362</v>
      </c>
      <c r="Y252" s="42">
        <v>662731</v>
      </c>
      <c r="AA252" s="42">
        <v>100528</v>
      </c>
      <c r="AC252" s="42">
        <v>2632419</v>
      </c>
      <c r="AE252" s="42">
        <v>1562344</v>
      </c>
      <c r="AG252" s="42">
        <v>4491</v>
      </c>
      <c r="AI252" s="42">
        <v>667825</v>
      </c>
      <c r="AK252" s="42">
        <v>292364</v>
      </c>
      <c r="AL252" s="9" t="s">
        <v>518</v>
      </c>
      <c r="AM252" s="9"/>
      <c r="AN252" s="9" t="s">
        <v>64</v>
      </c>
      <c r="AP252" s="42">
        <v>638156</v>
      </c>
      <c r="AR252" s="42">
        <v>530794</v>
      </c>
      <c r="AT252" s="42">
        <v>0</v>
      </c>
      <c r="AV252" s="42">
        <v>95880</v>
      </c>
      <c r="AX252" s="42">
        <v>61773</v>
      </c>
      <c r="AZ252" s="42">
        <v>0</v>
      </c>
      <c r="BB252" s="5">
        <f t="shared" si="34"/>
        <v>30329508</v>
      </c>
      <c r="BD252" s="42">
        <v>0</v>
      </c>
      <c r="BF252" s="42">
        <v>0</v>
      </c>
      <c r="BH252" s="42">
        <v>0</v>
      </c>
      <c r="BJ252" s="42">
        <v>0</v>
      </c>
      <c r="BL252" s="5">
        <f t="shared" si="35"/>
        <v>30329508</v>
      </c>
      <c r="BN252" s="5">
        <f>'Gov Fd Rev'!AQ252-'Gov Fd Exp'!BL252</f>
        <v>138491</v>
      </c>
      <c r="BP252" s="42">
        <v>-1652159</v>
      </c>
      <c r="BR252" s="42">
        <v>0</v>
      </c>
      <c r="BT252" s="42">
        <v>0</v>
      </c>
      <c r="BV252" s="5">
        <f t="shared" si="36"/>
        <v>-1513668</v>
      </c>
      <c r="BW252" s="5"/>
      <c r="BX252" s="5">
        <f>BV252-'Gov Fd BS'!AI252</f>
        <v>0</v>
      </c>
    </row>
    <row r="253" spans="1:76">
      <c r="A253" s="9" t="s">
        <v>755</v>
      </c>
      <c r="B253" s="9"/>
      <c r="C253" s="9" t="s">
        <v>64</v>
      </c>
      <c r="D253" s="9"/>
      <c r="E253" s="23">
        <v>45427</v>
      </c>
      <c r="G253" s="42">
        <v>9488423</v>
      </c>
      <c r="I253" s="42">
        <v>1612903</v>
      </c>
      <c r="K253" s="42">
        <v>228810</v>
      </c>
      <c r="M253" s="42">
        <v>0</v>
      </c>
      <c r="O253" s="42">
        <v>658000</v>
      </c>
      <c r="Q253" s="42">
        <v>1025422</v>
      </c>
      <c r="S253" s="42">
        <v>898568</v>
      </c>
      <c r="U253" s="42">
        <v>13123</v>
      </c>
      <c r="W253" s="42">
        <v>1466966</v>
      </c>
      <c r="Y253" s="42">
        <v>529326</v>
      </c>
      <c r="AA253" s="42">
        <v>12610</v>
      </c>
      <c r="AC253" s="42">
        <v>1959724</v>
      </c>
      <c r="AE253" s="42">
        <v>1019316</v>
      </c>
      <c r="AG253" s="42">
        <v>296391</v>
      </c>
      <c r="AI253" s="42">
        <v>832963</v>
      </c>
      <c r="AK253" s="42">
        <v>398590</v>
      </c>
      <c r="AL253" s="9" t="s">
        <v>755</v>
      </c>
      <c r="AM253" s="9"/>
      <c r="AN253" s="9" t="s">
        <v>64</v>
      </c>
      <c r="AP253" s="42">
        <v>533200</v>
      </c>
      <c r="AR253" s="42">
        <v>5468774</v>
      </c>
      <c r="AT253" s="42">
        <v>0</v>
      </c>
      <c r="AV253" s="42">
        <v>405000</v>
      </c>
      <c r="AX253" s="42">
        <v>589103</v>
      </c>
      <c r="AZ253" s="42">
        <v>75042</v>
      </c>
      <c r="BB253" s="5">
        <f t="shared" si="34"/>
        <v>27512254</v>
      </c>
      <c r="BD253" s="42">
        <v>362705</v>
      </c>
      <c r="BF253" s="42">
        <v>0</v>
      </c>
      <c r="BH253" s="42">
        <v>0</v>
      </c>
      <c r="BJ253" s="42">
        <f>9677683+95785</f>
        <v>9773468</v>
      </c>
      <c r="BL253" s="5">
        <f t="shared" si="35"/>
        <v>37648427</v>
      </c>
      <c r="BN253" s="5">
        <f>'Gov Fd Rev'!AQ253-'Gov Fd Exp'!BL253</f>
        <v>-6277742</v>
      </c>
      <c r="BP253" s="42">
        <v>10863785</v>
      </c>
      <c r="BR253" s="42">
        <v>0</v>
      </c>
      <c r="BT253" s="42">
        <v>0</v>
      </c>
      <c r="BV253" s="5">
        <f t="shared" si="36"/>
        <v>4586043</v>
      </c>
      <c r="BW253" s="5"/>
      <c r="BX253" s="5">
        <f>BV253-'Gov Fd BS'!AI253</f>
        <v>0</v>
      </c>
    </row>
    <row r="254" spans="1:76">
      <c r="A254" s="9" t="s">
        <v>427</v>
      </c>
      <c r="B254" s="9"/>
      <c r="C254" s="9" t="s">
        <v>50</v>
      </c>
      <c r="D254" s="9"/>
      <c r="E254" s="23">
        <v>48751</v>
      </c>
      <c r="G254" s="42">
        <v>45218624</v>
      </c>
      <c r="I254" s="42">
        <v>0</v>
      </c>
      <c r="K254" s="42">
        <v>0</v>
      </c>
      <c r="M254" s="42">
        <v>0</v>
      </c>
      <c r="O254" s="42">
        <v>0</v>
      </c>
      <c r="Q254" s="42">
        <v>2748283</v>
      </c>
      <c r="S254" s="42">
        <v>4062989</v>
      </c>
      <c r="U254" s="42">
        <v>25428</v>
      </c>
      <c r="W254" s="42">
        <v>3726274</v>
      </c>
      <c r="Y254" s="42">
        <v>1058392</v>
      </c>
      <c r="AA254" s="42">
        <v>356732</v>
      </c>
      <c r="AC254" s="42">
        <v>4438431</v>
      </c>
      <c r="AE254" s="42">
        <v>2746358</v>
      </c>
      <c r="AG254" s="42">
        <v>469094</v>
      </c>
      <c r="AI254" s="42">
        <v>2242949</v>
      </c>
      <c r="AK254" s="42">
        <v>345757</v>
      </c>
      <c r="AL254" s="9" t="s">
        <v>427</v>
      </c>
      <c r="AM254" s="9"/>
      <c r="AN254" s="9" t="s">
        <v>50</v>
      </c>
      <c r="AP254" s="42">
        <v>856260</v>
      </c>
      <c r="AR254" s="42">
        <v>22450724</v>
      </c>
      <c r="AT254" s="42">
        <v>0</v>
      </c>
      <c r="AV254" s="42">
        <v>1175988</v>
      </c>
      <c r="AX254" s="42">
        <v>3781670</v>
      </c>
      <c r="AZ254" s="42">
        <v>0</v>
      </c>
      <c r="BB254" s="5">
        <f t="shared" si="34"/>
        <v>95703953</v>
      </c>
      <c r="BD254" s="42">
        <v>0</v>
      </c>
      <c r="BF254" s="42">
        <v>0</v>
      </c>
      <c r="BH254" s="42">
        <v>0</v>
      </c>
      <c r="BJ254" s="42">
        <v>0</v>
      </c>
      <c r="BL254" s="5">
        <f t="shared" si="35"/>
        <v>95703953</v>
      </c>
      <c r="BN254" s="5">
        <f>'Gov Fd Rev'!AQ254-'Gov Fd Exp'!BL254</f>
        <v>-25048031</v>
      </c>
      <c r="BP254" s="42">
        <v>50442799</v>
      </c>
      <c r="BR254" s="42">
        <v>9749</v>
      </c>
      <c r="BT254" s="42">
        <v>0</v>
      </c>
      <c r="BV254" s="5">
        <f t="shared" si="36"/>
        <v>25404517</v>
      </c>
      <c r="BW254" s="5"/>
      <c r="BX254" s="5">
        <f>BV254-'Gov Fd BS'!AI254</f>
        <v>0</v>
      </c>
    </row>
    <row r="255" spans="1:76">
      <c r="A255" s="9" t="s">
        <v>505</v>
      </c>
      <c r="B255" s="9"/>
      <c r="C255" s="9" t="s">
        <v>63</v>
      </c>
      <c r="D255" s="9"/>
      <c r="E255" s="23">
        <v>50021</v>
      </c>
      <c r="G255" s="42">
        <v>26755411</v>
      </c>
      <c r="I255" s="42">
        <v>6406501</v>
      </c>
      <c r="K255" s="42">
        <v>241724</v>
      </c>
      <c r="M255" s="42">
        <v>0</v>
      </c>
      <c r="O255" s="42">
        <v>1211810</v>
      </c>
      <c r="Q255" s="42">
        <v>4908661</v>
      </c>
      <c r="S255" s="42">
        <v>4319163</v>
      </c>
      <c r="U255" s="42">
        <v>44201</v>
      </c>
      <c r="W255" s="42">
        <v>4259944</v>
      </c>
      <c r="Y255" s="42">
        <v>2023839</v>
      </c>
      <c r="AA255" s="42">
        <v>593078</v>
      </c>
      <c r="AC255" s="42">
        <v>4772810</v>
      </c>
      <c r="AE255" s="42">
        <v>3954783</v>
      </c>
      <c r="AG255" s="42">
        <v>499551</v>
      </c>
      <c r="AI255" s="42">
        <v>1435672</v>
      </c>
      <c r="AK255" s="42">
        <v>23995</v>
      </c>
      <c r="AL255" s="9" t="s">
        <v>505</v>
      </c>
      <c r="AM255" s="9"/>
      <c r="AN255" s="9" t="s">
        <v>63</v>
      </c>
      <c r="AP255" s="42">
        <v>1241538</v>
      </c>
      <c r="AR255" s="42">
        <v>1002774</v>
      </c>
      <c r="AT255" s="42">
        <v>0</v>
      </c>
      <c r="AV255" s="42">
        <v>3306932</v>
      </c>
      <c r="AX255" s="42">
        <v>847026</v>
      </c>
      <c r="AZ255" s="42">
        <v>302738</v>
      </c>
      <c r="BB255" s="5">
        <f t="shared" si="34"/>
        <v>68152151</v>
      </c>
      <c r="BD255" s="42">
        <v>1006000</v>
      </c>
      <c r="BF255" s="42">
        <v>0</v>
      </c>
      <c r="BH255" s="42">
        <v>0</v>
      </c>
      <c r="BJ255" s="42">
        <v>21474661</v>
      </c>
      <c r="BL255" s="5">
        <f t="shared" si="35"/>
        <v>90632812</v>
      </c>
      <c r="BN255" s="5">
        <f>'Gov Fd Rev'!AQ255-'Gov Fd Exp'!BL255</f>
        <v>-1527997</v>
      </c>
      <c r="BP255" s="42">
        <v>16336293</v>
      </c>
      <c r="BR255" s="42">
        <v>0</v>
      </c>
      <c r="BT255" s="42">
        <v>0</v>
      </c>
      <c r="BV255" s="5">
        <f t="shared" si="36"/>
        <v>14808296</v>
      </c>
      <c r="BW255" s="5"/>
      <c r="BX255" s="5">
        <f>BV255-'Gov Fd BS'!AI255</f>
        <v>0</v>
      </c>
    </row>
    <row r="256" spans="1:76">
      <c r="A256" s="9" t="s">
        <v>471</v>
      </c>
      <c r="B256" s="9"/>
      <c r="C256" s="9" t="s">
        <v>58</v>
      </c>
      <c r="D256" s="9"/>
      <c r="E256" s="23">
        <v>49502</v>
      </c>
      <c r="G256" s="42">
        <v>6592936</v>
      </c>
      <c r="I256" s="42">
        <v>1301365</v>
      </c>
      <c r="K256" s="42">
        <v>0</v>
      </c>
      <c r="M256" s="42">
        <v>0</v>
      </c>
      <c r="O256" s="42">
        <v>827940</v>
      </c>
      <c r="Q256" s="42">
        <v>535676</v>
      </c>
      <c r="S256" s="42">
        <v>259235</v>
      </c>
      <c r="U256" s="42">
        <v>28198</v>
      </c>
      <c r="W256" s="42">
        <v>979423</v>
      </c>
      <c r="Y256" s="42">
        <v>267134</v>
      </c>
      <c r="AA256" s="42">
        <v>0</v>
      </c>
      <c r="AC256" s="42">
        <v>1099267</v>
      </c>
      <c r="AE256" s="42">
        <v>841662</v>
      </c>
      <c r="AG256" s="42">
        <v>2538</v>
      </c>
      <c r="AI256" s="42">
        <v>0</v>
      </c>
      <c r="AK256" s="42">
        <v>645050</v>
      </c>
      <c r="AL256" s="9" t="s">
        <v>471</v>
      </c>
      <c r="AM256" s="9"/>
      <c r="AN256" s="9" t="s">
        <v>58</v>
      </c>
      <c r="AP256" s="42">
        <v>298176</v>
      </c>
      <c r="AR256" s="42">
        <v>622572</v>
      </c>
      <c r="AT256" s="42">
        <v>0</v>
      </c>
      <c r="AV256" s="42">
        <v>83316</v>
      </c>
      <c r="AX256" s="42">
        <v>32043</v>
      </c>
      <c r="AZ256" s="42">
        <v>0</v>
      </c>
      <c r="BB256" s="5">
        <f t="shared" si="34"/>
        <v>14416531</v>
      </c>
      <c r="BD256" s="42">
        <v>0</v>
      </c>
      <c r="BF256" s="42">
        <v>0</v>
      </c>
      <c r="BH256" s="42">
        <v>0</v>
      </c>
      <c r="BJ256" s="42">
        <v>0</v>
      </c>
      <c r="BL256" s="5">
        <f t="shared" si="35"/>
        <v>14416531</v>
      </c>
      <c r="BN256" s="5">
        <f>'Gov Fd Rev'!AQ256-'Gov Fd Exp'!BL256</f>
        <v>-736964</v>
      </c>
      <c r="BP256" s="42">
        <v>4401518</v>
      </c>
      <c r="BR256" s="42">
        <v>0</v>
      </c>
      <c r="BT256" s="42">
        <v>0</v>
      </c>
      <c r="BV256" s="5">
        <f t="shared" si="36"/>
        <v>3664554</v>
      </c>
      <c r="BW256" s="5"/>
      <c r="BX256" s="5">
        <f>BV256-'Gov Fd BS'!AI256</f>
        <v>0</v>
      </c>
    </row>
    <row r="257" spans="1:76">
      <c r="A257" s="9" t="s">
        <v>284</v>
      </c>
      <c r="B257" s="9"/>
      <c r="C257" s="9" t="s">
        <v>24</v>
      </c>
      <c r="D257" s="9"/>
      <c r="E257" s="23">
        <v>44131</v>
      </c>
      <c r="G257" s="42">
        <v>7651359</v>
      </c>
      <c r="I257" s="42">
        <v>2105117</v>
      </c>
      <c r="K257" s="42">
        <v>0</v>
      </c>
      <c r="M257" s="42">
        <v>0</v>
      </c>
      <c r="O257" s="42">
        <v>104994</v>
      </c>
      <c r="Q257" s="42">
        <v>672653</v>
      </c>
      <c r="S257" s="42">
        <v>662625</v>
      </c>
      <c r="U257" s="42">
        <v>83017</v>
      </c>
      <c r="W257" s="42">
        <v>1734771</v>
      </c>
      <c r="Y257" s="42">
        <v>552756</v>
      </c>
      <c r="AA257" s="42">
        <v>0</v>
      </c>
      <c r="AC257" s="42">
        <v>1259538</v>
      </c>
      <c r="AE257" s="42">
        <v>854860</v>
      </c>
      <c r="AG257" s="42">
        <v>0</v>
      </c>
      <c r="AI257" s="42">
        <v>624782</v>
      </c>
      <c r="AK257" s="42">
        <v>291120</v>
      </c>
      <c r="AL257" s="9" t="s">
        <v>284</v>
      </c>
      <c r="AM257" s="9"/>
      <c r="AN257" s="9" t="s">
        <v>24</v>
      </c>
      <c r="AP257" s="42">
        <v>799942</v>
      </c>
      <c r="AR257" s="42">
        <v>0</v>
      </c>
      <c r="AT257" s="42">
        <v>4476</v>
      </c>
      <c r="AV257" s="42">
        <v>741988</v>
      </c>
      <c r="AX257" s="42">
        <v>287190</v>
      </c>
      <c r="AZ257" s="42">
        <v>0</v>
      </c>
      <c r="BB257" s="5">
        <f t="shared" si="34"/>
        <v>18431188</v>
      </c>
      <c r="BD257" s="42">
        <v>0</v>
      </c>
      <c r="BF257" s="42">
        <v>0</v>
      </c>
      <c r="BH257" s="42">
        <v>0</v>
      </c>
      <c r="BJ257" s="42">
        <v>0</v>
      </c>
      <c r="BL257" s="5">
        <f t="shared" si="35"/>
        <v>18431188</v>
      </c>
      <c r="BN257" s="5">
        <f>'Gov Fd Rev'!AQ257-'Gov Fd Exp'!BL257</f>
        <v>-736145</v>
      </c>
      <c r="BP257" s="42">
        <v>7798385</v>
      </c>
      <c r="BR257" s="42">
        <v>0</v>
      </c>
      <c r="BT257" s="42">
        <v>0</v>
      </c>
      <c r="BV257" s="5">
        <f t="shared" si="36"/>
        <v>7062240</v>
      </c>
      <c r="BW257" s="5"/>
      <c r="BX257" s="5">
        <f>BV257-'Gov Fd BS'!AI257</f>
        <v>0</v>
      </c>
    </row>
    <row r="258" spans="1:76">
      <c r="A258" s="9" t="s">
        <v>267</v>
      </c>
      <c r="B258" s="9"/>
      <c r="C258" s="9" t="s">
        <v>20</v>
      </c>
      <c r="D258" s="9"/>
      <c r="E258" s="23">
        <v>46565</v>
      </c>
      <c r="G258" s="42">
        <v>7084302</v>
      </c>
      <c r="I258" s="42">
        <v>934226</v>
      </c>
      <c r="K258" s="42">
        <v>0</v>
      </c>
      <c r="M258" s="42">
        <v>0</v>
      </c>
      <c r="O258" s="42">
        <f>27726+162297</f>
        <v>190023</v>
      </c>
      <c r="Q258" s="42">
        <v>902251</v>
      </c>
      <c r="S258" s="42">
        <v>1306397</v>
      </c>
      <c r="U258" s="42">
        <v>172677</v>
      </c>
      <c r="W258" s="42">
        <v>1100531</v>
      </c>
      <c r="Y258" s="42">
        <v>502592</v>
      </c>
      <c r="AA258" s="42">
        <v>189642</v>
      </c>
      <c r="AC258" s="42">
        <v>1482845</v>
      </c>
      <c r="AE258" s="42">
        <v>1002648</v>
      </c>
      <c r="AG258" s="42">
        <v>0</v>
      </c>
      <c r="AI258" s="42">
        <v>309242</v>
      </c>
      <c r="AK258" s="42">
        <v>339182</v>
      </c>
      <c r="AL258" s="9" t="s">
        <v>267</v>
      </c>
      <c r="AM258" s="9"/>
      <c r="AN258" s="9" t="s">
        <v>20</v>
      </c>
      <c r="AP258" s="42">
        <v>561205</v>
      </c>
      <c r="AR258" s="42">
        <v>275626</v>
      </c>
      <c r="AT258" s="42">
        <v>0</v>
      </c>
      <c r="AV258" s="42">
        <v>823361</v>
      </c>
      <c r="AX258" s="42">
        <v>382403</v>
      </c>
      <c r="AZ258" s="42">
        <v>0</v>
      </c>
      <c r="BB258" s="5">
        <f t="shared" si="34"/>
        <v>17559153</v>
      </c>
      <c r="BD258" s="42">
        <v>152470</v>
      </c>
      <c r="BF258" s="42">
        <v>0</v>
      </c>
      <c r="BH258" s="42">
        <v>0</v>
      </c>
      <c r="BJ258" s="42">
        <v>0</v>
      </c>
      <c r="BL258" s="5">
        <f t="shared" si="35"/>
        <v>17711623</v>
      </c>
      <c r="BN258" s="5">
        <f>'Gov Fd Rev'!AQ258-'Gov Fd Exp'!BL258</f>
        <v>2688188</v>
      </c>
      <c r="BP258" s="42">
        <v>5309601</v>
      </c>
      <c r="BR258" s="42">
        <v>0</v>
      </c>
      <c r="BT258" s="42">
        <v>0</v>
      </c>
      <c r="BV258" s="5">
        <f t="shared" si="36"/>
        <v>7997789</v>
      </c>
      <c r="BW258" s="5"/>
      <c r="BX258" s="5">
        <f>BV258-'Gov Fd BS'!AI258</f>
        <v>0</v>
      </c>
    </row>
    <row r="259" spans="1:76">
      <c r="A259" s="9" t="s">
        <v>361</v>
      </c>
      <c r="B259" s="9"/>
      <c r="C259" s="9" t="s">
        <v>39</v>
      </c>
      <c r="D259" s="9"/>
      <c r="E259" s="23">
        <v>47803</v>
      </c>
      <c r="G259" s="42">
        <v>9743150</v>
      </c>
      <c r="I259" s="42">
        <v>2496183</v>
      </c>
      <c r="K259" s="42">
        <v>213029</v>
      </c>
      <c r="M259" s="42">
        <v>2100</v>
      </c>
      <c r="O259" s="42">
        <v>187620</v>
      </c>
      <c r="Q259" s="42">
        <v>739285</v>
      </c>
      <c r="S259" s="42">
        <v>1063231</v>
      </c>
      <c r="U259" s="42">
        <v>14856</v>
      </c>
      <c r="W259" s="42">
        <v>1720146</v>
      </c>
      <c r="Y259" s="42">
        <v>452362</v>
      </c>
      <c r="AA259" s="42">
        <v>0</v>
      </c>
      <c r="AC259" s="42">
        <v>1923586</v>
      </c>
      <c r="AE259" s="42">
        <v>966465</v>
      </c>
      <c r="AG259" s="42">
        <v>247734</v>
      </c>
      <c r="AI259" s="42">
        <v>966338</v>
      </c>
      <c r="AK259" s="42">
        <v>103581</v>
      </c>
      <c r="AL259" s="9" t="s">
        <v>361</v>
      </c>
      <c r="AM259" s="9"/>
      <c r="AN259" s="9" t="s">
        <v>39</v>
      </c>
      <c r="AP259" s="42">
        <v>347655</v>
      </c>
      <c r="AR259" s="42">
        <v>7022598</v>
      </c>
      <c r="AT259" s="42">
        <v>0</v>
      </c>
      <c r="AV259" s="42">
        <v>394521</v>
      </c>
      <c r="AX259" s="42">
        <v>553281</v>
      </c>
      <c r="AZ259" s="42">
        <v>0</v>
      </c>
      <c r="BB259" s="5">
        <f t="shared" si="34"/>
        <v>29157721</v>
      </c>
      <c r="BD259" s="42">
        <v>0</v>
      </c>
      <c r="BF259" s="42">
        <v>0</v>
      </c>
      <c r="BH259" s="42">
        <v>0</v>
      </c>
      <c r="BJ259" s="42">
        <v>0</v>
      </c>
      <c r="BL259" s="5">
        <f t="shared" si="35"/>
        <v>29157721</v>
      </c>
      <c r="BN259" s="5">
        <f>'Gov Fd Rev'!AQ259-'Gov Fd Exp'!BL259</f>
        <v>-5384571</v>
      </c>
      <c r="BP259" s="42">
        <v>6484649</v>
      </c>
      <c r="BR259" s="42">
        <v>0</v>
      </c>
      <c r="BT259" s="42">
        <v>0</v>
      </c>
      <c r="BV259" s="5">
        <f t="shared" si="36"/>
        <v>1100078</v>
      </c>
      <c r="BW259" s="5"/>
      <c r="BX259" s="5">
        <f>BV259-'Gov Fd BS'!AI259</f>
        <v>0</v>
      </c>
    </row>
    <row r="260" spans="1:76">
      <c r="A260" s="9" t="s">
        <v>756</v>
      </c>
      <c r="B260" s="9"/>
      <c r="C260" s="9" t="s">
        <v>32</v>
      </c>
      <c r="D260" s="9"/>
      <c r="E260" s="23">
        <v>45435</v>
      </c>
      <c r="G260" s="42">
        <v>13611733</v>
      </c>
      <c r="I260" s="42">
        <v>3003026</v>
      </c>
      <c r="K260" s="42">
        <v>0</v>
      </c>
      <c r="M260" s="42">
        <v>0</v>
      </c>
      <c r="O260" s="42">
        <v>574447</v>
      </c>
      <c r="Q260" s="42">
        <v>2473134</v>
      </c>
      <c r="S260" s="42">
        <v>1979516</v>
      </c>
      <c r="U260" s="42">
        <v>17050</v>
      </c>
      <c r="W260" s="42">
        <v>2261365</v>
      </c>
      <c r="Y260" s="42">
        <v>788515</v>
      </c>
      <c r="AA260" s="42">
        <v>81723</v>
      </c>
      <c r="AC260" s="42">
        <v>5211228</v>
      </c>
      <c r="AE260" s="42">
        <v>1922355</v>
      </c>
      <c r="AG260" s="42">
        <v>48945</v>
      </c>
      <c r="AI260" s="42">
        <v>597982</v>
      </c>
      <c r="AK260" s="42">
        <v>1060860</v>
      </c>
      <c r="AL260" s="9" t="s">
        <v>756</v>
      </c>
      <c r="AM260" s="9"/>
      <c r="AN260" s="9" t="s">
        <v>32</v>
      </c>
      <c r="AP260" s="42">
        <v>829238</v>
      </c>
      <c r="AR260" s="42">
        <v>57461</v>
      </c>
      <c r="AT260" s="42">
        <v>0</v>
      </c>
      <c r="AV260" s="42">
        <v>2551000</v>
      </c>
      <c r="AX260" s="42">
        <v>1332839</v>
      </c>
      <c r="AZ260" s="42">
        <v>0</v>
      </c>
      <c r="BB260" s="5">
        <f t="shared" si="34"/>
        <v>38402417</v>
      </c>
      <c r="BD260" s="42">
        <v>0</v>
      </c>
      <c r="BF260" s="42">
        <v>0</v>
      </c>
      <c r="BH260" s="42">
        <v>0</v>
      </c>
      <c r="BJ260" s="42">
        <v>0</v>
      </c>
      <c r="BL260" s="5">
        <f t="shared" si="35"/>
        <v>38402417</v>
      </c>
      <c r="BN260" s="5">
        <f>'Gov Fd Rev'!AQ260-'Gov Fd Exp'!BL260</f>
        <v>1150542</v>
      </c>
      <c r="BP260" s="42">
        <v>42581620</v>
      </c>
      <c r="BR260" s="42">
        <v>0</v>
      </c>
      <c r="BT260" s="42">
        <v>0</v>
      </c>
      <c r="BV260" s="5">
        <f t="shared" si="36"/>
        <v>43732162</v>
      </c>
      <c r="BW260" s="5"/>
      <c r="BX260" s="5">
        <f>BV260-'Gov Fd BS'!AI260</f>
        <v>0</v>
      </c>
    </row>
    <row r="261" spans="1:76" hidden="1">
      <c r="A261" s="9" t="s">
        <v>789</v>
      </c>
      <c r="B261" s="9"/>
      <c r="C261" s="9" t="s">
        <v>43</v>
      </c>
      <c r="D261" s="9"/>
      <c r="E261" s="23">
        <v>48082</v>
      </c>
      <c r="G261" s="42">
        <v>0</v>
      </c>
      <c r="I261" s="42">
        <v>0</v>
      </c>
      <c r="K261" s="42">
        <v>0</v>
      </c>
      <c r="M261" s="42">
        <v>0</v>
      </c>
      <c r="O261" s="42">
        <v>0</v>
      </c>
      <c r="Q261" s="42">
        <v>0</v>
      </c>
      <c r="S261" s="42">
        <v>0</v>
      </c>
      <c r="U261" s="42">
        <v>0</v>
      </c>
      <c r="W261" s="42">
        <v>0</v>
      </c>
      <c r="Y261" s="42">
        <v>0</v>
      </c>
      <c r="AA261" s="42">
        <v>0</v>
      </c>
      <c r="AC261" s="42">
        <v>0</v>
      </c>
      <c r="AE261" s="42">
        <v>0</v>
      </c>
      <c r="AG261" s="42">
        <v>0</v>
      </c>
      <c r="AI261" s="42">
        <v>0</v>
      </c>
      <c r="AK261" s="42">
        <v>0</v>
      </c>
      <c r="AL261" s="9" t="s">
        <v>789</v>
      </c>
      <c r="AM261" s="9"/>
      <c r="AN261" s="9" t="s">
        <v>43</v>
      </c>
      <c r="AP261" s="42">
        <v>0</v>
      </c>
      <c r="AR261" s="42">
        <v>0</v>
      </c>
      <c r="AT261" s="42">
        <v>0</v>
      </c>
      <c r="AV261" s="42">
        <v>0</v>
      </c>
      <c r="AX261" s="42">
        <v>0</v>
      </c>
      <c r="AZ261" s="42">
        <v>0</v>
      </c>
      <c r="BB261" s="5">
        <f t="shared" si="34"/>
        <v>0</v>
      </c>
      <c r="BD261" s="42">
        <v>0</v>
      </c>
      <c r="BF261" s="42">
        <v>0</v>
      </c>
      <c r="BH261" s="42">
        <v>0</v>
      </c>
      <c r="BJ261" s="42">
        <v>0</v>
      </c>
      <c r="BL261" s="5">
        <f t="shared" si="35"/>
        <v>0</v>
      </c>
      <c r="BN261" s="5">
        <f>'Gov Fd Rev'!AQ261-'Gov Fd Exp'!BL261</f>
        <v>0</v>
      </c>
      <c r="BP261" s="42">
        <v>0</v>
      </c>
      <c r="BR261" s="42">
        <v>0</v>
      </c>
      <c r="BT261" s="42">
        <v>0</v>
      </c>
      <c r="BV261" s="5">
        <f t="shared" si="36"/>
        <v>0</v>
      </c>
      <c r="BW261" s="5"/>
      <c r="BX261" s="5">
        <f>BV261-'Gov Fd BS'!AI261</f>
        <v>0</v>
      </c>
    </row>
    <row r="262" spans="1:76">
      <c r="A262" s="9" t="s">
        <v>532</v>
      </c>
      <c r="B262" s="9"/>
      <c r="C262" s="9" t="s">
        <v>65</v>
      </c>
      <c r="D262" s="9"/>
      <c r="E262" s="23">
        <v>50286</v>
      </c>
      <c r="G262" s="42">
        <v>6776009</v>
      </c>
      <c r="I262" s="42">
        <v>1589300</v>
      </c>
      <c r="K262" s="42">
        <v>215940</v>
      </c>
      <c r="M262" s="42">
        <v>0</v>
      </c>
      <c r="O262" s="42">
        <v>1744239</v>
      </c>
      <c r="Q262" s="42">
        <v>481920</v>
      </c>
      <c r="S262" s="42">
        <v>680682</v>
      </c>
      <c r="U262" s="42">
        <v>48662</v>
      </c>
      <c r="W262" s="42">
        <v>1171112</v>
      </c>
      <c r="Y262" s="42">
        <v>404262</v>
      </c>
      <c r="AA262" s="42">
        <v>121827</v>
      </c>
      <c r="AC262" s="42">
        <v>1747736</v>
      </c>
      <c r="AE262" s="42">
        <v>1137975</v>
      </c>
      <c r="AG262" s="42">
        <v>9371</v>
      </c>
      <c r="AI262" s="42">
        <v>808412</v>
      </c>
      <c r="AK262" s="42">
        <v>0</v>
      </c>
      <c r="AL262" s="9" t="s">
        <v>532</v>
      </c>
      <c r="AM262" s="9"/>
      <c r="AN262" s="9" t="s">
        <v>65</v>
      </c>
      <c r="AP262" s="42">
        <v>553644</v>
      </c>
      <c r="AR262" s="42">
        <v>0</v>
      </c>
      <c r="AT262" s="42">
        <v>0</v>
      </c>
      <c r="AV262" s="42">
        <v>828355</v>
      </c>
      <c r="AX262" s="42">
        <v>351794</v>
      </c>
      <c r="AZ262" s="42">
        <v>0</v>
      </c>
      <c r="BB262" s="5">
        <f t="shared" si="34"/>
        <v>18671240</v>
      </c>
      <c r="BD262" s="42">
        <v>0</v>
      </c>
      <c r="BF262" s="42">
        <v>0</v>
      </c>
      <c r="BH262" s="42">
        <v>0</v>
      </c>
      <c r="BJ262" s="42">
        <v>0</v>
      </c>
      <c r="BL262" s="5">
        <f t="shared" si="35"/>
        <v>18671240</v>
      </c>
      <c r="BN262" s="5">
        <f>'Gov Fd Rev'!AQ262-'Gov Fd Exp'!BL262</f>
        <v>-194021</v>
      </c>
      <c r="BP262" s="42">
        <v>4179938</v>
      </c>
      <c r="BR262" s="42">
        <v>0</v>
      </c>
      <c r="BT262" s="42">
        <v>0</v>
      </c>
      <c r="BV262" s="5">
        <f t="shared" si="36"/>
        <v>3985917</v>
      </c>
      <c r="BW262" s="5"/>
      <c r="BX262" s="5">
        <f>BV262-'Gov Fd BS'!AI262</f>
        <v>0</v>
      </c>
    </row>
    <row r="263" spans="1:76">
      <c r="A263" s="9" t="s">
        <v>367</v>
      </c>
      <c r="B263" s="9"/>
      <c r="C263" s="9" t="s">
        <v>364</v>
      </c>
      <c r="D263" s="9"/>
      <c r="E263" s="23">
        <v>44149</v>
      </c>
      <c r="G263" s="42">
        <v>6972962</v>
      </c>
      <c r="I263" s="42">
        <v>1364368</v>
      </c>
      <c r="K263" s="42">
        <v>102063</v>
      </c>
      <c r="M263" s="42">
        <v>0</v>
      </c>
      <c r="O263" s="42">
        <v>205683</v>
      </c>
      <c r="Q263" s="42">
        <v>708577</v>
      </c>
      <c r="S263" s="42">
        <v>482236</v>
      </c>
      <c r="U263" s="42">
        <v>250576</v>
      </c>
      <c r="W263" s="42">
        <v>972505</v>
      </c>
      <c r="Y263" s="42">
        <v>637683</v>
      </c>
      <c r="AA263" s="42">
        <v>0</v>
      </c>
      <c r="AC263" s="42">
        <v>1863729</v>
      </c>
      <c r="AE263" s="42">
        <v>661019</v>
      </c>
      <c r="AG263" s="42">
        <v>110547</v>
      </c>
      <c r="AI263" s="42">
        <v>639201</v>
      </c>
      <c r="AK263" s="42">
        <v>164014</v>
      </c>
      <c r="AL263" s="9" t="s">
        <v>367</v>
      </c>
      <c r="AM263" s="9"/>
      <c r="AN263" s="9" t="s">
        <v>364</v>
      </c>
      <c r="AP263" s="42">
        <v>739224</v>
      </c>
      <c r="AR263" s="42">
        <v>119741</v>
      </c>
      <c r="AT263" s="42">
        <v>0</v>
      </c>
      <c r="AV263" s="42">
        <v>255000</v>
      </c>
      <c r="AX263" s="42">
        <v>612537</v>
      </c>
      <c r="AZ263" s="42">
        <v>137967</v>
      </c>
      <c r="BB263" s="5">
        <f t="shared" si="34"/>
        <v>16999632</v>
      </c>
      <c r="BD263" s="42">
        <v>0</v>
      </c>
      <c r="BF263" s="42">
        <v>0</v>
      </c>
      <c r="BH263" s="42">
        <v>0</v>
      </c>
      <c r="BJ263" s="42">
        <f>98602+9696706</f>
        <v>9795308</v>
      </c>
      <c r="BL263" s="5">
        <f t="shared" si="35"/>
        <v>26794940</v>
      </c>
      <c r="BN263" s="5">
        <f>'Gov Fd Rev'!AQ263-'Gov Fd Exp'!BL263</f>
        <v>66298</v>
      </c>
      <c r="BP263" s="42">
        <v>3336729</v>
      </c>
      <c r="BR263" s="42">
        <v>0</v>
      </c>
      <c r="BT263" s="42">
        <v>0</v>
      </c>
      <c r="BV263" s="5">
        <f t="shared" si="36"/>
        <v>3403027</v>
      </c>
      <c r="BW263" s="5"/>
      <c r="BX263" s="5">
        <f>BV263-'Gov Fd BS'!AI263</f>
        <v>0</v>
      </c>
    </row>
    <row r="264" spans="1:76" hidden="1">
      <c r="A264" s="9" t="s">
        <v>663</v>
      </c>
      <c r="B264" s="9"/>
      <c r="C264" s="9" t="s">
        <v>61</v>
      </c>
      <c r="D264" s="9"/>
      <c r="E264" s="23">
        <v>49809</v>
      </c>
      <c r="G264" s="42">
        <v>0</v>
      </c>
      <c r="I264" s="42">
        <v>0</v>
      </c>
      <c r="K264" s="42">
        <v>0</v>
      </c>
      <c r="M264" s="42">
        <v>0</v>
      </c>
      <c r="O264" s="42">
        <v>0</v>
      </c>
      <c r="Q264" s="42">
        <v>0</v>
      </c>
      <c r="S264" s="42">
        <v>0</v>
      </c>
      <c r="U264" s="42">
        <v>0</v>
      </c>
      <c r="W264" s="42">
        <v>0</v>
      </c>
      <c r="Y264" s="42">
        <v>0</v>
      </c>
      <c r="AA264" s="42">
        <v>0</v>
      </c>
      <c r="AC264" s="42">
        <v>0</v>
      </c>
      <c r="AE264" s="42">
        <v>0</v>
      </c>
      <c r="AG264" s="42">
        <v>0</v>
      </c>
      <c r="AI264" s="42">
        <v>0</v>
      </c>
      <c r="AK264" s="42">
        <v>0</v>
      </c>
      <c r="AL264" s="9" t="s">
        <v>663</v>
      </c>
      <c r="AM264" s="9"/>
      <c r="AN264" s="9" t="s">
        <v>61</v>
      </c>
      <c r="AP264" s="42">
        <v>0</v>
      </c>
      <c r="AR264" s="42">
        <v>0</v>
      </c>
      <c r="AT264" s="42">
        <v>0</v>
      </c>
      <c r="AV264" s="42">
        <v>0</v>
      </c>
      <c r="AX264" s="42">
        <v>0</v>
      </c>
      <c r="AZ264" s="42">
        <v>0</v>
      </c>
      <c r="BB264" s="5">
        <f t="shared" si="34"/>
        <v>0</v>
      </c>
      <c r="BD264" s="42">
        <v>0</v>
      </c>
      <c r="BF264" s="42">
        <v>0</v>
      </c>
      <c r="BH264" s="42">
        <v>0</v>
      </c>
      <c r="BJ264" s="42">
        <v>0</v>
      </c>
      <c r="BL264" s="5">
        <f t="shared" si="35"/>
        <v>0</v>
      </c>
      <c r="BN264" s="5">
        <f>'Gov Fd Rev'!AQ264-'Gov Fd Exp'!BL264</f>
        <v>0</v>
      </c>
      <c r="BP264" s="42">
        <v>0</v>
      </c>
      <c r="BR264" s="42">
        <v>0</v>
      </c>
      <c r="BT264" s="42">
        <v>0</v>
      </c>
      <c r="BV264" s="5">
        <f t="shared" si="36"/>
        <v>0</v>
      </c>
      <c r="BW264" s="5"/>
      <c r="BX264" s="5">
        <f>BV264-'Gov Fd BS'!AI264</f>
        <v>0</v>
      </c>
    </row>
    <row r="265" spans="1:76" hidden="1">
      <c r="A265" s="9" t="s">
        <v>674</v>
      </c>
      <c r="B265" s="9"/>
      <c r="C265" s="9" t="s">
        <v>38</v>
      </c>
      <c r="D265" s="9"/>
      <c r="E265" s="23">
        <v>44156</v>
      </c>
      <c r="G265" s="42">
        <v>0</v>
      </c>
      <c r="I265" s="42">
        <v>0</v>
      </c>
      <c r="K265" s="42">
        <v>0</v>
      </c>
      <c r="M265" s="42">
        <v>0</v>
      </c>
      <c r="O265" s="42">
        <v>0</v>
      </c>
      <c r="Q265" s="42">
        <v>0</v>
      </c>
      <c r="S265" s="42">
        <v>0</v>
      </c>
      <c r="U265" s="42">
        <v>0</v>
      </c>
      <c r="W265" s="42">
        <v>0</v>
      </c>
      <c r="Y265" s="42">
        <v>0</v>
      </c>
      <c r="AA265" s="42">
        <v>0</v>
      </c>
      <c r="AC265" s="42">
        <v>0</v>
      </c>
      <c r="AE265" s="42">
        <v>0</v>
      </c>
      <c r="AG265" s="42">
        <v>0</v>
      </c>
      <c r="AI265" s="42">
        <v>0</v>
      </c>
      <c r="AK265" s="42">
        <v>0</v>
      </c>
      <c r="AL265" s="9" t="s">
        <v>674</v>
      </c>
      <c r="AM265" s="9"/>
      <c r="AN265" s="9" t="s">
        <v>38</v>
      </c>
      <c r="AP265" s="42">
        <v>0</v>
      </c>
      <c r="AR265" s="42">
        <v>0</v>
      </c>
      <c r="AT265" s="42">
        <v>0</v>
      </c>
      <c r="AV265" s="42">
        <v>0</v>
      </c>
      <c r="AX265" s="42">
        <v>0</v>
      </c>
      <c r="AZ265" s="42">
        <v>0</v>
      </c>
      <c r="BB265" s="5">
        <f t="shared" si="34"/>
        <v>0</v>
      </c>
      <c r="BD265" s="42">
        <v>0</v>
      </c>
      <c r="BF265" s="42">
        <v>0</v>
      </c>
      <c r="BH265" s="42">
        <v>0</v>
      </c>
      <c r="BJ265" s="42">
        <v>0</v>
      </c>
      <c r="BL265" s="5">
        <f t="shared" si="35"/>
        <v>0</v>
      </c>
      <c r="BN265" s="5">
        <f>'Gov Fd Rev'!AQ265-'Gov Fd Exp'!BL265</f>
        <v>0</v>
      </c>
      <c r="BP265" s="42">
        <v>0</v>
      </c>
      <c r="BR265" s="42">
        <v>0</v>
      </c>
      <c r="BT265" s="42">
        <v>0</v>
      </c>
      <c r="BV265" s="5">
        <f t="shared" si="36"/>
        <v>0</v>
      </c>
      <c r="BW265" s="5"/>
      <c r="BX265" s="5">
        <f>BV265-'Gov Fd BS'!AI265</f>
        <v>0</v>
      </c>
    </row>
    <row r="266" spans="1:76">
      <c r="A266" s="9" t="s">
        <v>493</v>
      </c>
      <c r="B266" s="9"/>
      <c r="C266" s="9" t="s">
        <v>62</v>
      </c>
      <c r="D266" s="9"/>
      <c r="E266" s="23">
        <v>49858</v>
      </c>
      <c r="G266" s="42">
        <v>22506713</v>
      </c>
      <c r="I266" s="42">
        <v>4499715</v>
      </c>
      <c r="K266" s="42">
        <v>979005</v>
      </c>
      <c r="M266" s="42">
        <v>52488</v>
      </c>
      <c r="O266" s="42">
        <v>1462828</v>
      </c>
      <c r="Q266" s="42">
        <v>3596824</v>
      </c>
      <c r="S266" s="42">
        <v>2488886</v>
      </c>
      <c r="U266" s="42">
        <v>20443</v>
      </c>
      <c r="W266" s="42">
        <v>2949718</v>
      </c>
      <c r="Y266" s="42">
        <v>1190230</v>
      </c>
      <c r="AA266" s="42">
        <v>383096</v>
      </c>
      <c r="AC266" s="42">
        <v>4608044</v>
      </c>
      <c r="AE266" s="42">
        <v>3282424</v>
      </c>
      <c r="AG266" s="42">
        <v>963492</v>
      </c>
      <c r="AI266" s="42">
        <v>1877456</v>
      </c>
      <c r="AK266" s="42">
        <v>3604</v>
      </c>
      <c r="AL266" s="9" t="s">
        <v>493</v>
      </c>
      <c r="AM266" s="9"/>
      <c r="AN266" s="9" t="s">
        <v>62</v>
      </c>
      <c r="AP266" s="42">
        <v>1922057</v>
      </c>
      <c r="AR266" s="42">
        <v>1254124</v>
      </c>
      <c r="AT266" s="42">
        <v>0</v>
      </c>
      <c r="AV266" s="42">
        <v>4755000</v>
      </c>
      <c r="AX266" s="42">
        <v>2423029</v>
      </c>
      <c r="AZ266" s="42">
        <v>0</v>
      </c>
      <c r="BB266" s="5">
        <f t="shared" si="34"/>
        <v>61219176</v>
      </c>
      <c r="BD266" s="42">
        <v>11415</v>
      </c>
      <c r="BF266" s="42">
        <v>0</v>
      </c>
      <c r="BH266" s="42">
        <v>0</v>
      </c>
      <c r="BJ266" s="42">
        <v>0</v>
      </c>
      <c r="BL266" s="5">
        <f t="shared" si="35"/>
        <v>61230591</v>
      </c>
      <c r="BN266" s="5">
        <f>'Gov Fd Rev'!AQ266-'Gov Fd Exp'!BL266</f>
        <v>-1161786</v>
      </c>
      <c r="BP266" s="42">
        <v>20045234</v>
      </c>
      <c r="BR266" s="42">
        <v>-21929</v>
      </c>
      <c r="BT266" s="42">
        <v>0</v>
      </c>
      <c r="BV266" s="5">
        <f t="shared" si="36"/>
        <v>18861519</v>
      </c>
      <c r="BW266" s="5"/>
      <c r="BX266" s="5">
        <f>BV266-'Gov Fd BS'!AI266</f>
        <v>0</v>
      </c>
    </row>
    <row r="267" spans="1:76">
      <c r="A267" s="9" t="s">
        <v>401</v>
      </c>
      <c r="B267" s="9"/>
      <c r="C267" s="9" t="s">
        <v>45</v>
      </c>
      <c r="D267" s="9"/>
      <c r="E267" s="23">
        <v>48322</v>
      </c>
      <c r="G267" s="42">
        <v>4603519</v>
      </c>
      <c r="I267" s="42">
        <v>1408684</v>
      </c>
      <c r="K267" s="42">
        <v>89723</v>
      </c>
      <c r="M267" s="42">
        <v>0</v>
      </c>
      <c r="O267" s="42">
        <v>0</v>
      </c>
      <c r="Q267" s="42">
        <v>543546</v>
      </c>
      <c r="S267" s="42">
        <v>184447</v>
      </c>
      <c r="U267" s="42">
        <v>85346</v>
      </c>
      <c r="W267" s="42">
        <v>597817</v>
      </c>
      <c r="Y267" s="42">
        <v>420159</v>
      </c>
      <c r="AA267" s="42">
        <v>0</v>
      </c>
      <c r="AC267" s="42">
        <v>711796</v>
      </c>
      <c r="AE267" s="42">
        <v>806078</v>
      </c>
      <c r="AG267" s="42">
        <v>0</v>
      </c>
      <c r="AI267" s="42">
        <v>419956</v>
      </c>
      <c r="AK267" s="42">
        <v>0</v>
      </c>
      <c r="AL267" s="9" t="s">
        <v>401</v>
      </c>
      <c r="AM267" s="9"/>
      <c r="AN267" s="9" t="s">
        <v>45</v>
      </c>
      <c r="AP267" s="42">
        <v>433758</v>
      </c>
      <c r="AR267" s="42">
        <v>147143</v>
      </c>
      <c r="AT267" s="42">
        <v>0</v>
      </c>
      <c r="AV267" s="42">
        <v>349596</v>
      </c>
      <c r="AX267" s="42">
        <v>656601</v>
      </c>
      <c r="AZ267" s="42">
        <v>0</v>
      </c>
      <c r="BB267" s="5">
        <f t="shared" si="34"/>
        <v>11458169</v>
      </c>
      <c r="BD267" s="42">
        <v>71429</v>
      </c>
      <c r="BF267" s="42">
        <v>0</v>
      </c>
      <c r="BH267" s="42">
        <v>0</v>
      </c>
      <c r="BJ267" s="42">
        <v>0</v>
      </c>
      <c r="BL267" s="5">
        <f t="shared" si="35"/>
        <v>11529598</v>
      </c>
      <c r="BN267" s="5">
        <f>'Gov Fd Rev'!AQ267-'Gov Fd Exp'!BL267</f>
        <v>-784377</v>
      </c>
      <c r="BP267" s="42">
        <v>2945292</v>
      </c>
      <c r="BR267" s="42">
        <v>0</v>
      </c>
      <c r="BT267" s="42">
        <v>0</v>
      </c>
      <c r="BV267" s="5">
        <f t="shared" si="36"/>
        <v>2160915</v>
      </c>
      <c r="BW267" s="5"/>
      <c r="BX267" s="5">
        <f>BV267-'Gov Fd BS'!AI267</f>
        <v>0</v>
      </c>
    </row>
    <row r="268" spans="1:76">
      <c r="A268" s="9" t="s">
        <v>457</v>
      </c>
      <c r="B268" s="9"/>
      <c r="C268" s="9" t="s">
        <v>56</v>
      </c>
      <c r="D268" s="9"/>
      <c r="E268" s="23">
        <v>49205</v>
      </c>
      <c r="G268" s="42">
        <v>6727238</v>
      </c>
      <c r="I268" s="42">
        <v>1291764</v>
      </c>
      <c r="K268" s="42">
        <v>0</v>
      </c>
      <c r="M268" s="42">
        <v>0</v>
      </c>
      <c r="O268" s="42">
        <v>2656</v>
      </c>
      <c r="Q268" s="42">
        <v>625928</v>
      </c>
      <c r="S268" s="42">
        <v>637644</v>
      </c>
      <c r="U268" s="42">
        <v>36810</v>
      </c>
      <c r="W268" s="42">
        <v>945933</v>
      </c>
      <c r="Y268" s="42">
        <v>315379</v>
      </c>
      <c r="AA268" s="42">
        <v>0</v>
      </c>
      <c r="AC268" s="42">
        <v>1187808</v>
      </c>
      <c r="AE268" s="42">
        <v>849890</v>
      </c>
      <c r="AG268" s="42">
        <v>51597</v>
      </c>
      <c r="AI268" s="42">
        <v>625388</v>
      </c>
      <c r="AK268" s="42">
        <v>10646</v>
      </c>
      <c r="AL268" s="9" t="s">
        <v>457</v>
      </c>
      <c r="AM268" s="9"/>
      <c r="AN268" s="9" t="s">
        <v>56</v>
      </c>
      <c r="AP268" s="42">
        <v>487711</v>
      </c>
      <c r="AR268" s="42">
        <v>0</v>
      </c>
      <c r="AT268" s="42">
        <v>0</v>
      </c>
      <c r="AV268" s="42">
        <v>316803</v>
      </c>
      <c r="AX268" s="42">
        <v>192947</v>
      </c>
      <c r="AZ268" s="42">
        <v>0</v>
      </c>
      <c r="BB268" s="5">
        <f t="shared" si="34"/>
        <v>14306142</v>
      </c>
      <c r="BD268" s="42">
        <v>3740</v>
      </c>
      <c r="BF268" s="42">
        <v>0</v>
      </c>
      <c r="BH268" s="42">
        <v>0</v>
      </c>
      <c r="BJ268" s="42">
        <v>0</v>
      </c>
      <c r="BL268" s="5">
        <f t="shared" si="35"/>
        <v>14309882</v>
      </c>
      <c r="BN268" s="5">
        <f>'Gov Fd Rev'!AQ268-'Gov Fd Exp'!BL268</f>
        <v>-642708</v>
      </c>
      <c r="BP268" s="42">
        <v>2141449</v>
      </c>
      <c r="BR268" s="42">
        <v>0</v>
      </c>
      <c r="BT268" s="42">
        <v>0</v>
      </c>
      <c r="BV268" s="5">
        <f t="shared" si="36"/>
        <v>1498741</v>
      </c>
      <c r="BW268" s="5"/>
      <c r="BX268" s="5">
        <f>BV268-'Gov Fd BS'!AI268</f>
        <v>0</v>
      </c>
    </row>
    <row r="269" spans="1:76">
      <c r="A269" s="9" t="s">
        <v>208</v>
      </c>
      <c r="B269" s="9"/>
      <c r="C269" s="9" t="s">
        <v>12</v>
      </c>
      <c r="D269" s="9"/>
      <c r="E269" s="23">
        <v>45872</v>
      </c>
      <c r="G269" s="42">
        <v>7044599</v>
      </c>
      <c r="I269" s="42">
        <v>1672651</v>
      </c>
      <c r="K269" s="42">
        <v>18483</v>
      </c>
      <c r="M269" s="42">
        <v>0</v>
      </c>
      <c r="O269" s="42">
        <v>0</v>
      </c>
      <c r="Q269" s="42">
        <v>1228514</v>
      </c>
      <c r="S269" s="42">
        <v>349987</v>
      </c>
      <c r="U269" s="42">
        <v>18165</v>
      </c>
      <c r="W269" s="42">
        <v>1253954</v>
      </c>
      <c r="Y269" s="42">
        <v>505508</v>
      </c>
      <c r="AA269" s="42">
        <v>5587</v>
      </c>
      <c r="AC269" s="42">
        <v>1551931</v>
      </c>
      <c r="AE269" s="42">
        <v>1233684</v>
      </c>
      <c r="AG269" s="42">
        <v>196369</v>
      </c>
      <c r="AI269" s="42">
        <v>714880</v>
      </c>
      <c r="AK269" s="42">
        <v>93542</v>
      </c>
      <c r="AL269" s="9" t="s">
        <v>208</v>
      </c>
      <c r="AM269" s="9"/>
      <c r="AN269" s="9" t="s">
        <v>12</v>
      </c>
      <c r="AP269" s="42">
        <v>368360</v>
      </c>
      <c r="AR269" s="42">
        <v>2934914</v>
      </c>
      <c r="AT269" s="42">
        <v>0</v>
      </c>
      <c r="AV269" s="42">
        <v>785000</v>
      </c>
      <c r="AX269" s="42">
        <v>416967</v>
      </c>
      <c r="AZ269" s="42">
        <v>314977</v>
      </c>
      <c r="BB269" s="5">
        <f t="shared" si="34"/>
        <v>20708072</v>
      </c>
      <c r="BD269" s="42">
        <v>50789</v>
      </c>
      <c r="BF269" s="42">
        <v>0</v>
      </c>
      <c r="BH269" s="42">
        <v>0</v>
      </c>
      <c r="BJ269" s="42">
        <v>18580585</v>
      </c>
      <c r="BL269" s="5">
        <f t="shared" si="35"/>
        <v>39339446</v>
      </c>
      <c r="BN269" s="5">
        <f>'Gov Fd Rev'!AQ269-'Gov Fd Exp'!BL269</f>
        <v>-847253</v>
      </c>
      <c r="BP269" s="42">
        <v>8219300</v>
      </c>
      <c r="BR269" s="42">
        <v>0</v>
      </c>
      <c r="BT269" s="42">
        <v>0</v>
      </c>
      <c r="BV269" s="5">
        <f t="shared" si="36"/>
        <v>7372047</v>
      </c>
      <c r="BW269" s="5"/>
      <c r="BX269" s="5">
        <f>BV269-'Gov Fd BS'!AI269</f>
        <v>0</v>
      </c>
    </row>
    <row r="270" spans="1:76">
      <c r="A270" s="9" t="s">
        <v>394</v>
      </c>
      <c r="B270" s="9"/>
      <c r="C270" s="9" t="s">
        <v>395</v>
      </c>
      <c r="D270" s="9"/>
      <c r="E270" s="23">
        <v>48256</v>
      </c>
      <c r="G270" s="42">
        <v>5366378</v>
      </c>
      <c r="I270" s="42">
        <v>1697099</v>
      </c>
      <c r="K270" s="42">
        <v>0</v>
      </c>
      <c r="M270" s="42">
        <v>0</v>
      </c>
      <c r="O270" s="42">
        <v>0</v>
      </c>
      <c r="Q270" s="42">
        <v>619053</v>
      </c>
      <c r="S270" s="42">
        <v>557347</v>
      </c>
      <c r="U270" s="42">
        <v>100262</v>
      </c>
      <c r="W270" s="42">
        <v>908447</v>
      </c>
      <c r="Y270" s="42">
        <v>471350</v>
      </c>
      <c r="AA270" s="42">
        <v>12335</v>
      </c>
      <c r="AC270" s="42">
        <v>1200363</v>
      </c>
      <c r="AE270" s="42">
        <v>676022</v>
      </c>
      <c r="AG270" s="42">
        <v>358402</v>
      </c>
      <c r="AI270" s="42">
        <v>667514</v>
      </c>
      <c r="AK270" s="42">
        <v>293</v>
      </c>
      <c r="AL270" s="9" t="s">
        <v>394</v>
      </c>
      <c r="AM270" s="9"/>
      <c r="AN270" s="9" t="s">
        <v>395</v>
      </c>
      <c r="AP270" s="42">
        <v>642286</v>
      </c>
      <c r="AR270" s="42">
        <f>184439+111961</f>
        <v>296400</v>
      </c>
      <c r="AT270" s="42">
        <v>0</v>
      </c>
      <c r="AV270" s="42">
        <v>1370907</v>
      </c>
      <c r="AX270" s="42">
        <v>210836</v>
      </c>
      <c r="AZ270" s="42">
        <v>201211</v>
      </c>
      <c r="BB270" s="5">
        <f t="shared" si="34"/>
        <v>15356505</v>
      </c>
      <c r="BD270" s="42">
        <v>287293</v>
      </c>
      <c r="BF270" s="42">
        <v>0</v>
      </c>
      <c r="BH270" s="42">
        <v>0</v>
      </c>
      <c r="BJ270" s="42">
        <v>12113969</v>
      </c>
      <c r="BL270" s="5">
        <f t="shared" si="35"/>
        <v>27757767</v>
      </c>
      <c r="BN270" s="5">
        <f>'Gov Fd Rev'!AQ270-'Gov Fd Exp'!BL270</f>
        <v>-249799</v>
      </c>
      <c r="BP270" s="42">
        <v>8148850</v>
      </c>
      <c r="BR270" s="42">
        <v>0</v>
      </c>
      <c r="BT270" s="42">
        <v>0</v>
      </c>
      <c r="BV270" s="5">
        <f t="shared" si="36"/>
        <v>7899051</v>
      </c>
      <c r="BW270" s="5"/>
      <c r="BX270" s="5">
        <f>BV270-'Gov Fd BS'!AI270</f>
        <v>0</v>
      </c>
    </row>
    <row r="271" spans="1:76">
      <c r="A271" s="9" t="s">
        <v>675</v>
      </c>
      <c r="B271" s="9"/>
      <c r="C271" s="9" t="s">
        <v>50</v>
      </c>
      <c r="D271" s="9"/>
      <c r="E271" s="23">
        <v>48686</v>
      </c>
      <c r="G271" s="42">
        <v>1826736</v>
      </c>
      <c r="I271" s="42">
        <v>1126128</v>
      </c>
      <c r="K271" s="42">
        <v>0</v>
      </c>
      <c r="M271" s="42">
        <v>0</v>
      </c>
      <c r="O271" s="42">
        <v>1439916</v>
      </c>
      <c r="Q271" s="42">
        <v>182663</v>
      </c>
      <c r="S271" s="42">
        <v>288908</v>
      </c>
      <c r="U271" s="42">
        <v>30481</v>
      </c>
      <c r="W271" s="42">
        <v>778334</v>
      </c>
      <c r="Y271" s="42">
        <v>254619</v>
      </c>
      <c r="AA271" s="42">
        <v>484</v>
      </c>
      <c r="AC271" s="42">
        <v>581658</v>
      </c>
      <c r="AE271" s="42">
        <v>370102</v>
      </c>
      <c r="AG271" s="42">
        <v>59101</v>
      </c>
      <c r="AI271" s="42">
        <v>258143</v>
      </c>
      <c r="AK271" s="42">
        <v>13053</v>
      </c>
      <c r="AL271" s="9" t="s">
        <v>675</v>
      </c>
      <c r="AM271" s="9"/>
      <c r="AN271" s="9" t="s">
        <v>50</v>
      </c>
      <c r="AP271" s="42">
        <v>124670</v>
      </c>
      <c r="AR271" s="42">
        <v>235801</v>
      </c>
      <c r="AT271" s="42">
        <v>0</v>
      </c>
      <c r="AV271" s="42">
        <v>30235</v>
      </c>
      <c r="AX271" s="42">
        <v>37471</v>
      </c>
      <c r="AZ271" s="42">
        <v>0</v>
      </c>
      <c r="BB271" s="5">
        <f t="shared" si="34"/>
        <v>7638503</v>
      </c>
      <c r="BD271" s="42">
        <v>20000</v>
      </c>
      <c r="BF271" s="42">
        <v>0</v>
      </c>
      <c r="BH271" s="42">
        <v>0</v>
      </c>
      <c r="BJ271" s="42">
        <v>0</v>
      </c>
      <c r="BL271" s="5">
        <f t="shared" si="35"/>
        <v>7658503</v>
      </c>
      <c r="BN271" s="5">
        <f>'Gov Fd Rev'!AQ271-'Gov Fd Exp'!BL271</f>
        <v>819808</v>
      </c>
      <c r="BP271" s="42">
        <v>2755437</v>
      </c>
      <c r="BR271" s="42">
        <v>295</v>
      </c>
      <c r="BT271" s="42">
        <v>0</v>
      </c>
      <c r="BV271" s="5">
        <f t="shared" si="36"/>
        <v>3575540</v>
      </c>
      <c r="BW271" s="5"/>
      <c r="BX271" s="5">
        <f>BV271-'Gov Fd BS'!AI271</f>
        <v>0</v>
      </c>
    </row>
    <row r="272" spans="1:76" hidden="1">
      <c r="A272" s="9" t="s">
        <v>860</v>
      </c>
      <c r="B272" s="9"/>
      <c r="C272" s="9" t="s">
        <v>464</v>
      </c>
      <c r="D272" s="9"/>
      <c r="E272" s="23">
        <v>49338</v>
      </c>
      <c r="G272" s="42">
        <v>0</v>
      </c>
      <c r="I272" s="42">
        <v>0</v>
      </c>
      <c r="K272" s="42">
        <v>0</v>
      </c>
      <c r="M272" s="42">
        <v>0</v>
      </c>
      <c r="O272" s="42">
        <v>0</v>
      </c>
      <c r="Q272" s="42">
        <v>0</v>
      </c>
      <c r="S272" s="42">
        <v>0</v>
      </c>
      <c r="U272" s="42">
        <v>0</v>
      </c>
      <c r="W272" s="42">
        <v>0</v>
      </c>
      <c r="Y272" s="42">
        <v>0</v>
      </c>
      <c r="AA272" s="42">
        <v>0</v>
      </c>
      <c r="AC272" s="42">
        <v>0</v>
      </c>
      <c r="AE272" s="42">
        <v>0</v>
      </c>
      <c r="AG272" s="42">
        <v>0</v>
      </c>
      <c r="AI272" s="42">
        <v>0</v>
      </c>
      <c r="AK272" s="42">
        <v>0</v>
      </c>
      <c r="AL272" s="9" t="s">
        <v>860</v>
      </c>
      <c r="AM272" s="9"/>
      <c r="AN272" s="9" t="s">
        <v>464</v>
      </c>
      <c r="AP272" s="42">
        <v>0</v>
      </c>
      <c r="AR272" s="42">
        <v>0</v>
      </c>
      <c r="AT272" s="42">
        <v>0</v>
      </c>
      <c r="AV272" s="42">
        <v>0</v>
      </c>
      <c r="AX272" s="42">
        <v>0</v>
      </c>
      <c r="AZ272" s="42">
        <v>0</v>
      </c>
      <c r="BB272" s="5">
        <f t="shared" si="34"/>
        <v>0</v>
      </c>
      <c r="BD272" s="42">
        <v>0</v>
      </c>
      <c r="BF272" s="42">
        <v>0</v>
      </c>
      <c r="BH272" s="42">
        <v>0</v>
      </c>
      <c r="BJ272" s="42">
        <v>0</v>
      </c>
      <c r="BL272" s="5">
        <f t="shared" si="35"/>
        <v>0</v>
      </c>
      <c r="BN272" s="5">
        <f>'Gov Fd Rev'!AQ272-'Gov Fd Exp'!BL272</f>
        <v>0</v>
      </c>
      <c r="BP272" s="42">
        <v>0</v>
      </c>
      <c r="BR272" s="42">
        <v>0</v>
      </c>
      <c r="BT272" s="42">
        <v>0</v>
      </c>
      <c r="BV272" s="5">
        <f t="shared" si="36"/>
        <v>0</v>
      </c>
      <c r="BW272" s="5"/>
      <c r="BX272" s="5">
        <f>BV272-'Gov Fd BS'!AI272</f>
        <v>0</v>
      </c>
    </row>
    <row r="273" spans="1:76">
      <c r="A273" s="9" t="s">
        <v>372</v>
      </c>
      <c r="B273" s="9"/>
      <c r="C273" s="9" t="s">
        <v>42</v>
      </c>
      <c r="D273" s="9"/>
      <c r="E273" s="23">
        <v>47985</v>
      </c>
      <c r="G273" s="42">
        <v>6649425</v>
      </c>
      <c r="I273" s="42">
        <v>1580601</v>
      </c>
      <c r="K273" s="42">
        <v>169334</v>
      </c>
      <c r="M273" s="42">
        <v>0</v>
      </c>
      <c r="O273" s="42">
        <v>343083</v>
      </c>
      <c r="Q273" s="42">
        <v>347488</v>
      </c>
      <c r="S273" s="42">
        <v>442680</v>
      </c>
      <c r="U273" s="42">
        <v>88510</v>
      </c>
      <c r="W273" s="42">
        <v>1040080</v>
      </c>
      <c r="Y273" s="42">
        <v>450236</v>
      </c>
      <c r="AA273" s="42">
        <v>1510</v>
      </c>
      <c r="AC273" s="42">
        <v>1137869</v>
      </c>
      <c r="AE273" s="42">
        <v>916924</v>
      </c>
      <c r="AG273" s="42">
        <v>55414</v>
      </c>
      <c r="AI273" s="42">
        <v>359701</v>
      </c>
      <c r="AK273" s="42">
        <v>0</v>
      </c>
      <c r="AL273" s="9" t="s">
        <v>372</v>
      </c>
      <c r="AM273" s="9"/>
      <c r="AN273" s="9" t="s">
        <v>42</v>
      </c>
      <c r="AP273" s="42">
        <v>419833</v>
      </c>
      <c r="AR273" s="42">
        <v>0</v>
      </c>
      <c r="AT273" s="42">
        <v>0</v>
      </c>
      <c r="AV273" s="42">
        <v>117576</v>
      </c>
      <c r="AX273" s="42">
        <v>6575</v>
      </c>
      <c r="AZ273" s="42">
        <v>0</v>
      </c>
      <c r="BB273" s="5">
        <f t="shared" si="34"/>
        <v>14126839</v>
      </c>
      <c r="BD273" s="42">
        <v>124171</v>
      </c>
      <c r="BF273" s="42">
        <v>0</v>
      </c>
      <c r="BH273" s="42">
        <v>0</v>
      </c>
      <c r="BJ273" s="42">
        <v>0</v>
      </c>
      <c r="BL273" s="5">
        <f t="shared" si="35"/>
        <v>14251010</v>
      </c>
      <c r="BN273" s="5">
        <f>'Gov Fd Rev'!AQ273-'Gov Fd Exp'!BL273</f>
        <v>2294905</v>
      </c>
      <c r="BP273" s="42">
        <v>11679668</v>
      </c>
      <c r="BR273" s="42">
        <v>0</v>
      </c>
      <c r="BT273" s="42">
        <v>0</v>
      </c>
      <c r="BV273" s="5">
        <f t="shared" si="36"/>
        <v>13974573</v>
      </c>
      <c r="BW273" s="5"/>
      <c r="BX273" s="5">
        <f>BV273-'Gov Fd BS'!AI273</f>
        <v>0</v>
      </c>
    </row>
    <row r="274" spans="1:76">
      <c r="A274" s="9" t="s">
        <v>396</v>
      </c>
      <c r="B274" s="9"/>
      <c r="C274" s="9" t="s">
        <v>395</v>
      </c>
      <c r="D274" s="9"/>
      <c r="E274" s="23">
        <v>48264</v>
      </c>
      <c r="G274" s="42">
        <v>8600050</v>
      </c>
      <c r="I274" s="42">
        <v>2001065</v>
      </c>
      <c r="K274" s="42">
        <v>70162</v>
      </c>
      <c r="M274" s="42">
        <v>0</v>
      </c>
      <c r="O274" s="42">
        <v>87915</v>
      </c>
      <c r="Q274" s="42">
        <v>1381503</v>
      </c>
      <c r="S274" s="42">
        <v>523310</v>
      </c>
      <c r="U274" s="42">
        <v>129168</v>
      </c>
      <c r="W274" s="42">
        <v>1694283</v>
      </c>
      <c r="Y274" s="42">
        <v>763729</v>
      </c>
      <c r="AA274" s="42">
        <v>2672</v>
      </c>
      <c r="AC274" s="42">
        <v>1737426</v>
      </c>
      <c r="AE274" s="42">
        <v>1450900</v>
      </c>
      <c r="AG274" s="42">
        <v>0</v>
      </c>
      <c r="AI274" s="42">
        <v>836234</v>
      </c>
      <c r="AK274" s="42">
        <v>0</v>
      </c>
      <c r="AL274" s="9" t="s">
        <v>396</v>
      </c>
      <c r="AM274" s="9"/>
      <c r="AN274" s="9" t="s">
        <v>395</v>
      </c>
      <c r="AP274" s="42">
        <v>537065</v>
      </c>
      <c r="AR274" s="42">
        <v>3083058</v>
      </c>
      <c r="AT274" s="42">
        <v>0</v>
      </c>
      <c r="AV274" s="42">
        <v>900000</v>
      </c>
      <c r="AX274" s="42">
        <v>866745</v>
      </c>
      <c r="AZ274" s="42">
        <v>0</v>
      </c>
      <c r="BB274" s="5">
        <f t="shared" si="34"/>
        <v>24665285</v>
      </c>
      <c r="BD274" s="42">
        <v>1694221</v>
      </c>
      <c r="BF274" s="42">
        <v>0</v>
      </c>
      <c r="BH274" s="42">
        <v>0</v>
      </c>
      <c r="BJ274" s="42">
        <v>0</v>
      </c>
      <c r="BL274" s="5">
        <f t="shared" si="35"/>
        <v>26359506</v>
      </c>
      <c r="BN274" s="5">
        <f>'Gov Fd Rev'!AQ274-'Gov Fd Exp'!BL274</f>
        <v>-3093579</v>
      </c>
      <c r="BP274" s="42">
        <v>5855565</v>
      </c>
      <c r="BR274" s="42">
        <v>0</v>
      </c>
      <c r="BT274" s="42">
        <v>0</v>
      </c>
      <c r="BV274" s="5">
        <f t="shared" si="36"/>
        <v>2761986</v>
      </c>
      <c r="BW274" s="5"/>
      <c r="BX274" s="5">
        <f>BV274-'Gov Fd BS'!AI274</f>
        <v>0</v>
      </c>
    </row>
    <row r="275" spans="1:76">
      <c r="A275" s="9" t="s">
        <v>519</v>
      </c>
      <c r="B275" s="9"/>
      <c r="C275" s="9" t="s">
        <v>64</v>
      </c>
      <c r="D275" s="9"/>
      <c r="E275" s="23">
        <v>50179</v>
      </c>
      <c r="G275" s="42">
        <v>3189079</v>
      </c>
      <c r="I275" s="42">
        <v>791855</v>
      </c>
      <c r="K275" s="42">
        <v>48474</v>
      </c>
      <c r="M275" s="42">
        <v>0</v>
      </c>
      <c r="O275" s="42">
        <v>69934</v>
      </c>
      <c r="Q275" s="42">
        <v>303539</v>
      </c>
      <c r="S275" s="42">
        <v>91126</v>
      </c>
      <c r="U275" s="42">
        <v>43967</v>
      </c>
      <c r="W275" s="42">
        <v>674032</v>
      </c>
      <c r="Y275" s="42">
        <v>357747</v>
      </c>
      <c r="AA275" s="42">
        <v>0</v>
      </c>
      <c r="AC275" s="42">
        <v>716162</v>
      </c>
      <c r="AE275" s="42">
        <v>696045</v>
      </c>
      <c r="AG275" s="42">
        <v>115493</v>
      </c>
      <c r="AI275" s="42">
        <v>0</v>
      </c>
      <c r="AK275" s="42">
        <v>544370</v>
      </c>
      <c r="AL275" s="9" t="s">
        <v>519</v>
      </c>
      <c r="AM275" s="9"/>
      <c r="AN275" s="9" t="s">
        <v>64</v>
      </c>
      <c r="AP275" s="42">
        <v>220817</v>
      </c>
      <c r="AR275" s="42">
        <v>5730</v>
      </c>
      <c r="AT275" s="42">
        <v>0</v>
      </c>
      <c r="AV275" s="42">
        <v>475000</v>
      </c>
      <c r="AX275" s="42">
        <v>218957</v>
      </c>
      <c r="AZ275" s="42">
        <v>0</v>
      </c>
      <c r="BB275" s="5">
        <f t="shared" si="34"/>
        <v>8562327</v>
      </c>
      <c r="BD275" s="42">
        <v>88379</v>
      </c>
      <c r="BF275" s="42">
        <v>0</v>
      </c>
      <c r="BH275" s="42">
        <v>0</v>
      </c>
      <c r="BJ275" s="42">
        <v>0</v>
      </c>
      <c r="BL275" s="5">
        <f t="shared" si="35"/>
        <v>8650706</v>
      </c>
      <c r="BN275" s="5">
        <f>'Gov Fd Rev'!AQ275-'Gov Fd Exp'!BL275</f>
        <v>337013</v>
      </c>
      <c r="BP275" s="42">
        <v>2675215</v>
      </c>
      <c r="BR275" s="42">
        <v>0</v>
      </c>
      <c r="BT275" s="42">
        <v>0</v>
      </c>
      <c r="BV275" s="5">
        <f t="shared" si="36"/>
        <v>3012228</v>
      </c>
      <c r="BW275" s="5"/>
      <c r="BX275" s="5">
        <f>BV275-'Gov Fd BS'!AI275</f>
        <v>0</v>
      </c>
    </row>
    <row r="276" spans="1:76" hidden="1">
      <c r="A276" s="8" t="s">
        <v>861</v>
      </c>
      <c r="B276" s="8"/>
      <c r="C276" s="8" t="s">
        <v>464</v>
      </c>
      <c r="D276" s="9"/>
      <c r="E276" s="23">
        <v>49346</v>
      </c>
      <c r="G276" s="42">
        <v>0</v>
      </c>
      <c r="I276" s="42">
        <v>0</v>
      </c>
      <c r="K276" s="42">
        <v>0</v>
      </c>
      <c r="M276" s="42">
        <v>0</v>
      </c>
      <c r="O276" s="42">
        <v>0</v>
      </c>
      <c r="Q276" s="42">
        <v>0</v>
      </c>
      <c r="S276" s="42">
        <v>0</v>
      </c>
      <c r="U276" s="42">
        <v>0</v>
      </c>
      <c r="W276" s="42">
        <v>0</v>
      </c>
      <c r="Y276" s="42">
        <v>0</v>
      </c>
      <c r="AA276" s="42">
        <v>0</v>
      </c>
      <c r="AC276" s="42">
        <v>0</v>
      </c>
      <c r="AE276" s="42">
        <v>0</v>
      </c>
      <c r="AG276" s="42">
        <v>0</v>
      </c>
      <c r="AI276" s="42">
        <v>0</v>
      </c>
      <c r="AK276" s="42">
        <v>0</v>
      </c>
      <c r="AL276" s="8" t="s">
        <v>861</v>
      </c>
      <c r="AM276" s="8"/>
      <c r="AN276" s="8" t="s">
        <v>464</v>
      </c>
      <c r="AP276" s="42">
        <v>0</v>
      </c>
      <c r="AR276" s="42">
        <v>0</v>
      </c>
      <c r="AT276" s="42">
        <v>0</v>
      </c>
      <c r="AV276" s="42">
        <v>0</v>
      </c>
      <c r="AX276" s="42">
        <v>0</v>
      </c>
      <c r="AZ276" s="42">
        <v>0</v>
      </c>
      <c r="BB276" s="5">
        <f t="shared" ref="BB276" si="41">SUM(G276:AZ276)</f>
        <v>0</v>
      </c>
      <c r="BD276" s="42">
        <v>0</v>
      </c>
      <c r="BF276" s="42">
        <v>0</v>
      </c>
      <c r="BH276" s="42">
        <v>0</v>
      </c>
      <c r="BJ276" s="42">
        <v>0</v>
      </c>
      <c r="BL276" s="5">
        <f t="shared" ref="BL276" si="42">BB276+BD276+BJ276</f>
        <v>0</v>
      </c>
      <c r="BN276" s="5">
        <f>'Gov Fd Rev'!AQ276-'Gov Fd Exp'!BL276</f>
        <v>0</v>
      </c>
      <c r="BP276" s="42">
        <v>0</v>
      </c>
      <c r="BR276" s="42">
        <v>0</v>
      </c>
      <c r="BT276" s="42">
        <v>0</v>
      </c>
      <c r="BV276" s="5">
        <f t="shared" ref="BV276" si="43">BN276+BP276+BR276+BT276</f>
        <v>0</v>
      </c>
      <c r="BW276" s="5"/>
      <c r="BX276" s="5">
        <f>BV276-'Gov Fd BS'!AI276</f>
        <v>0</v>
      </c>
    </row>
    <row r="277" spans="1:76">
      <c r="A277" s="9" t="s">
        <v>285</v>
      </c>
      <c r="B277" s="9"/>
      <c r="C277" s="9" t="s">
        <v>24</v>
      </c>
      <c r="D277" s="9"/>
      <c r="E277" s="23">
        <v>46797</v>
      </c>
      <c r="G277" s="42">
        <v>135492</v>
      </c>
      <c r="I277" s="42">
        <v>0</v>
      </c>
      <c r="K277" s="42">
        <v>0</v>
      </c>
      <c r="M277" s="42">
        <v>14200</v>
      </c>
      <c r="O277" s="42">
        <v>0</v>
      </c>
      <c r="Q277" s="42">
        <v>178</v>
      </c>
      <c r="S277" s="42">
        <v>23659</v>
      </c>
      <c r="U277" s="42">
        <v>22917</v>
      </c>
      <c r="W277" s="42">
        <v>64066</v>
      </c>
      <c r="Y277" s="42">
        <v>35469</v>
      </c>
      <c r="AA277" s="42">
        <v>0</v>
      </c>
      <c r="AC277" s="42">
        <v>137061</v>
      </c>
      <c r="AE277" s="42">
        <v>0</v>
      </c>
      <c r="AG277" s="42">
        <v>0</v>
      </c>
      <c r="AI277" s="42">
        <v>0</v>
      </c>
      <c r="AK277" s="42">
        <v>0</v>
      </c>
      <c r="AL277" s="9" t="s">
        <v>285</v>
      </c>
      <c r="AM277" s="9"/>
      <c r="AN277" s="9" t="s">
        <v>24</v>
      </c>
      <c r="AP277" s="42">
        <v>0</v>
      </c>
      <c r="AR277" s="42">
        <v>156498</v>
      </c>
      <c r="AT277" s="42">
        <v>0</v>
      </c>
      <c r="AV277" s="42">
        <v>0</v>
      </c>
      <c r="AX277" s="42">
        <v>0</v>
      </c>
      <c r="AZ277" s="42">
        <v>0</v>
      </c>
      <c r="BB277" s="5">
        <f t="shared" si="34"/>
        <v>589540</v>
      </c>
      <c r="BD277" s="42">
        <v>0</v>
      </c>
      <c r="BF277" s="42">
        <v>0</v>
      </c>
      <c r="BH277" s="42">
        <v>0</v>
      </c>
      <c r="BJ277" s="42">
        <v>0</v>
      </c>
      <c r="BL277" s="5">
        <f t="shared" si="35"/>
        <v>589540</v>
      </c>
      <c r="BN277" s="5">
        <f>'Gov Fd Rev'!AQ277-'Gov Fd Exp'!BL277</f>
        <v>-21723</v>
      </c>
      <c r="BP277" s="42">
        <v>1033524</v>
      </c>
      <c r="BR277" s="42">
        <v>0</v>
      </c>
      <c r="BT277" s="42">
        <v>0</v>
      </c>
      <c r="BV277" s="5">
        <f t="shared" si="36"/>
        <v>1011801</v>
      </c>
      <c r="BW277" s="5"/>
      <c r="BX277" s="5">
        <f>BV277-'Gov Fd BS'!AI277</f>
        <v>0</v>
      </c>
    </row>
    <row r="278" spans="1:76">
      <c r="A278" s="9" t="s">
        <v>312</v>
      </c>
      <c r="B278" s="9"/>
      <c r="C278" s="9" t="s">
        <v>30</v>
      </c>
      <c r="D278" s="9"/>
      <c r="E278" s="23">
        <v>47191</v>
      </c>
      <c r="G278" s="42">
        <v>15066301</v>
      </c>
      <c r="I278" s="42">
        <v>4155435</v>
      </c>
      <c r="K278" s="42">
        <v>134025</v>
      </c>
      <c r="M278" s="42">
        <v>0</v>
      </c>
      <c r="O278" s="42">
        <v>567858</v>
      </c>
      <c r="Q278" s="42">
        <v>2453961</v>
      </c>
      <c r="S278" s="42">
        <v>1206462</v>
      </c>
      <c r="U278" s="42">
        <v>44847</v>
      </c>
      <c r="W278" s="42">
        <v>2797277</v>
      </c>
      <c r="Y278" s="42">
        <v>1091259</v>
      </c>
      <c r="AA278" s="42">
        <v>19016</v>
      </c>
      <c r="AC278" s="42">
        <v>3542643</v>
      </c>
      <c r="AE278" s="42">
        <v>2573150</v>
      </c>
      <c r="AG278" s="42">
        <v>443303</v>
      </c>
      <c r="AI278" s="42">
        <v>0</v>
      </c>
      <c r="AK278" s="42">
        <f>155998+23347</f>
        <v>179345</v>
      </c>
      <c r="AL278" s="9" t="s">
        <v>312</v>
      </c>
      <c r="AM278" s="9"/>
      <c r="AN278" s="9" t="s">
        <v>30</v>
      </c>
      <c r="AP278" s="42">
        <v>1391941</v>
      </c>
      <c r="AR278" s="42">
        <v>1434109</v>
      </c>
      <c r="AT278" s="42">
        <v>0</v>
      </c>
      <c r="AV278" s="42">
        <v>2535415</v>
      </c>
      <c r="AX278" s="42">
        <v>1315863</v>
      </c>
      <c r="AZ278" s="42">
        <f>47780+56265</f>
        <v>104045</v>
      </c>
      <c r="BB278" s="5">
        <f t="shared" si="34"/>
        <v>41056255</v>
      </c>
      <c r="BD278" s="42">
        <v>108808</v>
      </c>
      <c r="BF278" s="42">
        <v>0</v>
      </c>
      <c r="BH278" s="42">
        <v>0</v>
      </c>
      <c r="BJ278" s="42">
        <v>2689378</v>
      </c>
      <c r="BL278" s="5">
        <f t="shared" si="35"/>
        <v>43854441</v>
      </c>
      <c r="BN278" s="5">
        <f>'Gov Fd Rev'!AQ278-'Gov Fd Exp'!BL278</f>
        <v>-1327471</v>
      </c>
      <c r="BP278" s="42">
        <v>17933629</v>
      </c>
      <c r="BR278" s="42">
        <v>0</v>
      </c>
      <c r="BT278" s="42">
        <v>0</v>
      </c>
      <c r="BV278" s="5">
        <f t="shared" si="36"/>
        <v>16606158</v>
      </c>
      <c r="BW278" s="5"/>
      <c r="BX278" s="5">
        <f>BV278-'Gov Fd BS'!AI278</f>
        <v>0</v>
      </c>
    </row>
    <row r="279" spans="1:76">
      <c r="A279" s="9" t="s">
        <v>458</v>
      </c>
      <c r="B279" s="9"/>
      <c r="C279" s="9" t="s">
        <v>56</v>
      </c>
      <c r="D279" s="9"/>
      <c r="E279" s="23">
        <v>44164</v>
      </c>
      <c r="G279" s="42">
        <v>19548624</v>
      </c>
      <c r="I279" s="42">
        <v>6434752</v>
      </c>
      <c r="K279" s="42">
        <v>1953596</v>
      </c>
      <c r="M279" s="42">
        <v>47016</v>
      </c>
      <c r="O279" s="42">
        <f>477037+555704</f>
        <v>1032741</v>
      </c>
      <c r="Q279" s="42">
        <v>2847508</v>
      </c>
      <c r="S279" s="42">
        <v>1653978</v>
      </c>
      <c r="U279" s="42">
        <v>155761</v>
      </c>
      <c r="W279" s="42">
        <v>3375684</v>
      </c>
      <c r="Y279" s="42">
        <v>1120118</v>
      </c>
      <c r="AA279" s="42">
        <v>316527</v>
      </c>
      <c r="AC279" s="42">
        <v>3309575</v>
      </c>
      <c r="AE279" s="42">
        <v>1723773</v>
      </c>
      <c r="AG279" s="42">
        <v>94450</v>
      </c>
      <c r="AI279" s="42">
        <v>1273592</v>
      </c>
      <c r="AK279" s="42">
        <f>413459+178055</f>
        <v>591514</v>
      </c>
      <c r="AL279" s="9" t="s">
        <v>458</v>
      </c>
      <c r="AM279" s="9"/>
      <c r="AN279" s="9" t="s">
        <v>56</v>
      </c>
      <c r="AP279" s="42">
        <v>1219241</v>
      </c>
      <c r="AR279" s="42">
        <v>440050</v>
      </c>
      <c r="AT279" s="42">
        <v>0</v>
      </c>
      <c r="AV279" s="42">
        <v>1677050</v>
      </c>
      <c r="AX279" s="42">
        <v>618407</v>
      </c>
      <c r="AZ279" s="42">
        <v>206875</v>
      </c>
      <c r="BB279" s="5">
        <f t="shared" si="34"/>
        <v>49640832</v>
      </c>
      <c r="BD279" s="42">
        <v>1000000</v>
      </c>
      <c r="BF279" s="42">
        <v>0</v>
      </c>
      <c r="BH279" s="42">
        <v>0</v>
      </c>
      <c r="BJ279" s="42">
        <v>18003556</v>
      </c>
      <c r="BL279" s="5">
        <f t="shared" si="35"/>
        <v>68644388</v>
      </c>
      <c r="BN279" s="5">
        <f>'Gov Fd Rev'!AQ279-'Gov Fd Exp'!BL279</f>
        <v>-3717308</v>
      </c>
      <c r="BP279" s="42">
        <v>16833522</v>
      </c>
      <c r="BR279" s="42">
        <v>0</v>
      </c>
      <c r="BT279" s="42">
        <v>0</v>
      </c>
      <c r="BV279" s="5">
        <f t="shared" si="36"/>
        <v>13116214</v>
      </c>
      <c r="BW279" s="5"/>
      <c r="BX279" s="5">
        <f>BV279-'Gov Fd BS'!AI279</f>
        <v>0</v>
      </c>
    </row>
    <row r="280" spans="1:76" hidden="1">
      <c r="A280" s="9" t="s">
        <v>902</v>
      </c>
      <c r="B280" s="9"/>
      <c r="C280" s="9" t="s">
        <v>337</v>
      </c>
      <c r="D280" s="9"/>
      <c r="E280" s="23">
        <v>44172</v>
      </c>
      <c r="G280" s="42">
        <v>0</v>
      </c>
      <c r="I280" s="42">
        <v>0</v>
      </c>
      <c r="K280" s="42">
        <v>0</v>
      </c>
      <c r="M280" s="42">
        <v>0</v>
      </c>
      <c r="O280" s="42">
        <v>0</v>
      </c>
      <c r="Q280" s="42">
        <v>0</v>
      </c>
      <c r="S280" s="42">
        <v>0</v>
      </c>
      <c r="U280" s="42">
        <v>0</v>
      </c>
      <c r="W280" s="42">
        <v>0</v>
      </c>
      <c r="Y280" s="42">
        <v>0</v>
      </c>
      <c r="AA280" s="42">
        <v>0</v>
      </c>
      <c r="AC280" s="42">
        <v>0</v>
      </c>
      <c r="AE280" s="42">
        <v>0</v>
      </c>
      <c r="AG280" s="42">
        <v>0</v>
      </c>
      <c r="AI280" s="42">
        <v>0</v>
      </c>
      <c r="AK280" s="42">
        <v>0</v>
      </c>
      <c r="AL280" s="9" t="s">
        <v>902</v>
      </c>
      <c r="AM280" s="9"/>
      <c r="AN280" s="9" t="s">
        <v>337</v>
      </c>
      <c r="AP280" s="42">
        <v>0</v>
      </c>
      <c r="AR280" s="42">
        <v>0</v>
      </c>
      <c r="AT280" s="42">
        <v>0</v>
      </c>
      <c r="AV280" s="42">
        <v>0</v>
      </c>
      <c r="AX280" s="42">
        <v>0</v>
      </c>
      <c r="AZ280" s="42">
        <v>0</v>
      </c>
      <c r="BB280" s="5">
        <f t="shared" si="34"/>
        <v>0</v>
      </c>
      <c r="BD280" s="42">
        <v>0</v>
      </c>
      <c r="BF280" s="42">
        <v>0</v>
      </c>
      <c r="BH280" s="42">
        <v>0</v>
      </c>
      <c r="BJ280" s="42">
        <v>0</v>
      </c>
      <c r="BL280" s="5">
        <f t="shared" si="35"/>
        <v>0</v>
      </c>
      <c r="BN280" s="5">
        <f>'Gov Fd Rev'!AQ280-'Gov Fd Exp'!BL280</f>
        <v>0</v>
      </c>
      <c r="BP280" s="42">
        <v>0</v>
      </c>
      <c r="BR280" s="42">
        <v>0</v>
      </c>
      <c r="BT280" s="42">
        <v>0</v>
      </c>
      <c r="BV280" s="5">
        <f t="shared" si="36"/>
        <v>0</v>
      </c>
      <c r="BW280" s="5"/>
      <c r="BX280" s="5">
        <f>BV280-'Gov Fd BS'!AI280</f>
        <v>0</v>
      </c>
    </row>
    <row r="281" spans="1:76" s="24" customFormat="1">
      <c r="A281" s="51" t="s">
        <v>428</v>
      </c>
      <c r="B281" s="51"/>
      <c r="C281" s="51" t="s">
        <v>50</v>
      </c>
      <c r="D281" s="51"/>
      <c r="E281" s="23">
        <v>44180</v>
      </c>
      <c r="G281" s="42">
        <v>34747413</v>
      </c>
      <c r="H281" s="42"/>
      <c r="I281" s="42">
        <v>9838655</v>
      </c>
      <c r="J281" s="42"/>
      <c r="K281" s="42">
        <v>2691544</v>
      </c>
      <c r="L281" s="42"/>
      <c r="M281" s="42">
        <v>82493</v>
      </c>
      <c r="N281" s="42"/>
      <c r="O281" s="42">
        <v>3983494</v>
      </c>
      <c r="P281" s="42"/>
      <c r="Q281" s="42">
        <v>7481367</v>
      </c>
      <c r="R281" s="42"/>
      <c r="S281" s="42">
        <v>6122031</v>
      </c>
      <c r="T281" s="42"/>
      <c r="U281" s="42">
        <v>53648</v>
      </c>
      <c r="V281" s="42"/>
      <c r="W281" s="42">
        <v>5418708</v>
      </c>
      <c r="X281" s="42"/>
      <c r="Y281" s="42">
        <v>1752336</v>
      </c>
      <c r="Z281" s="42"/>
      <c r="AA281" s="42">
        <v>519095</v>
      </c>
      <c r="AB281" s="42"/>
      <c r="AC281" s="42">
        <v>8137122</v>
      </c>
      <c r="AD281" s="42"/>
      <c r="AE281" s="42">
        <v>3810720</v>
      </c>
      <c r="AF281" s="42"/>
      <c r="AG281" s="42">
        <v>1780400</v>
      </c>
      <c r="AH281" s="42"/>
      <c r="AI281" s="42">
        <v>0</v>
      </c>
      <c r="AJ281" s="42"/>
      <c r="AK281" s="42">
        <v>5736424</v>
      </c>
      <c r="AL281" s="51" t="s">
        <v>428</v>
      </c>
      <c r="AM281" s="51"/>
      <c r="AN281" s="51" t="s">
        <v>50</v>
      </c>
      <c r="AP281" s="42">
        <v>1364531</v>
      </c>
      <c r="AQ281" s="42"/>
      <c r="AR281" s="42">
        <v>209674</v>
      </c>
      <c r="AS281" s="42"/>
      <c r="AT281" s="42">
        <v>0</v>
      </c>
      <c r="AU281" s="42"/>
      <c r="AV281" s="42">
        <v>3538464</v>
      </c>
      <c r="AW281" s="42"/>
      <c r="AX281" s="42">
        <v>3613066</v>
      </c>
      <c r="AY281" s="42"/>
      <c r="AZ281" s="42">
        <v>277689</v>
      </c>
      <c r="BA281" s="42"/>
      <c r="BB281" s="5">
        <f t="shared" si="34"/>
        <v>101158874</v>
      </c>
      <c r="BC281" s="42"/>
      <c r="BD281" s="42">
        <v>13500</v>
      </c>
      <c r="BE281" s="42"/>
      <c r="BF281" s="42">
        <v>0</v>
      </c>
      <c r="BG281" s="42"/>
      <c r="BH281" s="42">
        <v>0</v>
      </c>
      <c r="BI281" s="42"/>
      <c r="BJ281" s="42">
        <v>16247473</v>
      </c>
      <c r="BK281" s="42"/>
      <c r="BL281" s="5">
        <f t="shared" si="35"/>
        <v>117419847</v>
      </c>
      <c r="BM281" s="42"/>
      <c r="BN281" s="5">
        <f>'Gov Fd Rev'!AQ281-'Gov Fd Exp'!BL281</f>
        <v>-4669056</v>
      </c>
      <c r="BO281" s="42"/>
      <c r="BP281" s="42">
        <v>12623676</v>
      </c>
      <c r="BQ281" s="42"/>
      <c r="BR281" s="42">
        <v>-10368</v>
      </c>
      <c r="BS281" s="42"/>
      <c r="BT281" s="42">
        <v>0</v>
      </c>
      <c r="BU281" s="42"/>
      <c r="BV281" s="5">
        <f t="shared" si="36"/>
        <v>7944252</v>
      </c>
      <c r="BW281" s="5"/>
      <c r="BX281" s="5">
        <f>BV281-'Gov Fd BS'!AI281</f>
        <v>0</v>
      </c>
    </row>
    <row r="282" spans="1:76">
      <c r="A282" s="9" t="s">
        <v>632</v>
      </c>
      <c r="B282" s="9"/>
      <c r="C282" s="9" t="s">
        <v>44</v>
      </c>
      <c r="D282" s="9"/>
      <c r="E282" s="23">
        <v>48165</v>
      </c>
      <c r="G282" s="42">
        <v>7405709</v>
      </c>
      <c r="I282" s="42">
        <v>1907667</v>
      </c>
      <c r="K282" s="42">
        <v>103756</v>
      </c>
      <c r="M282" s="42">
        <v>0</v>
      </c>
      <c r="O282" s="42">
        <v>102449</v>
      </c>
      <c r="Q282" s="42">
        <v>1017645</v>
      </c>
      <c r="S282" s="42">
        <v>435122</v>
      </c>
      <c r="U282" s="42">
        <v>31246</v>
      </c>
      <c r="W282" s="42">
        <v>1337377</v>
      </c>
      <c r="Y282" s="42">
        <v>480505</v>
      </c>
      <c r="AA282" s="42">
        <v>0</v>
      </c>
      <c r="AC282" s="42">
        <v>1169841</v>
      </c>
      <c r="AE282" s="42">
        <v>854319</v>
      </c>
      <c r="AG282" s="42">
        <v>337655</v>
      </c>
      <c r="AI282" s="42">
        <v>524803</v>
      </c>
      <c r="AK282" s="42">
        <f>61874+121604</f>
        <v>183478</v>
      </c>
      <c r="AL282" s="9" t="s">
        <v>632</v>
      </c>
      <c r="AM282" s="9"/>
      <c r="AN282" s="9" t="s">
        <v>44</v>
      </c>
      <c r="AP282" s="42">
        <v>382930</v>
      </c>
      <c r="AR282" s="42">
        <v>5910747</v>
      </c>
      <c r="AT282" s="42">
        <v>0</v>
      </c>
      <c r="AV282" s="42">
        <v>325825</v>
      </c>
      <c r="AX282" s="42">
        <v>1245939</v>
      </c>
      <c r="AZ282" s="42">
        <v>97895</v>
      </c>
      <c r="BB282" s="5">
        <f t="shared" si="34"/>
        <v>23854908</v>
      </c>
      <c r="BD282" s="42">
        <v>28100</v>
      </c>
      <c r="BF282" s="42">
        <v>0</v>
      </c>
      <c r="BH282" s="42">
        <v>0</v>
      </c>
      <c r="BJ282" s="42">
        <v>4649432</v>
      </c>
      <c r="BL282" s="5">
        <f t="shared" si="35"/>
        <v>28532440</v>
      </c>
      <c r="BN282" s="5">
        <f>'Gov Fd Rev'!AQ282-'Gov Fd Exp'!BL282</f>
        <v>-214961</v>
      </c>
      <c r="BP282" s="42">
        <v>11276812</v>
      </c>
      <c r="BR282" s="42">
        <v>0</v>
      </c>
      <c r="BT282" s="42">
        <v>0</v>
      </c>
      <c r="BV282" s="5">
        <f t="shared" si="36"/>
        <v>11061851</v>
      </c>
      <c r="BW282" s="5"/>
      <c r="BX282" s="5">
        <f>BV282-'Gov Fd BS'!AI282</f>
        <v>0</v>
      </c>
    </row>
    <row r="283" spans="1:76" s="24" customFormat="1">
      <c r="A283" s="51" t="s">
        <v>715</v>
      </c>
      <c r="B283" s="51"/>
      <c r="C283" s="51" t="s">
        <v>69</v>
      </c>
      <c r="D283" s="51"/>
      <c r="E283" s="51">
        <v>50435</v>
      </c>
      <c r="G283" s="24">
        <v>18320600</v>
      </c>
      <c r="I283" s="24">
        <v>4885913</v>
      </c>
      <c r="K283" s="24">
        <v>0</v>
      </c>
      <c r="M283" s="24">
        <v>0</v>
      </c>
      <c r="O283" s="24">
        <v>1135912</v>
      </c>
      <c r="Q283" s="24">
        <v>2462486</v>
      </c>
      <c r="S283" s="24">
        <v>1266243</v>
      </c>
      <c r="U283" s="24">
        <v>48959</v>
      </c>
      <c r="W283" s="24">
        <v>3191786</v>
      </c>
      <c r="Y283" s="24">
        <v>848522</v>
      </c>
      <c r="AA283" s="24">
        <v>240767</v>
      </c>
      <c r="AC283" s="24">
        <v>3998569</v>
      </c>
      <c r="AE283" s="24">
        <v>3200680</v>
      </c>
      <c r="AG283" s="24">
        <v>242747</v>
      </c>
      <c r="AI283" s="24">
        <v>0</v>
      </c>
      <c r="AK283" s="24">
        <v>638517</v>
      </c>
      <c r="AL283" s="51" t="s">
        <v>715</v>
      </c>
      <c r="AM283" s="51"/>
      <c r="AN283" s="51" t="s">
        <v>69</v>
      </c>
      <c r="AP283" s="24">
        <v>1324395</v>
      </c>
      <c r="AR283" s="24">
        <v>40509</v>
      </c>
      <c r="AT283" s="24">
        <v>0</v>
      </c>
      <c r="AV283" s="24">
        <v>1345000</v>
      </c>
      <c r="AX283" s="24">
        <v>2550859</v>
      </c>
      <c r="AZ283" s="24">
        <v>0</v>
      </c>
      <c r="BB283" s="64">
        <f t="shared" si="34"/>
        <v>45742464</v>
      </c>
      <c r="BD283" s="24">
        <v>0</v>
      </c>
      <c r="BF283" s="24">
        <v>0</v>
      </c>
      <c r="BH283" s="24">
        <v>0</v>
      </c>
      <c r="BJ283" s="24">
        <v>47323360</v>
      </c>
      <c r="BL283" s="64">
        <f t="shared" si="35"/>
        <v>93065824</v>
      </c>
      <c r="BN283" s="64">
        <f>'Gov Fd Rev'!AQ283-'Gov Fd Exp'!BL283</f>
        <v>3599501</v>
      </c>
      <c r="BP283" s="24">
        <v>12556245</v>
      </c>
      <c r="BR283" s="24">
        <v>0</v>
      </c>
      <c r="BT283" s="24">
        <v>0</v>
      </c>
      <c r="BV283" s="64">
        <f t="shared" si="36"/>
        <v>16155746</v>
      </c>
      <c r="BW283" s="64"/>
      <c r="BX283" s="64">
        <f>BV283-'Gov Fd BS'!AI283</f>
        <v>0</v>
      </c>
    </row>
    <row r="284" spans="1:76">
      <c r="A284" s="9" t="s">
        <v>903</v>
      </c>
      <c r="B284" s="9"/>
      <c r="C284" s="9" t="s">
        <v>41</v>
      </c>
      <c r="D284" s="9"/>
      <c r="E284" s="23">
        <v>47878</v>
      </c>
      <c r="G284" s="42">
        <v>6077557</v>
      </c>
      <c r="I284" s="42">
        <v>1474679</v>
      </c>
      <c r="K284" s="42">
        <v>93419</v>
      </c>
      <c r="M284" s="42">
        <v>0</v>
      </c>
      <c r="O284" s="42">
        <v>139246</v>
      </c>
      <c r="Q284" s="42">
        <v>994278</v>
      </c>
      <c r="S284" s="42">
        <v>375721</v>
      </c>
      <c r="U284" s="42">
        <v>199312</v>
      </c>
      <c r="W284" s="42">
        <v>1029254</v>
      </c>
      <c r="Y284" s="42">
        <v>488249</v>
      </c>
      <c r="AA284" s="42">
        <v>16679</v>
      </c>
      <c r="AC284" s="42">
        <v>1451643</v>
      </c>
      <c r="AE284" s="42">
        <v>1091027</v>
      </c>
      <c r="AG284" s="42">
        <v>147397</v>
      </c>
      <c r="AI284" s="42">
        <v>224038</v>
      </c>
      <c r="AK284" s="42">
        <v>130787</v>
      </c>
      <c r="AL284" s="9" t="s">
        <v>903</v>
      </c>
      <c r="AM284" s="9"/>
      <c r="AN284" s="9" t="s">
        <v>41</v>
      </c>
      <c r="AP284" s="42">
        <v>807914</v>
      </c>
      <c r="AR284" s="42">
        <v>143437</v>
      </c>
      <c r="AT284" s="42">
        <v>0</v>
      </c>
      <c r="AV284" s="42">
        <v>485000</v>
      </c>
      <c r="AX284" s="42">
        <v>463555</v>
      </c>
      <c r="AZ284" s="42">
        <v>326201</v>
      </c>
      <c r="BB284" s="5">
        <v>16159393</v>
      </c>
      <c r="BD284" s="42">
        <v>57703</v>
      </c>
      <c r="BF284" s="42">
        <v>0</v>
      </c>
      <c r="BH284" s="42">
        <v>0</v>
      </c>
      <c r="BJ284" s="42">
        <v>9656663</v>
      </c>
      <c r="BL284" s="5">
        <v>25873759</v>
      </c>
      <c r="BN284" s="5">
        <v>-2515</v>
      </c>
      <c r="BP284" s="42">
        <v>6158211</v>
      </c>
      <c r="BR284" s="42">
        <v>0</v>
      </c>
      <c r="BT284" s="42">
        <v>0</v>
      </c>
      <c r="BV284" s="5">
        <v>6155696</v>
      </c>
      <c r="BW284" s="5"/>
      <c r="BX284" s="5">
        <f>BV284-'Gov Fd BS'!AI284</f>
        <v>0</v>
      </c>
    </row>
    <row r="285" spans="1:76">
      <c r="A285" s="9" t="s">
        <v>520</v>
      </c>
      <c r="B285" s="9"/>
      <c r="C285" s="9" t="s">
        <v>64</v>
      </c>
      <c r="D285" s="9"/>
      <c r="E285" s="23">
        <v>50245</v>
      </c>
      <c r="G285" s="42">
        <v>6550868</v>
      </c>
      <c r="I285" s="42">
        <v>1812762</v>
      </c>
      <c r="K285" s="42">
        <v>73595</v>
      </c>
      <c r="M285" s="42">
        <v>0</v>
      </c>
      <c r="O285" s="42">
        <v>362453</v>
      </c>
      <c r="Q285" s="42">
        <v>716873</v>
      </c>
      <c r="S285" s="42">
        <v>263185</v>
      </c>
      <c r="U285" s="42">
        <v>56989</v>
      </c>
      <c r="W285" s="42">
        <v>1045732</v>
      </c>
      <c r="Y285" s="42">
        <v>306468</v>
      </c>
      <c r="AA285" s="42">
        <v>0</v>
      </c>
      <c r="AC285" s="42">
        <v>1287067</v>
      </c>
      <c r="AE285" s="42">
        <v>542315</v>
      </c>
      <c r="AG285" s="42">
        <v>93648</v>
      </c>
      <c r="AI285" s="42">
        <v>710468</v>
      </c>
      <c r="AK285" s="42">
        <v>6021</v>
      </c>
      <c r="AL285" s="9" t="s">
        <v>520</v>
      </c>
      <c r="AM285" s="9"/>
      <c r="AN285" s="9" t="s">
        <v>64</v>
      </c>
      <c r="AP285" s="42">
        <v>423075</v>
      </c>
      <c r="AR285" s="42">
        <v>302035</v>
      </c>
      <c r="AT285" s="42">
        <v>0</v>
      </c>
      <c r="AV285" s="42">
        <v>505000</v>
      </c>
      <c r="AX285" s="42">
        <v>224373</v>
      </c>
      <c r="AZ285" s="42">
        <v>0</v>
      </c>
      <c r="BB285" s="5">
        <v>15282927</v>
      </c>
      <c r="BD285" s="42">
        <v>0</v>
      </c>
      <c r="BF285" s="42">
        <v>0</v>
      </c>
      <c r="BH285" s="42">
        <v>0</v>
      </c>
      <c r="BJ285" s="42">
        <v>0</v>
      </c>
      <c r="BL285" s="5">
        <v>15282927</v>
      </c>
      <c r="BN285" s="5">
        <v>-887824</v>
      </c>
      <c r="BP285" s="42">
        <v>4378001</v>
      </c>
      <c r="BR285" s="42">
        <v>11076</v>
      </c>
      <c r="BT285" s="42">
        <v>0</v>
      </c>
      <c r="BV285" s="5">
        <v>3501253</v>
      </c>
      <c r="BW285" s="5"/>
      <c r="BX285" s="5">
        <f>BV285-'Gov Fd BS'!AI285</f>
        <v>0</v>
      </c>
    </row>
    <row r="286" spans="1:76">
      <c r="A286" s="9" t="s">
        <v>494</v>
      </c>
      <c r="B286" s="9"/>
      <c r="C286" s="9" t="s">
        <v>62</v>
      </c>
      <c r="D286" s="9"/>
      <c r="E286" s="23">
        <v>49866</v>
      </c>
      <c r="G286" s="42">
        <v>13247769</v>
      </c>
      <c r="I286" s="42">
        <v>3165809</v>
      </c>
      <c r="K286" s="42">
        <v>397726</v>
      </c>
      <c r="M286" s="42">
        <v>0</v>
      </c>
      <c r="O286" s="42">
        <v>1229525</v>
      </c>
      <c r="Q286" s="42">
        <v>898426</v>
      </c>
      <c r="S286" s="42">
        <v>1509994</v>
      </c>
      <c r="U286" s="42">
        <v>26227</v>
      </c>
      <c r="W286" s="42">
        <v>2829437</v>
      </c>
      <c r="Y286" s="42">
        <v>832939</v>
      </c>
      <c r="AA286" s="42">
        <v>92658</v>
      </c>
      <c r="AC286" s="42">
        <v>2823400</v>
      </c>
      <c r="AE286" s="42">
        <v>1816106</v>
      </c>
      <c r="AG286" s="42">
        <v>178802</v>
      </c>
      <c r="AI286" s="42">
        <v>0</v>
      </c>
      <c r="AK286" s="42">
        <v>588463</v>
      </c>
      <c r="AL286" s="9" t="s">
        <v>494</v>
      </c>
      <c r="AM286" s="9"/>
      <c r="AN286" s="9" t="s">
        <v>62</v>
      </c>
      <c r="AP286" s="42">
        <v>882801</v>
      </c>
      <c r="AR286" s="42">
        <v>3115825</v>
      </c>
      <c r="AT286" s="42">
        <v>0</v>
      </c>
      <c r="AV286" s="42">
        <v>367069</v>
      </c>
      <c r="AX286" s="42">
        <v>1697681</v>
      </c>
      <c r="AZ286" s="42">
        <v>0</v>
      </c>
      <c r="BB286" s="5">
        <v>35700657</v>
      </c>
      <c r="BD286" s="42">
        <v>4070</v>
      </c>
      <c r="BF286" s="42">
        <v>0</v>
      </c>
      <c r="BH286" s="42">
        <v>0</v>
      </c>
      <c r="BJ286" s="42">
        <v>0</v>
      </c>
      <c r="BL286" s="5">
        <v>35704727</v>
      </c>
      <c r="BN286" s="5">
        <v>399163</v>
      </c>
      <c r="BP286" s="42">
        <v>3233524</v>
      </c>
      <c r="BR286" s="42">
        <v>0</v>
      </c>
      <c r="BT286" s="42">
        <v>0</v>
      </c>
      <c r="BV286" s="5">
        <v>3632687</v>
      </c>
      <c r="BW286" s="5"/>
      <c r="BX286" s="5">
        <f>BV286-'Gov Fd BS'!AI286</f>
        <v>0</v>
      </c>
    </row>
    <row r="287" spans="1:76" hidden="1">
      <c r="A287" s="9" t="s">
        <v>790</v>
      </c>
      <c r="B287" s="9"/>
      <c r="C287" s="9" t="s">
        <v>72</v>
      </c>
      <c r="D287" s="9"/>
      <c r="E287" s="23">
        <v>50690</v>
      </c>
      <c r="G287" s="42">
        <v>0</v>
      </c>
      <c r="I287" s="42">
        <v>0</v>
      </c>
      <c r="K287" s="42">
        <v>0</v>
      </c>
      <c r="M287" s="42">
        <v>0</v>
      </c>
      <c r="O287" s="42">
        <v>0</v>
      </c>
      <c r="Q287" s="42">
        <v>0</v>
      </c>
      <c r="S287" s="42">
        <v>0</v>
      </c>
      <c r="U287" s="42">
        <v>0</v>
      </c>
      <c r="W287" s="42">
        <v>0</v>
      </c>
      <c r="Y287" s="42">
        <v>0</v>
      </c>
      <c r="AA287" s="42">
        <v>0</v>
      </c>
      <c r="AC287" s="42">
        <v>0</v>
      </c>
      <c r="AE287" s="42">
        <v>0</v>
      </c>
      <c r="AG287" s="42">
        <v>0</v>
      </c>
      <c r="AI287" s="42">
        <v>0</v>
      </c>
      <c r="AK287" s="42">
        <v>0</v>
      </c>
      <c r="AL287" s="9" t="s">
        <v>790</v>
      </c>
      <c r="AM287" s="9"/>
      <c r="AN287" s="9" t="s">
        <v>72</v>
      </c>
      <c r="AP287" s="42">
        <v>0</v>
      </c>
      <c r="AR287" s="42">
        <v>0</v>
      </c>
      <c r="AT287" s="42">
        <v>0</v>
      </c>
      <c r="AV287" s="42">
        <v>0</v>
      </c>
      <c r="AX287" s="42">
        <v>0</v>
      </c>
      <c r="AZ287" s="42">
        <v>0</v>
      </c>
      <c r="BB287" s="5">
        <f t="shared" si="34"/>
        <v>0</v>
      </c>
      <c r="BD287" s="42">
        <v>0</v>
      </c>
      <c r="BF287" s="42">
        <v>0</v>
      </c>
      <c r="BH287" s="42">
        <v>0</v>
      </c>
      <c r="BJ287" s="42">
        <v>0</v>
      </c>
      <c r="BL287" s="5">
        <f t="shared" si="35"/>
        <v>0</v>
      </c>
      <c r="BN287" s="5">
        <f>'Gov Fd Rev'!AQ287-'Gov Fd Exp'!BL287</f>
        <v>0</v>
      </c>
      <c r="BP287" s="42">
        <v>0</v>
      </c>
      <c r="BR287" s="42">
        <v>0</v>
      </c>
      <c r="BT287" s="42">
        <v>0</v>
      </c>
      <c r="BV287" s="5">
        <f t="shared" si="36"/>
        <v>0</v>
      </c>
      <c r="BW287" s="5"/>
      <c r="BX287" s="5">
        <f>BV287-'Gov Fd BS'!AI287</f>
        <v>0</v>
      </c>
    </row>
    <row r="288" spans="1:76">
      <c r="A288" s="9" t="s">
        <v>521</v>
      </c>
      <c r="B288" s="9"/>
      <c r="C288" s="9" t="s">
        <v>64</v>
      </c>
      <c r="D288" s="9"/>
      <c r="E288" s="23">
        <v>50187</v>
      </c>
      <c r="G288" s="42">
        <v>8221937</v>
      </c>
      <c r="I288" s="42">
        <v>1773624</v>
      </c>
      <c r="K288" s="42">
        <v>0</v>
      </c>
      <c r="M288" s="42">
        <v>0</v>
      </c>
      <c r="O288" s="42">
        <v>0</v>
      </c>
      <c r="Q288" s="42">
        <v>1018283</v>
      </c>
      <c r="S288" s="42">
        <v>882663</v>
      </c>
      <c r="U288" s="42">
        <v>26964</v>
      </c>
      <c r="W288" s="42">
        <v>1392688</v>
      </c>
      <c r="Y288" s="42">
        <v>467880</v>
      </c>
      <c r="AA288" s="42">
        <v>0</v>
      </c>
      <c r="AC288" s="42">
        <v>1506936</v>
      </c>
      <c r="AE288" s="42">
        <v>904071</v>
      </c>
      <c r="AG288" s="42">
        <v>20130</v>
      </c>
      <c r="AI288" s="42">
        <v>538728</v>
      </c>
      <c r="AK288" s="42">
        <v>9925</v>
      </c>
      <c r="AL288" s="9" t="s">
        <v>521</v>
      </c>
      <c r="AM288" s="9"/>
      <c r="AN288" s="9" t="s">
        <v>64</v>
      </c>
      <c r="AP288" s="42">
        <v>427959</v>
      </c>
      <c r="AR288" s="42">
        <v>124444</v>
      </c>
      <c r="AT288" s="42">
        <v>0</v>
      </c>
      <c r="AV288" s="42">
        <v>269698</v>
      </c>
      <c r="AX288" s="42">
        <v>90805</v>
      </c>
      <c r="AZ288" s="42">
        <v>441745</v>
      </c>
      <c r="BB288" s="5">
        <f t="shared" si="34"/>
        <v>18118480</v>
      </c>
      <c r="BD288" s="42">
        <v>216</v>
      </c>
      <c r="BF288" s="42">
        <v>0</v>
      </c>
      <c r="BH288" s="42">
        <v>0</v>
      </c>
      <c r="BJ288" s="42">
        <v>0</v>
      </c>
      <c r="BL288" s="5">
        <f t="shared" si="35"/>
        <v>18118696</v>
      </c>
      <c r="BN288" s="5">
        <f>'Gov Fd Rev'!AQ288-'Gov Fd Exp'!BL288</f>
        <v>583209</v>
      </c>
      <c r="BP288" s="42">
        <v>1033370</v>
      </c>
      <c r="BR288" s="42">
        <v>0</v>
      </c>
      <c r="BT288" s="42">
        <v>0</v>
      </c>
      <c r="BV288" s="5">
        <f t="shared" si="36"/>
        <v>1616579</v>
      </c>
      <c r="BW288" s="5"/>
      <c r="BX288" s="5">
        <f>BV288-'Gov Fd BS'!AI288</f>
        <v>0</v>
      </c>
    </row>
    <row r="289" spans="1:76">
      <c r="A289" s="9" t="s">
        <v>268</v>
      </c>
      <c r="B289" s="9"/>
      <c r="C289" s="9" t="s">
        <v>20</v>
      </c>
      <c r="D289" s="9"/>
      <c r="E289" s="23">
        <v>44198</v>
      </c>
      <c r="G289" s="42">
        <v>27529783</v>
      </c>
      <c r="I289" s="42">
        <v>13023361</v>
      </c>
      <c r="K289" s="42">
        <v>2375219</v>
      </c>
      <c r="M289" s="42">
        <v>415313</v>
      </c>
      <c r="O289" s="42">
        <v>4003414</v>
      </c>
      <c r="Q289" s="42">
        <v>4502689</v>
      </c>
      <c r="S289" s="42">
        <v>3961809</v>
      </c>
      <c r="U289" s="42">
        <v>93145</v>
      </c>
      <c r="W289" s="42">
        <v>3445898</v>
      </c>
      <c r="Y289" s="42">
        <v>1722205</v>
      </c>
      <c r="AA289" s="42">
        <v>705419</v>
      </c>
      <c r="AC289" s="42">
        <v>7396595</v>
      </c>
      <c r="AE289" s="42">
        <v>78279</v>
      </c>
      <c r="AG289" s="42">
        <v>420569</v>
      </c>
      <c r="AI289" s="42">
        <v>0</v>
      </c>
      <c r="AK289" s="42">
        <v>2404356</v>
      </c>
      <c r="AL289" s="9" t="s">
        <v>268</v>
      </c>
      <c r="AM289" s="9"/>
      <c r="AN289" s="9" t="s">
        <v>20</v>
      </c>
      <c r="AP289" s="42">
        <v>1371519</v>
      </c>
      <c r="AR289" s="42">
        <v>61654</v>
      </c>
      <c r="AT289" s="42">
        <v>0</v>
      </c>
      <c r="AV289" s="42">
        <v>4365299</v>
      </c>
      <c r="AX289" s="42">
        <v>4889514</v>
      </c>
      <c r="AZ289" s="42">
        <v>133401</v>
      </c>
      <c r="BB289" s="5">
        <f t="shared" si="34"/>
        <v>82899441</v>
      </c>
      <c r="BD289" s="42">
        <v>20000</v>
      </c>
      <c r="BF289" s="42">
        <v>0</v>
      </c>
      <c r="BH289" s="42">
        <v>0</v>
      </c>
      <c r="BJ289" s="42">
        <v>9094593</v>
      </c>
      <c r="BL289" s="5">
        <f t="shared" si="35"/>
        <v>92014034</v>
      </c>
      <c r="BN289" s="5">
        <f>'Gov Fd Rev'!AQ289-'Gov Fd Exp'!BL289</f>
        <v>152171</v>
      </c>
      <c r="BP289" s="42">
        <v>25315882</v>
      </c>
      <c r="BR289" s="42">
        <v>0</v>
      </c>
      <c r="BT289" s="42">
        <v>0</v>
      </c>
      <c r="BV289" s="5">
        <f t="shared" si="36"/>
        <v>25468053</v>
      </c>
      <c r="BW289" s="5"/>
      <c r="BX289" s="5">
        <f>BV289-'Gov Fd BS'!AI289</f>
        <v>0</v>
      </c>
    </row>
    <row r="290" spans="1:76">
      <c r="A290" s="9" t="s">
        <v>625</v>
      </c>
      <c r="B290" s="9"/>
      <c r="C290" s="9" t="s">
        <v>42</v>
      </c>
      <c r="D290" s="9"/>
      <c r="E290" s="23">
        <v>47993</v>
      </c>
      <c r="G290" s="42">
        <v>12313518</v>
      </c>
      <c r="I290" s="42">
        <v>0</v>
      </c>
      <c r="K290" s="42">
        <v>0</v>
      </c>
      <c r="M290" s="42">
        <v>0</v>
      </c>
      <c r="O290" s="42">
        <v>0</v>
      </c>
      <c r="Q290" s="42">
        <v>1412351</v>
      </c>
      <c r="S290" s="42">
        <v>328525</v>
      </c>
      <c r="U290" s="42">
        <v>89155</v>
      </c>
      <c r="W290" s="42">
        <v>1886388</v>
      </c>
      <c r="Y290" s="42">
        <v>681351</v>
      </c>
      <c r="AA290" s="42">
        <v>22403</v>
      </c>
      <c r="AC290" s="42">
        <v>2408006</v>
      </c>
      <c r="AE290" s="42">
        <v>1618106</v>
      </c>
      <c r="AG290" s="42">
        <v>94657</v>
      </c>
      <c r="AI290" s="42">
        <v>0</v>
      </c>
      <c r="AK290" s="42">
        <v>33553</v>
      </c>
      <c r="AL290" s="9" t="s">
        <v>625</v>
      </c>
      <c r="AM290" s="9"/>
      <c r="AN290" s="9" t="s">
        <v>42</v>
      </c>
      <c r="AP290" s="42">
        <v>348584</v>
      </c>
      <c r="AR290" s="42">
        <v>0</v>
      </c>
      <c r="AT290" s="42">
        <v>0</v>
      </c>
      <c r="AV290" s="42">
        <v>786671</v>
      </c>
      <c r="AX290" s="42">
        <v>444476</v>
      </c>
      <c r="AZ290" s="42">
        <v>0</v>
      </c>
      <c r="BB290" s="5">
        <f t="shared" si="34"/>
        <v>22467744</v>
      </c>
      <c r="BD290" s="42">
        <v>0</v>
      </c>
      <c r="BF290" s="42">
        <v>0</v>
      </c>
      <c r="BH290" s="42">
        <v>0</v>
      </c>
      <c r="BJ290" s="42">
        <v>0</v>
      </c>
      <c r="BL290" s="5">
        <f t="shared" si="35"/>
        <v>22467744</v>
      </c>
      <c r="BN290" s="5">
        <f>'Gov Fd Rev'!AQ290-'Gov Fd Exp'!BL290</f>
        <v>1823617</v>
      </c>
      <c r="BP290" s="42">
        <v>7244768</v>
      </c>
      <c r="BR290" s="42">
        <v>18151</v>
      </c>
      <c r="BT290" s="42">
        <v>0</v>
      </c>
      <c r="BV290" s="5">
        <f t="shared" si="36"/>
        <v>9086536</v>
      </c>
      <c r="BW290" s="5"/>
      <c r="BX290" s="5">
        <f>BV290-'Gov Fd BS'!AI290</f>
        <v>0</v>
      </c>
    </row>
    <row r="291" spans="1:76">
      <c r="A291" s="9" t="s">
        <v>222</v>
      </c>
      <c r="B291" s="9"/>
      <c r="C291" s="9" t="s">
        <v>220</v>
      </c>
      <c r="D291" s="9"/>
      <c r="E291" s="23">
        <v>46110</v>
      </c>
      <c r="G291" s="42">
        <v>65974534</v>
      </c>
      <c r="I291" s="42">
        <v>15361893</v>
      </c>
      <c r="K291" s="42">
        <v>7710</v>
      </c>
      <c r="M291" s="42">
        <v>0</v>
      </c>
      <c r="O291" s="42">
        <v>4995693</v>
      </c>
      <c r="Q291" s="42">
        <v>10299798</v>
      </c>
      <c r="S291" s="42">
        <v>9168079</v>
      </c>
      <c r="U291" s="42">
        <v>0</v>
      </c>
      <c r="W291" s="42">
        <f>74266+12318809</f>
        <v>12393075</v>
      </c>
      <c r="Y291" s="42">
        <v>1844494</v>
      </c>
      <c r="AA291" s="42">
        <v>292625</v>
      </c>
      <c r="AC291" s="42">
        <v>12129915</v>
      </c>
      <c r="AE291" s="42">
        <v>15660815</v>
      </c>
      <c r="AG291" s="42">
        <v>2815264</v>
      </c>
      <c r="AI291" s="42">
        <v>0</v>
      </c>
      <c r="AK291" s="42">
        <v>5938713</v>
      </c>
      <c r="AL291" s="9" t="s">
        <v>222</v>
      </c>
      <c r="AM291" s="9"/>
      <c r="AN291" s="9" t="s">
        <v>220</v>
      </c>
      <c r="AP291" s="42">
        <v>2435181</v>
      </c>
      <c r="AR291" s="42">
        <v>1737236</v>
      </c>
      <c r="AT291" s="42">
        <v>0</v>
      </c>
      <c r="AV291" s="42">
        <v>8220000</v>
      </c>
      <c r="AX291" s="42">
        <v>6762418</v>
      </c>
      <c r="AZ291" s="42">
        <v>470319</v>
      </c>
      <c r="BB291" s="5">
        <f t="shared" si="34"/>
        <v>176507762</v>
      </c>
      <c r="BD291" s="42">
        <v>427002</v>
      </c>
      <c r="BF291" s="42">
        <v>0</v>
      </c>
      <c r="BH291" s="42">
        <v>0</v>
      </c>
      <c r="BJ291" s="42">
        <v>52096049</v>
      </c>
      <c r="BL291" s="5">
        <f t="shared" si="35"/>
        <v>229030813</v>
      </c>
      <c r="BN291" s="5">
        <f>'Gov Fd Rev'!AQ291-'Gov Fd Exp'!BL291</f>
        <v>1296627</v>
      </c>
      <c r="BP291" s="42">
        <v>23496473</v>
      </c>
      <c r="BR291" s="42">
        <v>0</v>
      </c>
      <c r="BT291" s="42">
        <v>0</v>
      </c>
      <c r="BV291" s="5">
        <f t="shared" si="36"/>
        <v>24793100</v>
      </c>
      <c r="BW291" s="5"/>
      <c r="BX291" s="5">
        <f>BV291-'Gov Fd BS'!AI291</f>
        <v>0</v>
      </c>
    </row>
    <row r="292" spans="1:76" hidden="1">
      <c r="A292" s="9" t="s">
        <v>791</v>
      </c>
      <c r="B292" s="9"/>
      <c r="C292" s="9" t="s">
        <v>79</v>
      </c>
      <c r="D292" s="9"/>
      <c r="E292" s="23">
        <v>49569</v>
      </c>
      <c r="G292" s="42">
        <v>0</v>
      </c>
      <c r="I292" s="42">
        <v>0</v>
      </c>
      <c r="K292" s="42">
        <v>0</v>
      </c>
      <c r="M292" s="42">
        <v>0</v>
      </c>
      <c r="O292" s="42">
        <v>0</v>
      </c>
      <c r="Q292" s="42">
        <v>0</v>
      </c>
      <c r="S292" s="42">
        <v>0</v>
      </c>
      <c r="U292" s="42">
        <v>0</v>
      </c>
      <c r="W292" s="42">
        <v>0</v>
      </c>
      <c r="Y292" s="42">
        <v>0</v>
      </c>
      <c r="AA292" s="42">
        <v>0</v>
      </c>
      <c r="AC292" s="42">
        <v>0</v>
      </c>
      <c r="AE292" s="42">
        <v>0</v>
      </c>
      <c r="AG292" s="42">
        <v>0</v>
      </c>
      <c r="AI292" s="42">
        <v>0</v>
      </c>
      <c r="AK292" s="42">
        <v>0</v>
      </c>
      <c r="AL292" s="9" t="s">
        <v>791</v>
      </c>
      <c r="AM292" s="9"/>
      <c r="AN292" s="9" t="s">
        <v>79</v>
      </c>
      <c r="AP292" s="42">
        <v>0</v>
      </c>
      <c r="AR292" s="42">
        <v>0</v>
      </c>
      <c r="AT292" s="42">
        <v>0</v>
      </c>
      <c r="AV292" s="42">
        <v>0</v>
      </c>
      <c r="AX292" s="42">
        <v>0</v>
      </c>
      <c r="AZ292" s="42">
        <v>0</v>
      </c>
      <c r="BB292" s="5">
        <f t="shared" si="34"/>
        <v>0</v>
      </c>
      <c r="BD292" s="42">
        <v>0</v>
      </c>
      <c r="BF292" s="42">
        <v>0</v>
      </c>
      <c r="BH292" s="42">
        <v>0</v>
      </c>
      <c r="BJ292" s="42">
        <v>0</v>
      </c>
      <c r="BL292" s="5">
        <f t="shared" si="35"/>
        <v>0</v>
      </c>
      <c r="BN292" s="5">
        <f>'Gov Fd Rev'!AQ292-'Gov Fd Exp'!BL292</f>
        <v>0</v>
      </c>
      <c r="BP292" s="42">
        <v>0</v>
      </c>
      <c r="BR292" s="42">
        <v>0</v>
      </c>
      <c r="BT292" s="42">
        <v>0</v>
      </c>
      <c r="BV292" s="5">
        <f t="shared" si="36"/>
        <v>0</v>
      </c>
      <c r="BW292" s="5"/>
      <c r="BX292" s="5">
        <f>BV292-'Gov Fd BS'!AI292</f>
        <v>0</v>
      </c>
    </row>
    <row r="293" spans="1:76">
      <c r="A293" s="9" t="s">
        <v>293</v>
      </c>
      <c r="B293" s="9"/>
      <c r="C293" s="9" t="s">
        <v>25</v>
      </c>
      <c r="D293" s="9"/>
      <c r="E293" s="23">
        <v>44206</v>
      </c>
      <c r="G293" s="42">
        <v>27812378</v>
      </c>
      <c r="I293" s="42">
        <v>7772205</v>
      </c>
      <c r="K293" s="42">
        <v>1780656</v>
      </c>
      <c r="M293" s="42">
        <v>0</v>
      </c>
      <c r="O293" s="42">
        <v>2058</v>
      </c>
      <c r="Q293" s="42">
        <v>3289153</v>
      </c>
      <c r="S293" s="42">
        <v>3994307</v>
      </c>
      <c r="U293" s="42">
        <v>192292</v>
      </c>
      <c r="W293" s="42">
        <v>4368763</v>
      </c>
      <c r="Y293" s="42">
        <v>1327490</v>
      </c>
      <c r="AA293" s="42">
        <v>294612</v>
      </c>
      <c r="AC293" s="42">
        <v>4882727</v>
      </c>
      <c r="AE293" s="42">
        <v>1971460</v>
      </c>
      <c r="AG293" s="42">
        <v>935544</v>
      </c>
      <c r="AI293" s="42">
        <v>2535560</v>
      </c>
      <c r="AK293" s="42">
        <v>1224423</v>
      </c>
      <c r="AL293" s="9" t="s">
        <v>293</v>
      </c>
      <c r="AM293" s="9"/>
      <c r="AN293" s="9" t="s">
        <v>25</v>
      </c>
      <c r="AP293" s="42">
        <v>1192661</v>
      </c>
      <c r="AR293" s="42">
        <v>3016136</v>
      </c>
      <c r="AT293" s="42">
        <v>0</v>
      </c>
      <c r="AV293" s="42">
        <v>159762</v>
      </c>
      <c r="AX293" s="42">
        <v>1618796</v>
      </c>
      <c r="AZ293" s="42">
        <v>833000</v>
      </c>
      <c r="BB293" s="5">
        <f t="shared" si="34"/>
        <v>69203983</v>
      </c>
      <c r="BD293" s="42">
        <v>52683081</v>
      </c>
      <c r="BF293" s="42">
        <v>0</v>
      </c>
      <c r="BH293" s="42">
        <v>0</v>
      </c>
      <c r="BJ293" s="42">
        <v>0</v>
      </c>
      <c r="BL293" s="5">
        <f t="shared" si="35"/>
        <v>121887064</v>
      </c>
      <c r="BN293" s="5">
        <f>'Gov Fd Rev'!AQ293-'Gov Fd Exp'!BL293</f>
        <v>70929698</v>
      </c>
      <c r="BP293" s="42">
        <v>36928531</v>
      </c>
      <c r="BR293" s="42">
        <v>0</v>
      </c>
      <c r="BT293" s="42">
        <v>0</v>
      </c>
      <c r="BV293" s="5">
        <f t="shared" si="36"/>
        <v>107858229</v>
      </c>
      <c r="BW293" s="5"/>
      <c r="BX293" s="5">
        <f>BV293-'Gov Fd BS'!AI293</f>
        <v>0</v>
      </c>
    </row>
    <row r="294" spans="1:76" hidden="1">
      <c r="A294" s="9" t="s">
        <v>723</v>
      </c>
      <c r="B294" s="9"/>
      <c r="C294" s="9" t="s">
        <v>69</v>
      </c>
      <c r="D294" s="9"/>
      <c r="E294" s="23">
        <v>44214</v>
      </c>
      <c r="G294" s="42">
        <v>0</v>
      </c>
      <c r="I294" s="42">
        <v>0</v>
      </c>
      <c r="K294" s="42">
        <v>0</v>
      </c>
      <c r="M294" s="42">
        <v>0</v>
      </c>
      <c r="O294" s="42">
        <v>0</v>
      </c>
      <c r="Q294" s="42">
        <v>0</v>
      </c>
      <c r="S294" s="42">
        <v>0</v>
      </c>
      <c r="U294" s="42">
        <v>0</v>
      </c>
      <c r="W294" s="42">
        <v>0</v>
      </c>
      <c r="Y294" s="42">
        <v>0</v>
      </c>
      <c r="AA294" s="42">
        <v>0</v>
      </c>
      <c r="AC294" s="42">
        <v>0</v>
      </c>
      <c r="AE294" s="42">
        <v>0</v>
      </c>
      <c r="AG294" s="42">
        <v>0</v>
      </c>
      <c r="AI294" s="42">
        <v>0</v>
      </c>
      <c r="AK294" s="42">
        <v>0</v>
      </c>
      <c r="AL294" s="9" t="s">
        <v>723</v>
      </c>
      <c r="AM294" s="9"/>
      <c r="AN294" s="9" t="s">
        <v>69</v>
      </c>
      <c r="AP294" s="42">
        <v>0</v>
      </c>
      <c r="AR294" s="42">
        <v>0</v>
      </c>
      <c r="AT294" s="42">
        <v>0</v>
      </c>
      <c r="AV294" s="42">
        <v>0</v>
      </c>
      <c r="AX294" s="42">
        <v>0</v>
      </c>
      <c r="AZ294" s="42">
        <v>0</v>
      </c>
      <c r="BB294" s="5">
        <f t="shared" si="34"/>
        <v>0</v>
      </c>
      <c r="BD294" s="42">
        <v>0</v>
      </c>
      <c r="BF294" s="42">
        <v>0</v>
      </c>
      <c r="BH294" s="42">
        <v>0</v>
      </c>
      <c r="BJ294" s="42">
        <v>0</v>
      </c>
      <c r="BL294" s="5">
        <f t="shared" si="35"/>
        <v>0</v>
      </c>
      <c r="BN294" s="5">
        <f>'Gov Fd Rev'!AQ294-'Gov Fd Exp'!BL294</f>
        <v>0</v>
      </c>
      <c r="BP294" s="42">
        <v>0</v>
      </c>
      <c r="BR294" s="42">
        <v>0</v>
      </c>
      <c r="BT294" s="42">
        <v>0</v>
      </c>
      <c r="BV294" s="5">
        <f t="shared" si="36"/>
        <v>0</v>
      </c>
      <c r="BW294" s="5"/>
      <c r="BX294" s="5">
        <f>BV294-'Gov Fd BS'!AI294</f>
        <v>0</v>
      </c>
    </row>
    <row r="295" spans="1:76">
      <c r="A295" s="9" t="s">
        <v>313</v>
      </c>
      <c r="B295" s="9"/>
      <c r="C295" s="9" t="s">
        <v>30</v>
      </c>
      <c r="D295" s="9"/>
      <c r="E295" s="23">
        <v>47209</v>
      </c>
      <c r="G295" s="42">
        <v>2031245</v>
      </c>
      <c r="I295" s="42">
        <v>1005016</v>
      </c>
      <c r="K295" s="42">
        <v>9705</v>
      </c>
      <c r="M295" s="42">
        <v>0</v>
      </c>
      <c r="O295" s="42">
        <v>541314</v>
      </c>
      <c r="Q295" s="42">
        <v>230556</v>
      </c>
      <c r="S295" s="42">
        <v>67863</v>
      </c>
      <c r="U295" s="42">
        <v>96773</v>
      </c>
      <c r="W295" s="42">
        <v>595205</v>
      </c>
      <c r="Y295" s="42">
        <v>210597</v>
      </c>
      <c r="AA295" s="42">
        <v>0</v>
      </c>
      <c r="AC295" s="42">
        <v>561209</v>
      </c>
      <c r="AE295" s="42">
        <v>401201</v>
      </c>
      <c r="AG295" s="42">
        <v>73857</v>
      </c>
      <c r="AI295" s="42">
        <v>165771</v>
      </c>
      <c r="AK295" s="42">
        <v>9151</v>
      </c>
      <c r="AL295" s="9" t="s">
        <v>313</v>
      </c>
      <c r="AM295" s="9"/>
      <c r="AN295" s="9" t="s">
        <v>30</v>
      </c>
      <c r="AP295" s="42">
        <v>118917</v>
      </c>
      <c r="AR295" s="42">
        <v>19</v>
      </c>
      <c r="AT295" s="42">
        <v>0</v>
      </c>
      <c r="AV295" s="42">
        <v>0</v>
      </c>
      <c r="AX295" s="42">
        <v>5419</v>
      </c>
      <c r="AZ295" s="42">
        <v>0</v>
      </c>
      <c r="BB295" s="5">
        <f t="shared" si="34"/>
        <v>6123818</v>
      </c>
      <c r="BD295" s="42">
        <v>45324</v>
      </c>
      <c r="BF295" s="42">
        <v>0</v>
      </c>
      <c r="BH295" s="42">
        <v>0</v>
      </c>
      <c r="BJ295" s="42">
        <v>0</v>
      </c>
      <c r="BL295" s="5">
        <f t="shared" si="35"/>
        <v>6169142</v>
      </c>
      <c r="BN295" s="5">
        <f>'Gov Fd Rev'!AQ295-'Gov Fd Exp'!BL295</f>
        <v>-4864</v>
      </c>
      <c r="BP295" s="42">
        <v>-2389097</v>
      </c>
      <c r="BR295" s="42">
        <v>0</v>
      </c>
      <c r="BT295" s="42">
        <v>0</v>
      </c>
      <c r="BV295" s="5">
        <f t="shared" si="36"/>
        <v>-2393961</v>
      </c>
      <c r="BW295" s="5"/>
      <c r="BX295" s="5">
        <f>BV295-'Gov Fd BS'!AI295</f>
        <v>0</v>
      </c>
    </row>
    <row r="296" spans="1:76" hidden="1">
      <c r="A296" s="9" t="s">
        <v>757</v>
      </c>
      <c r="B296" s="9"/>
      <c r="C296" s="9" t="s">
        <v>111</v>
      </c>
      <c r="D296" s="9"/>
      <c r="E296" s="23">
        <v>45443</v>
      </c>
      <c r="G296" s="42">
        <v>0</v>
      </c>
      <c r="I296" s="42">
        <v>0</v>
      </c>
      <c r="K296" s="42">
        <v>0</v>
      </c>
      <c r="M296" s="42">
        <v>0</v>
      </c>
      <c r="O296" s="42">
        <v>0</v>
      </c>
      <c r="Q296" s="42">
        <v>0</v>
      </c>
      <c r="S296" s="42">
        <v>0</v>
      </c>
      <c r="U296" s="42">
        <v>0</v>
      </c>
      <c r="W296" s="42">
        <v>0</v>
      </c>
      <c r="Y296" s="42">
        <v>0</v>
      </c>
      <c r="AA296" s="42">
        <v>0</v>
      </c>
      <c r="AC296" s="42">
        <v>0</v>
      </c>
      <c r="AE296" s="42">
        <v>0</v>
      </c>
      <c r="AG296" s="42">
        <v>0</v>
      </c>
      <c r="AI296" s="42">
        <v>0</v>
      </c>
      <c r="AK296" s="42">
        <v>0</v>
      </c>
      <c r="AL296" s="9" t="s">
        <v>757</v>
      </c>
      <c r="AM296" s="9"/>
      <c r="AN296" s="9" t="s">
        <v>111</v>
      </c>
      <c r="AP296" s="42">
        <v>0</v>
      </c>
      <c r="AR296" s="42">
        <v>0</v>
      </c>
      <c r="AT296" s="42">
        <v>0</v>
      </c>
      <c r="AV296" s="42">
        <v>0</v>
      </c>
      <c r="AX296" s="42">
        <v>0</v>
      </c>
      <c r="AZ296" s="42">
        <v>0</v>
      </c>
      <c r="BB296" s="5"/>
      <c r="BD296" s="42">
        <v>0</v>
      </c>
      <c r="BF296" s="42">
        <v>0</v>
      </c>
      <c r="BH296" s="42">
        <v>0</v>
      </c>
      <c r="BJ296" s="42">
        <v>0</v>
      </c>
      <c r="BL296" s="5"/>
      <c r="BN296" s="5"/>
      <c r="BP296" s="42">
        <v>0</v>
      </c>
      <c r="BR296" s="42">
        <v>0</v>
      </c>
      <c r="BT296" s="42">
        <v>0</v>
      </c>
      <c r="BV296" s="5"/>
      <c r="BW296" s="5"/>
      <c r="BX296" s="5"/>
    </row>
    <row r="297" spans="1:76" hidden="1">
      <c r="A297" s="9" t="s">
        <v>676</v>
      </c>
      <c r="B297" s="9"/>
      <c r="C297" s="9" t="s">
        <v>464</v>
      </c>
      <c r="D297" s="9"/>
      <c r="E297" s="23">
        <v>49353</v>
      </c>
      <c r="G297" s="42">
        <v>0</v>
      </c>
      <c r="I297" s="42">
        <v>0</v>
      </c>
      <c r="K297" s="42">
        <v>0</v>
      </c>
      <c r="M297" s="42">
        <v>0</v>
      </c>
      <c r="O297" s="42">
        <v>0</v>
      </c>
      <c r="Q297" s="42">
        <v>0</v>
      </c>
      <c r="S297" s="42">
        <v>0</v>
      </c>
      <c r="U297" s="42">
        <v>0</v>
      </c>
      <c r="W297" s="42">
        <v>0</v>
      </c>
      <c r="Y297" s="42">
        <v>0</v>
      </c>
      <c r="AA297" s="42">
        <v>0</v>
      </c>
      <c r="AC297" s="42">
        <v>0</v>
      </c>
      <c r="AE297" s="42">
        <v>0</v>
      </c>
      <c r="AG297" s="42">
        <v>0</v>
      </c>
      <c r="AI297" s="42">
        <v>0</v>
      </c>
      <c r="AK297" s="42">
        <v>0</v>
      </c>
      <c r="AL297" s="9" t="s">
        <v>676</v>
      </c>
      <c r="AM297" s="9"/>
      <c r="AN297" s="9" t="s">
        <v>464</v>
      </c>
      <c r="AP297" s="42">
        <v>0</v>
      </c>
      <c r="AR297" s="42">
        <v>0</v>
      </c>
      <c r="AT297" s="42">
        <v>0</v>
      </c>
      <c r="AV297" s="42">
        <v>0</v>
      </c>
      <c r="AX297" s="42">
        <v>0</v>
      </c>
      <c r="AZ297" s="42">
        <v>0</v>
      </c>
      <c r="BB297" s="5">
        <f t="shared" ref="BB297:BB366" si="44">SUM(G297:AZ297)</f>
        <v>0</v>
      </c>
      <c r="BD297" s="42">
        <v>0</v>
      </c>
      <c r="BF297" s="42">
        <v>0</v>
      </c>
      <c r="BH297" s="42">
        <v>0</v>
      </c>
      <c r="BJ297" s="42">
        <v>0</v>
      </c>
      <c r="BL297" s="5">
        <f t="shared" ref="BL297:BL366" si="45">BB297+BD297+BJ297</f>
        <v>0</v>
      </c>
      <c r="BN297" s="5">
        <f>'Gov Fd Rev'!AQ297-'Gov Fd Exp'!BL297</f>
        <v>0</v>
      </c>
      <c r="BP297" s="42">
        <v>0</v>
      </c>
      <c r="BR297" s="42">
        <v>0</v>
      </c>
      <c r="BT297" s="42">
        <v>0</v>
      </c>
      <c r="BV297" s="5">
        <f t="shared" si="36"/>
        <v>0</v>
      </c>
      <c r="BW297" s="5"/>
      <c r="BX297" s="5">
        <f>BV297-'Gov Fd BS'!AI297</f>
        <v>0</v>
      </c>
    </row>
    <row r="298" spans="1:76" hidden="1">
      <c r="A298" s="9" t="s">
        <v>792</v>
      </c>
      <c r="B298" s="9"/>
      <c r="C298" s="9" t="s">
        <v>109</v>
      </c>
      <c r="D298" s="9"/>
      <c r="E298" s="23">
        <v>49437</v>
      </c>
      <c r="G298" s="42">
        <v>0</v>
      </c>
      <c r="I298" s="42">
        <v>0</v>
      </c>
      <c r="K298" s="42">
        <v>0</v>
      </c>
      <c r="M298" s="42">
        <v>0</v>
      </c>
      <c r="O298" s="42">
        <v>0</v>
      </c>
      <c r="Q298" s="42">
        <v>0</v>
      </c>
      <c r="S298" s="42">
        <v>0</v>
      </c>
      <c r="U298" s="42">
        <v>0</v>
      </c>
      <c r="W298" s="42">
        <v>0</v>
      </c>
      <c r="Y298" s="42">
        <v>0</v>
      </c>
      <c r="AA298" s="42">
        <v>0</v>
      </c>
      <c r="AC298" s="42">
        <v>0</v>
      </c>
      <c r="AE298" s="42">
        <v>0</v>
      </c>
      <c r="AG298" s="42">
        <v>0</v>
      </c>
      <c r="AI298" s="42">
        <v>0</v>
      </c>
      <c r="AK298" s="42">
        <v>0</v>
      </c>
      <c r="AL298" s="9" t="s">
        <v>792</v>
      </c>
      <c r="AM298" s="9"/>
      <c r="AN298" s="9" t="s">
        <v>109</v>
      </c>
      <c r="AP298" s="42">
        <v>0</v>
      </c>
      <c r="AR298" s="42">
        <v>0</v>
      </c>
      <c r="AT298" s="42">
        <v>0</v>
      </c>
      <c r="AV298" s="42">
        <v>0</v>
      </c>
      <c r="AX298" s="42">
        <v>0</v>
      </c>
      <c r="AZ298" s="42">
        <v>0</v>
      </c>
      <c r="BB298" s="5">
        <f t="shared" si="44"/>
        <v>0</v>
      </c>
      <c r="BD298" s="42">
        <v>0</v>
      </c>
      <c r="BF298" s="42">
        <v>0</v>
      </c>
      <c r="BH298" s="42">
        <v>0</v>
      </c>
      <c r="BJ298" s="42">
        <v>0</v>
      </c>
      <c r="BL298" s="5">
        <f t="shared" si="45"/>
        <v>0</v>
      </c>
      <c r="BN298" s="5">
        <f>'Gov Fd Rev'!AQ298-'Gov Fd Exp'!BL298</f>
        <v>0</v>
      </c>
      <c r="BP298" s="42">
        <v>0</v>
      </c>
      <c r="BR298" s="42">
        <v>0</v>
      </c>
      <c r="BT298" s="42">
        <v>0</v>
      </c>
      <c r="BV298" s="5">
        <f t="shared" si="36"/>
        <v>0</v>
      </c>
      <c r="BW298" s="5"/>
      <c r="BX298" s="5">
        <f>BV298-'Gov Fd BS'!AI298</f>
        <v>0</v>
      </c>
    </row>
    <row r="299" spans="1:76">
      <c r="A299" s="9" t="s">
        <v>793</v>
      </c>
      <c r="B299" s="9"/>
      <c r="C299" s="9" t="s">
        <v>33</v>
      </c>
      <c r="D299" s="9"/>
      <c r="E299" s="23">
        <v>47449</v>
      </c>
      <c r="G299" s="42">
        <v>6036555</v>
      </c>
      <c r="I299" s="42">
        <v>1205579</v>
      </c>
      <c r="K299" s="42">
        <v>372436</v>
      </c>
      <c r="M299" s="42">
        <v>0</v>
      </c>
      <c r="O299" s="42">
        <v>0</v>
      </c>
      <c r="Q299" s="42">
        <v>1041384</v>
      </c>
      <c r="S299" s="42">
        <v>615474</v>
      </c>
      <c r="U299" s="42">
        <v>17330</v>
      </c>
      <c r="W299" s="42">
        <v>1041673</v>
      </c>
      <c r="Y299" s="42">
        <v>315315</v>
      </c>
      <c r="AA299" s="42">
        <v>1665</v>
      </c>
      <c r="AC299" s="42">
        <v>1035817</v>
      </c>
      <c r="AE299" s="42">
        <v>618686</v>
      </c>
      <c r="AG299" s="42">
        <v>116079</v>
      </c>
      <c r="AI299" s="42">
        <v>0</v>
      </c>
      <c r="AK299" s="42">
        <v>547295</v>
      </c>
      <c r="AL299" s="9" t="s">
        <v>793</v>
      </c>
      <c r="AM299" s="9"/>
      <c r="AN299" s="9" t="s">
        <v>33</v>
      </c>
      <c r="AP299" s="42">
        <v>417992</v>
      </c>
      <c r="AR299" s="42">
        <v>93488</v>
      </c>
      <c r="AT299" s="42">
        <v>0</v>
      </c>
      <c r="AV299" s="42">
        <v>55678</v>
      </c>
      <c r="AX299" s="42">
        <f>59892+514322</f>
        <v>574214</v>
      </c>
      <c r="AZ299" s="42">
        <v>0</v>
      </c>
      <c r="BB299" s="5">
        <f>SUM(G299:AZ299)</f>
        <v>14106660</v>
      </c>
      <c r="BD299" s="42">
        <v>644852</v>
      </c>
      <c r="BF299" s="42">
        <v>0</v>
      </c>
      <c r="BH299" s="42">
        <v>0</v>
      </c>
      <c r="BJ299" s="42">
        <v>0</v>
      </c>
      <c r="BL299" s="5">
        <f>BB299+BD299+BJ299</f>
        <v>14751512</v>
      </c>
      <c r="BN299" s="5">
        <f>'Gov Fd Rev'!AQ299-'Gov Fd Exp'!BL299</f>
        <v>811486</v>
      </c>
      <c r="BP299" s="42">
        <v>7035267</v>
      </c>
      <c r="BR299" s="42">
        <v>0</v>
      </c>
      <c r="BT299" s="42">
        <v>0</v>
      </c>
      <c r="BV299" s="5">
        <f>BN299+BP299+BR299+BT299</f>
        <v>7846753</v>
      </c>
      <c r="BW299" s="5"/>
      <c r="BX299" s="5">
        <f>BV299-'Gov Fd BS'!AI299</f>
        <v>0</v>
      </c>
    </row>
    <row r="300" spans="1:76">
      <c r="A300" s="9" t="s">
        <v>343</v>
      </c>
      <c r="B300" s="9"/>
      <c r="C300" s="9" t="s">
        <v>34</v>
      </c>
      <c r="D300" s="9"/>
      <c r="E300" s="23">
        <v>47589</v>
      </c>
      <c r="G300" s="42">
        <v>5010607</v>
      </c>
      <c r="I300" s="42">
        <v>2215446</v>
      </c>
      <c r="K300" s="42">
        <v>196067</v>
      </c>
      <c r="M300" s="42">
        <v>0</v>
      </c>
      <c r="O300" s="42">
        <f>65690+359352</f>
        <v>425042</v>
      </c>
      <c r="Q300" s="42">
        <v>724550</v>
      </c>
      <c r="S300" s="42">
        <v>448401</v>
      </c>
      <c r="U300" s="42">
        <v>69992</v>
      </c>
      <c r="W300" s="42">
        <v>889081</v>
      </c>
      <c r="Y300" s="42">
        <v>392129</v>
      </c>
      <c r="AA300" s="42">
        <v>0</v>
      </c>
      <c r="AC300" s="42">
        <v>958395</v>
      </c>
      <c r="AE300" s="42">
        <v>719760</v>
      </c>
      <c r="AG300" s="42">
        <v>315239</v>
      </c>
      <c r="AI300" s="42">
        <v>0</v>
      </c>
      <c r="AK300" s="42">
        <v>559348</v>
      </c>
      <c r="AL300" s="9" t="s">
        <v>343</v>
      </c>
      <c r="AM300" s="9"/>
      <c r="AN300" s="9" t="s">
        <v>34</v>
      </c>
      <c r="AP300" s="42">
        <v>508238</v>
      </c>
      <c r="AR300" s="42">
        <v>21153</v>
      </c>
      <c r="AT300" s="42">
        <v>0</v>
      </c>
      <c r="AV300" s="42">
        <v>367270</v>
      </c>
      <c r="AX300" s="42">
        <v>47890</v>
      </c>
      <c r="AZ300" s="42">
        <v>0</v>
      </c>
      <c r="BB300" s="5">
        <f t="shared" si="44"/>
        <v>13868608</v>
      </c>
      <c r="BD300" s="42">
        <v>0</v>
      </c>
      <c r="BF300" s="42">
        <v>0</v>
      </c>
      <c r="BH300" s="42">
        <v>0</v>
      </c>
      <c r="BJ300" s="42">
        <v>0</v>
      </c>
      <c r="BL300" s="5">
        <f t="shared" si="45"/>
        <v>13868608</v>
      </c>
      <c r="BN300" s="5">
        <f>'Gov Fd Rev'!AQ300-'Gov Fd Exp'!BL300</f>
        <v>-474482</v>
      </c>
      <c r="BP300" s="42">
        <v>6387236</v>
      </c>
      <c r="BR300" s="42">
        <v>0</v>
      </c>
      <c r="BT300" s="42">
        <v>0</v>
      </c>
      <c r="BV300" s="5">
        <f t="shared" ref="BV300:BV368" si="46">BN300+BP300+BR300+BT300</f>
        <v>5912754</v>
      </c>
      <c r="BW300" s="5"/>
      <c r="BX300" s="5">
        <f>BV300-'Gov Fd BS'!AI300</f>
        <v>0</v>
      </c>
    </row>
    <row r="301" spans="1:76">
      <c r="A301" s="9" t="s">
        <v>522</v>
      </c>
      <c r="B301" s="9"/>
      <c r="C301" s="9" t="s">
        <v>64</v>
      </c>
      <c r="D301" s="9"/>
      <c r="E301" s="23">
        <v>50195</v>
      </c>
      <c r="G301" s="42">
        <v>7307035</v>
      </c>
      <c r="I301" s="42">
        <v>1476592</v>
      </c>
      <c r="K301" s="42">
        <v>0</v>
      </c>
      <c r="M301" s="42">
        <v>0</v>
      </c>
      <c r="O301" s="42">
        <v>0</v>
      </c>
      <c r="Q301" s="42">
        <v>656296</v>
      </c>
      <c r="S301" s="42">
        <v>418125</v>
      </c>
      <c r="U301" s="42">
        <v>17418</v>
      </c>
      <c r="W301" s="42">
        <v>1351443</v>
      </c>
      <c r="Y301" s="42">
        <v>272645</v>
      </c>
      <c r="AA301" s="42">
        <v>1572</v>
      </c>
      <c r="AC301" s="42">
        <v>1046526</v>
      </c>
      <c r="AE301" s="42">
        <v>876309</v>
      </c>
      <c r="AG301" s="42">
        <v>37270</v>
      </c>
      <c r="AI301" s="42">
        <v>680483</v>
      </c>
      <c r="AK301" s="42">
        <v>1000</v>
      </c>
      <c r="AL301" s="9" t="s">
        <v>522</v>
      </c>
      <c r="AM301" s="9"/>
      <c r="AN301" s="9" t="s">
        <v>64</v>
      </c>
      <c r="AP301" s="42">
        <v>412129</v>
      </c>
      <c r="AR301" s="42">
        <v>9496</v>
      </c>
      <c r="AT301" s="42">
        <v>0</v>
      </c>
      <c r="AV301" s="42">
        <v>728406</v>
      </c>
      <c r="AX301" s="42">
        <v>406952</v>
      </c>
      <c r="AZ301" s="42">
        <v>0</v>
      </c>
      <c r="BB301" s="5">
        <f t="shared" si="44"/>
        <v>15699697</v>
      </c>
      <c r="BD301" s="42">
        <v>0</v>
      </c>
      <c r="BF301" s="42">
        <v>0</v>
      </c>
      <c r="BH301" s="42">
        <v>0</v>
      </c>
      <c r="BJ301" s="42">
        <v>0</v>
      </c>
      <c r="BL301" s="5">
        <f t="shared" si="45"/>
        <v>15699697</v>
      </c>
      <c r="BN301" s="5">
        <f>'Gov Fd Rev'!AQ301-'Gov Fd Exp'!BL301</f>
        <v>2325694</v>
      </c>
      <c r="BP301" s="42">
        <v>-2922706</v>
      </c>
      <c r="BR301" s="42">
        <v>0</v>
      </c>
      <c r="BT301" s="42">
        <v>0</v>
      </c>
      <c r="BV301" s="5">
        <f t="shared" si="46"/>
        <v>-597012</v>
      </c>
      <c r="BW301" s="5"/>
      <c r="BX301" s="5">
        <f>BV301-'Gov Fd BS'!AI301</f>
        <v>0</v>
      </c>
    </row>
    <row r="302" spans="1:76">
      <c r="A302" s="9" t="s">
        <v>738</v>
      </c>
      <c r="B302" s="9"/>
      <c r="C302" s="9" t="s">
        <v>25</v>
      </c>
      <c r="D302" s="9"/>
      <c r="E302" s="23">
        <v>46888</v>
      </c>
      <c r="G302" s="42">
        <v>4919199</v>
      </c>
      <c r="I302" s="42">
        <v>1750707</v>
      </c>
      <c r="K302" s="42">
        <v>239925</v>
      </c>
      <c r="M302" s="42">
        <v>0</v>
      </c>
      <c r="O302" s="42">
        <f>150+25808</f>
        <v>25958</v>
      </c>
      <c r="Q302" s="42">
        <v>748041</v>
      </c>
      <c r="S302" s="42">
        <v>504091</v>
      </c>
      <c r="U302" s="42">
        <v>65144</v>
      </c>
      <c r="W302" s="42">
        <v>925914</v>
      </c>
      <c r="Y302" s="42">
        <v>475531</v>
      </c>
      <c r="AA302" s="42">
        <v>0</v>
      </c>
      <c r="AC302" s="42">
        <v>1556348</v>
      </c>
      <c r="AE302" s="42">
        <v>682510</v>
      </c>
      <c r="AG302" s="42">
        <v>68217</v>
      </c>
      <c r="AI302" s="42">
        <v>0</v>
      </c>
      <c r="AK302" s="42">
        <v>589682</v>
      </c>
      <c r="AL302" s="9" t="s">
        <v>738</v>
      </c>
      <c r="AM302" s="9"/>
      <c r="AN302" s="9" t="s">
        <v>25</v>
      </c>
      <c r="AP302" s="42">
        <v>618189</v>
      </c>
      <c r="AR302" s="42">
        <v>939118</v>
      </c>
      <c r="AT302" s="42">
        <v>0</v>
      </c>
      <c r="AV302" s="42">
        <v>816802</v>
      </c>
      <c r="AX302" s="42">
        <v>300502</v>
      </c>
      <c r="AZ302" s="42">
        <v>0</v>
      </c>
      <c r="BB302" s="5">
        <f t="shared" si="44"/>
        <v>15225878</v>
      </c>
      <c r="BD302" s="42">
        <v>0</v>
      </c>
      <c r="BF302" s="42">
        <v>0</v>
      </c>
      <c r="BH302" s="42">
        <v>0</v>
      </c>
      <c r="BJ302" s="42">
        <v>0</v>
      </c>
      <c r="BL302" s="5">
        <f t="shared" si="45"/>
        <v>15225878</v>
      </c>
      <c r="BN302" s="5">
        <f>'Gov Fd Rev'!AQ302-'Gov Fd Exp'!BL302</f>
        <v>255542</v>
      </c>
      <c r="BP302" s="42">
        <v>11855274</v>
      </c>
      <c r="BR302" s="42">
        <v>0</v>
      </c>
      <c r="BT302" s="42">
        <v>0</v>
      </c>
      <c r="BV302" s="5">
        <f t="shared" si="46"/>
        <v>12110816</v>
      </c>
      <c r="BW302" s="5"/>
      <c r="BX302" s="5">
        <f>BV302-'Gov Fd BS'!AI302</f>
        <v>0</v>
      </c>
    </row>
    <row r="303" spans="1:76">
      <c r="A303" s="9" t="s">
        <v>904</v>
      </c>
      <c r="B303" s="9"/>
      <c r="C303" s="9" t="s">
        <v>42</v>
      </c>
      <c r="D303" s="9"/>
      <c r="E303" s="23">
        <v>48009</v>
      </c>
      <c r="G303" s="42">
        <v>12310927</v>
      </c>
      <c r="I303" s="42">
        <v>3332820</v>
      </c>
      <c r="K303" s="42">
        <v>149578</v>
      </c>
      <c r="M303" s="42">
        <v>0</v>
      </c>
      <c r="O303" s="42">
        <v>1759121</v>
      </c>
      <c r="Q303" s="42">
        <v>1565276</v>
      </c>
      <c r="S303" s="42">
        <v>2088464</v>
      </c>
      <c r="U303" s="42">
        <v>40229</v>
      </c>
      <c r="W303" s="42">
        <v>2127303</v>
      </c>
      <c r="Y303" s="42">
        <v>770722</v>
      </c>
      <c r="AA303" s="42">
        <v>0</v>
      </c>
      <c r="AC303" s="42">
        <v>3201136</v>
      </c>
      <c r="AE303" s="42">
        <v>2593210</v>
      </c>
      <c r="AG303" s="42">
        <v>225126</v>
      </c>
      <c r="AI303" s="42">
        <v>0</v>
      </c>
      <c r="AK303" s="42">
        <v>1458017</v>
      </c>
      <c r="AL303" s="9" t="s">
        <v>904</v>
      </c>
      <c r="AM303" s="9"/>
      <c r="AN303" s="9" t="s">
        <v>42</v>
      </c>
      <c r="AP303" s="42">
        <v>555462</v>
      </c>
      <c r="AR303" s="42">
        <v>875949</v>
      </c>
      <c r="AT303" s="42">
        <v>0</v>
      </c>
      <c r="AV303" s="42">
        <v>2247231</v>
      </c>
      <c r="AX303" s="42">
        <v>2267402</v>
      </c>
      <c r="AZ303" s="42">
        <v>265115</v>
      </c>
      <c r="BB303" s="5">
        <f t="shared" si="44"/>
        <v>37833088</v>
      </c>
      <c r="BD303" s="42">
        <v>108900</v>
      </c>
      <c r="BF303" s="42">
        <v>0</v>
      </c>
      <c r="BH303" s="42">
        <v>0</v>
      </c>
      <c r="BJ303" s="42">
        <v>17221388</v>
      </c>
      <c r="BL303" s="5">
        <f t="shared" si="45"/>
        <v>55163376</v>
      </c>
      <c r="BN303" s="5">
        <f>'Gov Fd Rev'!AQ303-'Gov Fd Exp'!BL303</f>
        <v>-2850931</v>
      </c>
      <c r="BP303" s="42">
        <v>10906786</v>
      </c>
      <c r="BR303" s="42">
        <v>0</v>
      </c>
      <c r="BT303" s="42">
        <v>0</v>
      </c>
      <c r="BV303" s="5">
        <f t="shared" si="46"/>
        <v>8055855</v>
      </c>
      <c r="BW303" s="5"/>
      <c r="BX303" s="5">
        <f>BV303-'Gov Fd BS'!AI303</f>
        <v>0</v>
      </c>
    </row>
    <row r="304" spans="1:76">
      <c r="A304" s="9" t="s">
        <v>373</v>
      </c>
      <c r="B304" s="9"/>
      <c r="C304" s="9" t="s">
        <v>42</v>
      </c>
      <c r="D304" s="9"/>
      <c r="E304" s="23">
        <v>48017</v>
      </c>
      <c r="G304" s="42">
        <v>7498598</v>
      </c>
      <c r="I304" s="42">
        <v>2033865</v>
      </c>
      <c r="K304" s="42">
        <v>521063</v>
      </c>
      <c r="M304" s="42">
        <v>0</v>
      </c>
      <c r="O304" s="42">
        <v>17266</v>
      </c>
      <c r="Q304" s="42">
        <v>480018</v>
      </c>
      <c r="S304" s="42">
        <v>755820</v>
      </c>
      <c r="U304" s="42">
        <v>49604</v>
      </c>
      <c r="W304" s="42">
        <v>1970785</v>
      </c>
      <c r="Y304" s="42">
        <v>506151</v>
      </c>
      <c r="AA304" s="42">
        <v>65360</v>
      </c>
      <c r="AC304" s="42">
        <v>1875368</v>
      </c>
      <c r="AE304" s="42">
        <v>1297115</v>
      </c>
      <c r="AG304" s="42">
        <v>226988</v>
      </c>
      <c r="AI304" s="42">
        <v>0</v>
      </c>
      <c r="AK304" s="42">
        <v>925612</v>
      </c>
      <c r="AL304" s="9" t="s">
        <v>373</v>
      </c>
      <c r="AM304" s="9"/>
      <c r="AN304" s="9" t="s">
        <v>42</v>
      </c>
      <c r="AP304" s="42">
        <v>583028</v>
      </c>
      <c r="AR304" s="42">
        <v>3502142</v>
      </c>
      <c r="AT304" s="42">
        <v>0</v>
      </c>
      <c r="AV304" s="42">
        <v>1204015</v>
      </c>
      <c r="AX304" s="42">
        <v>462333</v>
      </c>
      <c r="AZ304" s="42">
        <v>31750</v>
      </c>
      <c r="BB304" s="5">
        <f t="shared" si="44"/>
        <v>24006881</v>
      </c>
      <c r="BD304" s="42">
        <v>288529</v>
      </c>
      <c r="BF304" s="42">
        <v>0</v>
      </c>
      <c r="BH304" s="42">
        <v>0</v>
      </c>
      <c r="BJ304" s="42">
        <v>2017810</v>
      </c>
      <c r="BL304" s="5">
        <f>BB304+BD304+BJ304</f>
        <v>26313220</v>
      </c>
      <c r="BN304" s="5">
        <f>'Gov Fd Rev'!AQ304-'Gov Fd Exp'!BL304</f>
        <v>-2859518</v>
      </c>
      <c r="BP304" s="42">
        <v>9644734</v>
      </c>
      <c r="BR304" s="42">
        <v>0</v>
      </c>
      <c r="BT304" s="42">
        <v>0</v>
      </c>
      <c r="BV304" s="5">
        <f t="shared" si="46"/>
        <v>6785216</v>
      </c>
      <c r="BW304" s="5"/>
      <c r="BX304" s="5">
        <f>BV304-'Gov Fd BS'!AI304</f>
        <v>0</v>
      </c>
    </row>
    <row r="305" spans="1:76" hidden="1">
      <c r="A305" s="9" t="s">
        <v>677</v>
      </c>
      <c r="B305" s="9"/>
      <c r="C305" s="9" t="s">
        <v>10</v>
      </c>
      <c r="D305" s="9"/>
      <c r="E305" s="23">
        <v>44222</v>
      </c>
      <c r="G305" s="42">
        <v>0</v>
      </c>
      <c r="I305" s="42">
        <v>0</v>
      </c>
      <c r="K305" s="42">
        <v>0</v>
      </c>
      <c r="M305" s="42">
        <v>0</v>
      </c>
      <c r="O305" s="42">
        <v>0</v>
      </c>
      <c r="Q305" s="42">
        <v>0</v>
      </c>
      <c r="S305" s="42">
        <v>0</v>
      </c>
      <c r="U305" s="42">
        <v>0</v>
      </c>
      <c r="W305" s="42">
        <v>0</v>
      </c>
      <c r="Y305" s="42">
        <v>0</v>
      </c>
      <c r="AA305" s="42">
        <v>0</v>
      </c>
      <c r="AC305" s="42">
        <v>0</v>
      </c>
      <c r="AE305" s="42">
        <v>0</v>
      </c>
      <c r="AG305" s="42">
        <v>0</v>
      </c>
      <c r="AI305" s="42">
        <v>0</v>
      </c>
      <c r="AK305" s="42">
        <v>0</v>
      </c>
      <c r="AL305" s="9" t="s">
        <v>677</v>
      </c>
      <c r="AM305" s="9"/>
      <c r="AN305" s="9" t="s">
        <v>10</v>
      </c>
      <c r="AP305" s="42">
        <v>0</v>
      </c>
      <c r="AR305" s="42">
        <v>0</v>
      </c>
      <c r="AT305" s="42">
        <v>0</v>
      </c>
      <c r="AV305" s="42">
        <v>0</v>
      </c>
      <c r="AX305" s="42">
        <v>0</v>
      </c>
      <c r="AZ305" s="42">
        <v>0</v>
      </c>
      <c r="BB305" s="5">
        <f t="shared" si="44"/>
        <v>0</v>
      </c>
      <c r="BD305" s="42">
        <v>0</v>
      </c>
      <c r="BF305" s="42">
        <v>0</v>
      </c>
      <c r="BH305" s="42">
        <v>0</v>
      </c>
      <c r="BJ305" s="42">
        <v>0</v>
      </c>
      <c r="BL305" s="5">
        <f t="shared" ref="BL305:BL308" si="47">BB305+BD305+BJ305</f>
        <v>0</v>
      </c>
      <c r="BN305" s="5">
        <f>'Gov Fd Rev'!AQ305-'Gov Fd Exp'!BL305</f>
        <v>0</v>
      </c>
      <c r="BP305" s="42">
        <v>0</v>
      </c>
      <c r="BR305" s="42">
        <v>0</v>
      </c>
      <c r="BT305" s="42">
        <v>0</v>
      </c>
      <c r="BV305" s="5">
        <f t="shared" si="46"/>
        <v>0</v>
      </c>
      <c r="BW305" s="5"/>
      <c r="BX305" s="5">
        <f>BV305-'Gov Fd BS'!AI305</f>
        <v>0</v>
      </c>
    </row>
    <row r="306" spans="1:76">
      <c r="A306" s="9" t="s">
        <v>537</v>
      </c>
      <c r="B306" s="9"/>
      <c r="C306" s="9" t="s">
        <v>67</v>
      </c>
      <c r="D306" s="9"/>
      <c r="E306" s="23">
        <v>50369</v>
      </c>
      <c r="G306" s="42">
        <v>3414439</v>
      </c>
      <c r="I306" s="42">
        <v>1234201</v>
      </c>
      <c r="K306" s="42">
        <v>162530</v>
      </c>
      <c r="M306" s="42">
        <v>659</v>
      </c>
      <c r="O306" s="42">
        <v>866146</v>
      </c>
      <c r="Q306" s="42">
        <v>173660</v>
      </c>
      <c r="S306" s="42">
        <v>241579</v>
      </c>
      <c r="U306" s="42">
        <v>31442</v>
      </c>
      <c r="W306" s="42">
        <v>771302</v>
      </c>
      <c r="Y306" s="42">
        <v>305192</v>
      </c>
      <c r="AA306" s="42">
        <v>0</v>
      </c>
      <c r="AC306" s="42">
        <v>643593</v>
      </c>
      <c r="AE306" s="42">
        <v>558604</v>
      </c>
      <c r="AG306" s="42">
        <v>15858</v>
      </c>
      <c r="AI306" s="42">
        <v>350689</v>
      </c>
      <c r="AK306" s="42">
        <v>23299</v>
      </c>
      <c r="AL306" s="9" t="s">
        <v>537</v>
      </c>
      <c r="AM306" s="9"/>
      <c r="AN306" s="9" t="s">
        <v>67</v>
      </c>
      <c r="AP306" s="42">
        <v>252314</v>
      </c>
      <c r="AR306" s="42">
        <v>138003</v>
      </c>
      <c r="AT306" s="42">
        <v>0</v>
      </c>
      <c r="AV306" s="42">
        <v>450000</v>
      </c>
      <c r="AX306" s="42">
        <v>474651</v>
      </c>
      <c r="AZ306" s="42">
        <v>0</v>
      </c>
      <c r="BB306" s="5">
        <f t="shared" si="44"/>
        <v>10108161</v>
      </c>
      <c r="BD306" s="42">
        <v>0</v>
      </c>
      <c r="BF306" s="42">
        <v>0</v>
      </c>
      <c r="BH306" s="42">
        <v>0</v>
      </c>
      <c r="BJ306" s="42">
        <v>0</v>
      </c>
      <c r="BL306" s="5">
        <f t="shared" si="47"/>
        <v>10108161</v>
      </c>
      <c r="BN306" s="5">
        <f>'Gov Fd Rev'!AQ306-'Gov Fd Exp'!BL306</f>
        <v>602578</v>
      </c>
      <c r="BP306" s="42">
        <v>12229653</v>
      </c>
      <c r="BR306" s="42">
        <v>0</v>
      </c>
      <c r="BT306" s="42">
        <v>0</v>
      </c>
      <c r="BV306" s="5">
        <f t="shared" si="46"/>
        <v>12832231</v>
      </c>
      <c r="BW306" s="5"/>
      <c r="BX306" s="5">
        <f>BV306-'Gov Fd BS'!AI306</f>
        <v>0</v>
      </c>
    </row>
    <row r="307" spans="1:76">
      <c r="A307" s="9" t="s">
        <v>760</v>
      </c>
      <c r="B307" s="9"/>
      <c r="C307" s="9" t="s">
        <v>111</v>
      </c>
      <c r="D307" s="9"/>
      <c r="E307" s="23">
        <v>45450</v>
      </c>
      <c r="G307" s="42">
        <v>4533710</v>
      </c>
      <c r="I307" s="42">
        <v>1230539</v>
      </c>
      <c r="K307" s="42">
        <v>37809</v>
      </c>
      <c r="M307" s="42">
        <v>0</v>
      </c>
      <c r="O307" s="42">
        <v>5612</v>
      </c>
      <c r="Q307" s="42">
        <v>606254</v>
      </c>
      <c r="S307" s="42">
        <v>238677</v>
      </c>
      <c r="U307" s="42">
        <v>34122</v>
      </c>
      <c r="W307" s="42">
        <v>770854</v>
      </c>
      <c r="Y307" s="42">
        <v>317319</v>
      </c>
      <c r="AA307" s="42">
        <v>0</v>
      </c>
      <c r="AC307" s="42">
        <v>635106</v>
      </c>
      <c r="AE307" s="42">
        <v>312932</v>
      </c>
      <c r="AG307" s="42">
        <v>56329</v>
      </c>
      <c r="AI307" s="42">
        <v>431415</v>
      </c>
      <c r="AK307" s="42">
        <v>0</v>
      </c>
      <c r="AL307" s="9" t="s">
        <v>760</v>
      </c>
      <c r="AM307" s="9"/>
      <c r="AN307" s="9" t="s">
        <v>111</v>
      </c>
      <c r="AP307" s="42">
        <v>352124</v>
      </c>
      <c r="AR307" s="42">
        <v>101827</v>
      </c>
      <c r="AT307" s="42">
        <v>0</v>
      </c>
      <c r="AV307" s="42">
        <v>331516</v>
      </c>
      <c r="AX307" s="42">
        <v>293753</v>
      </c>
      <c r="AZ307" s="42">
        <v>0</v>
      </c>
      <c r="BB307" s="5">
        <f t="shared" si="44"/>
        <v>10289898</v>
      </c>
      <c r="BD307" s="42">
        <v>2955</v>
      </c>
      <c r="BF307" s="42">
        <v>0</v>
      </c>
      <c r="BH307" s="42">
        <v>0</v>
      </c>
      <c r="BJ307" s="42">
        <v>0</v>
      </c>
      <c r="BL307" s="5">
        <f t="shared" si="47"/>
        <v>10292853</v>
      </c>
      <c r="BN307" s="5">
        <f>'Gov Fd Rev'!AQ307-'Gov Fd Exp'!BL307</f>
        <v>-161306</v>
      </c>
      <c r="BP307" s="42">
        <v>4305040</v>
      </c>
      <c r="BR307" s="42">
        <v>0</v>
      </c>
      <c r="BT307" s="42">
        <v>0</v>
      </c>
      <c r="BV307" s="5">
        <f t="shared" si="46"/>
        <v>4143734</v>
      </c>
      <c r="BW307" s="5"/>
      <c r="BX307" s="5">
        <f>BV307-'Gov Fd BS'!AI307</f>
        <v>0</v>
      </c>
    </row>
    <row r="308" spans="1:76">
      <c r="A308" s="9" t="s">
        <v>541</v>
      </c>
      <c r="B308" s="9"/>
      <c r="C308" s="9" t="s">
        <v>69</v>
      </c>
      <c r="D308" s="9"/>
      <c r="E308" s="23">
        <v>50443</v>
      </c>
      <c r="G308" s="42">
        <v>13736813</v>
      </c>
      <c r="I308" s="42">
        <v>4914429</v>
      </c>
      <c r="K308" s="42">
        <v>0</v>
      </c>
      <c r="M308" s="42">
        <v>0</v>
      </c>
      <c r="O308" s="42">
        <v>2589288</v>
      </c>
      <c r="Q308" s="42">
        <v>1310976</v>
      </c>
      <c r="S308" s="42">
        <v>760271</v>
      </c>
      <c r="U308" s="42">
        <v>0</v>
      </c>
      <c r="W308" s="42">
        <f>34792+1877565</f>
        <v>1912357</v>
      </c>
      <c r="Y308" s="42">
        <v>690989</v>
      </c>
      <c r="AA308" s="42">
        <v>203335</v>
      </c>
      <c r="AC308" s="42">
        <v>3302095</v>
      </c>
      <c r="AE308" s="42">
        <v>3372524</v>
      </c>
      <c r="AG308" s="42">
        <v>717175</v>
      </c>
      <c r="AI308" s="42">
        <v>0</v>
      </c>
      <c r="AK308" s="42">
        <v>1404309</v>
      </c>
      <c r="AL308" s="9" t="s">
        <v>541</v>
      </c>
      <c r="AM308" s="9"/>
      <c r="AN308" s="9" t="s">
        <v>69</v>
      </c>
      <c r="AP308" s="42">
        <v>506496</v>
      </c>
      <c r="AR308" s="42">
        <v>697468</v>
      </c>
      <c r="AT308" s="42">
        <v>0</v>
      </c>
      <c r="AV308" s="42">
        <v>3439207</v>
      </c>
      <c r="AX308" s="42">
        <v>2645088</v>
      </c>
      <c r="AZ308" s="42">
        <v>0</v>
      </c>
      <c r="BB308" s="5">
        <f t="shared" si="44"/>
        <v>42202820</v>
      </c>
      <c r="BD308" s="42">
        <v>0</v>
      </c>
      <c r="BF308" s="42">
        <v>0</v>
      </c>
      <c r="BH308" s="42">
        <v>0</v>
      </c>
      <c r="BJ308" s="42">
        <v>0</v>
      </c>
      <c r="BL308" s="5">
        <f t="shared" si="47"/>
        <v>42202820</v>
      </c>
      <c r="BN308" s="5">
        <f>'Gov Fd Rev'!AQ308-'Gov Fd Exp'!BL308</f>
        <v>9962438</v>
      </c>
      <c r="BP308" s="42">
        <v>5628027</v>
      </c>
      <c r="BR308" s="42">
        <v>0</v>
      </c>
      <c r="BT308" s="42">
        <v>0</v>
      </c>
      <c r="BV308" s="5">
        <f t="shared" si="46"/>
        <v>15590465</v>
      </c>
      <c r="BW308" s="5"/>
      <c r="BX308" s="5">
        <f>BV308-'Gov Fd BS'!AI308</f>
        <v>0</v>
      </c>
    </row>
    <row r="309" spans="1:76" hidden="1">
      <c r="A309" s="9" t="s">
        <v>794</v>
      </c>
      <c r="B309" s="9"/>
      <c r="C309" s="9" t="s">
        <v>32</v>
      </c>
      <c r="D309" s="9"/>
      <c r="E309" s="23">
        <v>44230</v>
      </c>
      <c r="G309" s="42">
        <v>0</v>
      </c>
      <c r="I309" s="42">
        <v>0</v>
      </c>
      <c r="K309" s="42">
        <v>0</v>
      </c>
      <c r="M309" s="42">
        <v>0</v>
      </c>
      <c r="O309" s="42">
        <v>0</v>
      </c>
      <c r="Q309" s="42">
        <v>0</v>
      </c>
      <c r="S309" s="42">
        <v>0</v>
      </c>
      <c r="U309" s="42">
        <v>0</v>
      </c>
      <c r="W309" s="42">
        <v>0</v>
      </c>
      <c r="Y309" s="42">
        <v>0</v>
      </c>
      <c r="AA309" s="42">
        <v>0</v>
      </c>
      <c r="AC309" s="42">
        <v>0</v>
      </c>
      <c r="AE309" s="42">
        <v>0</v>
      </c>
      <c r="AG309" s="42">
        <v>0</v>
      </c>
      <c r="AI309" s="42">
        <v>0</v>
      </c>
      <c r="AK309" s="42">
        <v>0</v>
      </c>
      <c r="AL309" s="9" t="s">
        <v>794</v>
      </c>
      <c r="AM309" s="9"/>
      <c r="AN309" s="9" t="s">
        <v>32</v>
      </c>
      <c r="AP309" s="42">
        <v>0</v>
      </c>
      <c r="AR309" s="42">
        <v>0</v>
      </c>
      <c r="AT309" s="42">
        <v>0</v>
      </c>
      <c r="AV309" s="42">
        <v>0</v>
      </c>
      <c r="AX309" s="42">
        <v>0</v>
      </c>
      <c r="AZ309" s="42">
        <v>0</v>
      </c>
      <c r="BB309" s="5">
        <f t="shared" si="44"/>
        <v>0</v>
      </c>
      <c r="BD309" s="42">
        <v>0</v>
      </c>
      <c r="BF309" s="42">
        <v>0</v>
      </c>
      <c r="BH309" s="42">
        <v>0</v>
      </c>
      <c r="BJ309" s="42">
        <v>0</v>
      </c>
      <c r="BL309" s="5">
        <f t="shared" si="45"/>
        <v>0</v>
      </c>
      <c r="BN309" s="5">
        <f>'Gov Fd Rev'!AQ309-'Gov Fd Exp'!BL309</f>
        <v>0</v>
      </c>
      <c r="BP309" s="42">
        <v>0</v>
      </c>
      <c r="BR309" s="42">
        <v>0</v>
      </c>
      <c r="BT309" s="42">
        <v>0</v>
      </c>
      <c r="BV309" s="5">
        <f t="shared" si="46"/>
        <v>0</v>
      </c>
      <c r="BW309" s="5"/>
      <c r="BX309" s="5">
        <f>BV309-'Gov Fd BS'!AI309</f>
        <v>0</v>
      </c>
    </row>
    <row r="310" spans="1:76">
      <c r="A310" s="9" t="s">
        <v>450</v>
      </c>
      <c r="B310" s="9"/>
      <c r="C310" s="9" t="s">
        <v>54</v>
      </c>
      <c r="D310" s="9"/>
      <c r="E310" s="23">
        <v>49080</v>
      </c>
      <c r="G310" s="42">
        <v>9200664</v>
      </c>
      <c r="I310" s="42">
        <v>2183139</v>
      </c>
      <c r="K310" s="42">
        <v>14523</v>
      </c>
      <c r="M310" s="42">
        <v>0</v>
      </c>
      <c r="O310" s="42">
        <v>68511</v>
      </c>
      <c r="Q310" s="42">
        <v>914844</v>
      </c>
      <c r="S310" s="42">
        <v>599208</v>
      </c>
      <c r="U310" s="42">
        <v>86307</v>
      </c>
      <c r="W310" s="42">
        <v>1409694</v>
      </c>
      <c r="Y310" s="42">
        <v>411891</v>
      </c>
      <c r="AA310" s="42">
        <v>0</v>
      </c>
      <c r="AC310" s="42">
        <v>1906481</v>
      </c>
      <c r="AE310" s="42">
        <v>1532351</v>
      </c>
      <c r="AG310" s="42">
        <v>409895</v>
      </c>
      <c r="AI310" s="42">
        <v>889579</v>
      </c>
      <c r="AK310" s="42">
        <v>0</v>
      </c>
      <c r="AL310" s="9" t="s">
        <v>450</v>
      </c>
      <c r="AM310" s="9"/>
      <c r="AN310" s="9" t="s">
        <v>54</v>
      </c>
      <c r="AP310" s="42">
        <v>556800</v>
      </c>
      <c r="AR310" s="42">
        <v>426980</v>
      </c>
      <c r="AT310" s="42">
        <v>0</v>
      </c>
      <c r="AV310" s="42">
        <v>0</v>
      </c>
      <c r="AX310" s="42">
        <v>0</v>
      </c>
      <c r="AZ310" s="42">
        <v>0</v>
      </c>
      <c r="BB310" s="5">
        <f t="shared" si="44"/>
        <v>20610867</v>
      </c>
      <c r="BD310" s="42">
        <v>0</v>
      </c>
      <c r="BF310" s="42">
        <v>0</v>
      </c>
      <c r="BH310" s="42">
        <v>0</v>
      </c>
      <c r="BJ310" s="42">
        <v>0</v>
      </c>
      <c r="BL310" s="5">
        <f t="shared" si="45"/>
        <v>20610867</v>
      </c>
      <c r="BN310" s="5">
        <f>'Gov Fd Rev'!AQ310-'Gov Fd Exp'!BL310</f>
        <v>155968</v>
      </c>
      <c r="BP310" s="42">
        <v>8130279</v>
      </c>
      <c r="BR310" s="42">
        <v>0</v>
      </c>
      <c r="BT310" s="42">
        <v>0</v>
      </c>
      <c r="BV310" s="5">
        <f t="shared" si="46"/>
        <v>8286247</v>
      </c>
      <c r="BW310" s="5"/>
      <c r="BX310" s="5">
        <f>BV310-'Gov Fd BS'!AI310</f>
        <v>0</v>
      </c>
    </row>
    <row r="311" spans="1:76">
      <c r="A311" s="9" t="s">
        <v>350</v>
      </c>
      <c r="B311" s="9"/>
      <c r="C311" s="9" t="s">
        <v>35</v>
      </c>
      <c r="D311" s="9"/>
      <c r="E311" s="23">
        <v>44248</v>
      </c>
      <c r="G311" s="42">
        <v>15230132</v>
      </c>
      <c r="I311" s="42">
        <v>5554883</v>
      </c>
      <c r="K311" s="42">
        <v>562839</v>
      </c>
      <c r="M311" s="42">
        <v>0</v>
      </c>
      <c r="O311" s="42">
        <v>20506</v>
      </c>
      <c r="Q311" s="42">
        <v>2324384</v>
      </c>
      <c r="S311" s="42">
        <v>3222604</v>
      </c>
      <c r="U311" s="42">
        <v>76496</v>
      </c>
      <c r="W311" s="42">
        <v>3051158</v>
      </c>
      <c r="Y311" s="42">
        <v>887995</v>
      </c>
      <c r="AA311" s="42">
        <v>0</v>
      </c>
      <c r="AC311" s="42">
        <v>3358636</v>
      </c>
      <c r="AE311" s="42">
        <v>2957483</v>
      </c>
      <c r="AG311" s="42">
        <v>56901</v>
      </c>
      <c r="AI311" s="42">
        <v>0</v>
      </c>
      <c r="AK311" s="42">
        <v>162405</v>
      </c>
      <c r="AL311" s="9" t="s">
        <v>350</v>
      </c>
      <c r="AM311" s="9"/>
      <c r="AN311" s="9" t="s">
        <v>35</v>
      </c>
      <c r="AP311" s="42">
        <v>785949</v>
      </c>
      <c r="AR311" s="42">
        <v>290262</v>
      </c>
      <c r="AT311" s="42">
        <v>0</v>
      </c>
      <c r="AV311" s="42">
        <v>1414327</v>
      </c>
      <c r="AX311" s="42">
        <v>1904430</v>
      </c>
      <c r="AZ311" s="42">
        <v>0</v>
      </c>
      <c r="BB311" s="5">
        <f t="shared" si="44"/>
        <v>41861390</v>
      </c>
      <c r="BD311" s="42">
        <v>11250</v>
      </c>
      <c r="BF311" s="42">
        <v>0</v>
      </c>
      <c r="BH311" s="42">
        <v>0</v>
      </c>
      <c r="BJ311" s="42">
        <v>0</v>
      </c>
      <c r="BL311" s="5">
        <f t="shared" si="45"/>
        <v>41872640</v>
      </c>
      <c r="BN311" s="5">
        <f>'Gov Fd Rev'!AQ311-'Gov Fd Exp'!BL311</f>
        <v>-1735997</v>
      </c>
      <c r="BP311" s="42">
        <v>14134056</v>
      </c>
      <c r="BR311" s="42">
        <v>-41453</v>
      </c>
      <c r="BT311" s="42">
        <v>0</v>
      </c>
      <c r="BV311" s="5">
        <f t="shared" si="46"/>
        <v>12356606</v>
      </c>
      <c r="BW311" s="5"/>
      <c r="BX311" s="5">
        <f>BV311-'Gov Fd BS'!AI311</f>
        <v>0</v>
      </c>
    </row>
    <row r="312" spans="1:76">
      <c r="A312" s="9" t="s">
        <v>397</v>
      </c>
      <c r="B312" s="9"/>
      <c r="C312" s="9" t="s">
        <v>395</v>
      </c>
      <c r="D312" s="9"/>
      <c r="E312" s="23">
        <v>44255</v>
      </c>
      <c r="G312" s="42">
        <v>8902576</v>
      </c>
      <c r="I312" s="42">
        <v>2684380</v>
      </c>
      <c r="K312" s="42">
        <v>82879</v>
      </c>
      <c r="M312" s="42">
        <v>46308</v>
      </c>
      <c r="O312" s="42">
        <v>164603</v>
      </c>
      <c r="Q312" s="42">
        <v>986361</v>
      </c>
      <c r="S312" s="42">
        <v>1087761</v>
      </c>
      <c r="U312" s="42">
        <v>80364</v>
      </c>
      <c r="W312" s="42">
        <v>1353484</v>
      </c>
      <c r="Y312" s="42">
        <v>598341</v>
      </c>
      <c r="AA312" s="42">
        <v>182556</v>
      </c>
      <c r="AC312" s="42">
        <v>1693267</v>
      </c>
      <c r="AE312" s="42">
        <v>758909</v>
      </c>
      <c r="AG312" s="42">
        <v>437820</v>
      </c>
      <c r="AI312" s="42">
        <v>657122</v>
      </c>
      <c r="AK312" s="42">
        <v>163787</v>
      </c>
      <c r="AL312" s="9" t="s">
        <v>397</v>
      </c>
      <c r="AM312" s="9"/>
      <c r="AN312" s="9" t="s">
        <v>395</v>
      </c>
      <c r="AP312" s="42">
        <v>475150</v>
      </c>
      <c r="AR312" s="42">
        <v>972919</v>
      </c>
      <c r="AT312" s="42">
        <v>0</v>
      </c>
      <c r="AV312" s="42">
        <v>2393172</v>
      </c>
      <c r="AX312" s="42">
        <v>618397</v>
      </c>
      <c r="AZ312" s="42">
        <v>0</v>
      </c>
      <c r="BB312" s="5">
        <f t="shared" si="44"/>
        <v>24340156</v>
      </c>
      <c r="BD312" s="42">
        <v>23171</v>
      </c>
      <c r="BF312" s="42">
        <v>0</v>
      </c>
      <c r="BH312" s="42">
        <v>0</v>
      </c>
      <c r="BJ312" s="42">
        <v>0</v>
      </c>
      <c r="BL312" s="5">
        <f t="shared" si="45"/>
        <v>24363327</v>
      </c>
      <c r="BN312" s="5">
        <f>'Gov Fd Rev'!AQ312-'Gov Fd Exp'!BL312</f>
        <v>654256</v>
      </c>
      <c r="BP312" s="42">
        <v>7807478</v>
      </c>
      <c r="BR312" s="42">
        <v>0</v>
      </c>
      <c r="BT312" s="42">
        <v>0</v>
      </c>
      <c r="BV312" s="5">
        <f t="shared" si="46"/>
        <v>8461734</v>
      </c>
      <c r="BW312" s="5"/>
      <c r="BX312" s="5">
        <f>BV312-'Gov Fd BS'!AI312</f>
        <v>0</v>
      </c>
    </row>
    <row r="313" spans="1:76">
      <c r="A313" s="9" t="s">
        <v>383</v>
      </c>
      <c r="B313" s="9"/>
      <c r="C313" s="9" t="s">
        <v>44</v>
      </c>
      <c r="D313" s="9"/>
      <c r="E313" s="23">
        <v>44263</v>
      </c>
      <c r="G313" s="42">
        <v>31565535</v>
      </c>
      <c r="I313" s="42">
        <v>10775557</v>
      </c>
      <c r="K313" s="42">
        <v>2818201</v>
      </c>
      <c r="M313" s="42">
        <v>0</v>
      </c>
      <c r="O313" s="42">
        <v>22612627</v>
      </c>
      <c r="Q313" s="42">
        <v>4481753</v>
      </c>
      <c r="S313" s="42">
        <v>6158351</v>
      </c>
      <c r="U313" s="42">
        <v>498331</v>
      </c>
      <c r="W313" s="42">
        <v>6118151</v>
      </c>
      <c r="Y313" s="42">
        <v>1523405</v>
      </c>
      <c r="AA313" s="42">
        <v>394620</v>
      </c>
      <c r="AC313" s="42">
        <v>7376384</v>
      </c>
      <c r="AE313" s="42">
        <v>2566671</v>
      </c>
      <c r="AG313" s="42">
        <v>1081600</v>
      </c>
      <c r="AI313" s="42">
        <v>3709242</v>
      </c>
      <c r="AK313" s="42">
        <v>647673</v>
      </c>
      <c r="AL313" s="9" t="s">
        <v>383</v>
      </c>
      <c r="AM313" s="9"/>
      <c r="AN313" s="9" t="s">
        <v>44</v>
      </c>
      <c r="AP313" s="42">
        <v>977519</v>
      </c>
      <c r="AR313" s="42">
        <v>4515996</v>
      </c>
      <c r="AT313" s="42">
        <v>0</v>
      </c>
      <c r="AV313" s="42">
        <v>1560000</v>
      </c>
      <c r="AX313" s="42">
        <v>1275375</v>
      </c>
      <c r="AZ313" s="42">
        <v>0</v>
      </c>
      <c r="BB313" s="5">
        <f t="shared" si="44"/>
        <v>110656991</v>
      </c>
      <c r="BD313" s="42">
        <v>1785740</v>
      </c>
      <c r="BF313" s="42">
        <v>0</v>
      </c>
      <c r="BH313" s="42">
        <v>0</v>
      </c>
      <c r="BJ313" s="42">
        <v>0</v>
      </c>
      <c r="BL313" s="5">
        <f t="shared" si="45"/>
        <v>112442731</v>
      </c>
      <c r="BN313" s="5">
        <f>'Gov Fd Rev'!AQ313-'Gov Fd Exp'!BL313</f>
        <v>-2819272</v>
      </c>
      <c r="BP313" s="42">
        <v>54131143</v>
      </c>
      <c r="BR313" s="42">
        <v>0</v>
      </c>
      <c r="BT313" s="42">
        <v>0</v>
      </c>
      <c r="BV313" s="5">
        <f t="shared" si="46"/>
        <v>51311871</v>
      </c>
      <c r="BW313" s="5"/>
      <c r="BX313" s="5">
        <f>BV313-'Gov Fd BS'!AI313</f>
        <v>0</v>
      </c>
    </row>
    <row r="314" spans="1:76">
      <c r="A314" s="9" t="s">
        <v>523</v>
      </c>
      <c r="B314" s="9"/>
      <c r="C314" s="9" t="s">
        <v>64</v>
      </c>
      <c r="D314" s="9"/>
      <c r="E314" s="23">
        <v>50203</v>
      </c>
      <c r="G314" s="42">
        <v>2879789</v>
      </c>
      <c r="I314" s="42">
        <v>628761</v>
      </c>
      <c r="K314" s="42">
        <v>50325</v>
      </c>
      <c r="M314" s="42">
        <v>0</v>
      </c>
      <c r="O314" s="42">
        <v>300966</v>
      </c>
      <c r="Q314" s="42">
        <v>119323</v>
      </c>
      <c r="S314" s="42">
        <v>124885</v>
      </c>
      <c r="U314" s="42">
        <v>137064</v>
      </c>
      <c r="W314" s="42">
        <v>482839</v>
      </c>
      <c r="Y314" s="42">
        <v>321451</v>
      </c>
      <c r="AA314" s="42">
        <v>26515</v>
      </c>
      <c r="AC314" s="42">
        <v>1134888</v>
      </c>
      <c r="AE314" s="42">
        <v>288529</v>
      </c>
      <c r="AG314" s="42">
        <v>0</v>
      </c>
      <c r="AI314" s="42">
        <v>192969</v>
      </c>
      <c r="AK314" s="42">
        <v>0</v>
      </c>
      <c r="AL314" s="9" t="s">
        <v>523</v>
      </c>
      <c r="AM314" s="9"/>
      <c r="AN314" s="9" t="s">
        <v>64</v>
      </c>
      <c r="AP314" s="42">
        <v>239625</v>
      </c>
      <c r="AR314" s="42">
        <v>152410</v>
      </c>
      <c r="AT314" s="42">
        <v>0</v>
      </c>
      <c r="AV314" s="42">
        <v>224046</v>
      </c>
      <c r="AX314" s="42">
        <v>112492</v>
      </c>
      <c r="AZ314" s="42">
        <v>0</v>
      </c>
      <c r="BB314" s="5">
        <f t="shared" si="44"/>
        <v>7416877</v>
      </c>
      <c r="BD314" s="42">
        <v>147000</v>
      </c>
      <c r="BF314" s="42">
        <v>0</v>
      </c>
      <c r="BH314" s="42">
        <v>0</v>
      </c>
      <c r="BJ314" s="42">
        <v>0</v>
      </c>
      <c r="BL314" s="5">
        <f t="shared" si="45"/>
        <v>7563877</v>
      </c>
      <c r="BN314" s="5">
        <f>'Gov Fd Rev'!AQ314-'Gov Fd Exp'!BL314</f>
        <v>-283994</v>
      </c>
      <c r="BP314" s="42">
        <v>327324</v>
      </c>
      <c r="BR314" s="42">
        <v>0</v>
      </c>
      <c r="BT314" s="42">
        <v>0</v>
      </c>
      <c r="BV314" s="5">
        <f t="shared" si="46"/>
        <v>43330</v>
      </c>
      <c r="BW314" s="5"/>
      <c r="BX314" s="5">
        <f>BV314-'Gov Fd BS'!AI314</f>
        <v>0</v>
      </c>
    </row>
    <row r="315" spans="1:76">
      <c r="A315" s="9" t="s">
        <v>678</v>
      </c>
      <c r="B315" s="9"/>
      <c r="C315" s="9" t="s">
        <v>11</v>
      </c>
      <c r="D315" s="9"/>
      <c r="E315" s="23">
        <v>45468</v>
      </c>
      <c r="G315" s="42">
        <v>5098036</v>
      </c>
      <c r="I315" s="42">
        <v>1390911</v>
      </c>
      <c r="K315" s="42">
        <v>168689</v>
      </c>
      <c r="M315" s="42">
        <v>0</v>
      </c>
      <c r="O315" s="42">
        <v>1197894</v>
      </c>
      <c r="Q315" s="42">
        <v>581601</v>
      </c>
      <c r="S315" s="42">
        <v>931996</v>
      </c>
      <c r="U315" s="42">
        <v>23109</v>
      </c>
      <c r="W315" s="42">
        <v>945691</v>
      </c>
      <c r="Y315" s="42">
        <v>392598</v>
      </c>
      <c r="AA315" s="42">
        <v>5991</v>
      </c>
      <c r="AC315" s="42">
        <v>866598</v>
      </c>
      <c r="AE315" s="42">
        <v>649975</v>
      </c>
      <c r="AG315" s="42">
        <v>131140</v>
      </c>
      <c r="AI315" s="42">
        <v>454101</v>
      </c>
      <c r="AK315" s="42">
        <v>22675</v>
      </c>
      <c r="AL315" s="9" t="s">
        <v>678</v>
      </c>
      <c r="AM315" s="9"/>
      <c r="AN315" s="9" t="s">
        <v>11</v>
      </c>
      <c r="AP315" s="42">
        <v>469111</v>
      </c>
      <c r="AR315" s="42">
        <f>518798+37358</f>
        <v>556156</v>
      </c>
      <c r="AT315" s="42">
        <v>0</v>
      </c>
      <c r="AV315" s="42">
        <v>73330</v>
      </c>
      <c r="AX315" s="42">
        <v>48493</v>
      </c>
      <c r="AZ315" s="42">
        <v>0</v>
      </c>
      <c r="BB315" s="5">
        <f t="shared" si="44"/>
        <v>14008095</v>
      </c>
      <c r="BD315" s="42">
        <v>0</v>
      </c>
      <c r="BF315" s="42">
        <v>0</v>
      </c>
      <c r="BH315" s="42">
        <v>0</v>
      </c>
      <c r="BJ315" s="42">
        <v>0</v>
      </c>
      <c r="BL315" s="5">
        <f t="shared" si="45"/>
        <v>14008095</v>
      </c>
      <c r="BN315" s="5">
        <f>'Gov Fd Rev'!AQ315-'Gov Fd Exp'!BL315</f>
        <v>-193912</v>
      </c>
      <c r="BP315" s="42">
        <v>3275463</v>
      </c>
      <c r="BR315" s="42">
        <v>0</v>
      </c>
      <c r="BT315" s="42">
        <v>0</v>
      </c>
      <c r="BV315" s="5">
        <f t="shared" si="46"/>
        <v>3081551</v>
      </c>
      <c r="BW315" s="5"/>
      <c r="BX315" s="5">
        <f>BV315-'Gov Fd BS'!AI315</f>
        <v>0</v>
      </c>
    </row>
    <row r="316" spans="1:76">
      <c r="A316" s="9" t="s">
        <v>495</v>
      </c>
      <c r="B316" s="9"/>
      <c r="C316" s="9" t="s">
        <v>62</v>
      </c>
      <c r="D316" s="9"/>
      <c r="E316" s="23">
        <v>49874</v>
      </c>
      <c r="G316" s="42">
        <v>11533525</v>
      </c>
      <c r="I316" s="42">
        <v>2929904</v>
      </c>
      <c r="K316" s="42">
        <v>412245</v>
      </c>
      <c r="M316" s="42">
        <v>0</v>
      </c>
      <c r="O316" s="42">
        <v>1096063</v>
      </c>
      <c r="Q316" s="42">
        <v>1712274</v>
      </c>
      <c r="S316" s="42">
        <v>875081</v>
      </c>
      <c r="U316" s="42">
        <v>64809</v>
      </c>
      <c r="W316" s="42">
        <v>1940369</v>
      </c>
      <c r="Y316" s="42">
        <v>509719</v>
      </c>
      <c r="AA316" s="42">
        <v>96657</v>
      </c>
      <c r="AC316" s="42">
        <v>2441532</v>
      </c>
      <c r="AE316" s="42">
        <v>1201661</v>
      </c>
      <c r="AG316" s="42">
        <v>30656</v>
      </c>
      <c r="AI316" s="42">
        <v>0</v>
      </c>
      <c r="AK316" s="42">
        <v>1733706</v>
      </c>
      <c r="AL316" s="9" t="s">
        <v>495</v>
      </c>
      <c r="AM316" s="9"/>
      <c r="AN316" s="9" t="s">
        <v>62</v>
      </c>
      <c r="AP316" s="42">
        <v>956883</v>
      </c>
      <c r="AR316" s="42">
        <v>1696437</v>
      </c>
      <c r="AT316" s="42">
        <v>0</v>
      </c>
      <c r="AV316" s="42">
        <v>997871</v>
      </c>
      <c r="AX316" s="42">
        <v>1113015</v>
      </c>
      <c r="AZ316" s="42">
        <v>0</v>
      </c>
      <c r="BB316" s="5">
        <f t="shared" si="44"/>
        <v>31342407</v>
      </c>
      <c r="BD316" s="42">
        <v>59494</v>
      </c>
      <c r="BF316" s="42">
        <v>0</v>
      </c>
      <c r="BH316" s="42">
        <v>0</v>
      </c>
      <c r="BJ316" s="42">
        <v>0</v>
      </c>
      <c r="BL316" s="5">
        <f t="shared" si="45"/>
        <v>31401901</v>
      </c>
      <c r="BN316" s="5">
        <f>'Gov Fd Rev'!AQ316-'Gov Fd Exp'!BL316</f>
        <v>-2871402</v>
      </c>
      <c r="BP316" s="42">
        <v>4593718</v>
      </c>
      <c r="BR316" s="42">
        <v>0</v>
      </c>
      <c r="BT316" s="42">
        <v>0</v>
      </c>
      <c r="BV316" s="5">
        <f t="shared" si="46"/>
        <v>1722316</v>
      </c>
      <c r="BW316" s="5"/>
      <c r="BX316" s="5">
        <f>BV316-'Gov Fd BS'!AI316</f>
        <v>0</v>
      </c>
    </row>
    <row r="317" spans="1:76">
      <c r="A317" s="9" t="s">
        <v>322</v>
      </c>
      <c r="B317" s="9"/>
      <c r="C317" s="9" t="s">
        <v>32</v>
      </c>
      <c r="D317" s="9"/>
      <c r="E317" s="23">
        <v>44271</v>
      </c>
      <c r="G317" s="42">
        <v>19437774</v>
      </c>
      <c r="I317" s="42">
        <v>6483553</v>
      </c>
      <c r="K317" s="42">
        <v>157383</v>
      </c>
      <c r="M317" s="42">
        <v>0</v>
      </c>
      <c r="O317" s="42">
        <v>884645</v>
      </c>
      <c r="Q317" s="42">
        <v>2774990</v>
      </c>
      <c r="S317" s="42">
        <v>1249676</v>
      </c>
      <c r="U317" s="42">
        <v>0</v>
      </c>
      <c r="W317" s="42">
        <f>87971+2848720</f>
        <v>2936691</v>
      </c>
      <c r="Y317" s="42">
        <v>1096961</v>
      </c>
      <c r="AA317" s="42">
        <v>168128</v>
      </c>
      <c r="AC317" s="42">
        <v>3205465</v>
      </c>
      <c r="AE317" s="42">
        <v>3103518</v>
      </c>
      <c r="AG317" s="42">
        <v>500046</v>
      </c>
      <c r="AI317" s="42">
        <v>0</v>
      </c>
      <c r="AK317" s="42">
        <v>2151801</v>
      </c>
      <c r="AL317" s="9" t="s">
        <v>322</v>
      </c>
      <c r="AM317" s="9"/>
      <c r="AN317" s="9" t="s">
        <v>32</v>
      </c>
      <c r="AP317" s="42">
        <v>1277952</v>
      </c>
      <c r="AR317" s="42">
        <v>68110</v>
      </c>
      <c r="AT317" s="42">
        <v>0</v>
      </c>
      <c r="AV317" s="42">
        <v>1845871</v>
      </c>
      <c r="AX317" s="42">
        <v>1413365</v>
      </c>
      <c r="AZ317" s="42">
        <v>138750</v>
      </c>
      <c r="BB317" s="5">
        <f t="shared" si="44"/>
        <v>48894679</v>
      </c>
      <c r="BD317" s="42">
        <v>0</v>
      </c>
      <c r="BF317" s="42">
        <v>0</v>
      </c>
      <c r="BH317" s="42">
        <v>0</v>
      </c>
      <c r="BJ317" s="42">
        <v>9453474</v>
      </c>
      <c r="BL317" s="5">
        <f t="shared" si="45"/>
        <v>58348153</v>
      </c>
      <c r="BN317" s="5">
        <f>'Gov Fd Rev'!AQ317-'Gov Fd Exp'!BL317</f>
        <v>1686234</v>
      </c>
      <c r="BP317" s="42">
        <v>7360964</v>
      </c>
      <c r="BR317" s="42">
        <v>0</v>
      </c>
      <c r="BT317" s="42">
        <v>0</v>
      </c>
      <c r="BV317" s="5">
        <f t="shared" si="46"/>
        <v>9047198</v>
      </c>
      <c r="BW317" s="5"/>
      <c r="BX317" s="5">
        <f>BV317-'Gov Fd BS'!AI317</f>
        <v>0</v>
      </c>
    </row>
    <row r="318" spans="1:76">
      <c r="A318" s="9" t="s">
        <v>679</v>
      </c>
      <c r="B318" s="9"/>
      <c r="C318" s="9" t="s">
        <v>45</v>
      </c>
      <c r="D318" s="9"/>
      <c r="E318" s="23">
        <v>48330</v>
      </c>
      <c r="G318" s="42">
        <v>2231880</v>
      </c>
      <c r="I318" s="42">
        <v>270331</v>
      </c>
      <c r="K318" s="42">
        <v>32143</v>
      </c>
      <c r="M318" s="42">
        <v>0</v>
      </c>
      <c r="O318" s="42">
        <v>15</v>
      </c>
      <c r="Q318" s="42">
        <v>112422</v>
      </c>
      <c r="S318" s="42">
        <v>266708</v>
      </c>
      <c r="U318" s="42">
        <v>23689</v>
      </c>
      <c r="W318" s="42">
        <v>264817</v>
      </c>
      <c r="Y318" s="42">
        <v>130781</v>
      </c>
      <c r="AA318" s="42">
        <v>0</v>
      </c>
      <c r="AC318" s="42">
        <v>547930</v>
      </c>
      <c r="AE318" s="42">
        <v>100608</v>
      </c>
      <c r="AG318" s="42">
        <v>985356</v>
      </c>
      <c r="AI318" s="42">
        <v>243890</v>
      </c>
      <c r="AK318" s="42">
        <v>0</v>
      </c>
      <c r="AL318" s="9" t="s">
        <v>679</v>
      </c>
      <c r="AM318" s="9"/>
      <c r="AN318" s="9" t="s">
        <v>45</v>
      </c>
      <c r="AP318" s="42">
        <v>307458</v>
      </c>
      <c r="AR318" s="42">
        <v>0</v>
      </c>
      <c r="AT318" s="42">
        <v>0</v>
      </c>
      <c r="AV318" s="42">
        <v>95000</v>
      </c>
      <c r="AX318" s="42">
        <v>80649</v>
      </c>
      <c r="AZ318" s="42">
        <v>0</v>
      </c>
      <c r="BB318" s="5">
        <f t="shared" si="44"/>
        <v>5693677</v>
      </c>
      <c r="BD318" s="42">
        <v>0</v>
      </c>
      <c r="BF318" s="42">
        <v>0</v>
      </c>
      <c r="BH318" s="42">
        <v>0</v>
      </c>
      <c r="BJ318" s="42">
        <v>0</v>
      </c>
      <c r="BL318" s="5">
        <f t="shared" si="45"/>
        <v>5693677</v>
      </c>
      <c r="BN318" s="5">
        <f>'Gov Fd Rev'!AQ318-'Gov Fd Exp'!BL318</f>
        <v>-181951</v>
      </c>
      <c r="BP318" s="42">
        <v>4157473</v>
      </c>
      <c r="BR318" s="42">
        <v>0</v>
      </c>
      <c r="BT318" s="42">
        <v>0</v>
      </c>
      <c r="BV318" s="5">
        <f t="shared" si="46"/>
        <v>3975522</v>
      </c>
      <c r="BW318" s="5"/>
      <c r="BX318" s="5">
        <f>BV318-'Gov Fd BS'!AI318</f>
        <v>0</v>
      </c>
    </row>
    <row r="319" spans="1:76">
      <c r="A319" s="9" t="s">
        <v>795</v>
      </c>
      <c r="B319" s="9"/>
      <c r="C319" s="9" t="s">
        <v>109</v>
      </c>
      <c r="D319" s="9"/>
      <c r="E319" s="23">
        <v>49445</v>
      </c>
      <c r="G319" s="42">
        <v>2330271</v>
      </c>
      <c r="I319" s="42">
        <v>519012</v>
      </c>
      <c r="K319" s="42">
        <v>5844</v>
      </c>
      <c r="M319" s="42">
        <v>0</v>
      </c>
      <c r="O319" s="42">
        <v>346756</v>
      </c>
      <c r="Q319" s="42">
        <v>132171</v>
      </c>
      <c r="S319" s="42">
        <v>338702</v>
      </c>
      <c r="U319" s="42">
        <v>33065</v>
      </c>
      <c r="W319" s="42">
        <v>565187</v>
      </c>
      <c r="Y319" s="42">
        <v>174439</v>
      </c>
      <c r="AA319" s="42">
        <v>0</v>
      </c>
      <c r="AC319" s="42">
        <v>570702</v>
      </c>
      <c r="AE319" s="42">
        <v>437182</v>
      </c>
      <c r="AG319" s="42">
        <v>82702</v>
      </c>
      <c r="AI319" s="42">
        <v>232965</v>
      </c>
      <c r="AK319" s="42">
        <v>1451</v>
      </c>
      <c r="AL319" s="9" t="s">
        <v>795</v>
      </c>
      <c r="AM319" s="9"/>
      <c r="AN319" s="9" t="s">
        <v>109</v>
      </c>
      <c r="AP319" s="42">
        <v>195460</v>
      </c>
      <c r="AR319" s="42">
        <v>3597</v>
      </c>
      <c r="AT319" s="42">
        <v>0</v>
      </c>
      <c r="AV319" s="42">
        <v>36055</v>
      </c>
      <c r="AX319" s="42">
        <v>1036</v>
      </c>
      <c r="AZ319" s="42">
        <v>0</v>
      </c>
      <c r="BB319" s="5">
        <f t="shared" si="44"/>
        <v>6006597</v>
      </c>
      <c r="BD319" s="42">
        <v>115665</v>
      </c>
      <c r="BF319" s="42">
        <v>0</v>
      </c>
      <c r="BH319" s="42">
        <v>0</v>
      </c>
      <c r="BJ319" s="42">
        <v>0</v>
      </c>
      <c r="BL319" s="5">
        <f t="shared" si="45"/>
        <v>6122262</v>
      </c>
      <c r="BN319" s="5">
        <f>'Gov Fd Rev'!AQ319-'Gov Fd Exp'!BL319</f>
        <v>52233</v>
      </c>
      <c r="BP319" s="42">
        <v>4586157</v>
      </c>
      <c r="BR319" s="42">
        <v>0</v>
      </c>
      <c r="BT319" s="42">
        <v>0</v>
      </c>
      <c r="BV319" s="5">
        <f t="shared" si="46"/>
        <v>4638390</v>
      </c>
      <c r="BW319" s="5"/>
      <c r="BX319" s="5">
        <f>BV319-'Gov Fd BS'!AI319</f>
        <v>0</v>
      </c>
    </row>
    <row r="320" spans="1:76">
      <c r="A320" s="9" t="s">
        <v>349</v>
      </c>
      <c r="B320" s="9"/>
      <c r="C320" s="9" t="s">
        <v>346</v>
      </c>
      <c r="D320" s="9"/>
      <c r="E320" s="23">
        <v>47639</v>
      </c>
      <c r="G320" s="42">
        <v>5677930</v>
      </c>
      <c r="I320" s="42">
        <v>1491222</v>
      </c>
      <c r="K320" s="42">
        <v>205621</v>
      </c>
      <c r="M320" s="42">
        <v>0</v>
      </c>
      <c r="O320" s="42">
        <v>2145</v>
      </c>
      <c r="Q320" s="42">
        <v>454326</v>
      </c>
      <c r="S320" s="42">
        <v>773915</v>
      </c>
      <c r="U320" s="42">
        <v>44909</v>
      </c>
      <c r="W320" s="42">
        <v>1035517</v>
      </c>
      <c r="Y320" s="42">
        <v>339583</v>
      </c>
      <c r="AA320" s="42">
        <v>7460</v>
      </c>
      <c r="AC320" s="42">
        <v>1141333</v>
      </c>
      <c r="AE320" s="42">
        <v>820381</v>
      </c>
      <c r="AG320" s="42">
        <v>12500</v>
      </c>
      <c r="AI320" s="42">
        <v>580668</v>
      </c>
      <c r="AK320" s="42">
        <v>892</v>
      </c>
      <c r="AL320" s="9" t="s">
        <v>349</v>
      </c>
      <c r="AM320" s="9"/>
      <c r="AN320" s="9" t="s">
        <v>346</v>
      </c>
      <c r="AP320" s="42">
        <v>259494</v>
      </c>
      <c r="AR320" s="42">
        <v>18340</v>
      </c>
      <c r="AT320" s="42">
        <v>0</v>
      </c>
      <c r="AV320" s="42">
        <v>163999</v>
      </c>
      <c r="AX320" s="42">
        <v>55583</v>
      </c>
      <c r="AZ320" s="42">
        <v>0</v>
      </c>
      <c r="BB320" s="5">
        <f t="shared" si="44"/>
        <v>13085818</v>
      </c>
      <c r="BD320" s="42">
        <v>75000</v>
      </c>
      <c r="BF320" s="42">
        <v>0</v>
      </c>
      <c r="BH320" s="42">
        <v>0</v>
      </c>
      <c r="BJ320" s="42">
        <v>0</v>
      </c>
      <c r="BL320" s="5">
        <f t="shared" si="45"/>
        <v>13160818</v>
      </c>
      <c r="BN320" s="5">
        <f>'Gov Fd Rev'!AQ320-'Gov Fd Exp'!BL320</f>
        <v>-678624</v>
      </c>
      <c r="BP320" s="42">
        <v>7891286</v>
      </c>
      <c r="BR320" s="42">
        <v>0</v>
      </c>
      <c r="BT320" s="42">
        <v>0</v>
      </c>
      <c r="BV320" s="5">
        <f t="shared" si="46"/>
        <v>7212662</v>
      </c>
      <c r="BW320" s="5"/>
      <c r="BX320" s="5">
        <f>BV320-'Gov Fd BS'!AI320</f>
        <v>0</v>
      </c>
    </row>
    <row r="321" spans="1:76">
      <c r="A321" s="9" t="s">
        <v>705</v>
      </c>
      <c r="B321" s="9"/>
      <c r="C321" s="9" t="s">
        <v>50</v>
      </c>
      <c r="D321" s="9"/>
      <c r="E321" s="23">
        <v>48702</v>
      </c>
      <c r="G321" s="42">
        <v>13579010</v>
      </c>
      <c r="I321" s="42">
        <v>4727672</v>
      </c>
      <c r="K321" s="42">
        <v>1771801</v>
      </c>
      <c r="M321" s="42">
        <v>18771</v>
      </c>
      <c r="O321" s="42">
        <v>1463385</v>
      </c>
      <c r="Q321" s="42">
        <v>2563208</v>
      </c>
      <c r="S321" s="42">
        <v>2453614</v>
      </c>
      <c r="U321" s="42">
        <v>0</v>
      </c>
      <c r="W321" s="42">
        <f>91374+2426116</f>
        <v>2517490</v>
      </c>
      <c r="Y321" s="42">
        <v>586215</v>
      </c>
      <c r="AA321" s="42">
        <v>30</v>
      </c>
      <c r="AC321" s="42">
        <v>4084833</v>
      </c>
      <c r="AE321" s="42">
        <v>1661150</v>
      </c>
      <c r="AG321" s="42">
        <v>276698</v>
      </c>
      <c r="AI321" s="42">
        <v>0</v>
      </c>
      <c r="AK321" s="42">
        <v>2765627</v>
      </c>
      <c r="AL321" s="9" t="s">
        <v>705</v>
      </c>
      <c r="AM321" s="9"/>
      <c r="AN321" s="9" t="s">
        <v>50</v>
      </c>
      <c r="AP321" s="42">
        <v>644497</v>
      </c>
      <c r="AR321" s="42">
        <v>2563</v>
      </c>
      <c r="AT321" s="42">
        <v>0</v>
      </c>
      <c r="AV321" s="42">
        <v>1236758</v>
      </c>
      <c r="AX321" s="42">
        <v>524860</v>
      </c>
      <c r="AZ321" s="42">
        <v>0</v>
      </c>
      <c r="BB321" s="5">
        <f t="shared" si="44"/>
        <v>40878182</v>
      </c>
      <c r="BD321" s="42">
        <v>157759</v>
      </c>
      <c r="BF321" s="42">
        <v>0</v>
      </c>
      <c r="BH321" s="42">
        <v>0</v>
      </c>
      <c r="BJ321" s="42">
        <v>0</v>
      </c>
      <c r="BL321" s="5">
        <f t="shared" si="45"/>
        <v>41035941</v>
      </c>
      <c r="BN321" s="5">
        <f>'Gov Fd Rev'!AQ321-'Gov Fd Exp'!BL321</f>
        <v>1563224</v>
      </c>
      <c r="BP321" s="42">
        <v>11021264</v>
      </c>
      <c r="BR321" s="42">
        <v>0</v>
      </c>
      <c r="BT321" s="42">
        <v>0</v>
      </c>
      <c r="BV321" s="5">
        <f t="shared" si="46"/>
        <v>12584488</v>
      </c>
      <c r="BW321" s="5"/>
      <c r="BX321" s="5">
        <f>BV321-'Gov Fd BS'!AI321</f>
        <v>0</v>
      </c>
    </row>
    <row r="322" spans="1:76">
      <c r="A322" s="9" t="s">
        <v>323</v>
      </c>
      <c r="B322" s="9"/>
      <c r="C322" s="9" t="s">
        <v>32</v>
      </c>
      <c r="D322" s="9"/>
      <c r="E322" s="23">
        <v>44289</v>
      </c>
      <c r="G322" s="42">
        <v>7771322</v>
      </c>
      <c r="I322" s="42">
        <v>2194745</v>
      </c>
      <c r="K322" s="42">
        <v>0</v>
      </c>
      <c r="M322" s="42">
        <v>0</v>
      </c>
      <c r="O322" s="42">
        <v>323977</v>
      </c>
      <c r="Q322" s="42">
        <v>1231377</v>
      </c>
      <c r="S322" s="42">
        <v>254097</v>
      </c>
      <c r="U322" s="42">
        <v>0</v>
      </c>
      <c r="W322" s="42">
        <f>46001+1169551</f>
        <v>1215552</v>
      </c>
      <c r="Y322" s="42">
        <v>570810</v>
      </c>
      <c r="AA322" s="42">
        <v>58021</v>
      </c>
      <c r="AC322" s="42">
        <v>1485000</v>
      </c>
      <c r="AE322" s="42">
        <v>827386</v>
      </c>
      <c r="AG322" s="42">
        <v>466587</v>
      </c>
      <c r="AI322" s="42">
        <v>0</v>
      </c>
      <c r="AK322" s="42">
        <v>714945</v>
      </c>
      <c r="AL322" s="9" t="s">
        <v>323</v>
      </c>
      <c r="AM322" s="9"/>
      <c r="AN322" s="9" t="s">
        <v>32</v>
      </c>
      <c r="AP322" s="42">
        <v>532740</v>
      </c>
      <c r="AR322" s="42">
        <v>320698</v>
      </c>
      <c r="AT322" s="42">
        <v>0</v>
      </c>
      <c r="AV322" s="42">
        <v>1566201</v>
      </c>
      <c r="AX322" s="42">
        <v>1274624</v>
      </c>
      <c r="AZ322" s="42">
        <v>0</v>
      </c>
      <c r="BB322" s="5">
        <f t="shared" si="44"/>
        <v>20808082</v>
      </c>
      <c r="BD322" s="42">
        <v>300000</v>
      </c>
      <c r="BF322" s="42">
        <v>0</v>
      </c>
      <c r="BH322" s="42">
        <v>0</v>
      </c>
      <c r="BJ322" s="42">
        <v>0</v>
      </c>
      <c r="BL322" s="5">
        <f t="shared" si="45"/>
        <v>21108082</v>
      </c>
      <c r="BN322" s="5">
        <f>'Gov Fd Rev'!AQ322-'Gov Fd Exp'!BL322</f>
        <v>1234015</v>
      </c>
      <c r="BP322" s="42">
        <v>10801113</v>
      </c>
      <c r="BR322" s="42">
        <v>0</v>
      </c>
      <c r="BT322" s="42">
        <v>0</v>
      </c>
      <c r="BV322" s="5">
        <f t="shared" si="46"/>
        <v>12035128</v>
      </c>
      <c r="BW322" s="5"/>
      <c r="BX322" s="5">
        <f>BV322-'Gov Fd BS'!AI322</f>
        <v>0</v>
      </c>
    </row>
    <row r="323" spans="1:76">
      <c r="A323" s="9" t="s">
        <v>223</v>
      </c>
      <c r="B323" s="9"/>
      <c r="C323" s="9" t="s">
        <v>220</v>
      </c>
      <c r="D323" s="9"/>
      <c r="E323" s="23">
        <v>46128</v>
      </c>
      <c r="G323" s="42">
        <v>6437139</v>
      </c>
      <c r="I323" s="42">
        <v>987637</v>
      </c>
      <c r="K323" s="42">
        <v>0</v>
      </c>
      <c r="M323" s="42">
        <v>0</v>
      </c>
      <c r="O323" s="42">
        <v>492247</v>
      </c>
      <c r="Q323" s="42">
        <v>599079</v>
      </c>
      <c r="S323" s="42">
        <v>1023475</v>
      </c>
      <c r="U323" s="42">
        <v>0</v>
      </c>
      <c r="W323" s="42">
        <f>69392+975834</f>
        <v>1045226</v>
      </c>
      <c r="Y323" s="42">
        <v>236645</v>
      </c>
      <c r="AA323" s="42">
        <v>1770</v>
      </c>
      <c r="AC323" s="42">
        <v>1388817</v>
      </c>
      <c r="AE323" s="42">
        <v>1071764</v>
      </c>
      <c r="AG323" s="42">
        <v>334095</v>
      </c>
      <c r="AI323" s="42">
        <v>0</v>
      </c>
      <c r="AK323" s="42">
        <v>664759</v>
      </c>
      <c r="AL323" s="9" t="s">
        <v>223</v>
      </c>
      <c r="AM323" s="9"/>
      <c r="AN323" s="9" t="s">
        <v>220</v>
      </c>
      <c r="AP323" s="42">
        <v>436623</v>
      </c>
      <c r="AR323" s="42">
        <v>29768</v>
      </c>
      <c r="AT323" s="42">
        <v>0</v>
      </c>
      <c r="AV323" s="42">
        <v>347918</v>
      </c>
      <c r="AX323" s="42">
        <v>1002831</v>
      </c>
      <c r="AZ323" s="42">
        <v>0</v>
      </c>
      <c r="BB323" s="5">
        <f t="shared" si="44"/>
        <v>16099793</v>
      </c>
      <c r="BD323" s="42">
        <v>0</v>
      </c>
      <c r="BF323" s="42">
        <v>0</v>
      </c>
      <c r="BH323" s="42">
        <v>0</v>
      </c>
      <c r="BJ323" s="42">
        <v>0</v>
      </c>
      <c r="BL323" s="5">
        <f t="shared" si="45"/>
        <v>16099793</v>
      </c>
      <c r="BN323" s="5">
        <f>'Gov Fd Rev'!AQ323-'Gov Fd Exp'!BL323</f>
        <v>271688</v>
      </c>
      <c r="BP323" s="42">
        <v>2620970</v>
      </c>
      <c r="BR323" s="42">
        <v>0</v>
      </c>
      <c r="BT323" s="42">
        <v>0</v>
      </c>
      <c r="BV323" s="5">
        <f t="shared" si="46"/>
        <v>2892658</v>
      </c>
      <c r="BW323" s="5"/>
      <c r="BX323" s="5">
        <f>BV323-'Gov Fd BS'!AI323</f>
        <v>0</v>
      </c>
    </row>
    <row r="324" spans="1:76" hidden="1">
      <c r="A324" s="9" t="s">
        <v>724</v>
      </c>
      <c r="B324" s="9"/>
      <c r="C324" s="9" t="s">
        <v>41</v>
      </c>
      <c r="D324" s="9"/>
      <c r="E324" s="23">
        <v>47886</v>
      </c>
      <c r="G324" s="42">
        <v>0</v>
      </c>
      <c r="I324" s="42">
        <v>0</v>
      </c>
      <c r="K324" s="42">
        <v>0</v>
      </c>
      <c r="M324" s="42">
        <v>0</v>
      </c>
      <c r="O324" s="42">
        <v>0</v>
      </c>
      <c r="Q324" s="42">
        <v>0</v>
      </c>
      <c r="S324" s="42">
        <v>0</v>
      </c>
      <c r="U324" s="42">
        <v>0</v>
      </c>
      <c r="W324" s="42">
        <v>0</v>
      </c>
      <c r="Y324" s="42">
        <v>0</v>
      </c>
      <c r="AA324" s="42">
        <v>0</v>
      </c>
      <c r="AC324" s="42">
        <v>0</v>
      </c>
      <c r="AE324" s="42">
        <v>0</v>
      </c>
      <c r="AG324" s="42">
        <v>0</v>
      </c>
      <c r="AI324" s="42">
        <v>0</v>
      </c>
      <c r="AK324" s="42">
        <v>0</v>
      </c>
      <c r="AL324" s="9" t="s">
        <v>724</v>
      </c>
      <c r="AM324" s="9"/>
      <c r="AN324" s="9" t="s">
        <v>41</v>
      </c>
      <c r="AP324" s="42">
        <v>0</v>
      </c>
      <c r="AR324" s="42">
        <v>0</v>
      </c>
      <c r="AT324" s="42">
        <v>0</v>
      </c>
      <c r="AV324" s="42">
        <v>0</v>
      </c>
      <c r="AX324" s="42">
        <v>0</v>
      </c>
      <c r="AZ324" s="42">
        <v>0</v>
      </c>
      <c r="BB324" s="5">
        <f t="shared" si="44"/>
        <v>0</v>
      </c>
      <c r="BD324" s="42">
        <v>0</v>
      </c>
      <c r="BF324" s="42">
        <v>0</v>
      </c>
      <c r="BH324" s="42">
        <v>0</v>
      </c>
      <c r="BJ324" s="42">
        <v>0</v>
      </c>
      <c r="BL324" s="5">
        <f t="shared" si="45"/>
        <v>0</v>
      </c>
      <c r="BN324" s="5">
        <f>'Gov Fd Rev'!AQ324-'Gov Fd Exp'!BL324</f>
        <v>0</v>
      </c>
      <c r="BP324" s="42">
        <v>0</v>
      </c>
      <c r="BR324" s="42">
        <v>0</v>
      </c>
      <c r="BT324" s="42">
        <v>0</v>
      </c>
      <c r="BV324" s="5">
        <f t="shared" si="46"/>
        <v>0</v>
      </c>
      <c r="BW324" s="5"/>
      <c r="BX324" s="5">
        <f>BV324-'Gov Fd BS'!AI324</f>
        <v>0</v>
      </c>
    </row>
    <row r="325" spans="1:76">
      <c r="A325" s="9" t="s">
        <v>223</v>
      </c>
      <c r="B325" s="9"/>
      <c r="C325" s="9" t="s">
        <v>109</v>
      </c>
      <c r="D325" s="9"/>
      <c r="E325" s="23">
        <v>49452</v>
      </c>
      <c r="G325" s="42">
        <v>12107329</v>
      </c>
      <c r="I325" s="42">
        <v>3694996</v>
      </c>
      <c r="K325" s="42">
        <v>2474873</v>
      </c>
      <c r="M325" s="42">
        <v>91375</v>
      </c>
      <c r="O325" s="42">
        <v>2797943</v>
      </c>
      <c r="Q325" s="42">
        <v>1116958</v>
      </c>
      <c r="S325" s="42">
        <v>1877566</v>
      </c>
      <c r="U325" s="42">
        <v>35758</v>
      </c>
      <c r="W325" s="42">
        <v>2236830</v>
      </c>
      <c r="Y325" s="42">
        <v>665542</v>
      </c>
      <c r="AA325" s="42">
        <v>80146</v>
      </c>
      <c r="AC325" s="42">
        <v>2660679</v>
      </c>
      <c r="AE325" s="42">
        <v>1716791</v>
      </c>
      <c r="AG325" s="42">
        <v>293176</v>
      </c>
      <c r="AI325" s="42">
        <v>1330454</v>
      </c>
      <c r="AK325" s="42">
        <v>470848</v>
      </c>
      <c r="AL325" s="9" t="s">
        <v>223</v>
      </c>
      <c r="AM325" s="9"/>
      <c r="AN325" s="9" t="s">
        <v>109</v>
      </c>
      <c r="AP325" s="42">
        <v>573876</v>
      </c>
      <c r="AR325" s="42">
        <f>21832349+77100</f>
        <v>21909449</v>
      </c>
      <c r="AT325" s="42">
        <v>0</v>
      </c>
      <c r="AV325" s="42">
        <v>15439</v>
      </c>
      <c r="AX325" s="42">
        <v>1728335</v>
      </c>
      <c r="AZ325" s="42">
        <v>0</v>
      </c>
      <c r="BB325" s="5">
        <f t="shared" si="44"/>
        <v>57878363</v>
      </c>
      <c r="BD325" s="42">
        <v>27046</v>
      </c>
      <c r="BF325" s="42">
        <v>0</v>
      </c>
      <c r="BH325" s="42">
        <v>0</v>
      </c>
      <c r="BJ325" s="42">
        <v>0</v>
      </c>
      <c r="BL325" s="5">
        <f t="shared" si="45"/>
        <v>57905409</v>
      </c>
      <c r="BN325" s="5">
        <f>'Gov Fd Rev'!AQ325-'Gov Fd Exp'!BL325</f>
        <v>-20775740</v>
      </c>
      <c r="BP325" s="42">
        <v>36009274</v>
      </c>
      <c r="BR325" s="42">
        <v>523</v>
      </c>
      <c r="BT325" s="42">
        <v>0</v>
      </c>
      <c r="BV325" s="5">
        <f t="shared" si="46"/>
        <v>15234057</v>
      </c>
      <c r="BW325" s="5"/>
      <c r="BX325" s="5">
        <f>BV325-'Gov Fd BS'!AI325</f>
        <v>0</v>
      </c>
    </row>
    <row r="326" spans="1:76">
      <c r="A326" s="9" t="s">
        <v>688</v>
      </c>
      <c r="B326" s="9"/>
      <c r="C326" s="9" t="s">
        <v>395</v>
      </c>
      <c r="D326" s="9"/>
      <c r="E326" s="23">
        <v>48272</v>
      </c>
      <c r="G326" s="42">
        <v>6783242</v>
      </c>
      <c r="I326" s="42">
        <v>750297</v>
      </c>
      <c r="K326" s="42">
        <v>462929</v>
      </c>
      <c r="M326" s="42">
        <v>0</v>
      </c>
      <c r="O326" s="42">
        <v>0</v>
      </c>
      <c r="Q326" s="42">
        <v>590440</v>
      </c>
      <c r="S326" s="42">
        <v>903396</v>
      </c>
      <c r="U326" s="42">
        <v>44519</v>
      </c>
      <c r="W326" s="42">
        <v>1320589</v>
      </c>
      <c r="Y326" s="42">
        <v>582950</v>
      </c>
      <c r="AA326" s="42">
        <v>116</v>
      </c>
      <c r="AC326" s="42">
        <v>857432</v>
      </c>
      <c r="AE326" s="42">
        <v>1028488</v>
      </c>
      <c r="AG326" s="42">
        <v>285719</v>
      </c>
      <c r="AI326" s="42">
        <v>538313</v>
      </c>
      <c r="AK326" s="42">
        <v>6894</v>
      </c>
      <c r="AL326" s="9" t="s">
        <v>688</v>
      </c>
      <c r="AM326" s="9"/>
      <c r="AN326" s="9" t="s">
        <v>395</v>
      </c>
      <c r="AP326" s="42">
        <v>468680</v>
      </c>
      <c r="AR326" s="42">
        <v>157387</v>
      </c>
      <c r="AT326" s="42">
        <v>0</v>
      </c>
      <c r="AV326" s="42">
        <v>25000</v>
      </c>
      <c r="AX326" s="42">
        <v>5661</v>
      </c>
      <c r="AZ326" s="42">
        <v>0</v>
      </c>
      <c r="BB326" s="5">
        <f t="shared" si="44"/>
        <v>14812052</v>
      </c>
      <c r="BD326" s="42">
        <v>68518</v>
      </c>
      <c r="BF326" s="42">
        <v>0</v>
      </c>
      <c r="BH326" s="42">
        <v>0</v>
      </c>
      <c r="BJ326" s="42">
        <v>0</v>
      </c>
      <c r="BL326" s="5">
        <f t="shared" si="45"/>
        <v>14880570</v>
      </c>
      <c r="BN326" s="5">
        <f>'Gov Fd Rev'!AQ326-'Gov Fd Exp'!BL326</f>
        <v>-142978</v>
      </c>
      <c r="BP326" s="42">
        <v>7018606</v>
      </c>
      <c r="BR326" s="42">
        <v>0</v>
      </c>
      <c r="BT326" s="42">
        <v>0</v>
      </c>
      <c r="BV326" s="5">
        <f t="shared" si="46"/>
        <v>6875628</v>
      </c>
      <c r="BW326" s="5"/>
      <c r="BX326" s="5">
        <f>BV326-'Gov Fd BS'!AI326</f>
        <v>0</v>
      </c>
    </row>
    <row r="327" spans="1:76">
      <c r="A327" s="9" t="s">
        <v>600</v>
      </c>
      <c r="B327" s="9"/>
      <c r="C327" s="9" t="s">
        <v>199</v>
      </c>
      <c r="D327" s="9"/>
      <c r="E327" s="54" t="s">
        <v>870</v>
      </c>
      <c r="G327" s="42">
        <v>3993400</v>
      </c>
      <c r="I327" s="42">
        <v>1805012</v>
      </c>
      <c r="K327" s="42">
        <v>592826</v>
      </c>
      <c r="M327" s="42">
        <v>0</v>
      </c>
      <c r="O327" s="42">
        <v>138849</v>
      </c>
      <c r="Q327" s="42">
        <v>407959</v>
      </c>
      <c r="S327" s="42">
        <v>551820</v>
      </c>
      <c r="U327" s="42">
        <v>41640</v>
      </c>
      <c r="W327" s="42">
        <v>705199</v>
      </c>
      <c r="Y327" s="42">
        <v>506454</v>
      </c>
      <c r="AA327" s="42">
        <v>0</v>
      </c>
      <c r="AC327" s="42">
        <v>876921</v>
      </c>
      <c r="AE327" s="42">
        <v>601976</v>
      </c>
      <c r="AG327" s="42">
        <v>117707</v>
      </c>
      <c r="AI327" s="42">
        <v>463363</v>
      </c>
      <c r="AK327" s="42">
        <v>125859</v>
      </c>
      <c r="AL327" s="9" t="s">
        <v>600</v>
      </c>
      <c r="AM327" s="9"/>
      <c r="AN327" s="9" t="s">
        <v>199</v>
      </c>
      <c r="AP327" s="42">
        <v>260070</v>
      </c>
      <c r="AR327" s="42">
        <v>721628</v>
      </c>
      <c r="AT327" s="42">
        <v>0</v>
      </c>
      <c r="AV327" s="42">
        <v>1069166</v>
      </c>
      <c r="AX327" s="42">
        <v>518055</v>
      </c>
      <c r="AZ327" s="42">
        <v>0</v>
      </c>
      <c r="BB327" s="5">
        <f t="shared" si="44"/>
        <v>13497904</v>
      </c>
      <c r="BD327" s="42">
        <v>2541452</v>
      </c>
      <c r="BF327" s="42">
        <v>0</v>
      </c>
      <c r="BH327" s="42">
        <v>0</v>
      </c>
      <c r="BJ327" s="42">
        <v>0</v>
      </c>
      <c r="BL327" s="5">
        <f t="shared" si="45"/>
        <v>16039356</v>
      </c>
      <c r="BN327" s="5">
        <f>'Gov Fd Rev'!AQ327-'Gov Fd Exp'!BL327</f>
        <v>3566181</v>
      </c>
      <c r="BP327" s="42">
        <v>7758484</v>
      </c>
      <c r="BR327" s="42">
        <v>0</v>
      </c>
      <c r="BT327" s="42">
        <v>0</v>
      </c>
      <c r="BV327" s="5">
        <f t="shared" si="46"/>
        <v>11324665</v>
      </c>
      <c r="BW327" s="5"/>
      <c r="BX327" s="5">
        <f>BV327-'Gov Fd BS'!AI327</f>
        <v>0</v>
      </c>
    </row>
    <row r="328" spans="1:76" hidden="1">
      <c r="A328" s="9" t="s">
        <v>799</v>
      </c>
      <c r="B328" s="9"/>
      <c r="C328" s="9" t="s">
        <v>63</v>
      </c>
      <c r="D328" s="9"/>
      <c r="E328" s="54">
        <v>50005</v>
      </c>
      <c r="G328" s="42">
        <v>0</v>
      </c>
      <c r="I328" s="42">
        <v>0</v>
      </c>
      <c r="K328" s="42">
        <v>0</v>
      </c>
      <c r="M328" s="42">
        <v>0</v>
      </c>
      <c r="O328" s="42">
        <v>0</v>
      </c>
      <c r="Q328" s="42">
        <v>0</v>
      </c>
      <c r="S328" s="42">
        <v>0</v>
      </c>
      <c r="U328" s="42">
        <v>0</v>
      </c>
      <c r="W328" s="42">
        <v>0</v>
      </c>
      <c r="Y328" s="42">
        <v>0</v>
      </c>
      <c r="AA328" s="42">
        <v>0</v>
      </c>
      <c r="AC328" s="42">
        <v>0</v>
      </c>
      <c r="AE328" s="42">
        <v>0</v>
      </c>
      <c r="AG328" s="42">
        <v>0</v>
      </c>
      <c r="AI328" s="42">
        <v>0</v>
      </c>
      <c r="AK328" s="42">
        <v>0</v>
      </c>
      <c r="AL328" s="9" t="s">
        <v>799</v>
      </c>
      <c r="AM328" s="9"/>
      <c r="AN328" s="9" t="s">
        <v>63</v>
      </c>
      <c r="AP328" s="42">
        <v>0</v>
      </c>
      <c r="AR328" s="42">
        <v>0</v>
      </c>
      <c r="AT328" s="42">
        <v>0</v>
      </c>
      <c r="AV328" s="42">
        <v>0</v>
      </c>
      <c r="AX328" s="42">
        <v>0</v>
      </c>
      <c r="AZ328" s="42">
        <v>0</v>
      </c>
      <c r="BB328" s="5">
        <f t="shared" ref="BB328" si="48">SUM(G328:AZ328)</f>
        <v>0</v>
      </c>
      <c r="BD328" s="42">
        <v>0</v>
      </c>
      <c r="BF328" s="42">
        <v>0</v>
      </c>
      <c r="BH328" s="42">
        <v>0</v>
      </c>
      <c r="BJ328" s="42">
        <v>0</v>
      </c>
      <c r="BL328" s="5">
        <f t="shared" ref="BL328" si="49">BB328+BD328+BJ328</f>
        <v>0</v>
      </c>
      <c r="BN328" s="5">
        <f>'Gov Fd Rev'!AQ328-'Gov Fd Exp'!BL328</f>
        <v>0</v>
      </c>
      <c r="BP328" s="42">
        <v>0</v>
      </c>
      <c r="BR328" s="42">
        <v>0</v>
      </c>
      <c r="BT328" s="42">
        <v>0</v>
      </c>
      <c r="BV328" s="5">
        <f t="shared" ref="BV328" si="50">BN328+BP328+BR328+BT328</f>
        <v>0</v>
      </c>
      <c r="BW328" s="5"/>
      <c r="BX328" s="5">
        <f>BV328-'Gov Fd BS'!AI328</f>
        <v>0</v>
      </c>
    </row>
    <row r="329" spans="1:76">
      <c r="A329" s="9" t="s">
        <v>466</v>
      </c>
      <c r="B329" s="9"/>
      <c r="C329" s="9" t="s">
        <v>109</v>
      </c>
      <c r="D329" s="9"/>
      <c r="E329" s="23">
        <v>44297</v>
      </c>
      <c r="G329" s="42">
        <v>17317838</v>
      </c>
      <c r="I329" s="42">
        <v>8583967</v>
      </c>
      <c r="K329" s="42">
        <v>1060909</v>
      </c>
      <c r="M329" s="42">
        <v>400447</v>
      </c>
      <c r="O329" s="42">
        <v>12843993</v>
      </c>
      <c r="Q329" s="42">
        <v>3099018</v>
      </c>
      <c r="S329" s="42">
        <v>2870004</v>
      </c>
      <c r="U329" s="42">
        <v>23502</v>
      </c>
      <c r="W329" s="42">
        <v>3445104</v>
      </c>
      <c r="Y329" s="42">
        <v>1042136</v>
      </c>
      <c r="AA329" s="42">
        <v>518132</v>
      </c>
      <c r="AC329" s="42">
        <v>8499648</v>
      </c>
      <c r="AE329" s="42">
        <v>2234377</v>
      </c>
      <c r="AG329" s="42">
        <v>2420556</v>
      </c>
      <c r="AI329" s="42">
        <v>2092465</v>
      </c>
      <c r="AK329" s="42">
        <v>2306823</v>
      </c>
      <c r="AL329" s="9" t="s">
        <v>466</v>
      </c>
      <c r="AM329" s="9"/>
      <c r="AN329" s="9" t="s">
        <v>109</v>
      </c>
      <c r="AP329" s="42">
        <v>804359</v>
      </c>
      <c r="AR329" s="42">
        <v>0</v>
      </c>
      <c r="AT329" s="42">
        <v>0</v>
      </c>
      <c r="AV329" s="42">
        <v>1197833</v>
      </c>
      <c r="AX329" s="42">
        <v>449554</v>
      </c>
      <c r="AZ329" s="42">
        <v>168783</v>
      </c>
      <c r="BB329" s="5">
        <f t="shared" si="44"/>
        <v>71379448</v>
      </c>
      <c r="BD329" s="42">
        <v>7650000</v>
      </c>
      <c r="BF329" s="42">
        <v>0</v>
      </c>
      <c r="BH329" s="42">
        <v>0</v>
      </c>
      <c r="BJ329" s="42">
        <v>8857567</v>
      </c>
      <c r="BL329" s="5">
        <f t="shared" si="45"/>
        <v>87887015</v>
      </c>
      <c r="BN329" s="5">
        <f>'Gov Fd Rev'!AQ329-'Gov Fd Exp'!BL329</f>
        <v>-5321961</v>
      </c>
      <c r="BP329" s="42">
        <v>11665099</v>
      </c>
      <c r="BR329" s="42">
        <v>0</v>
      </c>
      <c r="BT329" s="42">
        <v>0</v>
      </c>
      <c r="BV329" s="5">
        <f t="shared" si="46"/>
        <v>6343138</v>
      </c>
      <c r="BW329" s="5"/>
      <c r="BX329" s="5">
        <f>BV329-'Gov Fd BS'!AI329</f>
        <v>0</v>
      </c>
    </row>
    <row r="330" spans="1:76">
      <c r="A330" s="9" t="s">
        <v>716</v>
      </c>
      <c r="B330" s="9"/>
      <c r="C330" s="9" t="s">
        <v>20</v>
      </c>
      <c r="D330" s="9"/>
      <c r="E330" s="23">
        <v>44305</v>
      </c>
      <c r="G330" s="42">
        <v>18721781</v>
      </c>
      <c r="I330" s="42">
        <v>4805525</v>
      </c>
      <c r="K330" s="42">
        <v>1297790</v>
      </c>
      <c r="M330" s="42">
        <v>0</v>
      </c>
      <c r="O330" s="42">
        <v>129234</v>
      </c>
      <c r="Q330" s="42">
        <v>1795669</v>
      </c>
      <c r="S330" s="42">
        <v>957761</v>
      </c>
      <c r="U330" s="42">
        <v>68377</v>
      </c>
      <c r="W330" s="42">
        <v>3257679</v>
      </c>
      <c r="Y330" s="42">
        <v>1664258</v>
      </c>
      <c r="AA330" s="42">
        <v>435234</v>
      </c>
      <c r="AC330" s="42">
        <v>3778781</v>
      </c>
      <c r="AE330" s="42">
        <v>1295298</v>
      </c>
      <c r="AG330" s="42">
        <v>14372</v>
      </c>
      <c r="AI330" s="42">
        <v>1900613</v>
      </c>
      <c r="AK330" s="42">
        <v>49637</v>
      </c>
      <c r="AL330" s="9" t="s">
        <v>716</v>
      </c>
      <c r="AM330" s="9"/>
      <c r="AN330" s="9" t="s">
        <v>20</v>
      </c>
      <c r="AP330" s="42">
        <v>743915</v>
      </c>
      <c r="AR330" s="42">
        <v>15730173</v>
      </c>
      <c r="AT330" s="42">
        <v>0</v>
      </c>
      <c r="AV330" s="42">
        <v>694957</v>
      </c>
      <c r="AX330" s="42">
        <v>2279933</v>
      </c>
      <c r="AZ330" s="42">
        <f>215043+192104+207875</f>
        <v>615022</v>
      </c>
      <c r="BB330" s="5">
        <f t="shared" si="44"/>
        <v>60236009</v>
      </c>
      <c r="BD330" s="42">
        <v>874703</v>
      </c>
      <c r="BF330" s="42">
        <v>0</v>
      </c>
      <c r="BH330" s="42">
        <v>0</v>
      </c>
      <c r="BJ330" s="42">
        <v>9808390</v>
      </c>
      <c r="BL330" s="5">
        <f t="shared" si="45"/>
        <v>70919102</v>
      </c>
      <c r="BN330" s="5">
        <f>'Gov Fd Rev'!AQ330-'Gov Fd Exp'!BL330</f>
        <v>-15163782</v>
      </c>
      <c r="BP330" s="42">
        <v>25077472</v>
      </c>
      <c r="BR330" s="42">
        <v>0</v>
      </c>
      <c r="BT330" s="42">
        <v>0</v>
      </c>
      <c r="BV330" s="5">
        <f t="shared" si="46"/>
        <v>9913690</v>
      </c>
      <c r="BW330" s="5"/>
      <c r="BX330" s="5">
        <f>BV330-'Gov Fd BS'!AI330</f>
        <v>0</v>
      </c>
    </row>
    <row r="331" spans="1:76">
      <c r="A331" s="9" t="s">
        <v>204</v>
      </c>
      <c r="B331" s="9"/>
      <c r="C331" s="9" t="s">
        <v>11</v>
      </c>
      <c r="D331" s="9"/>
      <c r="E331" s="23">
        <v>45831</v>
      </c>
      <c r="G331" s="42">
        <v>3256869</v>
      </c>
      <c r="I331" s="42">
        <v>815950</v>
      </c>
      <c r="K331" s="42">
        <v>98111</v>
      </c>
      <c r="M331" s="42">
        <v>0</v>
      </c>
      <c r="O331" s="42">
        <v>888449</v>
      </c>
      <c r="Q331" s="42">
        <v>295591</v>
      </c>
      <c r="S331" s="42">
        <v>289526</v>
      </c>
      <c r="U331" s="42">
        <v>65469</v>
      </c>
      <c r="W331" s="42">
        <v>643896</v>
      </c>
      <c r="Y331" s="42">
        <v>301619</v>
      </c>
      <c r="AA331" s="42">
        <v>13023</v>
      </c>
      <c r="AC331" s="42">
        <v>1137061</v>
      </c>
      <c r="AE331" s="42">
        <v>602278</v>
      </c>
      <c r="AG331" s="42">
        <v>203694</v>
      </c>
      <c r="AI331" s="42">
        <v>322294</v>
      </c>
      <c r="AK331" s="42">
        <v>64324</v>
      </c>
      <c r="AL331" s="9" t="s">
        <v>204</v>
      </c>
      <c r="AM331" s="9"/>
      <c r="AN331" s="9" t="s">
        <v>11</v>
      </c>
      <c r="AP331" s="42">
        <v>268653</v>
      </c>
      <c r="AR331" s="42">
        <v>51921</v>
      </c>
      <c r="AT331" s="42">
        <v>0</v>
      </c>
      <c r="AV331" s="42">
        <v>265000</v>
      </c>
      <c r="AX331" s="42">
        <v>94030</v>
      </c>
      <c r="AZ331" s="42">
        <v>0</v>
      </c>
      <c r="BB331" s="5">
        <f t="shared" si="44"/>
        <v>9677758</v>
      </c>
      <c r="BD331" s="42">
        <v>0</v>
      </c>
      <c r="BF331" s="42">
        <v>0</v>
      </c>
      <c r="BH331" s="42">
        <v>0</v>
      </c>
      <c r="BJ331" s="42">
        <v>0</v>
      </c>
      <c r="BL331" s="5">
        <f t="shared" si="45"/>
        <v>9677758</v>
      </c>
      <c r="BN331" s="5">
        <f>'Gov Fd Rev'!AQ331-'Gov Fd Exp'!BL331</f>
        <v>353620</v>
      </c>
      <c r="BP331" s="42">
        <v>2335174</v>
      </c>
      <c r="BR331" s="42">
        <v>0</v>
      </c>
      <c r="BT331" s="42">
        <v>0</v>
      </c>
      <c r="BV331" s="5">
        <f t="shared" si="46"/>
        <v>2688794</v>
      </c>
      <c r="BW331" s="5"/>
      <c r="BX331" s="5">
        <f>BV331-'Gov Fd BS'!AI331</f>
        <v>0</v>
      </c>
    </row>
    <row r="332" spans="1:76">
      <c r="A332" s="9" t="s">
        <v>524</v>
      </c>
      <c r="B332" s="9"/>
      <c r="C332" s="9" t="s">
        <v>64</v>
      </c>
      <c r="D332" s="9"/>
      <c r="E332" s="23">
        <v>50211</v>
      </c>
      <c r="G332" s="42">
        <v>4373416</v>
      </c>
      <c r="I332" s="42">
        <v>853910</v>
      </c>
      <c r="K332" s="42">
        <v>79994</v>
      </c>
      <c r="M332" s="42">
        <v>0</v>
      </c>
      <c r="O332" s="42">
        <v>0</v>
      </c>
      <c r="Q332" s="42">
        <v>423897</v>
      </c>
      <c r="S332" s="42">
        <v>122007</v>
      </c>
      <c r="U332" s="42">
        <v>39376</v>
      </c>
      <c r="W332" s="42">
        <v>723568</v>
      </c>
      <c r="Y332" s="42">
        <v>341964</v>
      </c>
      <c r="AA332" s="42">
        <v>52816</v>
      </c>
      <c r="AC332" s="42">
        <v>1139804</v>
      </c>
      <c r="AE332" s="42">
        <v>506969</v>
      </c>
      <c r="AG332" s="42">
        <v>65431</v>
      </c>
      <c r="AI332" s="42">
        <v>314672</v>
      </c>
      <c r="AK332" s="42">
        <v>71025</v>
      </c>
      <c r="AL332" s="9" t="s">
        <v>524</v>
      </c>
      <c r="AM332" s="9"/>
      <c r="AN332" s="9" t="s">
        <v>64</v>
      </c>
      <c r="AP332" s="42">
        <v>232826</v>
      </c>
      <c r="AR332" s="42">
        <v>174193</v>
      </c>
      <c r="AT332" s="42">
        <v>0</v>
      </c>
      <c r="AV332" s="42">
        <v>135000</v>
      </c>
      <c r="AX332" s="42">
        <v>82230</v>
      </c>
      <c r="AZ332" s="42">
        <v>0</v>
      </c>
      <c r="BB332" s="5">
        <f t="shared" si="44"/>
        <v>9733098</v>
      </c>
      <c r="BD332" s="42">
        <v>0</v>
      </c>
      <c r="BF332" s="42">
        <v>0</v>
      </c>
      <c r="BH332" s="42">
        <v>0</v>
      </c>
      <c r="BJ332" s="42">
        <v>0</v>
      </c>
      <c r="BL332" s="5">
        <f t="shared" si="45"/>
        <v>9733098</v>
      </c>
      <c r="BN332" s="5">
        <f>'Gov Fd Rev'!AQ332-'Gov Fd Exp'!BL332</f>
        <v>360273</v>
      </c>
      <c r="BP332" s="42">
        <v>2829129</v>
      </c>
      <c r="BR332" s="42">
        <v>0</v>
      </c>
      <c r="BT332" s="42">
        <v>0</v>
      </c>
      <c r="BV332" s="5">
        <f t="shared" si="46"/>
        <v>3189402</v>
      </c>
      <c r="BW332" s="5"/>
      <c r="BX332" s="5">
        <f>BV332-'Gov Fd BS'!AI332</f>
        <v>0</v>
      </c>
    </row>
    <row r="333" spans="1:76">
      <c r="A333" s="9" t="s">
        <v>286</v>
      </c>
      <c r="B333" s="9"/>
      <c r="C333" s="9" t="s">
        <v>24</v>
      </c>
      <c r="D333" s="9"/>
      <c r="E333" s="23">
        <v>46805</v>
      </c>
      <c r="G333" s="42">
        <v>4916084</v>
      </c>
      <c r="I333" s="42">
        <v>1398595</v>
      </c>
      <c r="K333" s="42">
        <v>217962</v>
      </c>
      <c r="M333" s="42">
        <v>0</v>
      </c>
      <c r="O333" s="42">
        <v>838435</v>
      </c>
      <c r="Q333" s="42">
        <v>708312</v>
      </c>
      <c r="S333" s="42">
        <v>887769</v>
      </c>
      <c r="U333" s="42">
        <v>166255</v>
      </c>
      <c r="W333" s="42">
        <v>981080</v>
      </c>
      <c r="Y333" s="42">
        <v>394359</v>
      </c>
      <c r="AA333" s="42">
        <v>0</v>
      </c>
      <c r="AC333" s="42">
        <v>1191466</v>
      </c>
      <c r="AE333" s="42">
        <v>1059796</v>
      </c>
      <c r="AG333" s="42">
        <v>63300</v>
      </c>
      <c r="AI333" s="42">
        <v>596161</v>
      </c>
      <c r="AK333" s="42">
        <v>141288</v>
      </c>
      <c r="AL333" s="9" t="s">
        <v>286</v>
      </c>
      <c r="AM333" s="9"/>
      <c r="AN333" s="9" t="s">
        <v>24</v>
      </c>
      <c r="AP333" s="42">
        <v>467840</v>
      </c>
      <c r="AR333" s="42">
        <v>155672</v>
      </c>
      <c r="AT333" s="42">
        <v>0</v>
      </c>
      <c r="AV333" s="42">
        <v>100000</v>
      </c>
      <c r="AX333" s="42">
        <v>103484</v>
      </c>
      <c r="AZ333" s="42">
        <v>0</v>
      </c>
      <c r="BB333" s="5">
        <f t="shared" si="44"/>
        <v>14387858</v>
      </c>
      <c r="BD333" s="42">
        <v>22458</v>
      </c>
      <c r="BF333" s="42">
        <v>0</v>
      </c>
      <c r="BH333" s="42">
        <v>0</v>
      </c>
      <c r="BJ333" s="42">
        <v>0</v>
      </c>
      <c r="BL333" s="5">
        <f t="shared" si="45"/>
        <v>14410316</v>
      </c>
      <c r="BN333" s="5">
        <f>'Gov Fd Rev'!AQ333-'Gov Fd Exp'!BL333</f>
        <v>561989</v>
      </c>
      <c r="BP333" s="42">
        <v>864821</v>
      </c>
      <c r="BR333" s="42">
        <v>-129</v>
      </c>
      <c r="BT333" s="42">
        <v>0</v>
      </c>
      <c r="BV333" s="5">
        <f t="shared" si="46"/>
        <v>1426681</v>
      </c>
      <c r="BW333" s="5"/>
      <c r="BX333" s="5">
        <f>BV333-'Gov Fd BS'!AI333</f>
        <v>0</v>
      </c>
    </row>
    <row r="334" spans="1:76">
      <c r="A334" s="9" t="s">
        <v>324</v>
      </c>
      <c r="B334" s="9"/>
      <c r="C334" s="9" t="s">
        <v>32</v>
      </c>
      <c r="D334" s="9"/>
      <c r="E334" s="23">
        <v>44313</v>
      </c>
      <c r="G334" s="42">
        <v>10036593</v>
      </c>
      <c r="I334" s="42">
        <v>1527405</v>
      </c>
      <c r="K334" s="42">
        <v>0</v>
      </c>
      <c r="M334" s="42">
        <v>366</v>
      </c>
      <c r="O334" s="42">
        <v>92964</v>
      </c>
      <c r="Q334" s="42">
        <v>1381943</v>
      </c>
      <c r="S334" s="42">
        <v>1477274</v>
      </c>
      <c r="U334" s="42">
        <v>0</v>
      </c>
      <c r="W334" s="42">
        <f>18255+1610676</f>
        <v>1628931</v>
      </c>
      <c r="Y334" s="42">
        <v>558314</v>
      </c>
      <c r="AA334" s="42">
        <v>1821</v>
      </c>
      <c r="AC334" s="42">
        <v>2263588</v>
      </c>
      <c r="AE334" s="42">
        <v>890230</v>
      </c>
      <c r="AG334" s="42">
        <v>372164</v>
      </c>
      <c r="AI334" s="42">
        <v>0</v>
      </c>
      <c r="AK334" s="42">
        <v>270686</v>
      </c>
      <c r="AL334" s="9" t="s">
        <v>324</v>
      </c>
      <c r="AM334" s="9"/>
      <c r="AN334" s="9" t="s">
        <v>32</v>
      </c>
      <c r="AP334" s="42">
        <v>895684</v>
      </c>
      <c r="AR334" s="42">
        <v>8504630</v>
      </c>
      <c r="AT334" s="42">
        <v>0</v>
      </c>
      <c r="AV334" s="42">
        <v>900033</v>
      </c>
      <c r="AX334" s="42">
        <v>1593056</v>
      </c>
      <c r="AZ334" s="42">
        <v>0</v>
      </c>
      <c r="BB334" s="5">
        <f t="shared" si="44"/>
        <v>32395682</v>
      </c>
      <c r="BD334" s="42">
        <v>359520</v>
      </c>
      <c r="BF334" s="42">
        <v>0</v>
      </c>
      <c r="BH334" s="42">
        <v>0</v>
      </c>
      <c r="BJ334" s="42">
        <v>14644</v>
      </c>
      <c r="BL334" s="5">
        <f t="shared" si="45"/>
        <v>32769846</v>
      </c>
      <c r="BN334" s="5">
        <f>'Gov Fd Rev'!AQ334-'Gov Fd Exp'!BL334</f>
        <v>-5840842</v>
      </c>
      <c r="BP334" s="42">
        <v>18022534</v>
      </c>
      <c r="BR334" s="42">
        <v>0</v>
      </c>
      <c r="BT334" s="42">
        <v>0</v>
      </c>
      <c r="BV334" s="5">
        <f t="shared" si="46"/>
        <v>12181692</v>
      </c>
      <c r="BW334" s="5"/>
      <c r="BX334" s="5">
        <f>BV334-'Gov Fd BS'!AI334</f>
        <v>0</v>
      </c>
    </row>
    <row r="335" spans="1:76" hidden="1">
      <c r="A335" s="9" t="s">
        <v>607</v>
      </c>
      <c r="B335" s="9"/>
      <c r="C335" s="9" t="s">
        <v>70</v>
      </c>
      <c r="D335" s="9"/>
      <c r="E335" s="23">
        <v>44321</v>
      </c>
      <c r="G335" s="42">
        <v>0</v>
      </c>
      <c r="I335" s="42">
        <v>0</v>
      </c>
      <c r="K335" s="42">
        <v>0</v>
      </c>
      <c r="M335" s="42">
        <v>0</v>
      </c>
      <c r="O335" s="42">
        <v>0</v>
      </c>
      <c r="Q335" s="42">
        <v>0</v>
      </c>
      <c r="S335" s="42">
        <v>0</v>
      </c>
      <c r="U335" s="42">
        <v>0</v>
      </c>
      <c r="W335" s="42">
        <v>0</v>
      </c>
      <c r="Y335" s="42">
        <v>0</v>
      </c>
      <c r="AA335" s="42">
        <v>0</v>
      </c>
      <c r="AC335" s="42">
        <v>0</v>
      </c>
      <c r="AE335" s="42">
        <v>0</v>
      </c>
      <c r="AG335" s="42">
        <v>0</v>
      </c>
      <c r="AI335" s="42">
        <v>0</v>
      </c>
      <c r="AK335" s="42">
        <v>0</v>
      </c>
      <c r="AL335" s="9" t="s">
        <v>607</v>
      </c>
      <c r="AM335" s="9"/>
      <c r="AN335" s="9" t="s">
        <v>70</v>
      </c>
      <c r="AP335" s="42">
        <v>0</v>
      </c>
      <c r="AR335" s="42">
        <v>0</v>
      </c>
      <c r="AT335" s="42">
        <v>0</v>
      </c>
      <c r="AV335" s="42">
        <v>0</v>
      </c>
      <c r="AX335" s="42">
        <v>0</v>
      </c>
      <c r="AZ335" s="42">
        <v>0</v>
      </c>
      <c r="BB335" s="5">
        <f t="shared" si="44"/>
        <v>0</v>
      </c>
      <c r="BD335" s="42">
        <v>0</v>
      </c>
      <c r="BF335" s="42">
        <v>0</v>
      </c>
      <c r="BH335" s="42">
        <v>0</v>
      </c>
      <c r="BJ335" s="42">
        <v>0</v>
      </c>
      <c r="BL335" s="5">
        <f>BB335+BD335+BJ335+BF335</f>
        <v>0</v>
      </c>
      <c r="BN335" s="5">
        <f>'Gov Fd Rev'!AQ335-'Gov Fd Exp'!BL335</f>
        <v>0</v>
      </c>
      <c r="BP335" s="42">
        <v>0</v>
      </c>
      <c r="BR335" s="42">
        <v>0</v>
      </c>
      <c r="BT335" s="42">
        <v>0</v>
      </c>
      <c r="BV335" s="5">
        <f t="shared" si="46"/>
        <v>0</v>
      </c>
      <c r="BW335" s="5"/>
      <c r="BX335" s="5">
        <f>BV335-'Gov Fd BS'!AI335</f>
        <v>0</v>
      </c>
    </row>
    <row r="336" spans="1:76">
      <c r="A336" s="9" t="s">
        <v>407</v>
      </c>
      <c r="B336" s="9"/>
      <c r="C336" s="9" t="s">
        <v>46</v>
      </c>
      <c r="D336" s="9"/>
      <c r="E336" s="23">
        <v>44339</v>
      </c>
      <c r="G336" s="42">
        <v>30505644</v>
      </c>
      <c r="I336" s="42">
        <v>0</v>
      </c>
      <c r="K336" s="42">
        <v>0</v>
      </c>
      <c r="M336" s="42">
        <v>0</v>
      </c>
      <c r="O336" s="42">
        <v>0</v>
      </c>
      <c r="Q336" s="42">
        <v>2894235</v>
      </c>
      <c r="S336" s="42">
        <v>2900315</v>
      </c>
      <c r="U336" s="42">
        <v>62276</v>
      </c>
      <c r="W336" s="42">
        <v>3900870</v>
      </c>
      <c r="Y336" s="42">
        <v>737822</v>
      </c>
      <c r="AA336" s="42">
        <v>384567</v>
      </c>
      <c r="AC336" s="42">
        <v>4107566</v>
      </c>
      <c r="AE336" s="42">
        <v>1210560</v>
      </c>
      <c r="AG336" s="42">
        <v>183478</v>
      </c>
      <c r="AI336" s="42">
        <v>0</v>
      </c>
      <c r="AK336" s="42">
        <v>3097767</v>
      </c>
      <c r="AL336" s="9" t="s">
        <v>407</v>
      </c>
      <c r="AM336" s="9"/>
      <c r="AN336" s="9" t="s">
        <v>46</v>
      </c>
      <c r="AP336" s="42">
        <v>798471</v>
      </c>
      <c r="AR336" s="42">
        <v>422632</v>
      </c>
      <c r="AT336" s="42">
        <v>0</v>
      </c>
      <c r="AV336" s="42">
        <v>1061010</v>
      </c>
      <c r="AX336" s="42">
        <v>489670</v>
      </c>
      <c r="AZ336" s="42">
        <v>0</v>
      </c>
      <c r="BB336" s="5">
        <f t="shared" si="44"/>
        <v>52756883</v>
      </c>
      <c r="BD336" s="42">
        <v>50000</v>
      </c>
      <c r="BF336" s="42">
        <v>0</v>
      </c>
      <c r="BH336" s="42">
        <v>0</v>
      </c>
      <c r="BJ336" s="42">
        <v>0</v>
      </c>
      <c r="BL336" s="5">
        <f t="shared" si="45"/>
        <v>52806883</v>
      </c>
      <c r="BN336" s="5">
        <f>'Gov Fd Rev'!AQ336-'Gov Fd Exp'!BL336</f>
        <v>-942051</v>
      </c>
      <c r="BP336" s="42">
        <v>14867287</v>
      </c>
      <c r="BR336" s="42">
        <v>0</v>
      </c>
      <c r="BT336" s="42">
        <v>0</v>
      </c>
      <c r="BV336" s="5">
        <f t="shared" si="46"/>
        <v>13925236</v>
      </c>
      <c r="BW336" s="5"/>
      <c r="BX336" s="5">
        <f>BV336-'Gov Fd BS'!AI336</f>
        <v>0</v>
      </c>
    </row>
    <row r="337" spans="1:76" hidden="1">
      <c r="A337" s="9" t="s">
        <v>680</v>
      </c>
      <c r="B337" s="9"/>
      <c r="C337" s="9" t="s">
        <v>419</v>
      </c>
      <c r="D337" s="9"/>
      <c r="E337" s="23">
        <v>48553</v>
      </c>
      <c r="G337" s="42">
        <v>0</v>
      </c>
      <c r="I337" s="42">
        <v>0</v>
      </c>
      <c r="K337" s="42">
        <v>0</v>
      </c>
      <c r="M337" s="42">
        <v>0</v>
      </c>
      <c r="O337" s="42">
        <v>0</v>
      </c>
      <c r="Q337" s="42">
        <v>0</v>
      </c>
      <c r="S337" s="42">
        <v>0</v>
      </c>
      <c r="U337" s="42">
        <v>0</v>
      </c>
      <c r="W337" s="42">
        <v>0</v>
      </c>
      <c r="Y337" s="42">
        <v>0</v>
      </c>
      <c r="AA337" s="42">
        <v>0</v>
      </c>
      <c r="AC337" s="42">
        <v>0</v>
      </c>
      <c r="AE337" s="42">
        <v>0</v>
      </c>
      <c r="AG337" s="42">
        <v>0</v>
      </c>
      <c r="AI337" s="42">
        <v>0</v>
      </c>
      <c r="AK337" s="42">
        <v>0</v>
      </c>
      <c r="AL337" s="9" t="s">
        <v>680</v>
      </c>
      <c r="AM337" s="9"/>
      <c r="AN337" s="9" t="s">
        <v>419</v>
      </c>
      <c r="AP337" s="42">
        <v>0</v>
      </c>
      <c r="AR337" s="42">
        <v>0</v>
      </c>
      <c r="AT337" s="42">
        <v>0</v>
      </c>
      <c r="AV337" s="42">
        <v>0</v>
      </c>
      <c r="AX337" s="42">
        <v>0</v>
      </c>
      <c r="AZ337" s="42">
        <v>0</v>
      </c>
      <c r="BB337" s="5">
        <f t="shared" si="44"/>
        <v>0</v>
      </c>
      <c r="BD337" s="42">
        <v>0</v>
      </c>
      <c r="BF337" s="42">
        <v>0</v>
      </c>
      <c r="BH337" s="42">
        <v>0</v>
      </c>
      <c r="BJ337" s="42">
        <v>0</v>
      </c>
      <c r="BL337" s="5">
        <f t="shared" si="45"/>
        <v>0</v>
      </c>
      <c r="BN337" s="5">
        <f>'Gov Fd Rev'!AQ337-'Gov Fd Exp'!BL337</f>
        <v>0</v>
      </c>
      <c r="BP337" s="42">
        <v>0</v>
      </c>
      <c r="BR337" s="42">
        <v>0</v>
      </c>
      <c r="BT337" s="42">
        <v>0</v>
      </c>
      <c r="BV337" s="5">
        <f t="shared" si="46"/>
        <v>0</v>
      </c>
      <c r="BW337" s="5"/>
      <c r="BX337" s="5">
        <f>BV337-'Gov Fd BS'!AI337</f>
        <v>0</v>
      </c>
    </row>
    <row r="338" spans="1:76">
      <c r="A338" s="9" t="s">
        <v>496</v>
      </c>
      <c r="B338" s="9"/>
      <c r="C338" s="9" t="s">
        <v>62</v>
      </c>
      <c r="D338" s="9"/>
      <c r="E338" s="23">
        <v>49882</v>
      </c>
      <c r="G338" s="42">
        <v>8690718</v>
      </c>
      <c r="I338" s="42">
        <v>3096124</v>
      </c>
      <c r="K338" s="42">
        <v>812675</v>
      </c>
      <c r="M338" s="42">
        <v>0</v>
      </c>
      <c r="O338" s="42">
        <v>1370682</v>
      </c>
      <c r="Q338" s="42">
        <v>815744</v>
      </c>
      <c r="S338" s="42">
        <v>1289132</v>
      </c>
      <c r="U338" s="42">
        <v>22412</v>
      </c>
      <c r="W338" s="42">
        <v>1935690</v>
      </c>
      <c r="Y338" s="42">
        <v>624164</v>
      </c>
      <c r="AA338" s="42">
        <v>287937</v>
      </c>
      <c r="AC338" s="42">
        <v>2186701</v>
      </c>
      <c r="AE338" s="42">
        <v>1370520</v>
      </c>
      <c r="AG338" s="42">
        <v>103416</v>
      </c>
      <c r="AI338" s="42">
        <v>0</v>
      </c>
      <c r="AK338" s="42">
        <v>1017272</v>
      </c>
      <c r="AL338" s="9" t="s">
        <v>496</v>
      </c>
      <c r="AM338" s="9"/>
      <c r="AN338" s="9" t="s">
        <v>62</v>
      </c>
      <c r="AP338" s="42">
        <v>1019394</v>
      </c>
      <c r="AR338" s="42">
        <v>10225</v>
      </c>
      <c r="AT338" s="42">
        <v>0</v>
      </c>
      <c r="AV338" s="42">
        <v>15701</v>
      </c>
      <c r="AX338" s="42">
        <v>0</v>
      </c>
      <c r="AZ338" s="42">
        <v>0</v>
      </c>
      <c r="BB338" s="5">
        <f t="shared" si="44"/>
        <v>24668507</v>
      </c>
      <c r="BD338" s="42">
        <v>16486</v>
      </c>
      <c r="BF338" s="42">
        <v>0</v>
      </c>
      <c r="BH338" s="42">
        <v>0</v>
      </c>
      <c r="BJ338" s="42">
        <v>0</v>
      </c>
      <c r="BL338" s="5">
        <f t="shared" si="45"/>
        <v>24684993</v>
      </c>
      <c r="BN338" s="5">
        <f>'Gov Fd Rev'!AQ338-'Gov Fd Exp'!BL338</f>
        <v>-1004263</v>
      </c>
      <c r="BP338" s="42">
        <v>9074813</v>
      </c>
      <c r="BR338" s="42">
        <v>0</v>
      </c>
      <c r="BT338" s="42">
        <v>0</v>
      </c>
      <c r="BV338" s="5">
        <f t="shared" si="46"/>
        <v>8070550</v>
      </c>
      <c r="BW338" s="5"/>
      <c r="BX338" s="5">
        <f>BV338-'Gov Fd BS'!AI338</f>
        <v>0</v>
      </c>
    </row>
    <row r="339" spans="1:76">
      <c r="A339" s="9" t="s">
        <v>215</v>
      </c>
      <c r="B339" s="9"/>
      <c r="C339" s="9" t="s">
        <v>15</v>
      </c>
      <c r="D339" s="9"/>
      <c r="E339" s="23">
        <v>44347</v>
      </c>
      <c r="G339" s="42">
        <v>7060062</v>
      </c>
      <c r="I339" s="42">
        <v>1270693</v>
      </c>
      <c r="K339" s="42">
        <v>336159</v>
      </c>
      <c r="M339" s="42">
        <v>0</v>
      </c>
      <c r="O339" s="42">
        <v>72812</v>
      </c>
      <c r="Q339" s="42">
        <v>587627</v>
      </c>
      <c r="S339" s="42">
        <v>589741</v>
      </c>
      <c r="U339" s="42">
        <v>39520</v>
      </c>
      <c r="W339" s="42">
        <v>1050669</v>
      </c>
      <c r="Y339" s="42">
        <v>340986</v>
      </c>
      <c r="AA339" s="42">
        <v>0</v>
      </c>
      <c r="AC339" s="42">
        <v>1078948</v>
      </c>
      <c r="AE339" s="42">
        <v>777635</v>
      </c>
      <c r="AG339" s="42">
        <v>57886</v>
      </c>
      <c r="AI339" s="42">
        <v>717426</v>
      </c>
      <c r="AK339" s="42">
        <v>136321</v>
      </c>
      <c r="AL339" s="9" t="s">
        <v>215</v>
      </c>
      <c r="AM339" s="9"/>
      <c r="AN339" s="9" t="s">
        <v>15</v>
      </c>
      <c r="AP339" s="42">
        <v>387620</v>
      </c>
      <c r="AR339" s="42">
        <v>211957</v>
      </c>
      <c r="AT339" s="42">
        <v>0</v>
      </c>
      <c r="AV339" s="42">
        <v>646163</v>
      </c>
      <c r="AX339" s="42">
        <v>484973</v>
      </c>
      <c r="AZ339" s="42">
        <v>0</v>
      </c>
      <c r="BB339" s="5">
        <f t="shared" si="44"/>
        <v>15847198</v>
      </c>
      <c r="BD339" s="42">
        <v>1425357</v>
      </c>
      <c r="BF339" s="42">
        <v>0</v>
      </c>
      <c r="BH339" s="42">
        <v>0</v>
      </c>
      <c r="BJ339" s="42">
        <v>0</v>
      </c>
      <c r="BL339" s="5">
        <f t="shared" si="45"/>
        <v>17272555</v>
      </c>
      <c r="BN339" s="5">
        <f>'Gov Fd Rev'!AQ339-'Gov Fd Exp'!BL339</f>
        <v>458944</v>
      </c>
      <c r="BP339" s="42">
        <v>779591</v>
      </c>
      <c r="BR339" s="42">
        <v>0</v>
      </c>
      <c r="BT339" s="42">
        <v>0</v>
      </c>
      <c r="BV339" s="5">
        <f t="shared" si="46"/>
        <v>1238535</v>
      </c>
      <c r="BW339" s="5"/>
      <c r="BX339" s="5">
        <f>BV339-'Gov Fd BS'!AI339</f>
        <v>0</v>
      </c>
    </row>
    <row r="340" spans="1:76">
      <c r="A340" s="9" t="s">
        <v>761</v>
      </c>
      <c r="B340" s="9"/>
      <c r="C340" s="9" t="s">
        <v>66</v>
      </c>
      <c r="D340" s="9"/>
      <c r="E340" s="23">
        <v>45476</v>
      </c>
      <c r="G340" s="42">
        <v>21842970</v>
      </c>
      <c r="I340" s="42">
        <v>5742512</v>
      </c>
      <c r="K340" s="42">
        <v>620213</v>
      </c>
      <c r="M340" s="42">
        <v>0</v>
      </c>
      <c r="O340" s="42">
        <v>542203</v>
      </c>
      <c r="Q340" s="42">
        <v>3480505</v>
      </c>
      <c r="S340" s="42">
        <v>4787251</v>
      </c>
      <c r="U340" s="42">
        <v>187751</v>
      </c>
      <c r="W340" s="42">
        <v>3456326</v>
      </c>
      <c r="Y340" s="42">
        <v>1150047</v>
      </c>
      <c r="AA340" s="42">
        <v>584031</v>
      </c>
      <c r="AC340" s="42">
        <v>4231773</v>
      </c>
      <c r="AE340" s="42">
        <v>2212306</v>
      </c>
      <c r="AG340" s="42">
        <v>511101</v>
      </c>
      <c r="AI340" s="42">
        <v>2100797</v>
      </c>
      <c r="AK340" s="42">
        <v>192019</v>
      </c>
      <c r="AL340" s="9" t="s">
        <v>761</v>
      </c>
      <c r="AM340" s="9"/>
      <c r="AN340" s="9" t="s">
        <v>66</v>
      </c>
      <c r="AP340" s="42">
        <v>1029195</v>
      </c>
      <c r="AR340" s="42">
        <v>11860</v>
      </c>
      <c r="AT340" s="42">
        <v>0</v>
      </c>
      <c r="AV340" s="42">
        <v>3006921</v>
      </c>
      <c r="AX340" s="42">
        <v>4746187</v>
      </c>
      <c r="AZ340" s="42">
        <v>159464</v>
      </c>
      <c r="BB340" s="5">
        <f t="shared" si="44"/>
        <v>60595432</v>
      </c>
      <c r="BD340" s="42">
        <v>1498178</v>
      </c>
      <c r="BF340" s="42">
        <v>0</v>
      </c>
      <c r="BH340" s="42">
        <v>0</v>
      </c>
      <c r="BJ340" s="42">
        <v>11705377</v>
      </c>
      <c r="BL340" s="5">
        <f t="shared" si="45"/>
        <v>73798987</v>
      </c>
      <c r="BN340" s="5">
        <f>'Gov Fd Rev'!AQ340-'Gov Fd Exp'!BL340</f>
        <v>3668789</v>
      </c>
      <c r="BP340" s="42">
        <v>4107959</v>
      </c>
      <c r="BR340" s="42">
        <v>0</v>
      </c>
      <c r="BT340" s="42">
        <v>0</v>
      </c>
      <c r="BV340" s="5">
        <f t="shared" si="46"/>
        <v>7776748</v>
      </c>
      <c r="BW340" s="5"/>
      <c r="BX340" s="5">
        <f>BV340-'Gov Fd BS'!AI340</f>
        <v>0</v>
      </c>
    </row>
    <row r="341" spans="1:76">
      <c r="A341" s="9" t="s">
        <v>542</v>
      </c>
      <c r="B341" s="9"/>
      <c r="C341" s="9" t="s">
        <v>69</v>
      </c>
      <c r="D341" s="9"/>
      <c r="E341" s="23">
        <v>50450</v>
      </c>
      <c r="G341" s="42">
        <v>41439099</v>
      </c>
      <c r="I341" s="42">
        <v>18900750</v>
      </c>
      <c r="K341" s="42">
        <v>13480</v>
      </c>
      <c r="M341" s="42">
        <v>0</v>
      </c>
      <c r="O341" s="42">
        <v>3678507</v>
      </c>
      <c r="Q341" s="42">
        <v>6547920</v>
      </c>
      <c r="S341" s="42">
        <v>1518557</v>
      </c>
      <c r="U341" s="42">
        <v>0</v>
      </c>
      <c r="W341" s="42">
        <f>250134+5206190</f>
        <v>5456324</v>
      </c>
      <c r="Y341" s="42">
        <v>1788716</v>
      </c>
      <c r="AA341" s="42">
        <v>441407</v>
      </c>
      <c r="AC341" s="42">
        <v>11144409</v>
      </c>
      <c r="AE341" s="42">
        <v>5832777</v>
      </c>
      <c r="AG341" s="42">
        <v>3174086</v>
      </c>
      <c r="AI341" s="42">
        <v>0</v>
      </c>
      <c r="AK341" s="42">
        <v>5899742</v>
      </c>
      <c r="AL341" s="9" t="s">
        <v>542</v>
      </c>
      <c r="AM341" s="9"/>
      <c r="AN341" s="9" t="s">
        <v>69</v>
      </c>
      <c r="AP341" s="42">
        <v>3034665</v>
      </c>
      <c r="AR341" s="42">
        <v>523717</v>
      </c>
      <c r="AT341" s="42">
        <v>0</v>
      </c>
      <c r="AV341" s="42">
        <v>9538000</v>
      </c>
      <c r="AX341" s="42">
        <v>5390008</v>
      </c>
      <c r="AZ341" s="42">
        <v>314815</v>
      </c>
      <c r="BB341" s="5">
        <f t="shared" si="44"/>
        <v>124636979</v>
      </c>
      <c r="BD341" s="42">
        <v>16060000</v>
      </c>
      <c r="BF341" s="42">
        <v>0</v>
      </c>
      <c r="BH341" s="42">
        <v>0</v>
      </c>
      <c r="BJ341" s="42">
        <v>23808438</v>
      </c>
      <c r="BL341" s="5">
        <f t="shared" si="45"/>
        <v>164505417</v>
      </c>
      <c r="BN341" s="5">
        <f>'Gov Fd Rev'!AQ341-'Gov Fd Exp'!BL341</f>
        <v>3688558</v>
      </c>
      <c r="BP341" s="42">
        <v>48260064</v>
      </c>
      <c r="BR341" s="42">
        <v>0</v>
      </c>
      <c r="BT341" s="42">
        <v>0</v>
      </c>
      <c r="BV341" s="5">
        <f t="shared" si="46"/>
        <v>51948622</v>
      </c>
      <c r="BW341" s="5"/>
      <c r="BX341" s="5">
        <f>BV341-'Gov Fd BS'!AI341</f>
        <v>0</v>
      </c>
    </row>
    <row r="342" spans="1:76">
      <c r="A342" s="9" t="s">
        <v>497</v>
      </c>
      <c r="B342" s="9"/>
      <c r="C342" s="9" t="s">
        <v>62</v>
      </c>
      <c r="D342" s="9"/>
      <c r="E342" s="23">
        <v>44354</v>
      </c>
      <c r="G342" s="42">
        <v>18308241</v>
      </c>
      <c r="I342" s="42">
        <v>4567816</v>
      </c>
      <c r="K342" s="42">
        <v>1876730</v>
      </c>
      <c r="M342" s="42">
        <v>53580</v>
      </c>
      <c r="O342" s="42">
        <f>92552+729169</f>
        <v>821721</v>
      </c>
      <c r="Q342" s="42">
        <v>2973954</v>
      </c>
      <c r="S342" s="42">
        <v>1357396</v>
      </c>
      <c r="U342" s="42">
        <v>138187</v>
      </c>
      <c r="W342" s="42">
        <v>2657771</v>
      </c>
      <c r="Y342" s="42">
        <v>960278</v>
      </c>
      <c r="AA342" s="42">
        <v>7968</v>
      </c>
      <c r="AC342" s="42">
        <v>5048891</v>
      </c>
      <c r="AE342" s="42">
        <v>1533396</v>
      </c>
      <c r="AG342" s="42">
        <v>486740</v>
      </c>
      <c r="AI342" s="42">
        <v>1574578</v>
      </c>
      <c r="AK342" s="42">
        <f>179026+78405</f>
        <v>257431</v>
      </c>
      <c r="AL342" s="9" t="s">
        <v>497</v>
      </c>
      <c r="AM342" s="9"/>
      <c r="AN342" s="9" t="s">
        <v>62</v>
      </c>
      <c r="AP342" s="42">
        <v>1607720</v>
      </c>
      <c r="AR342" s="42">
        <v>107921</v>
      </c>
      <c r="AT342" s="42">
        <v>0</v>
      </c>
      <c r="AV342" s="42">
        <v>672285</v>
      </c>
      <c r="AX342" s="42">
        <v>366743</v>
      </c>
      <c r="AZ342" s="42">
        <v>0</v>
      </c>
      <c r="BB342" s="5">
        <f t="shared" si="44"/>
        <v>45379347</v>
      </c>
      <c r="BD342" s="42">
        <v>276360</v>
      </c>
      <c r="BF342" s="42">
        <v>0</v>
      </c>
      <c r="BH342" s="42">
        <v>0</v>
      </c>
      <c r="BJ342" s="42">
        <v>0</v>
      </c>
      <c r="BL342" s="5">
        <f t="shared" si="45"/>
        <v>45655707</v>
      </c>
      <c r="BN342" s="5">
        <f>'Gov Fd Rev'!AQ342-'Gov Fd Exp'!BL342</f>
        <v>1462849</v>
      </c>
      <c r="BP342" s="42">
        <v>8542033</v>
      </c>
      <c r="BR342" s="42">
        <v>0</v>
      </c>
      <c r="BT342" s="42">
        <v>0</v>
      </c>
      <c r="BV342" s="5">
        <f t="shared" si="46"/>
        <v>10004882</v>
      </c>
      <c r="BW342" s="5"/>
      <c r="BX342" s="5">
        <f>BV342-'Gov Fd BS'!AI342</f>
        <v>0</v>
      </c>
    </row>
    <row r="343" spans="1:76">
      <c r="A343" s="9" t="s">
        <v>525</v>
      </c>
      <c r="B343" s="9"/>
      <c r="C343" s="9" t="s">
        <v>64</v>
      </c>
      <c r="D343" s="9"/>
      <c r="E343" s="23">
        <v>50153</v>
      </c>
      <c r="G343" s="42">
        <v>4285741</v>
      </c>
      <c r="I343" s="42">
        <v>926033</v>
      </c>
      <c r="K343" s="42">
        <v>91020</v>
      </c>
      <c r="M343" s="42">
        <v>0</v>
      </c>
      <c r="O343" s="42">
        <v>123929</v>
      </c>
      <c r="Q343" s="42">
        <v>438837</v>
      </c>
      <c r="S343" s="42">
        <v>201366</v>
      </c>
      <c r="U343" s="42">
        <v>68931</v>
      </c>
      <c r="W343" s="42">
        <v>895728</v>
      </c>
      <c r="Y343" s="42">
        <v>346517</v>
      </c>
      <c r="AA343" s="42">
        <v>332</v>
      </c>
      <c r="AC343" s="42">
        <v>796130</v>
      </c>
      <c r="AE343" s="42">
        <v>549306</v>
      </c>
      <c r="AG343" s="42">
        <v>88452</v>
      </c>
      <c r="AI343" s="42">
        <v>300585</v>
      </c>
      <c r="AK343" s="42">
        <v>31363</v>
      </c>
      <c r="AL343" s="9" t="s">
        <v>525</v>
      </c>
      <c r="AM343" s="9"/>
      <c r="AN343" s="9" t="s">
        <v>64</v>
      </c>
      <c r="AP343" s="42">
        <v>225805</v>
      </c>
      <c r="AR343" s="42">
        <v>162883</v>
      </c>
      <c r="AT343" s="42">
        <v>0</v>
      </c>
      <c r="AV343" s="42">
        <v>722</v>
      </c>
      <c r="AX343" s="42">
        <v>0</v>
      </c>
      <c r="AZ343" s="42">
        <v>0</v>
      </c>
      <c r="BB343" s="5">
        <f t="shared" si="44"/>
        <v>9533680</v>
      </c>
      <c r="BD343" s="42">
        <v>561066</v>
      </c>
      <c r="BF343" s="42">
        <v>0</v>
      </c>
      <c r="BH343" s="42">
        <v>0</v>
      </c>
      <c r="BJ343" s="42">
        <v>0</v>
      </c>
      <c r="BL343" s="5">
        <f t="shared" si="45"/>
        <v>10094746</v>
      </c>
      <c r="BN343" s="5">
        <f>'Gov Fd Rev'!AQ343-'Gov Fd Exp'!BL343</f>
        <v>18183</v>
      </c>
      <c r="BP343" s="42">
        <v>171124</v>
      </c>
      <c r="BR343" s="42">
        <v>0</v>
      </c>
      <c r="BT343" s="42">
        <v>0</v>
      </c>
      <c r="BV343" s="5">
        <f t="shared" si="46"/>
        <v>189307</v>
      </c>
      <c r="BW343" s="5"/>
      <c r="BX343" s="5">
        <f>BV343-'Gov Fd BS'!AI343</f>
        <v>0</v>
      </c>
    </row>
    <row r="344" spans="1:76" hidden="1">
      <c r="A344" s="8" t="s">
        <v>865</v>
      </c>
      <c r="B344" s="9"/>
      <c r="C344" s="9" t="s">
        <v>114</v>
      </c>
      <c r="D344" s="9"/>
      <c r="E344" s="23">
        <v>44362</v>
      </c>
      <c r="G344" s="42">
        <v>0</v>
      </c>
      <c r="I344" s="42">
        <v>0</v>
      </c>
      <c r="K344" s="42">
        <v>0</v>
      </c>
      <c r="M344" s="42">
        <v>0</v>
      </c>
      <c r="O344" s="42">
        <v>0</v>
      </c>
      <c r="Q344" s="42">
        <v>0</v>
      </c>
      <c r="S344" s="42">
        <v>0</v>
      </c>
      <c r="U344" s="42">
        <v>0</v>
      </c>
      <c r="W344" s="42">
        <v>0</v>
      </c>
      <c r="Y344" s="42">
        <v>0</v>
      </c>
      <c r="AA344" s="42">
        <v>0</v>
      </c>
      <c r="AC344" s="42">
        <v>0</v>
      </c>
      <c r="AE344" s="42">
        <v>0</v>
      </c>
      <c r="AG344" s="42">
        <v>0</v>
      </c>
      <c r="AI344" s="42">
        <v>0</v>
      </c>
      <c r="AK344" s="42">
        <v>0</v>
      </c>
      <c r="AL344" s="8" t="s">
        <v>865</v>
      </c>
      <c r="AM344" s="9"/>
      <c r="AN344" s="9" t="s">
        <v>114</v>
      </c>
      <c r="AP344" s="42">
        <v>0</v>
      </c>
      <c r="AR344" s="42">
        <v>0</v>
      </c>
      <c r="AT344" s="42">
        <v>0</v>
      </c>
      <c r="AV344" s="42">
        <v>0</v>
      </c>
      <c r="AX344" s="42">
        <v>0</v>
      </c>
      <c r="AZ344" s="42">
        <v>0</v>
      </c>
      <c r="BB344" s="5">
        <f t="shared" si="44"/>
        <v>0</v>
      </c>
      <c r="BD344" s="42">
        <v>0</v>
      </c>
      <c r="BF344" s="42">
        <v>0</v>
      </c>
      <c r="BH344" s="42">
        <v>0</v>
      </c>
      <c r="BJ344" s="42">
        <v>0</v>
      </c>
      <c r="BL344" s="5">
        <f t="shared" si="45"/>
        <v>0</v>
      </c>
      <c r="BN344" s="5">
        <f>'Gov Fd Rev'!AQ344-'Gov Fd Exp'!BL344</f>
        <v>0</v>
      </c>
      <c r="BP344" s="42">
        <v>0</v>
      </c>
      <c r="BR344" s="42">
        <v>0</v>
      </c>
      <c r="BT344" s="42">
        <v>0</v>
      </c>
      <c r="BV344" s="5">
        <f t="shared" si="46"/>
        <v>0</v>
      </c>
      <c r="BW344" s="5"/>
      <c r="BX344" s="5">
        <f>BV344-'Gov Fd BS'!AI344</f>
        <v>0</v>
      </c>
    </row>
    <row r="345" spans="1:76">
      <c r="A345" s="9" t="s">
        <v>717</v>
      </c>
      <c r="B345" s="9"/>
      <c r="C345" s="9" t="s">
        <v>20</v>
      </c>
      <c r="D345" s="9"/>
      <c r="E345" s="23">
        <v>44370</v>
      </c>
      <c r="G345" s="42">
        <v>24981704</v>
      </c>
      <c r="I345" s="42">
        <v>12405656</v>
      </c>
      <c r="K345" s="42">
        <f>868665+6754722</f>
        <v>7623387</v>
      </c>
      <c r="M345" s="42">
        <v>41</v>
      </c>
      <c r="O345" s="42">
        <v>0</v>
      </c>
      <c r="Q345" s="42">
        <v>5541808</v>
      </c>
      <c r="S345" s="42">
        <v>5653067</v>
      </c>
      <c r="U345" s="42">
        <v>131947</v>
      </c>
      <c r="W345" s="42">
        <v>3919125</v>
      </c>
      <c r="Y345" s="42">
        <v>1872409</v>
      </c>
      <c r="AA345" s="42">
        <v>352037</v>
      </c>
      <c r="AC345" s="42">
        <v>5786504</v>
      </c>
      <c r="AE345" s="42">
        <v>4603377</v>
      </c>
      <c r="AG345" s="42">
        <v>1024173</v>
      </c>
      <c r="AI345" s="42">
        <v>1264113</v>
      </c>
      <c r="AK345" s="42">
        <v>1437039</v>
      </c>
      <c r="AL345" s="9" t="s">
        <v>717</v>
      </c>
      <c r="AM345" s="9"/>
      <c r="AN345" s="9" t="s">
        <v>20</v>
      </c>
      <c r="AP345" s="42">
        <v>1468083</v>
      </c>
      <c r="AR345" s="42">
        <v>9432670</v>
      </c>
      <c r="AT345" s="42">
        <v>0</v>
      </c>
      <c r="AV345" s="42">
        <v>1496541</v>
      </c>
      <c r="AX345" s="42">
        <v>1880805</v>
      </c>
      <c r="AZ345" s="42">
        <v>0</v>
      </c>
      <c r="BB345" s="5">
        <f t="shared" si="44"/>
        <v>90874486</v>
      </c>
      <c r="BD345" s="42">
        <v>3043272</v>
      </c>
      <c r="BF345" s="42">
        <v>0</v>
      </c>
      <c r="BH345" s="42">
        <v>0</v>
      </c>
      <c r="BJ345" s="42">
        <v>0</v>
      </c>
      <c r="BL345" s="5">
        <f t="shared" si="45"/>
        <v>93917758</v>
      </c>
      <c r="BN345" s="5">
        <f>'Gov Fd Rev'!AQ345-'Gov Fd Exp'!BL345</f>
        <v>-6331306</v>
      </c>
      <c r="BP345" s="42">
        <v>42309546</v>
      </c>
      <c r="BR345" s="42">
        <v>0</v>
      </c>
      <c r="BT345" s="42">
        <v>0</v>
      </c>
      <c r="BV345" s="5">
        <f t="shared" si="46"/>
        <v>35978240</v>
      </c>
      <c r="BW345" s="5"/>
      <c r="BX345" s="5">
        <f>BV345-'Gov Fd BS'!AI345</f>
        <v>0</v>
      </c>
    </row>
    <row r="346" spans="1:76">
      <c r="A346" s="9" t="s">
        <v>442</v>
      </c>
      <c r="B346" s="9"/>
      <c r="C346" s="9" t="s">
        <v>51</v>
      </c>
      <c r="D346" s="9"/>
      <c r="E346" s="23">
        <v>48850</v>
      </c>
      <c r="G346" s="42">
        <v>10263083</v>
      </c>
      <c r="I346" s="42">
        <v>2767869</v>
      </c>
      <c r="K346" s="42">
        <v>91553</v>
      </c>
      <c r="M346" s="42">
        <v>0</v>
      </c>
      <c r="O346" s="42">
        <v>435962</v>
      </c>
      <c r="Q346" s="42">
        <v>710646</v>
      </c>
      <c r="S346" s="42">
        <v>1542526</v>
      </c>
      <c r="U346" s="42">
        <v>52446</v>
      </c>
      <c r="W346" s="42">
        <v>1767746</v>
      </c>
      <c r="Y346" s="42">
        <v>408035</v>
      </c>
      <c r="AA346" s="42">
        <v>0</v>
      </c>
      <c r="AC346" s="42">
        <v>1926891</v>
      </c>
      <c r="AE346" s="42">
        <v>1137284</v>
      </c>
      <c r="AG346" s="42">
        <v>62019</v>
      </c>
      <c r="AI346" s="42">
        <v>970074</v>
      </c>
      <c r="AK346" s="42">
        <v>30601</v>
      </c>
      <c r="AL346" s="9" t="s">
        <v>442</v>
      </c>
      <c r="AM346" s="9"/>
      <c r="AN346" s="9" t="s">
        <v>51</v>
      </c>
      <c r="AP346" s="42">
        <v>583862</v>
      </c>
      <c r="AR346" s="42">
        <v>1608223</v>
      </c>
      <c r="AT346" s="42">
        <v>0</v>
      </c>
      <c r="AV346" s="42">
        <v>430792</v>
      </c>
      <c r="AX346" s="42">
        <v>195449</v>
      </c>
      <c r="AZ346" s="42">
        <v>0</v>
      </c>
      <c r="BB346" s="5">
        <f t="shared" si="44"/>
        <v>24985061</v>
      </c>
      <c r="BD346" s="42">
        <v>0</v>
      </c>
      <c r="BF346" s="42">
        <v>0</v>
      </c>
      <c r="BH346" s="42">
        <v>0</v>
      </c>
      <c r="BJ346" s="42">
        <v>0</v>
      </c>
      <c r="BL346" s="5">
        <f t="shared" si="45"/>
        <v>24985061</v>
      </c>
      <c r="BN346" s="5">
        <f>'Gov Fd Rev'!AQ346-'Gov Fd Exp'!BL346</f>
        <v>-2795218</v>
      </c>
      <c r="BP346" s="42">
        <v>3722992</v>
      </c>
      <c r="BR346" s="42">
        <v>0</v>
      </c>
      <c r="BT346" s="42">
        <v>0</v>
      </c>
      <c r="BV346" s="5">
        <f t="shared" si="46"/>
        <v>927774</v>
      </c>
      <c r="BW346" s="5"/>
      <c r="BX346" s="5">
        <f>BV346-'Gov Fd BS'!AI346</f>
        <v>0</v>
      </c>
    </row>
    <row r="347" spans="1:76" hidden="1">
      <c r="A347" s="9" t="s">
        <v>800</v>
      </c>
      <c r="B347" s="9"/>
      <c r="C347" s="9" t="s">
        <v>33</v>
      </c>
      <c r="D347" s="9"/>
      <c r="E347" s="23">
        <v>47456</v>
      </c>
      <c r="G347" s="42">
        <v>0</v>
      </c>
      <c r="I347" s="42">
        <v>0</v>
      </c>
      <c r="K347" s="42">
        <v>0</v>
      </c>
      <c r="M347" s="42">
        <v>0</v>
      </c>
      <c r="O347" s="42">
        <v>0</v>
      </c>
      <c r="Q347" s="42">
        <v>0</v>
      </c>
      <c r="S347" s="42">
        <v>0</v>
      </c>
      <c r="U347" s="42">
        <v>0</v>
      </c>
      <c r="W347" s="42">
        <v>0</v>
      </c>
      <c r="Y347" s="42">
        <v>0</v>
      </c>
      <c r="AA347" s="42">
        <v>0</v>
      </c>
      <c r="AC347" s="42">
        <v>0</v>
      </c>
      <c r="AE347" s="42">
        <v>0</v>
      </c>
      <c r="AG347" s="42">
        <v>0</v>
      </c>
      <c r="AI347" s="42">
        <v>0</v>
      </c>
      <c r="AK347" s="42">
        <v>0</v>
      </c>
      <c r="AL347" s="9" t="s">
        <v>800</v>
      </c>
      <c r="AM347" s="9"/>
      <c r="AN347" s="9" t="s">
        <v>33</v>
      </c>
      <c r="AP347" s="42">
        <v>0</v>
      </c>
      <c r="AR347" s="42">
        <v>0</v>
      </c>
      <c r="AT347" s="42">
        <v>0</v>
      </c>
      <c r="AV347" s="42">
        <v>0</v>
      </c>
      <c r="AX347" s="42">
        <v>0</v>
      </c>
      <c r="AZ347" s="42">
        <v>0</v>
      </c>
      <c r="BB347" s="5">
        <f t="shared" si="44"/>
        <v>0</v>
      </c>
      <c r="BD347" s="42">
        <v>0</v>
      </c>
      <c r="BF347" s="42">
        <v>0</v>
      </c>
      <c r="BH347" s="42">
        <v>0</v>
      </c>
      <c r="BJ347" s="42">
        <v>0</v>
      </c>
      <c r="BL347" s="5">
        <f>BB347+BD347+BJ347+BF347</f>
        <v>0</v>
      </c>
      <c r="BN347" s="5">
        <f>'Gov Fd Rev'!AQ347-'Gov Fd Exp'!BL347</f>
        <v>0</v>
      </c>
      <c r="BP347" s="42">
        <v>0</v>
      </c>
      <c r="BR347" s="42">
        <v>0</v>
      </c>
      <c r="BT347" s="42">
        <v>0</v>
      </c>
      <c r="BV347" s="5">
        <f t="shared" si="46"/>
        <v>0</v>
      </c>
      <c r="BW347" s="5"/>
      <c r="BX347" s="5">
        <f>BV347-'Gov Fd BS'!AI347</f>
        <v>0</v>
      </c>
    </row>
    <row r="348" spans="1:76">
      <c r="A348" s="9" t="s">
        <v>633</v>
      </c>
      <c r="B348" s="9"/>
      <c r="C348" s="9" t="s">
        <v>64</v>
      </c>
      <c r="D348" s="9"/>
      <c r="E348" s="23">
        <v>50229</v>
      </c>
      <c r="G348" s="42">
        <v>3506716</v>
      </c>
      <c r="I348" s="42">
        <v>631461</v>
      </c>
      <c r="K348" s="42">
        <v>31775</v>
      </c>
      <c r="M348" s="42">
        <v>0</v>
      </c>
      <c r="O348" s="42">
        <v>0</v>
      </c>
      <c r="Q348" s="42">
        <v>301738</v>
      </c>
      <c r="S348" s="42">
        <v>8635</v>
      </c>
      <c r="U348" s="42">
        <v>27870</v>
      </c>
      <c r="W348" s="42">
        <v>441337</v>
      </c>
      <c r="Y348" s="42">
        <v>174281</v>
      </c>
      <c r="AA348" s="42">
        <v>0</v>
      </c>
      <c r="AC348" s="42">
        <v>528125</v>
      </c>
      <c r="AE348" s="42">
        <v>94287</v>
      </c>
      <c r="AG348" s="42">
        <v>45937</v>
      </c>
      <c r="AI348" s="42">
        <v>102546</v>
      </c>
      <c r="AK348" s="42">
        <v>21781</v>
      </c>
      <c r="AL348" s="9" t="s">
        <v>633</v>
      </c>
      <c r="AM348" s="9"/>
      <c r="AN348" s="9" t="s">
        <v>64</v>
      </c>
      <c r="AP348" s="42">
        <v>196488</v>
      </c>
      <c r="AR348" s="42">
        <v>46704</v>
      </c>
      <c r="AT348" s="42">
        <v>0</v>
      </c>
      <c r="AV348" s="42">
        <v>134554</v>
      </c>
      <c r="AX348" s="42">
        <v>46312</v>
      </c>
      <c r="AZ348" s="42">
        <v>0</v>
      </c>
      <c r="BB348" s="5">
        <f t="shared" si="44"/>
        <v>6340547</v>
      </c>
      <c r="BD348" s="42">
        <v>188699</v>
      </c>
      <c r="BF348" s="42">
        <v>0</v>
      </c>
      <c r="BH348" s="42">
        <v>0</v>
      </c>
      <c r="BJ348" s="42">
        <v>0</v>
      </c>
      <c r="BL348" s="5">
        <f t="shared" si="45"/>
        <v>6529246</v>
      </c>
      <c r="BN348" s="5">
        <f>'Gov Fd Rev'!AQ348-'Gov Fd Exp'!BL348</f>
        <v>1260558</v>
      </c>
      <c r="BP348" s="42">
        <v>471446</v>
      </c>
      <c r="BR348" s="42">
        <v>0</v>
      </c>
      <c r="BT348" s="42">
        <v>0</v>
      </c>
      <c r="BV348" s="5">
        <f t="shared" si="46"/>
        <v>1732004</v>
      </c>
      <c r="BW348" s="5"/>
      <c r="BX348" s="5">
        <f>BV348-'Gov Fd BS'!AI348</f>
        <v>0</v>
      </c>
    </row>
    <row r="349" spans="1:76">
      <c r="A349" s="9" t="s">
        <v>762</v>
      </c>
      <c r="B349" s="9"/>
      <c r="C349" s="9" t="s">
        <v>227</v>
      </c>
      <c r="D349" s="9"/>
      <c r="E349" s="23">
        <v>45484</v>
      </c>
      <c r="G349" s="42">
        <v>4002596</v>
      </c>
      <c r="I349" s="42">
        <v>1513860</v>
      </c>
      <c r="K349" s="42">
        <v>105823</v>
      </c>
      <c r="M349" s="42">
        <v>0</v>
      </c>
      <c r="O349" s="42">
        <v>0</v>
      </c>
      <c r="Q349" s="42">
        <v>278750</v>
      </c>
      <c r="S349" s="42">
        <v>230960</v>
      </c>
      <c r="U349" s="42">
        <v>46039</v>
      </c>
      <c r="W349" s="42">
        <v>805083</v>
      </c>
      <c r="Y349" s="42">
        <v>348747</v>
      </c>
      <c r="AA349" s="42">
        <v>0</v>
      </c>
      <c r="AC349" s="42">
        <v>907245</v>
      </c>
      <c r="AE349" s="42">
        <v>698439</v>
      </c>
      <c r="AG349" s="42">
        <v>123583</v>
      </c>
      <c r="AI349" s="42">
        <v>241762</v>
      </c>
      <c r="AK349" s="42">
        <v>3485</v>
      </c>
      <c r="AL349" s="9" t="s">
        <v>762</v>
      </c>
      <c r="AM349" s="9"/>
      <c r="AN349" s="9" t="s">
        <v>227</v>
      </c>
      <c r="AP349" s="42">
        <v>265332</v>
      </c>
      <c r="AR349" s="42">
        <v>317</v>
      </c>
      <c r="AT349" s="42">
        <v>0</v>
      </c>
      <c r="AV349" s="42">
        <v>142725</v>
      </c>
      <c r="AX349" s="42">
        <v>293010</v>
      </c>
      <c r="AZ349" s="42">
        <v>137476</v>
      </c>
      <c r="BB349" s="5">
        <f t="shared" si="44"/>
        <v>10145232</v>
      </c>
      <c r="BD349" s="42">
        <v>200534</v>
      </c>
      <c r="BF349" s="42">
        <v>0</v>
      </c>
      <c r="BH349" s="42">
        <v>0</v>
      </c>
      <c r="BJ349" s="42">
        <v>6589946</v>
      </c>
      <c r="BL349" s="5">
        <f t="shared" si="45"/>
        <v>16935712</v>
      </c>
      <c r="BN349" s="5">
        <f>'Gov Fd Rev'!AQ349-'Gov Fd Exp'!BL349</f>
        <v>421430</v>
      </c>
      <c r="BP349" s="42">
        <v>696490</v>
      </c>
      <c r="BR349" s="42">
        <v>0</v>
      </c>
      <c r="BT349" s="42">
        <v>0</v>
      </c>
      <c r="BV349" s="5">
        <f t="shared" si="46"/>
        <v>1117920</v>
      </c>
      <c r="BW349" s="5"/>
      <c r="BX349" s="5">
        <f>BV349-'Gov Fd BS'!AI349</f>
        <v>0</v>
      </c>
    </row>
    <row r="350" spans="1:76">
      <c r="A350" s="9" t="s">
        <v>415</v>
      </c>
      <c r="B350" s="9"/>
      <c r="C350" s="9" t="s">
        <v>47</v>
      </c>
      <c r="D350" s="9"/>
      <c r="E350" s="23">
        <v>44388</v>
      </c>
      <c r="G350" s="42">
        <v>35567286</v>
      </c>
      <c r="I350" s="42">
        <v>8804411</v>
      </c>
      <c r="K350" s="42">
        <v>224663</v>
      </c>
      <c r="M350" s="42">
        <v>0</v>
      </c>
      <c r="O350" s="42">
        <v>44654</v>
      </c>
      <c r="Q350" s="42">
        <v>3552084</v>
      </c>
      <c r="S350" s="42">
        <v>2929343</v>
      </c>
      <c r="U350" s="42">
        <v>102588</v>
      </c>
      <c r="W350" s="42">
        <v>5111309</v>
      </c>
      <c r="Y350" s="42">
        <v>1440938</v>
      </c>
      <c r="AA350" s="42">
        <v>307489</v>
      </c>
      <c r="AC350" s="42">
        <v>7260162</v>
      </c>
      <c r="AE350" s="42">
        <v>2309548</v>
      </c>
      <c r="AG350" s="42">
        <v>451130</v>
      </c>
      <c r="AI350" s="42">
        <v>2260464</v>
      </c>
      <c r="AK350" s="42">
        <v>608677</v>
      </c>
      <c r="AL350" s="9" t="s">
        <v>415</v>
      </c>
      <c r="AM350" s="9"/>
      <c r="AN350" s="9" t="s">
        <v>47</v>
      </c>
      <c r="AP350" s="42">
        <v>1604808</v>
      </c>
      <c r="AR350" s="42">
        <v>608350</v>
      </c>
      <c r="AT350" s="42">
        <v>0</v>
      </c>
      <c r="AV350" s="42">
        <v>3476273</v>
      </c>
      <c r="AX350" s="42">
        <v>3594601</v>
      </c>
      <c r="AZ350" s="42">
        <v>325165</v>
      </c>
      <c r="BB350" s="5">
        <f t="shared" si="44"/>
        <v>80583943</v>
      </c>
      <c r="BD350" s="42">
        <v>403077</v>
      </c>
      <c r="BF350" s="42">
        <v>0</v>
      </c>
      <c r="BH350" s="42">
        <v>0</v>
      </c>
      <c r="BJ350" s="42">
        <v>45517255</v>
      </c>
      <c r="BL350" s="5">
        <f t="shared" si="45"/>
        <v>126504275</v>
      </c>
      <c r="BN350" s="5">
        <f>'Gov Fd Rev'!AQ350-'Gov Fd Exp'!BL350</f>
        <v>4082846</v>
      </c>
      <c r="BP350" s="42">
        <v>27110892</v>
      </c>
      <c r="BR350" s="42">
        <v>0</v>
      </c>
      <c r="BT350" s="42">
        <v>0</v>
      </c>
      <c r="BV350" s="5">
        <f t="shared" si="46"/>
        <v>31193738</v>
      </c>
      <c r="BW350" s="5"/>
      <c r="BX350" s="5">
        <f>BV350-'Gov Fd BS'!AI350</f>
        <v>0</v>
      </c>
    </row>
    <row r="351" spans="1:76">
      <c r="A351" s="9" t="s">
        <v>418</v>
      </c>
      <c r="B351" s="9"/>
      <c r="C351" s="9" t="s">
        <v>417</v>
      </c>
      <c r="D351" s="9"/>
      <c r="E351" s="23">
        <v>48520</v>
      </c>
      <c r="G351" s="42">
        <v>6778201</v>
      </c>
      <c r="I351" s="42">
        <v>3210590</v>
      </c>
      <c r="K351" s="42">
        <v>1222554</v>
      </c>
      <c r="M351" s="42">
        <v>6350</v>
      </c>
      <c r="O351" s="42">
        <f>75766+1851085</f>
        <v>1926851</v>
      </c>
      <c r="Q351" s="42">
        <v>1130038</v>
      </c>
      <c r="S351" s="42">
        <v>620778</v>
      </c>
      <c r="U351" s="42">
        <v>48947</v>
      </c>
      <c r="W351" s="42">
        <v>1760457</v>
      </c>
      <c r="Y351" s="42">
        <v>500068</v>
      </c>
      <c r="AA351" s="42">
        <v>0</v>
      </c>
      <c r="AC351" s="42">
        <v>2023990</v>
      </c>
      <c r="AE351" s="42">
        <v>1637784</v>
      </c>
      <c r="AG351" s="42">
        <v>150137</v>
      </c>
      <c r="AI351" s="42">
        <v>0</v>
      </c>
      <c r="AK351" s="42">
        <v>974692</v>
      </c>
      <c r="AL351" s="9" t="s">
        <v>418</v>
      </c>
      <c r="AM351" s="9"/>
      <c r="AN351" s="9" t="s">
        <v>417</v>
      </c>
      <c r="AP351" s="42">
        <v>397619</v>
      </c>
      <c r="AR351" s="42">
        <v>217922</v>
      </c>
      <c r="AT351" s="42">
        <v>0</v>
      </c>
      <c r="AV351" s="42">
        <v>446227</v>
      </c>
      <c r="AX351" s="42">
        <v>209783</v>
      </c>
      <c r="AZ351" s="42">
        <v>0</v>
      </c>
      <c r="BB351" s="5">
        <f t="shared" si="44"/>
        <v>23262988</v>
      </c>
      <c r="BD351" s="42">
        <v>0</v>
      </c>
      <c r="BF351" s="42">
        <v>0</v>
      </c>
      <c r="BH351" s="42">
        <v>0</v>
      </c>
      <c r="BJ351" s="42">
        <v>0</v>
      </c>
      <c r="BL351" s="5">
        <f t="shared" si="45"/>
        <v>23262988</v>
      </c>
      <c r="BN351" s="5">
        <f>'Gov Fd Rev'!AQ351-'Gov Fd Exp'!BL351</f>
        <v>-387805</v>
      </c>
      <c r="BP351" s="42">
        <v>1875571</v>
      </c>
      <c r="BR351" s="42">
        <v>0</v>
      </c>
      <c r="BT351" s="42">
        <v>0</v>
      </c>
      <c r="BV351" s="5">
        <f t="shared" si="46"/>
        <v>1487766</v>
      </c>
      <c r="BW351" s="5"/>
      <c r="BX351" s="5">
        <f>BV351-'Gov Fd BS'!AI351</f>
        <v>0</v>
      </c>
    </row>
    <row r="352" spans="1:76">
      <c r="A352" s="9" t="s">
        <v>763</v>
      </c>
      <c r="B352" s="9"/>
      <c r="C352" s="9" t="s">
        <v>41</v>
      </c>
      <c r="D352" s="9"/>
      <c r="E352" s="23">
        <v>45492</v>
      </c>
      <c r="G352" s="42">
        <v>44975387</v>
      </c>
      <c r="I352" s="42">
        <v>13131740</v>
      </c>
      <c r="K352" s="42">
        <v>2001758</v>
      </c>
      <c r="M352" s="42">
        <v>0</v>
      </c>
      <c r="O352" s="42">
        <v>135860</v>
      </c>
      <c r="Q352" s="42">
        <v>6692110</v>
      </c>
      <c r="S352" s="42">
        <v>6887005</v>
      </c>
      <c r="U352" s="42">
        <v>542655</v>
      </c>
      <c r="W352" s="42">
        <v>5712757</v>
      </c>
      <c r="Y352" s="42">
        <v>2466694</v>
      </c>
      <c r="AA352" s="42">
        <v>574700</v>
      </c>
      <c r="AC352" s="42">
        <v>8625875</v>
      </c>
      <c r="AE352" s="42">
        <v>6475944</v>
      </c>
      <c r="AG352" s="42">
        <v>1960039</v>
      </c>
      <c r="AI352" s="42">
        <v>2534119</v>
      </c>
      <c r="AK352" s="42">
        <v>1654046</v>
      </c>
      <c r="AL352" s="9" t="s">
        <v>763</v>
      </c>
      <c r="AM352" s="9"/>
      <c r="AN352" s="9" t="s">
        <v>41</v>
      </c>
      <c r="AP352" s="42">
        <v>1928218</v>
      </c>
      <c r="AR352" s="42">
        <v>0</v>
      </c>
      <c r="AT352" s="42">
        <v>0</v>
      </c>
      <c r="AV352" s="42">
        <v>924000</v>
      </c>
      <c r="AX352" s="42">
        <v>54327</v>
      </c>
      <c r="AZ352" s="42">
        <v>0</v>
      </c>
      <c r="BB352" s="5">
        <f t="shared" si="44"/>
        <v>107277234</v>
      </c>
      <c r="BD352" s="42">
        <v>435951</v>
      </c>
      <c r="BF352" s="42">
        <v>0</v>
      </c>
      <c r="BH352" s="42">
        <v>0</v>
      </c>
      <c r="BJ352" s="42">
        <v>0</v>
      </c>
      <c r="BL352" s="5">
        <f t="shared" si="45"/>
        <v>107713185</v>
      </c>
      <c r="BN352" s="5">
        <f>'Gov Fd Rev'!AQ352-'Gov Fd Exp'!BL352</f>
        <v>-2896192</v>
      </c>
      <c r="BP352" s="42">
        <v>53529366</v>
      </c>
      <c r="BR352" s="42">
        <v>0</v>
      </c>
      <c r="BT352" s="42">
        <v>0</v>
      </c>
      <c r="BV352" s="5">
        <f t="shared" si="46"/>
        <v>50633174</v>
      </c>
      <c r="BW352" s="5"/>
      <c r="BX352" s="5">
        <f>BV352-'Gov Fd BS'!AI352</f>
        <v>0</v>
      </c>
    </row>
    <row r="353" spans="1:76">
      <c r="A353" s="9" t="s">
        <v>421</v>
      </c>
      <c r="B353" s="9"/>
      <c r="C353" s="9" t="s">
        <v>48</v>
      </c>
      <c r="D353" s="9"/>
      <c r="E353" s="23">
        <v>48629</v>
      </c>
      <c r="G353" s="42">
        <v>5219850</v>
      </c>
      <c r="I353" s="42">
        <v>1144053</v>
      </c>
      <c r="K353" s="42">
        <v>84415</v>
      </c>
      <c r="M353" s="42">
        <v>0</v>
      </c>
      <c r="O353" s="42">
        <v>665691</v>
      </c>
      <c r="Q353" s="42">
        <v>620049</v>
      </c>
      <c r="S353" s="42">
        <v>394651</v>
      </c>
      <c r="U353" s="42">
        <v>19138</v>
      </c>
      <c r="W353" s="42">
        <v>835834</v>
      </c>
      <c r="Y353" s="42">
        <v>388152</v>
      </c>
      <c r="AA353" s="42">
        <v>47416</v>
      </c>
      <c r="AC353" s="42">
        <v>1052898</v>
      </c>
      <c r="AE353" s="42">
        <v>816619</v>
      </c>
      <c r="AG353" s="42">
        <v>205025</v>
      </c>
      <c r="AI353" s="42">
        <v>375789</v>
      </c>
      <c r="AK353" s="42">
        <v>26084</v>
      </c>
      <c r="AL353" s="9" t="s">
        <v>421</v>
      </c>
      <c r="AM353" s="9"/>
      <c r="AN353" s="9" t="s">
        <v>48</v>
      </c>
      <c r="AP353" s="42">
        <v>415530</v>
      </c>
      <c r="AR353" s="42">
        <v>173253</v>
      </c>
      <c r="AT353" s="42">
        <v>0</v>
      </c>
      <c r="AV353" s="42">
        <v>330842</v>
      </c>
      <c r="AX353" s="42">
        <v>652009</v>
      </c>
      <c r="AZ353" s="42">
        <v>319158</v>
      </c>
      <c r="BB353" s="5">
        <f t="shared" si="44"/>
        <v>13786456</v>
      </c>
      <c r="BD353" s="42">
        <v>0</v>
      </c>
      <c r="BF353" s="42">
        <v>0</v>
      </c>
      <c r="BH353" s="42">
        <v>0</v>
      </c>
      <c r="BJ353" s="42">
        <v>0</v>
      </c>
      <c r="BL353" s="5">
        <f t="shared" si="45"/>
        <v>13786456</v>
      </c>
      <c r="BN353" s="5">
        <f>'Gov Fd Rev'!AQ353-'Gov Fd Exp'!BL353</f>
        <v>1097437</v>
      </c>
      <c r="BP353" s="42">
        <v>3918924</v>
      </c>
      <c r="BR353" s="42">
        <v>0</v>
      </c>
      <c r="BT353" s="42">
        <v>0</v>
      </c>
      <c r="BV353" s="5">
        <f t="shared" si="46"/>
        <v>5016361</v>
      </c>
      <c r="BW353" s="5"/>
      <c r="BX353" s="5">
        <f>BV353-'Gov Fd BS'!AI353</f>
        <v>0</v>
      </c>
    </row>
    <row r="354" spans="1:76">
      <c r="A354" s="9" t="s">
        <v>295</v>
      </c>
      <c r="B354" s="9"/>
      <c r="C354" s="9" t="s">
        <v>26</v>
      </c>
      <c r="D354" s="9"/>
      <c r="E354" s="23">
        <v>46920</v>
      </c>
      <c r="G354" s="42">
        <v>9598408</v>
      </c>
      <c r="I354" s="42">
        <v>2352350</v>
      </c>
      <c r="K354" s="42">
        <v>83297</v>
      </c>
      <c r="M354" s="42">
        <v>0</v>
      </c>
      <c r="O354" s="42">
        <v>1951012</v>
      </c>
      <c r="Q354" s="42">
        <v>1108939</v>
      </c>
      <c r="S354" s="42">
        <v>1682983</v>
      </c>
      <c r="U354" s="42">
        <v>0</v>
      </c>
      <c r="W354" s="42">
        <f>28777+2273676</f>
        <v>2302453</v>
      </c>
      <c r="Y354" s="42">
        <v>746441</v>
      </c>
      <c r="AA354" s="42">
        <v>113148</v>
      </c>
      <c r="AC354" s="42">
        <v>2253032</v>
      </c>
      <c r="AE354" s="42">
        <v>2795237</v>
      </c>
      <c r="AG354" s="42">
        <v>141564</v>
      </c>
      <c r="AI354" s="42">
        <v>0</v>
      </c>
      <c r="AK354" s="42">
        <v>1151413</v>
      </c>
      <c r="AL354" s="9" t="s">
        <v>295</v>
      </c>
      <c r="AM354" s="9"/>
      <c r="AN354" s="9" t="s">
        <v>26</v>
      </c>
      <c r="AP354" s="42">
        <v>510402</v>
      </c>
      <c r="AR354" s="42">
        <v>380548</v>
      </c>
      <c r="AT354" s="42">
        <v>0</v>
      </c>
      <c r="AV354" s="42">
        <v>515000</v>
      </c>
      <c r="AX354" s="42">
        <v>1222998</v>
      </c>
      <c r="AZ354" s="42">
        <v>176720</v>
      </c>
      <c r="BB354" s="5">
        <f t="shared" si="44"/>
        <v>29085945</v>
      </c>
      <c r="BD354" s="42">
        <v>5409</v>
      </c>
      <c r="BF354" s="42">
        <v>0</v>
      </c>
      <c r="BH354" s="42">
        <v>0</v>
      </c>
      <c r="BJ354" s="42">
        <v>10441869</v>
      </c>
      <c r="BL354" s="5">
        <f t="shared" si="45"/>
        <v>39533223</v>
      </c>
      <c r="BN354" s="5">
        <f>'Gov Fd Rev'!AQ354-'Gov Fd Exp'!BL354</f>
        <v>1115537</v>
      </c>
      <c r="BP354" s="42">
        <v>19823748</v>
      </c>
      <c r="BR354" s="42">
        <v>0</v>
      </c>
      <c r="BT354" s="42">
        <v>0</v>
      </c>
      <c r="BV354" s="5">
        <f t="shared" si="46"/>
        <v>20939285</v>
      </c>
      <c r="BW354" s="5"/>
      <c r="BX354" s="5">
        <f>BV354-'Gov Fd BS'!AI354</f>
        <v>0</v>
      </c>
    </row>
    <row r="355" spans="1:76">
      <c r="A355" s="9" t="s">
        <v>429</v>
      </c>
      <c r="B355" s="9"/>
      <c r="C355" s="9" t="s">
        <v>50</v>
      </c>
      <c r="D355" s="9"/>
      <c r="E355" s="23">
        <v>44396</v>
      </c>
      <c r="G355" s="42">
        <v>23937656</v>
      </c>
      <c r="I355" s="42">
        <v>8935044</v>
      </c>
      <c r="K355" s="42">
        <v>540510</v>
      </c>
      <c r="M355" s="42">
        <v>0</v>
      </c>
      <c r="O355" s="42">
        <f>16799+411142</f>
        <v>427941</v>
      </c>
      <c r="Q355" s="42">
        <v>3984229</v>
      </c>
      <c r="S355" s="42">
        <v>1656307</v>
      </c>
      <c r="U355" s="42">
        <v>22775</v>
      </c>
      <c r="W355" s="42">
        <v>3200188</v>
      </c>
      <c r="Y355" s="42">
        <v>1160348</v>
      </c>
      <c r="AA355" s="42">
        <v>289440</v>
      </c>
      <c r="AC355" s="42">
        <v>4448652</v>
      </c>
      <c r="AE355" s="42">
        <v>3050353</v>
      </c>
      <c r="AG355" s="42">
        <v>567916</v>
      </c>
      <c r="AI355" s="42">
        <v>0</v>
      </c>
      <c r="AK355" s="42">
        <v>2350110</v>
      </c>
      <c r="AL355" s="9" t="s">
        <v>429</v>
      </c>
      <c r="AM355" s="9"/>
      <c r="AN355" s="9" t="s">
        <v>50</v>
      </c>
      <c r="AP355" s="42">
        <v>843974</v>
      </c>
      <c r="AR355" s="42">
        <v>6569146</v>
      </c>
      <c r="AT355" s="42">
        <v>0</v>
      </c>
      <c r="AV355" s="42">
        <v>1792277</v>
      </c>
      <c r="AX355" s="42">
        <v>3603460</v>
      </c>
      <c r="AZ355" s="42">
        <v>0</v>
      </c>
      <c r="BB355" s="5">
        <f t="shared" si="44"/>
        <v>67380326</v>
      </c>
      <c r="BD355" s="42">
        <v>245505</v>
      </c>
      <c r="BF355" s="42">
        <v>0</v>
      </c>
      <c r="BH355" s="42">
        <v>0</v>
      </c>
      <c r="BJ355" s="42">
        <v>0</v>
      </c>
      <c r="BL355" s="5">
        <f t="shared" si="45"/>
        <v>67625831</v>
      </c>
      <c r="BN355" s="5">
        <f>'Gov Fd Rev'!AQ355-'Gov Fd Exp'!BL355</f>
        <v>-6551022</v>
      </c>
      <c r="BP355" s="42">
        <v>22161345</v>
      </c>
      <c r="BR355" s="42">
        <v>0</v>
      </c>
      <c r="BT355" s="42">
        <v>0</v>
      </c>
      <c r="BV355" s="5">
        <f t="shared" si="46"/>
        <v>15610323</v>
      </c>
      <c r="BW355" s="5"/>
      <c r="BX355" s="5">
        <f>BV355-'Gov Fd BS'!AI355</f>
        <v>0</v>
      </c>
    </row>
    <row r="356" spans="1:76" hidden="1">
      <c r="A356" s="9" t="s">
        <v>806</v>
      </c>
      <c r="B356" s="9"/>
      <c r="C356" s="9" t="s">
        <v>53</v>
      </c>
      <c r="D356" s="9"/>
      <c r="E356" s="23">
        <v>48959</v>
      </c>
      <c r="G356" s="42">
        <v>0</v>
      </c>
      <c r="I356" s="42">
        <v>0</v>
      </c>
      <c r="K356" s="42">
        <v>0</v>
      </c>
      <c r="M356" s="42">
        <v>0</v>
      </c>
      <c r="O356" s="42">
        <v>0</v>
      </c>
      <c r="Q356" s="42">
        <v>0</v>
      </c>
      <c r="S356" s="42">
        <v>0</v>
      </c>
      <c r="U356" s="42">
        <v>0</v>
      </c>
      <c r="W356" s="42">
        <v>0</v>
      </c>
      <c r="Y356" s="42">
        <v>0</v>
      </c>
      <c r="AA356" s="42">
        <v>0</v>
      </c>
      <c r="AC356" s="42">
        <v>0</v>
      </c>
      <c r="AE356" s="42">
        <v>0</v>
      </c>
      <c r="AG356" s="42">
        <v>0</v>
      </c>
      <c r="AI356" s="42">
        <v>0</v>
      </c>
      <c r="AK356" s="42">
        <v>0</v>
      </c>
      <c r="AL356" s="9" t="s">
        <v>806</v>
      </c>
      <c r="AM356" s="9"/>
      <c r="AN356" s="9" t="s">
        <v>53</v>
      </c>
      <c r="AP356" s="42">
        <v>0</v>
      </c>
      <c r="AR356" s="42">
        <v>0</v>
      </c>
      <c r="AT356" s="42">
        <v>0</v>
      </c>
      <c r="AV356" s="42">
        <v>0</v>
      </c>
      <c r="AX356" s="42">
        <v>0</v>
      </c>
      <c r="AZ356" s="42">
        <v>0</v>
      </c>
      <c r="BB356" s="5">
        <f t="shared" si="44"/>
        <v>0</v>
      </c>
      <c r="BD356" s="42">
        <v>0</v>
      </c>
      <c r="BF356" s="42">
        <v>0</v>
      </c>
      <c r="BH356" s="42">
        <v>0</v>
      </c>
      <c r="BJ356" s="42">
        <v>0</v>
      </c>
      <c r="BL356" s="5">
        <f t="shared" ref="BL356" si="51">BB356+BD356+BJ356</f>
        <v>0</v>
      </c>
      <c r="BN356" s="5">
        <f>'Gov Fd Rev'!AQ356-'Gov Fd Exp'!BL356</f>
        <v>0</v>
      </c>
      <c r="BP356" s="42">
        <v>0</v>
      </c>
      <c r="BR356" s="42">
        <v>0</v>
      </c>
      <c r="BT356" s="42">
        <v>0</v>
      </c>
      <c r="BV356" s="5">
        <f t="shared" si="46"/>
        <v>0</v>
      </c>
      <c r="BW356" s="5"/>
      <c r="BX356" s="5">
        <f>BV356-'Gov Fd BS'!AI356</f>
        <v>0</v>
      </c>
    </row>
    <row r="357" spans="1:76">
      <c r="A357" s="9" t="s">
        <v>224</v>
      </c>
      <c r="B357" s="9"/>
      <c r="C357" s="9" t="s">
        <v>220</v>
      </c>
      <c r="D357" s="9"/>
      <c r="E357" s="23">
        <v>44404</v>
      </c>
      <c r="G357" s="42">
        <v>27089311</v>
      </c>
      <c r="I357" s="42">
        <v>9531217</v>
      </c>
      <c r="K357" s="42">
        <v>0</v>
      </c>
      <c r="M357" s="42">
        <v>430469</v>
      </c>
      <c r="O357" s="42">
        <f>5957573+5124634</f>
        <v>11082207</v>
      </c>
      <c r="Q357" s="42">
        <v>4379076</v>
      </c>
      <c r="S357" s="42">
        <v>3832870</v>
      </c>
      <c r="U357" s="42">
        <v>43835</v>
      </c>
      <c r="W357" s="42">
        <v>4456818</v>
      </c>
      <c r="Y357" s="42">
        <v>689018</v>
      </c>
      <c r="AA357" s="42">
        <v>253527</v>
      </c>
      <c r="AC357" s="42">
        <v>5684561</v>
      </c>
      <c r="AE357" s="42">
        <v>3689610</v>
      </c>
      <c r="AG357" s="42">
        <v>1257761</v>
      </c>
      <c r="AI357" s="42">
        <v>0</v>
      </c>
      <c r="AK357" s="42">
        <v>4518730</v>
      </c>
      <c r="AL357" s="9" t="s">
        <v>224</v>
      </c>
      <c r="AM357" s="9"/>
      <c r="AN357" s="9" t="s">
        <v>220</v>
      </c>
      <c r="AP357" s="42">
        <v>883030</v>
      </c>
      <c r="AR357" s="42">
        <v>8723</v>
      </c>
      <c r="AT357" s="42">
        <v>0</v>
      </c>
      <c r="AV357" s="42">
        <v>1033416</v>
      </c>
      <c r="AX357" s="42">
        <v>2921769</v>
      </c>
      <c r="AZ357" s="42">
        <v>0</v>
      </c>
      <c r="BB357" s="5">
        <f t="shared" si="44"/>
        <v>81785948</v>
      </c>
      <c r="BD357" s="42">
        <v>604934</v>
      </c>
      <c r="BF357" s="42">
        <v>0</v>
      </c>
      <c r="BH357" s="42">
        <v>0</v>
      </c>
      <c r="BJ357" s="42">
        <v>0</v>
      </c>
      <c r="BL357" s="5">
        <f t="shared" si="45"/>
        <v>82390882</v>
      </c>
      <c r="BN357" s="5">
        <f>'Gov Fd Rev'!AQ357-'Gov Fd Exp'!BL357</f>
        <v>-365555</v>
      </c>
      <c r="BP357" s="42">
        <v>-886667</v>
      </c>
      <c r="BR357" s="42">
        <v>0</v>
      </c>
      <c r="BT357" s="42">
        <v>0</v>
      </c>
      <c r="BV357" s="5">
        <f t="shared" si="46"/>
        <v>-1252222</v>
      </c>
      <c r="BW357" s="5"/>
      <c r="BX357" s="5">
        <f>BV357-'Gov Fd BS'!AI357</f>
        <v>0</v>
      </c>
    </row>
    <row r="358" spans="1:76">
      <c r="A358" s="9" t="s">
        <v>384</v>
      </c>
      <c r="B358" s="9"/>
      <c r="C358" s="9" t="s">
        <v>44</v>
      </c>
      <c r="D358" s="9"/>
      <c r="E358" s="23">
        <v>48173</v>
      </c>
      <c r="G358" s="42">
        <v>15507272</v>
      </c>
      <c r="I358" s="42">
        <v>3162104</v>
      </c>
      <c r="K358" s="42">
        <v>153337</v>
      </c>
      <c r="M358" s="42">
        <v>0</v>
      </c>
      <c r="O358" s="42">
        <v>359873</v>
      </c>
      <c r="Q358" s="42">
        <v>1021369</v>
      </c>
      <c r="S358" s="42">
        <v>526115</v>
      </c>
      <c r="U358" s="42">
        <v>187883</v>
      </c>
      <c r="W358" s="42">
        <v>2620527</v>
      </c>
      <c r="Y358" s="42">
        <v>680276</v>
      </c>
      <c r="AA358" s="42">
        <v>128170</v>
      </c>
      <c r="AC358" s="42">
        <v>2509965</v>
      </c>
      <c r="AE358" s="42">
        <v>1552779</v>
      </c>
      <c r="AG358" s="42">
        <v>0</v>
      </c>
      <c r="AI358" s="42">
        <v>0</v>
      </c>
      <c r="AK358" s="42">
        <v>4813</v>
      </c>
      <c r="AL358" s="9" t="s">
        <v>384</v>
      </c>
      <c r="AM358" s="9"/>
      <c r="AN358" s="9" t="s">
        <v>44</v>
      </c>
      <c r="AP358" s="42">
        <f>44656+532527+169929</f>
        <v>747112</v>
      </c>
      <c r="AR358" s="42">
        <f>23847+3286894+106037</f>
        <v>3416778</v>
      </c>
      <c r="AT358" s="42">
        <v>0</v>
      </c>
      <c r="AV358" s="42">
        <v>1033955</v>
      </c>
      <c r="AX358" s="42">
        <v>1103217</v>
      </c>
      <c r="AZ358" s="42">
        <f>278733+2003101</f>
        <v>2281834</v>
      </c>
      <c r="BB358" s="5">
        <f t="shared" si="44"/>
        <v>36997379</v>
      </c>
      <c r="BD358" s="42">
        <v>998500</v>
      </c>
      <c r="BF358" s="42">
        <v>0</v>
      </c>
      <c r="BH358" s="42">
        <v>0</v>
      </c>
      <c r="BJ358" s="42">
        <v>22434891</v>
      </c>
      <c r="BL358" s="5">
        <f t="shared" si="45"/>
        <v>60430770</v>
      </c>
      <c r="BN358" s="5">
        <f>'Gov Fd Rev'!AQ358-'Gov Fd Exp'!BL358</f>
        <v>-5633262</v>
      </c>
      <c r="BP358" s="42">
        <v>10513457</v>
      </c>
      <c r="BR358" s="42">
        <v>0</v>
      </c>
      <c r="BT358" s="42">
        <v>0</v>
      </c>
      <c r="BV358" s="5">
        <f t="shared" si="46"/>
        <v>4880195</v>
      </c>
      <c r="BW358" s="5"/>
      <c r="BX358" s="5">
        <f>BV358-'Gov Fd BS'!AI358</f>
        <v>0</v>
      </c>
    </row>
    <row r="359" spans="1:76">
      <c r="A359" s="9" t="s">
        <v>764</v>
      </c>
      <c r="B359" s="9"/>
      <c r="C359" s="9" t="s">
        <v>112</v>
      </c>
      <c r="D359" s="9"/>
      <c r="E359" s="23">
        <v>45500</v>
      </c>
      <c r="G359" s="42">
        <v>27348677</v>
      </c>
      <c r="I359" s="42">
        <v>7633540</v>
      </c>
      <c r="K359" s="42">
        <v>345485</v>
      </c>
      <c r="M359" s="42">
        <v>0</v>
      </c>
      <c r="O359" s="42">
        <v>257243</v>
      </c>
      <c r="Q359" s="42">
        <v>2979332</v>
      </c>
      <c r="S359" s="42">
        <v>3670568</v>
      </c>
      <c r="U359" s="42">
        <v>0</v>
      </c>
      <c r="W359" s="42">
        <f>55769+3187856</f>
        <v>3243625</v>
      </c>
      <c r="Y359" s="42">
        <v>1486894</v>
      </c>
      <c r="AA359" s="42">
        <v>338475</v>
      </c>
      <c r="AC359" s="42">
        <v>4545388</v>
      </c>
      <c r="AE359" s="42">
        <v>5675234</v>
      </c>
      <c r="AG359" s="42">
        <v>981652</v>
      </c>
      <c r="AI359" s="42">
        <v>0</v>
      </c>
      <c r="AK359" s="42">
        <v>4049368</v>
      </c>
      <c r="AL359" s="9" t="s">
        <v>764</v>
      </c>
      <c r="AM359" s="9"/>
      <c r="AN359" s="9" t="s">
        <v>112</v>
      </c>
      <c r="AP359" s="42">
        <v>1144041</v>
      </c>
      <c r="AR359" s="42">
        <v>308035</v>
      </c>
      <c r="AT359" s="42">
        <v>0</v>
      </c>
      <c r="AV359" s="42">
        <v>1242495</v>
      </c>
      <c r="AX359" s="42">
        <v>3092662</v>
      </c>
      <c r="AZ359" s="42">
        <v>0</v>
      </c>
      <c r="BB359" s="5">
        <f t="shared" si="44"/>
        <v>68342714</v>
      </c>
      <c r="BD359" s="42">
        <v>0</v>
      </c>
      <c r="BF359" s="42">
        <v>0</v>
      </c>
      <c r="BH359" s="42">
        <v>0</v>
      </c>
      <c r="BJ359" s="42">
        <v>0</v>
      </c>
      <c r="BL359" s="5">
        <f t="shared" si="45"/>
        <v>68342714</v>
      </c>
      <c r="BN359" s="5">
        <f>'Gov Fd Rev'!AQ359-'Gov Fd Exp'!BL359</f>
        <v>795268</v>
      </c>
      <c r="BP359" s="42">
        <v>18705666</v>
      </c>
      <c r="BR359" s="42">
        <v>0</v>
      </c>
      <c r="BT359" s="42">
        <v>0</v>
      </c>
      <c r="BV359" s="5">
        <f t="shared" si="46"/>
        <v>19500934</v>
      </c>
      <c r="BW359" s="5"/>
      <c r="BX359" s="5">
        <f>BV359-'Gov Fd BS'!AI359</f>
        <v>0</v>
      </c>
    </row>
    <row r="360" spans="1:76" hidden="1">
      <c r="A360" s="9" t="s">
        <v>608</v>
      </c>
      <c r="B360" s="9"/>
      <c r="C360" s="9" t="s">
        <v>548</v>
      </c>
      <c r="D360" s="9"/>
      <c r="E360" s="23">
        <v>50633</v>
      </c>
      <c r="G360" s="42">
        <v>0</v>
      </c>
      <c r="I360" s="42">
        <v>0</v>
      </c>
      <c r="K360" s="42">
        <v>0</v>
      </c>
      <c r="M360" s="42">
        <v>0</v>
      </c>
      <c r="O360" s="42">
        <v>0</v>
      </c>
      <c r="Q360" s="42">
        <v>0</v>
      </c>
      <c r="S360" s="42">
        <v>0</v>
      </c>
      <c r="U360" s="42">
        <v>0</v>
      </c>
      <c r="W360" s="42">
        <v>0</v>
      </c>
      <c r="Y360" s="42">
        <v>0</v>
      </c>
      <c r="AA360" s="42">
        <v>0</v>
      </c>
      <c r="AC360" s="42">
        <v>0</v>
      </c>
      <c r="AE360" s="42">
        <v>0</v>
      </c>
      <c r="AG360" s="42">
        <v>0</v>
      </c>
      <c r="AI360" s="42">
        <v>0</v>
      </c>
      <c r="AK360" s="42">
        <v>0</v>
      </c>
      <c r="AL360" s="9" t="s">
        <v>608</v>
      </c>
      <c r="AM360" s="9"/>
      <c r="AN360" s="9" t="s">
        <v>548</v>
      </c>
      <c r="AP360" s="42">
        <v>0</v>
      </c>
      <c r="AR360" s="42">
        <v>0</v>
      </c>
      <c r="AT360" s="42">
        <v>0</v>
      </c>
      <c r="AV360" s="42">
        <v>0</v>
      </c>
      <c r="AX360" s="42">
        <v>0</v>
      </c>
      <c r="AZ360" s="42">
        <v>0</v>
      </c>
      <c r="BB360" s="5">
        <f t="shared" si="44"/>
        <v>0</v>
      </c>
      <c r="BD360" s="42">
        <v>0</v>
      </c>
      <c r="BF360" s="42">
        <v>0</v>
      </c>
      <c r="BH360" s="42">
        <v>0</v>
      </c>
      <c r="BJ360" s="42">
        <v>0</v>
      </c>
      <c r="BL360" s="5">
        <f t="shared" si="45"/>
        <v>0</v>
      </c>
      <c r="BN360" s="5">
        <f>'Gov Fd Rev'!AQ360-'Gov Fd Exp'!BL360</f>
        <v>0</v>
      </c>
      <c r="BP360" s="42">
        <v>0</v>
      </c>
      <c r="BR360" s="42">
        <v>0</v>
      </c>
      <c r="BT360" s="42">
        <v>0</v>
      </c>
      <c r="BV360" s="5">
        <f t="shared" si="46"/>
        <v>0</v>
      </c>
      <c r="BW360" s="5"/>
      <c r="BX360" s="5">
        <f>BV360-'Gov Fd BS'!AI360</f>
        <v>0</v>
      </c>
    </row>
    <row r="361" spans="1:76" hidden="1">
      <c r="A361" s="9" t="s">
        <v>880</v>
      </c>
      <c r="B361" s="9"/>
      <c r="C361" s="9" t="s">
        <v>464</v>
      </c>
      <c r="D361" s="9"/>
      <c r="E361" s="23">
        <v>49361</v>
      </c>
      <c r="G361" s="42">
        <v>0</v>
      </c>
      <c r="I361" s="42">
        <v>0</v>
      </c>
      <c r="K361" s="42">
        <v>0</v>
      </c>
      <c r="M361" s="42">
        <v>0</v>
      </c>
      <c r="O361" s="42">
        <v>0</v>
      </c>
      <c r="Q361" s="42">
        <v>0</v>
      </c>
      <c r="S361" s="42">
        <v>0</v>
      </c>
      <c r="U361" s="42">
        <v>0</v>
      </c>
      <c r="W361" s="42">
        <v>0</v>
      </c>
      <c r="Y361" s="42">
        <v>0</v>
      </c>
      <c r="AA361" s="42">
        <v>0</v>
      </c>
      <c r="AC361" s="42">
        <v>0</v>
      </c>
      <c r="AE361" s="42">
        <v>0</v>
      </c>
      <c r="AG361" s="42">
        <v>0</v>
      </c>
      <c r="AI361" s="42">
        <v>0</v>
      </c>
      <c r="AK361" s="42">
        <v>0</v>
      </c>
      <c r="AL361" s="9" t="s">
        <v>880</v>
      </c>
      <c r="AM361" s="9"/>
      <c r="AN361" s="9" t="s">
        <v>464</v>
      </c>
      <c r="AP361" s="42">
        <v>0</v>
      </c>
      <c r="AR361" s="42">
        <v>0</v>
      </c>
      <c r="AT361" s="42">
        <v>0</v>
      </c>
      <c r="AV361" s="42">
        <v>0</v>
      </c>
      <c r="AX361" s="42">
        <v>0</v>
      </c>
      <c r="AZ361" s="42">
        <v>0</v>
      </c>
      <c r="BB361" s="5">
        <f t="shared" si="44"/>
        <v>0</v>
      </c>
      <c r="BD361" s="42">
        <v>0</v>
      </c>
      <c r="BF361" s="42">
        <v>0</v>
      </c>
      <c r="BH361" s="42">
        <v>0</v>
      </c>
      <c r="BJ361" s="42">
        <v>0</v>
      </c>
      <c r="BL361" s="5">
        <f t="shared" si="45"/>
        <v>0</v>
      </c>
      <c r="BN361" s="5">
        <f>'Gov Fd Rev'!AQ361-'Gov Fd Exp'!BL361</f>
        <v>0</v>
      </c>
      <c r="BP361" s="42">
        <v>0</v>
      </c>
      <c r="BR361" s="42">
        <v>0</v>
      </c>
      <c r="BT361" s="42">
        <v>0</v>
      </c>
      <c r="BV361" s="5">
        <f t="shared" si="46"/>
        <v>0</v>
      </c>
      <c r="BW361" s="5"/>
      <c r="BX361" s="5">
        <f>BV361-'Gov Fd BS'!AI361</f>
        <v>0</v>
      </c>
    </row>
    <row r="362" spans="1:76" hidden="1">
      <c r="A362" s="9" t="s">
        <v>801</v>
      </c>
      <c r="B362" s="9"/>
      <c r="C362" s="9" t="s">
        <v>48</v>
      </c>
      <c r="D362" s="9"/>
      <c r="E362" s="23">
        <v>45518</v>
      </c>
      <c r="G362" s="42">
        <v>0</v>
      </c>
      <c r="I362" s="42">
        <v>0</v>
      </c>
      <c r="K362" s="42">
        <v>0</v>
      </c>
      <c r="M362" s="42">
        <v>0</v>
      </c>
      <c r="O362" s="42">
        <v>0</v>
      </c>
      <c r="Q362" s="42">
        <v>0</v>
      </c>
      <c r="S362" s="42">
        <v>0</v>
      </c>
      <c r="U362" s="42">
        <v>0</v>
      </c>
      <c r="W362" s="42">
        <v>0</v>
      </c>
      <c r="Y362" s="42">
        <v>0</v>
      </c>
      <c r="AA362" s="42">
        <v>0</v>
      </c>
      <c r="AC362" s="42">
        <v>0</v>
      </c>
      <c r="AE362" s="42">
        <v>0</v>
      </c>
      <c r="AG362" s="42">
        <v>0</v>
      </c>
      <c r="AI362" s="42">
        <v>0</v>
      </c>
      <c r="AK362" s="42">
        <v>0</v>
      </c>
      <c r="AL362" s="9" t="s">
        <v>801</v>
      </c>
      <c r="AM362" s="9"/>
      <c r="AN362" s="9" t="s">
        <v>48</v>
      </c>
      <c r="AP362" s="42">
        <v>0</v>
      </c>
      <c r="AR362" s="42">
        <v>0</v>
      </c>
      <c r="AT362" s="42">
        <v>0</v>
      </c>
      <c r="AV362" s="42">
        <v>0</v>
      </c>
      <c r="AX362" s="42">
        <v>0</v>
      </c>
      <c r="AZ362" s="42">
        <v>0</v>
      </c>
      <c r="BB362" s="5">
        <f t="shared" si="44"/>
        <v>0</v>
      </c>
      <c r="BD362" s="42">
        <v>0</v>
      </c>
      <c r="BF362" s="42">
        <v>0</v>
      </c>
      <c r="BH362" s="42">
        <v>0</v>
      </c>
      <c r="BJ362" s="42">
        <v>0</v>
      </c>
      <c r="BL362" s="5">
        <f t="shared" si="45"/>
        <v>0</v>
      </c>
      <c r="BN362" s="5">
        <f>'Gov Fd Rev'!AQ362-'Gov Fd Exp'!BL362</f>
        <v>0</v>
      </c>
      <c r="BP362" s="42">
        <v>0</v>
      </c>
      <c r="BR362" s="42">
        <v>0</v>
      </c>
      <c r="BT362" s="42">
        <v>0</v>
      </c>
      <c r="BV362" s="5">
        <f t="shared" si="46"/>
        <v>0</v>
      </c>
      <c r="BW362" s="5"/>
      <c r="BX362" s="5">
        <f>BV362-'Gov Fd BS'!AI362</f>
        <v>0</v>
      </c>
    </row>
    <row r="363" spans="1:76">
      <c r="A363" s="9" t="s">
        <v>498</v>
      </c>
      <c r="B363" s="9"/>
      <c r="C363" s="9" t="s">
        <v>62</v>
      </c>
      <c r="D363" s="9"/>
      <c r="E363" s="23">
        <v>49890</v>
      </c>
      <c r="G363" s="42">
        <v>7343892</v>
      </c>
      <c r="I363" s="42">
        <v>2980096</v>
      </c>
      <c r="K363" s="42">
        <v>0</v>
      </c>
      <c r="M363" s="42">
        <v>5135</v>
      </c>
      <c r="O363" s="42">
        <v>73</v>
      </c>
      <c r="Q363" s="42">
        <v>796836</v>
      </c>
      <c r="S363" s="42">
        <v>469244</v>
      </c>
      <c r="U363" s="42">
        <v>85186</v>
      </c>
      <c r="W363" s="42">
        <v>1414511</v>
      </c>
      <c r="Y363" s="42">
        <v>514216</v>
      </c>
      <c r="AA363" s="42">
        <v>75460</v>
      </c>
      <c r="AC363" s="42">
        <v>1234672</v>
      </c>
      <c r="AE363" s="42">
        <v>955818</v>
      </c>
      <c r="AG363" s="42">
        <v>83947</v>
      </c>
      <c r="AI363" s="42">
        <v>782558</v>
      </c>
      <c r="AK363" s="42">
        <v>45244</v>
      </c>
      <c r="AL363" s="9" t="s">
        <v>498</v>
      </c>
      <c r="AM363" s="9"/>
      <c r="AN363" s="9" t="s">
        <v>62</v>
      </c>
      <c r="AP363" s="42">
        <v>517976</v>
      </c>
      <c r="AR363" s="42">
        <v>441256</v>
      </c>
      <c r="AT363" s="42">
        <v>0</v>
      </c>
      <c r="AV363" s="42">
        <v>246431</v>
      </c>
      <c r="AX363" s="42">
        <v>729430</v>
      </c>
      <c r="AZ363" s="42">
        <v>0</v>
      </c>
      <c r="BB363" s="5">
        <f t="shared" si="44"/>
        <v>18721981</v>
      </c>
      <c r="BD363" s="42">
        <v>0</v>
      </c>
      <c r="BF363" s="42">
        <v>0</v>
      </c>
      <c r="BH363" s="42">
        <v>0</v>
      </c>
      <c r="BJ363" s="42">
        <v>0</v>
      </c>
      <c r="BL363" s="5">
        <f t="shared" si="45"/>
        <v>18721981</v>
      </c>
      <c r="BN363" s="5">
        <f>'Gov Fd Rev'!AQ363-'Gov Fd Exp'!BL363</f>
        <v>922084</v>
      </c>
      <c r="BP363" s="42">
        <v>1062296</v>
      </c>
      <c r="BR363" s="42">
        <v>0</v>
      </c>
      <c r="BT363" s="42">
        <v>0</v>
      </c>
      <c r="BV363" s="5">
        <f t="shared" si="46"/>
        <v>1984380</v>
      </c>
      <c r="BW363" s="5"/>
      <c r="BX363" s="5">
        <f>BV363-'Gov Fd BS'!AI363</f>
        <v>0</v>
      </c>
    </row>
    <row r="364" spans="1:76">
      <c r="A364" s="9" t="s">
        <v>479</v>
      </c>
      <c r="B364" s="9"/>
      <c r="C364" s="9" t="s">
        <v>59</v>
      </c>
      <c r="D364" s="9"/>
      <c r="E364" s="23">
        <v>49627</v>
      </c>
      <c r="G364" s="42">
        <v>7483619</v>
      </c>
      <c r="I364" s="42">
        <v>1495202</v>
      </c>
      <c r="K364" s="42">
        <v>111180</v>
      </c>
      <c r="M364" s="42">
        <v>0</v>
      </c>
      <c r="O364" s="42">
        <v>0</v>
      </c>
      <c r="Q364" s="42">
        <v>551840</v>
      </c>
      <c r="S364" s="42">
        <v>685580</v>
      </c>
      <c r="U364" s="42">
        <v>50642</v>
      </c>
      <c r="W364" s="42">
        <v>1121397</v>
      </c>
      <c r="Y364" s="42">
        <v>269089</v>
      </c>
      <c r="AA364" s="42">
        <v>2095</v>
      </c>
      <c r="AC364" s="42">
        <v>1345879</v>
      </c>
      <c r="AE364" s="42">
        <v>1032606</v>
      </c>
      <c r="AG364" s="42">
        <v>33815</v>
      </c>
      <c r="AI364" s="42">
        <v>0</v>
      </c>
      <c r="AK364" s="42">
        <v>617494</v>
      </c>
      <c r="AL364" s="9" t="s">
        <v>479</v>
      </c>
      <c r="AM364" s="9"/>
      <c r="AN364" s="9" t="s">
        <v>59</v>
      </c>
      <c r="AP364" s="42">
        <v>426968</v>
      </c>
      <c r="AR364" s="42">
        <v>119883</v>
      </c>
      <c r="AT364" s="42">
        <v>0</v>
      </c>
      <c r="AV364" s="42">
        <v>406614</v>
      </c>
      <c r="AX364" s="42">
        <v>98027</v>
      </c>
      <c r="AZ364" s="42">
        <v>0</v>
      </c>
      <c r="BB364" s="5">
        <f t="shared" si="44"/>
        <v>15851930</v>
      </c>
      <c r="BD364" s="42">
        <v>122730</v>
      </c>
      <c r="BF364" s="42">
        <v>0</v>
      </c>
      <c r="BH364" s="42">
        <v>0</v>
      </c>
      <c r="BJ364" s="42">
        <v>0</v>
      </c>
      <c r="BL364" s="5">
        <f t="shared" si="45"/>
        <v>15974660</v>
      </c>
      <c r="BN364" s="5">
        <f>'Gov Fd Rev'!AQ364-'Gov Fd Exp'!BL364</f>
        <v>-347763</v>
      </c>
      <c r="BP364" s="42">
        <v>1556332</v>
      </c>
      <c r="BR364" s="42">
        <v>0</v>
      </c>
      <c r="BT364" s="42">
        <v>0</v>
      </c>
      <c r="BV364" s="5">
        <f t="shared" si="46"/>
        <v>1208569</v>
      </c>
      <c r="BW364" s="5"/>
      <c r="BX364" s="5">
        <f>BV364-'Gov Fd BS'!AI364</f>
        <v>0</v>
      </c>
    </row>
    <row r="365" spans="1:76">
      <c r="A365" s="9" t="s">
        <v>212</v>
      </c>
      <c r="B365" s="9"/>
      <c r="C365" s="9" t="s">
        <v>14</v>
      </c>
      <c r="D365" s="9"/>
      <c r="E365" s="23">
        <v>45948</v>
      </c>
      <c r="G365" s="42">
        <v>4164994</v>
      </c>
      <c r="I365" s="42">
        <v>584872</v>
      </c>
      <c r="K365" s="42">
        <v>203542</v>
      </c>
      <c r="M365" s="42">
        <v>0</v>
      </c>
      <c r="O365" s="42">
        <v>0</v>
      </c>
      <c r="Q365" s="42">
        <v>739601</v>
      </c>
      <c r="S365" s="42">
        <v>355634</v>
      </c>
      <c r="U365" s="42">
        <v>28777</v>
      </c>
      <c r="W365" s="42">
        <v>503140</v>
      </c>
      <c r="Y365" s="42">
        <v>235586</v>
      </c>
      <c r="AA365" s="42">
        <v>0</v>
      </c>
      <c r="AC365" s="42">
        <v>831040</v>
      </c>
      <c r="AE365" s="42">
        <v>223754</v>
      </c>
      <c r="AG365" s="42">
        <v>64021</v>
      </c>
      <c r="AI365" s="42">
        <v>0</v>
      </c>
      <c r="AK365" s="42">
        <v>400510</v>
      </c>
      <c r="AL365" s="9" t="s">
        <v>212</v>
      </c>
      <c r="AM365" s="9"/>
      <c r="AN365" s="9" t="s">
        <v>14</v>
      </c>
      <c r="AP365" s="42">
        <v>368188</v>
      </c>
      <c r="AR365" s="42">
        <v>56604</v>
      </c>
      <c r="AT365" s="42">
        <v>0</v>
      </c>
      <c r="AV365" s="42">
        <v>247375</v>
      </c>
      <c r="AX365" s="42">
        <v>375819</v>
      </c>
      <c r="AZ365" s="42">
        <v>432625</v>
      </c>
      <c r="BB365" s="5">
        <f t="shared" si="44"/>
        <v>9816082</v>
      </c>
      <c r="BD365" s="42">
        <v>14000</v>
      </c>
      <c r="BF365" s="42">
        <v>0</v>
      </c>
      <c r="BH365" s="42">
        <v>0</v>
      </c>
      <c r="BJ365" s="42">
        <v>0</v>
      </c>
      <c r="BL365" s="5">
        <f t="shared" si="45"/>
        <v>9830082</v>
      </c>
      <c r="BN365" s="5">
        <f>'Gov Fd Rev'!AQ365-'Gov Fd Exp'!BL365</f>
        <v>1156222</v>
      </c>
      <c r="BP365" s="42">
        <v>1012094</v>
      </c>
      <c r="BR365" s="42">
        <v>0</v>
      </c>
      <c r="BT365" s="42">
        <v>0</v>
      </c>
      <c r="BV365" s="5">
        <f t="shared" si="46"/>
        <v>2168316</v>
      </c>
      <c r="BW365" s="5"/>
      <c r="BX365" s="5">
        <f>BV365-'Gov Fd BS'!AI365</f>
        <v>0</v>
      </c>
    </row>
    <row r="366" spans="1:76" hidden="1">
      <c r="A366" s="9" t="s">
        <v>635</v>
      </c>
      <c r="B366" s="9"/>
      <c r="C366" s="9" t="s">
        <v>21</v>
      </c>
      <c r="D366" s="9"/>
      <c r="E366" s="23">
        <v>46672</v>
      </c>
      <c r="G366" s="42">
        <v>0</v>
      </c>
      <c r="I366" s="42">
        <v>0</v>
      </c>
      <c r="K366" s="42">
        <v>0</v>
      </c>
      <c r="M366" s="42">
        <v>0</v>
      </c>
      <c r="O366" s="42">
        <v>0</v>
      </c>
      <c r="Q366" s="42">
        <v>0</v>
      </c>
      <c r="S366" s="42">
        <v>0</v>
      </c>
      <c r="U366" s="42">
        <v>0</v>
      </c>
      <c r="W366" s="42">
        <v>0</v>
      </c>
      <c r="Y366" s="42">
        <v>0</v>
      </c>
      <c r="AA366" s="42">
        <v>0</v>
      </c>
      <c r="AC366" s="42">
        <v>0</v>
      </c>
      <c r="AE366" s="42">
        <v>0</v>
      </c>
      <c r="AG366" s="42">
        <v>0</v>
      </c>
      <c r="AI366" s="42">
        <v>0</v>
      </c>
      <c r="AK366" s="42">
        <v>0</v>
      </c>
      <c r="AL366" s="9" t="s">
        <v>635</v>
      </c>
      <c r="AM366" s="9"/>
      <c r="AN366" s="9" t="s">
        <v>21</v>
      </c>
      <c r="AP366" s="42">
        <v>0</v>
      </c>
      <c r="AR366" s="42">
        <v>0</v>
      </c>
      <c r="AT366" s="42">
        <v>0</v>
      </c>
      <c r="AV366" s="42">
        <v>0</v>
      </c>
      <c r="AX366" s="42">
        <v>0</v>
      </c>
      <c r="AZ366" s="42">
        <v>0</v>
      </c>
      <c r="BB366" s="5">
        <f t="shared" si="44"/>
        <v>0</v>
      </c>
      <c r="BD366" s="42">
        <v>0</v>
      </c>
      <c r="BF366" s="42">
        <v>0</v>
      </c>
      <c r="BH366" s="42">
        <v>0</v>
      </c>
      <c r="BJ366" s="42">
        <v>0</v>
      </c>
      <c r="BL366" s="5">
        <f t="shared" si="45"/>
        <v>0</v>
      </c>
      <c r="BN366" s="5">
        <f>'Gov Fd Rev'!AQ366-'Gov Fd Exp'!BL366</f>
        <v>0</v>
      </c>
      <c r="BP366" s="42">
        <v>0</v>
      </c>
      <c r="BR366" s="42">
        <v>0</v>
      </c>
      <c r="BT366" s="42">
        <v>0</v>
      </c>
      <c r="BV366" s="5">
        <f t="shared" si="46"/>
        <v>0</v>
      </c>
      <c r="BW366" s="5"/>
      <c r="BX366" s="5">
        <f>BV366-'Gov Fd BS'!AI366</f>
        <v>0</v>
      </c>
    </row>
    <row r="367" spans="1:76">
      <c r="A367" s="9" t="s">
        <v>506</v>
      </c>
      <c r="B367" s="9"/>
      <c r="C367" s="9" t="s">
        <v>63</v>
      </c>
      <c r="D367" s="9"/>
      <c r="E367" s="23">
        <v>50039</v>
      </c>
      <c r="G367" s="42">
        <v>4445850</v>
      </c>
      <c r="I367" s="42">
        <v>1145087</v>
      </c>
      <c r="K367" s="42">
        <v>99247</v>
      </c>
      <c r="M367" s="42">
        <v>0</v>
      </c>
      <c r="O367" s="42">
        <f>553279+142709</f>
        <v>695988</v>
      </c>
      <c r="Q367" s="42">
        <v>432015</v>
      </c>
      <c r="S367" s="42">
        <v>335251</v>
      </c>
      <c r="U367" s="42">
        <v>52291</v>
      </c>
      <c r="W367" s="42">
        <v>735769</v>
      </c>
      <c r="Y367" s="42">
        <v>341199</v>
      </c>
      <c r="AA367" s="42">
        <v>350</v>
      </c>
      <c r="AC367" s="42">
        <v>750777</v>
      </c>
      <c r="AE367" s="42">
        <v>345928</v>
      </c>
      <c r="AG367" s="42">
        <v>11335</v>
      </c>
      <c r="AI367" s="42">
        <v>301193</v>
      </c>
      <c r="AK367" s="42">
        <v>0</v>
      </c>
      <c r="AL367" s="9" t="s">
        <v>506</v>
      </c>
      <c r="AM367" s="9"/>
      <c r="AN367" s="9" t="s">
        <v>63</v>
      </c>
      <c r="AP367" s="42">
        <v>343864</v>
      </c>
      <c r="AR367" s="42">
        <v>45124</v>
      </c>
      <c r="AT367" s="42">
        <v>0</v>
      </c>
      <c r="AV367" s="42">
        <v>177315</v>
      </c>
      <c r="AX367" s="42">
        <v>744965</v>
      </c>
      <c r="AZ367" s="42">
        <v>0</v>
      </c>
      <c r="BB367" s="5">
        <f t="shared" ref="BB367:BB424" si="52">SUM(G367:AZ367)</f>
        <v>11003548</v>
      </c>
      <c r="BD367" s="42">
        <v>140337</v>
      </c>
      <c r="BF367" s="42">
        <v>0</v>
      </c>
      <c r="BH367" s="42">
        <v>0</v>
      </c>
      <c r="BJ367" s="42">
        <v>0</v>
      </c>
      <c r="BL367" s="5">
        <f t="shared" ref="BL367:BL435" si="53">BB367+BD367+BJ367</f>
        <v>11143885</v>
      </c>
      <c r="BN367" s="5">
        <f>'Gov Fd Rev'!AQ367-'Gov Fd Exp'!BL367</f>
        <v>-970644</v>
      </c>
      <c r="BP367" s="42">
        <v>3051369</v>
      </c>
      <c r="BR367" s="42">
        <v>0</v>
      </c>
      <c r="BT367" s="42">
        <v>0</v>
      </c>
      <c r="BV367" s="5">
        <f t="shared" si="46"/>
        <v>2080725</v>
      </c>
      <c r="BW367" s="5"/>
      <c r="BX367" s="5">
        <f>BV367-'Gov Fd BS'!AI367</f>
        <v>0</v>
      </c>
    </row>
    <row r="368" spans="1:76" hidden="1">
      <c r="A368" s="9" t="s">
        <v>616</v>
      </c>
      <c r="B368" s="9"/>
      <c r="C368" s="9" t="s">
        <v>553</v>
      </c>
      <c r="D368" s="9"/>
      <c r="E368" s="23">
        <v>50740</v>
      </c>
      <c r="G368" s="42">
        <v>0</v>
      </c>
      <c r="I368" s="42">
        <v>0</v>
      </c>
      <c r="K368" s="42">
        <v>0</v>
      </c>
      <c r="M368" s="42">
        <v>0</v>
      </c>
      <c r="O368" s="42">
        <v>0</v>
      </c>
      <c r="Q368" s="42">
        <v>0</v>
      </c>
      <c r="S368" s="42">
        <v>0</v>
      </c>
      <c r="U368" s="42">
        <v>0</v>
      </c>
      <c r="W368" s="42">
        <v>0</v>
      </c>
      <c r="Y368" s="42">
        <v>0</v>
      </c>
      <c r="AA368" s="42">
        <v>0</v>
      </c>
      <c r="AC368" s="42">
        <v>0</v>
      </c>
      <c r="AE368" s="42">
        <v>0</v>
      </c>
      <c r="AG368" s="42">
        <v>0</v>
      </c>
      <c r="AI368" s="42">
        <v>0</v>
      </c>
      <c r="AK368" s="42">
        <v>0</v>
      </c>
      <c r="AL368" s="9" t="s">
        <v>616</v>
      </c>
      <c r="AM368" s="9"/>
      <c r="AN368" s="9" t="s">
        <v>553</v>
      </c>
      <c r="AP368" s="42">
        <v>0</v>
      </c>
      <c r="AR368" s="42">
        <v>0</v>
      </c>
      <c r="AT368" s="42">
        <v>0</v>
      </c>
      <c r="AV368" s="42">
        <v>0</v>
      </c>
      <c r="AX368" s="42">
        <v>0</v>
      </c>
      <c r="AZ368" s="42">
        <v>0</v>
      </c>
      <c r="BB368" s="5">
        <f t="shared" si="52"/>
        <v>0</v>
      </c>
      <c r="BD368" s="42">
        <v>0</v>
      </c>
      <c r="BF368" s="42">
        <v>0</v>
      </c>
      <c r="BH368" s="42">
        <v>0</v>
      </c>
      <c r="BJ368" s="42">
        <v>0</v>
      </c>
      <c r="BL368" s="5">
        <f t="shared" si="53"/>
        <v>0</v>
      </c>
      <c r="BN368" s="5">
        <f>'Gov Fd Rev'!AQ368-'Gov Fd Exp'!BL368</f>
        <v>0</v>
      </c>
      <c r="BP368" s="42">
        <v>0</v>
      </c>
      <c r="BR368" s="42">
        <v>0</v>
      </c>
      <c r="BT368" s="42">
        <v>0</v>
      </c>
      <c r="BV368" s="5">
        <f t="shared" si="46"/>
        <v>0</v>
      </c>
      <c r="BW368" s="5"/>
      <c r="BX368" s="5">
        <f>BV368-'Gov Fd BS'!AI368</f>
        <v>0</v>
      </c>
    </row>
    <row r="369" spans="1:76">
      <c r="A369" s="8" t="s">
        <v>905</v>
      </c>
      <c r="B369" s="9"/>
      <c r="C369" s="9" t="s">
        <v>220</v>
      </c>
      <c r="D369" s="9"/>
      <c r="E369" s="23">
        <v>139303</v>
      </c>
      <c r="G369" s="42">
        <v>8639591</v>
      </c>
      <c r="I369" s="42">
        <v>1590021</v>
      </c>
      <c r="K369" s="42">
        <v>6231</v>
      </c>
      <c r="M369" s="42">
        <v>0</v>
      </c>
      <c r="O369" s="42">
        <v>19170</v>
      </c>
      <c r="Q369" s="42">
        <v>895432</v>
      </c>
      <c r="S369" s="42">
        <v>949945</v>
      </c>
      <c r="U369" s="42">
        <v>175532</v>
      </c>
      <c r="W369" s="42">
        <v>1216581</v>
      </c>
      <c r="Y369" s="42">
        <v>598211</v>
      </c>
      <c r="AA369" s="42">
        <v>60889</v>
      </c>
      <c r="AC369" s="42">
        <v>1362289</v>
      </c>
      <c r="AE369" s="42">
        <v>1642435</v>
      </c>
      <c r="AG369" s="42">
        <v>299512</v>
      </c>
      <c r="AI369" s="42">
        <v>0</v>
      </c>
      <c r="AK369" s="42">
        <v>852606</v>
      </c>
      <c r="AL369" s="8" t="s">
        <v>905</v>
      </c>
      <c r="AM369" s="9"/>
      <c r="AN369" s="9" t="s">
        <v>220</v>
      </c>
      <c r="AP369" s="42">
        <v>546007</v>
      </c>
      <c r="AR369" s="42">
        <v>0</v>
      </c>
      <c r="AT369" s="42">
        <v>0</v>
      </c>
      <c r="AV369" s="42">
        <v>1861790</v>
      </c>
      <c r="AX369" s="42">
        <v>1346660</v>
      </c>
      <c r="AZ369" s="42">
        <v>0</v>
      </c>
      <c r="BB369" s="5">
        <f t="shared" si="52"/>
        <v>22062902</v>
      </c>
      <c r="BD369" s="42">
        <v>0</v>
      </c>
      <c r="BF369" s="42">
        <v>0</v>
      </c>
      <c r="BH369" s="42">
        <v>0</v>
      </c>
      <c r="BJ369" s="42">
        <v>0</v>
      </c>
      <c r="BL369" s="5">
        <f t="shared" si="53"/>
        <v>22062902</v>
      </c>
      <c r="BN369" s="5">
        <f>'Gov Fd Rev'!AQ369-'Gov Fd Exp'!BL369</f>
        <v>3039600</v>
      </c>
      <c r="BP369" s="42">
        <v>1347391</v>
      </c>
      <c r="BR369" s="42">
        <v>0</v>
      </c>
      <c r="BT369" s="42">
        <v>0</v>
      </c>
      <c r="BV369" s="5">
        <f t="shared" ref="BV369:BV437" si="54">BN369+BP369+BR369+BT369</f>
        <v>4386991</v>
      </c>
      <c r="BW369" s="5"/>
      <c r="BX369" s="5">
        <f>BV369-'Gov Fd BS'!AI369</f>
        <v>0</v>
      </c>
    </row>
    <row r="370" spans="1:76" s="24" customFormat="1">
      <c r="A370" s="51" t="s">
        <v>354</v>
      </c>
      <c r="B370" s="51"/>
      <c r="C370" s="51" t="s">
        <v>37</v>
      </c>
      <c r="D370" s="51"/>
      <c r="E370" s="23">
        <v>47712</v>
      </c>
      <c r="G370" s="42">
        <v>3323677</v>
      </c>
      <c r="H370" s="42"/>
      <c r="I370" s="42">
        <v>755345</v>
      </c>
      <c r="J370" s="42"/>
      <c r="K370" s="42">
        <v>176761</v>
      </c>
      <c r="L370" s="42"/>
      <c r="M370" s="42">
        <v>0</v>
      </c>
      <c r="N370" s="42"/>
      <c r="O370" s="42">
        <v>0</v>
      </c>
      <c r="P370" s="42"/>
      <c r="Q370" s="42">
        <v>242635</v>
      </c>
      <c r="R370" s="42"/>
      <c r="S370" s="42">
        <v>286853</v>
      </c>
      <c r="T370" s="42"/>
      <c r="U370" s="42">
        <v>19642</v>
      </c>
      <c r="V370" s="42"/>
      <c r="W370" s="42">
        <v>572870</v>
      </c>
      <c r="X370" s="42"/>
      <c r="Y370" s="42">
        <v>275824</v>
      </c>
      <c r="Z370" s="42"/>
      <c r="AA370" s="42">
        <v>5185</v>
      </c>
      <c r="AB370" s="42"/>
      <c r="AC370" s="42">
        <v>446270</v>
      </c>
      <c r="AD370" s="42"/>
      <c r="AE370" s="42">
        <v>374653</v>
      </c>
      <c r="AF370" s="42"/>
      <c r="AG370" s="42">
        <v>2779</v>
      </c>
      <c r="AH370" s="42"/>
      <c r="AI370" s="42">
        <v>274709</v>
      </c>
      <c r="AJ370" s="42"/>
      <c r="AK370" s="42">
        <v>70551</v>
      </c>
      <c r="AL370" s="51" t="s">
        <v>354</v>
      </c>
      <c r="AM370" s="51"/>
      <c r="AN370" s="51" t="s">
        <v>37</v>
      </c>
      <c r="AP370" s="42">
        <v>215962</v>
      </c>
      <c r="AQ370" s="42"/>
      <c r="AR370" s="42">
        <v>106111</v>
      </c>
      <c r="AS370" s="42"/>
      <c r="AT370" s="42">
        <v>0</v>
      </c>
      <c r="AU370" s="42"/>
      <c r="AV370" s="42">
        <v>131356</v>
      </c>
      <c r="AW370" s="42"/>
      <c r="AX370" s="42">
        <v>58124</v>
      </c>
      <c r="AY370" s="42"/>
      <c r="AZ370" s="42">
        <v>140610</v>
      </c>
      <c r="BA370" s="42"/>
      <c r="BB370" s="5">
        <f t="shared" si="52"/>
        <v>7479917</v>
      </c>
      <c r="BC370" s="42"/>
      <c r="BD370" s="42">
        <v>57500</v>
      </c>
      <c r="BE370" s="42"/>
      <c r="BF370" s="42">
        <v>0</v>
      </c>
      <c r="BG370" s="42"/>
      <c r="BH370" s="42">
        <v>0</v>
      </c>
      <c r="BI370" s="42"/>
      <c r="BJ370" s="42">
        <v>0</v>
      </c>
      <c r="BK370" s="42"/>
      <c r="BL370" s="5">
        <f t="shared" si="53"/>
        <v>7537417</v>
      </c>
      <c r="BM370" s="42"/>
      <c r="BN370" s="5">
        <f>'Gov Fd Rev'!AQ370-'Gov Fd Exp'!BL370</f>
        <v>4110121</v>
      </c>
      <c r="BO370" s="42"/>
      <c r="BP370" s="42">
        <v>912667</v>
      </c>
      <c r="BQ370" s="42"/>
      <c r="BR370" s="42">
        <v>0</v>
      </c>
      <c r="BS370" s="42"/>
      <c r="BT370" s="42">
        <v>0</v>
      </c>
      <c r="BU370" s="42"/>
      <c r="BV370" s="5">
        <f t="shared" si="54"/>
        <v>5022788</v>
      </c>
      <c r="BW370" s="5"/>
      <c r="BX370" s="5">
        <f>BV370-'Gov Fd BS'!AI370</f>
        <v>0</v>
      </c>
    </row>
    <row r="371" spans="1:76" hidden="1">
      <c r="A371" s="9" t="s">
        <v>802</v>
      </c>
      <c r="B371" s="9"/>
      <c r="C371" s="9" t="s">
        <v>548</v>
      </c>
      <c r="D371" s="9"/>
      <c r="E371" s="23">
        <v>45526</v>
      </c>
      <c r="G371" s="42">
        <v>0</v>
      </c>
      <c r="I371" s="42">
        <v>0</v>
      </c>
      <c r="K371" s="42">
        <v>0</v>
      </c>
      <c r="M371" s="42">
        <v>0</v>
      </c>
      <c r="O371" s="42">
        <v>0</v>
      </c>
      <c r="Q371" s="42">
        <v>0</v>
      </c>
      <c r="S371" s="42">
        <v>0</v>
      </c>
      <c r="U371" s="42">
        <v>0</v>
      </c>
      <c r="W371" s="42">
        <v>0</v>
      </c>
      <c r="Y371" s="42">
        <v>0</v>
      </c>
      <c r="AA371" s="42">
        <v>0</v>
      </c>
      <c r="AC371" s="42">
        <v>0</v>
      </c>
      <c r="AE371" s="42">
        <v>0</v>
      </c>
      <c r="AG371" s="42">
        <v>0</v>
      </c>
      <c r="AI371" s="42">
        <v>0</v>
      </c>
      <c r="AK371" s="42">
        <v>0</v>
      </c>
      <c r="AL371" s="9" t="s">
        <v>802</v>
      </c>
      <c r="AM371" s="9"/>
      <c r="AN371" s="9" t="s">
        <v>548</v>
      </c>
      <c r="AP371" s="42">
        <v>0</v>
      </c>
      <c r="AR371" s="42">
        <v>0</v>
      </c>
      <c r="AT371" s="42">
        <v>0</v>
      </c>
      <c r="AV371" s="42">
        <v>0</v>
      </c>
      <c r="AX371" s="42">
        <v>0</v>
      </c>
      <c r="AZ371" s="42">
        <v>0</v>
      </c>
      <c r="BB371" s="5">
        <f t="shared" si="52"/>
        <v>0</v>
      </c>
      <c r="BD371" s="42">
        <v>0</v>
      </c>
      <c r="BF371" s="42">
        <v>0</v>
      </c>
      <c r="BH371" s="42">
        <v>0</v>
      </c>
      <c r="BJ371" s="42">
        <v>0</v>
      </c>
      <c r="BL371" s="5">
        <f t="shared" si="53"/>
        <v>0</v>
      </c>
      <c r="BN371" s="5">
        <f>'Gov Fd Rev'!AQ371-'Gov Fd Exp'!BL371</f>
        <v>0</v>
      </c>
      <c r="BP371" s="42">
        <v>0</v>
      </c>
      <c r="BR371" s="42">
        <v>0</v>
      </c>
      <c r="BT371" s="42">
        <v>0</v>
      </c>
      <c r="BV371" s="5">
        <f t="shared" si="54"/>
        <v>0</v>
      </c>
      <c r="BW371" s="5"/>
      <c r="BX371" s="5">
        <f>BV371-'Gov Fd BS'!AI371</f>
        <v>0</v>
      </c>
    </row>
    <row r="372" spans="1:76" s="24" customFormat="1">
      <c r="A372" s="51" t="s">
        <v>436</v>
      </c>
      <c r="B372" s="51"/>
      <c r="C372" s="51" t="s">
        <v>437</v>
      </c>
      <c r="D372" s="51"/>
      <c r="E372" s="51">
        <v>48777</v>
      </c>
      <c r="G372" s="24">
        <v>9569705</v>
      </c>
      <c r="I372" s="24">
        <v>3025943</v>
      </c>
      <c r="K372" s="24">
        <v>1199867</v>
      </c>
      <c r="M372" s="24">
        <v>0</v>
      </c>
      <c r="O372" s="24">
        <v>76341</v>
      </c>
      <c r="Q372" s="24">
        <v>696495</v>
      </c>
      <c r="S372" s="24">
        <v>406874</v>
      </c>
      <c r="U372" s="24">
        <v>54397</v>
      </c>
      <c r="W372" s="24">
        <v>1727538</v>
      </c>
      <c r="Y372" s="24">
        <v>759865</v>
      </c>
      <c r="AA372" s="24">
        <v>145106</v>
      </c>
      <c r="AC372" s="24">
        <v>2032939</v>
      </c>
      <c r="AE372" s="24">
        <v>2015781</v>
      </c>
      <c r="AG372" s="24">
        <v>34831</v>
      </c>
      <c r="AI372" s="24">
        <v>0</v>
      </c>
      <c r="AK372" s="24">
        <v>1111375</v>
      </c>
      <c r="AL372" s="51" t="s">
        <v>436</v>
      </c>
      <c r="AM372" s="51"/>
      <c r="AN372" s="51" t="s">
        <v>437</v>
      </c>
      <c r="AP372" s="24">
        <v>215163</v>
      </c>
      <c r="AR372" s="24">
        <v>6311</v>
      </c>
      <c r="AT372" s="24">
        <v>0</v>
      </c>
      <c r="AV372" s="24">
        <v>624835</v>
      </c>
      <c r="AX372" s="24">
        <v>290803</v>
      </c>
      <c r="AZ372" s="24">
        <v>213767</v>
      </c>
      <c r="BB372" s="64">
        <f t="shared" si="52"/>
        <v>24207936</v>
      </c>
      <c r="BD372" s="24">
        <v>0</v>
      </c>
      <c r="BF372" s="24">
        <v>0</v>
      </c>
      <c r="BH372" s="24">
        <v>0</v>
      </c>
      <c r="BJ372" s="24">
        <v>0</v>
      </c>
      <c r="BL372" s="64">
        <f t="shared" si="53"/>
        <v>24207936</v>
      </c>
      <c r="BN372" s="64">
        <f>'Gov Fd Rev'!AQ372-'Gov Fd Exp'!BL372</f>
        <v>276661</v>
      </c>
      <c r="BP372" s="24">
        <v>12667599</v>
      </c>
      <c r="BR372" s="24">
        <v>0</v>
      </c>
      <c r="BT372" s="24">
        <v>0</v>
      </c>
      <c r="BV372" s="64">
        <f t="shared" si="54"/>
        <v>12944260</v>
      </c>
      <c r="BW372" s="64"/>
      <c r="BX372" s="64">
        <f>BV372-'Gov Fd BS'!AI372</f>
        <v>0</v>
      </c>
    </row>
    <row r="373" spans="1:76">
      <c r="A373" s="9" t="s">
        <v>765</v>
      </c>
      <c r="B373" s="9"/>
      <c r="C373" s="9" t="s">
        <v>78</v>
      </c>
      <c r="D373" s="9"/>
      <c r="E373" s="23">
        <v>45534</v>
      </c>
      <c r="G373" s="42">
        <v>4362421</v>
      </c>
      <c r="I373" s="42">
        <v>1221035</v>
      </c>
      <c r="K373" s="42">
        <v>249514</v>
      </c>
      <c r="M373" s="42">
        <v>0</v>
      </c>
      <c r="O373" s="42">
        <v>1202922</v>
      </c>
      <c r="Q373" s="42">
        <v>962191</v>
      </c>
      <c r="S373" s="42">
        <v>784712</v>
      </c>
      <c r="U373" s="42">
        <v>0</v>
      </c>
      <c r="W373" s="42">
        <f>25534+968991</f>
        <v>994525</v>
      </c>
      <c r="Y373" s="42">
        <v>418684</v>
      </c>
      <c r="AA373" s="42">
        <v>0</v>
      </c>
      <c r="AC373" s="42">
        <v>1203917</v>
      </c>
      <c r="AE373" s="42">
        <v>521806</v>
      </c>
      <c r="AG373" s="42">
        <v>16022</v>
      </c>
      <c r="AI373" s="42">
        <v>0</v>
      </c>
      <c r="AK373" s="42">
        <v>547988</v>
      </c>
      <c r="AL373" s="9" t="s">
        <v>765</v>
      </c>
      <c r="AM373" s="9"/>
      <c r="AN373" s="9" t="s">
        <v>78</v>
      </c>
      <c r="AP373" s="42">
        <v>259880</v>
      </c>
      <c r="AR373" s="42">
        <v>219015</v>
      </c>
      <c r="AT373" s="42">
        <v>0</v>
      </c>
      <c r="AV373" s="42">
        <v>559000</v>
      </c>
      <c r="AX373" s="42">
        <v>300267</v>
      </c>
      <c r="AZ373" s="42">
        <v>0</v>
      </c>
      <c r="BB373" s="5">
        <f t="shared" si="52"/>
        <v>13823899</v>
      </c>
      <c r="BD373" s="42">
        <v>0</v>
      </c>
      <c r="BF373" s="42">
        <v>0</v>
      </c>
      <c r="BH373" s="42">
        <v>0</v>
      </c>
      <c r="BJ373" s="42">
        <v>0</v>
      </c>
      <c r="BL373" s="5">
        <f t="shared" si="53"/>
        <v>13823899</v>
      </c>
      <c r="BN373" s="5">
        <f>'Gov Fd Rev'!AQ373-'Gov Fd Exp'!BL373</f>
        <v>141900</v>
      </c>
      <c r="BP373" s="42">
        <v>5681169</v>
      </c>
      <c r="BR373" s="42">
        <v>0</v>
      </c>
      <c r="BT373" s="42">
        <v>0</v>
      </c>
      <c r="BV373" s="5">
        <f t="shared" si="54"/>
        <v>5823069</v>
      </c>
      <c r="BW373" s="5"/>
      <c r="BX373" s="5">
        <f>BV373-'Gov Fd BS'!AI373</f>
        <v>0</v>
      </c>
    </row>
    <row r="374" spans="1:76" hidden="1">
      <c r="A374" s="8" t="s">
        <v>866</v>
      </c>
      <c r="B374" s="9"/>
      <c r="C374" s="9" t="s">
        <v>40</v>
      </c>
      <c r="D374" s="9"/>
      <c r="E374" s="23">
        <v>44420</v>
      </c>
      <c r="G374" s="42">
        <v>0</v>
      </c>
      <c r="I374" s="42">
        <v>0</v>
      </c>
      <c r="K374" s="42">
        <v>0</v>
      </c>
      <c r="M374" s="42">
        <v>0</v>
      </c>
      <c r="O374" s="42">
        <v>0</v>
      </c>
      <c r="Q374" s="42">
        <v>0</v>
      </c>
      <c r="S374" s="42">
        <v>0</v>
      </c>
      <c r="U374" s="42">
        <v>0</v>
      </c>
      <c r="W374" s="42">
        <v>0</v>
      </c>
      <c r="Y374" s="42">
        <v>0</v>
      </c>
      <c r="AA374" s="42">
        <v>0</v>
      </c>
      <c r="AC374" s="42">
        <v>0</v>
      </c>
      <c r="AE374" s="42">
        <v>0</v>
      </c>
      <c r="AG374" s="42">
        <v>0</v>
      </c>
      <c r="AI374" s="42">
        <v>0</v>
      </c>
      <c r="AK374" s="42">
        <v>0</v>
      </c>
      <c r="AL374" s="8" t="s">
        <v>866</v>
      </c>
      <c r="AM374" s="9"/>
      <c r="AN374" s="9" t="s">
        <v>40</v>
      </c>
      <c r="AP374" s="42">
        <v>0</v>
      </c>
      <c r="AR374" s="42">
        <v>0</v>
      </c>
      <c r="AT374" s="42">
        <v>0</v>
      </c>
      <c r="AV374" s="42">
        <v>0</v>
      </c>
      <c r="AX374" s="42">
        <v>0</v>
      </c>
      <c r="AZ374" s="42">
        <v>0</v>
      </c>
      <c r="BB374" s="5">
        <f t="shared" si="52"/>
        <v>0</v>
      </c>
      <c r="BD374" s="42">
        <v>0</v>
      </c>
      <c r="BF374" s="42">
        <v>0</v>
      </c>
      <c r="BH374" s="42">
        <v>0</v>
      </c>
      <c r="BJ374" s="42">
        <v>0</v>
      </c>
      <c r="BL374" s="5">
        <f t="shared" si="53"/>
        <v>0</v>
      </c>
      <c r="BN374" s="5">
        <f>'Gov Fd Rev'!AQ374-'Gov Fd Exp'!BL374</f>
        <v>0</v>
      </c>
      <c r="BP374" s="42">
        <v>0</v>
      </c>
      <c r="BR374" s="42">
        <v>0</v>
      </c>
      <c r="BT374" s="42">
        <v>0</v>
      </c>
      <c r="BV374" s="5">
        <f t="shared" si="54"/>
        <v>0</v>
      </c>
      <c r="BW374" s="5"/>
      <c r="BX374" s="5">
        <f>BV374-'Gov Fd BS'!AI374</f>
        <v>0</v>
      </c>
    </row>
    <row r="375" spans="1:76">
      <c r="A375" s="9" t="s">
        <v>706</v>
      </c>
      <c r="B375" s="9"/>
      <c r="C375" s="9" t="s">
        <v>32</v>
      </c>
      <c r="D375" s="9"/>
      <c r="E375" s="23">
        <v>44412</v>
      </c>
      <c r="G375" s="42">
        <v>10049392</v>
      </c>
      <c r="I375" s="42">
        <v>7143274</v>
      </c>
      <c r="K375" s="42">
        <v>113386</v>
      </c>
      <c r="M375" s="42">
        <v>0</v>
      </c>
      <c r="O375" s="42">
        <v>4008934</v>
      </c>
      <c r="Q375" s="42">
        <v>2182509</v>
      </c>
      <c r="S375" s="42">
        <v>2366392</v>
      </c>
      <c r="U375" s="42">
        <v>0</v>
      </c>
      <c r="W375" s="42">
        <f>198600+2108771</f>
        <v>2307371</v>
      </c>
      <c r="Y375" s="42">
        <v>857350</v>
      </c>
      <c r="AA375" s="42">
        <v>62846</v>
      </c>
      <c r="AC375" s="42">
        <v>3076903</v>
      </c>
      <c r="AE375" s="42">
        <v>2485708</v>
      </c>
      <c r="AG375" s="42">
        <v>69078</v>
      </c>
      <c r="AI375" s="42">
        <v>0</v>
      </c>
      <c r="AK375" s="42">
        <v>2035869</v>
      </c>
      <c r="AL375" s="9" t="s">
        <v>706</v>
      </c>
      <c r="AM375" s="9"/>
      <c r="AN375" s="9" t="s">
        <v>32</v>
      </c>
      <c r="AP375" s="42">
        <v>676647</v>
      </c>
      <c r="AR375" s="42">
        <v>305428</v>
      </c>
      <c r="AT375" s="42">
        <v>0</v>
      </c>
      <c r="AV375" s="42">
        <v>797762</v>
      </c>
      <c r="AX375" s="42">
        <v>1446026</v>
      </c>
      <c r="AZ375" s="42">
        <v>0</v>
      </c>
      <c r="BB375" s="5">
        <f t="shared" si="52"/>
        <v>39984875</v>
      </c>
      <c r="BD375" s="42">
        <v>198824</v>
      </c>
      <c r="BF375" s="42">
        <v>0</v>
      </c>
      <c r="BH375" s="42">
        <v>0</v>
      </c>
      <c r="BJ375" s="42">
        <v>0</v>
      </c>
      <c r="BL375" s="5">
        <f t="shared" si="53"/>
        <v>40183699</v>
      </c>
      <c r="BN375" s="5">
        <f>'Gov Fd Rev'!AQ375-'Gov Fd Exp'!BL375</f>
        <v>3460709</v>
      </c>
      <c r="BP375" s="42">
        <v>7059844</v>
      </c>
      <c r="BR375" s="42">
        <v>0</v>
      </c>
      <c r="BT375" s="42">
        <v>0</v>
      </c>
      <c r="BV375" s="5">
        <f t="shared" si="54"/>
        <v>10520553</v>
      </c>
      <c r="BW375" s="5"/>
      <c r="BX375" s="5">
        <f>BV375-'Gov Fd BS'!AI375</f>
        <v>0</v>
      </c>
    </row>
    <row r="376" spans="1:76">
      <c r="A376" s="9" t="s">
        <v>344</v>
      </c>
      <c r="B376" s="9"/>
      <c r="C376" s="9" t="s">
        <v>34</v>
      </c>
      <c r="D376" s="9"/>
      <c r="E376" s="23">
        <v>44438</v>
      </c>
      <c r="G376" s="42">
        <v>8484478</v>
      </c>
      <c r="I376" s="42">
        <v>2994037</v>
      </c>
      <c r="K376" s="42">
        <v>238136</v>
      </c>
      <c r="M376" s="42">
        <v>0</v>
      </c>
      <c r="O376" s="42">
        <v>1504468</v>
      </c>
      <c r="Q376" s="42">
        <v>1109048</v>
      </c>
      <c r="S376" s="42">
        <v>1355260</v>
      </c>
      <c r="U376" s="42">
        <v>48357</v>
      </c>
      <c r="W376" s="42">
        <v>1447473</v>
      </c>
      <c r="Y376" s="42">
        <v>629759</v>
      </c>
      <c r="AA376" s="42">
        <v>0</v>
      </c>
      <c r="AC376" s="42">
        <v>1577092</v>
      </c>
      <c r="AE376" s="42">
        <v>1027514</v>
      </c>
      <c r="AG376" s="42">
        <v>283083</v>
      </c>
      <c r="AI376" s="42">
        <v>0</v>
      </c>
      <c r="AK376" s="42">
        <v>824868</v>
      </c>
      <c r="AL376" s="9" t="s">
        <v>344</v>
      </c>
      <c r="AM376" s="9"/>
      <c r="AN376" s="9" t="s">
        <v>34</v>
      </c>
      <c r="AP376" s="42">
        <v>707896</v>
      </c>
      <c r="AR376" s="42">
        <v>1257778</v>
      </c>
      <c r="AT376" s="42">
        <v>0</v>
      </c>
      <c r="AV376" s="42">
        <v>902399</v>
      </c>
      <c r="AX376" s="42">
        <v>1159914</v>
      </c>
      <c r="AZ376" s="42">
        <v>0</v>
      </c>
      <c r="BB376" s="5">
        <f t="shared" si="52"/>
        <v>25551560</v>
      </c>
      <c r="BD376" s="42">
        <v>29207948</v>
      </c>
      <c r="BF376" s="42">
        <v>0</v>
      </c>
      <c r="BH376" s="42">
        <v>0</v>
      </c>
      <c r="BJ376" s="42">
        <v>0</v>
      </c>
      <c r="BL376" s="5">
        <f>BB376+BD376+BJ376</f>
        <v>54759508</v>
      </c>
      <c r="BN376" s="5">
        <f>'Gov Fd Rev'!AQ376-'Gov Fd Exp'!BL376</f>
        <v>32966083</v>
      </c>
      <c r="BP376" s="42">
        <v>10910841</v>
      </c>
      <c r="BR376" s="42">
        <v>0</v>
      </c>
      <c r="BT376" s="42">
        <v>0</v>
      </c>
      <c r="BV376" s="5">
        <f t="shared" si="54"/>
        <v>43876924</v>
      </c>
      <c r="BW376" s="5"/>
      <c r="BX376" s="5">
        <f>BV376-'Gov Fd BS'!AI376</f>
        <v>0</v>
      </c>
    </row>
    <row r="377" spans="1:76" hidden="1">
      <c r="A377" s="9" t="s">
        <v>759</v>
      </c>
      <c r="B377" s="9"/>
      <c r="C377" s="9" t="s">
        <v>57</v>
      </c>
      <c r="D377" s="9"/>
      <c r="E377" s="23">
        <v>49270</v>
      </c>
      <c r="G377" s="42">
        <v>0</v>
      </c>
      <c r="I377" s="42">
        <v>0</v>
      </c>
      <c r="K377" s="42">
        <v>0</v>
      </c>
      <c r="M377" s="42">
        <v>0</v>
      </c>
      <c r="O377" s="42">
        <v>0</v>
      </c>
      <c r="Q377" s="42">
        <v>0</v>
      </c>
      <c r="S377" s="42">
        <v>0</v>
      </c>
      <c r="U377" s="42">
        <v>0</v>
      </c>
      <c r="W377" s="42">
        <v>0</v>
      </c>
      <c r="Y377" s="42">
        <v>0</v>
      </c>
      <c r="AA377" s="42">
        <v>0</v>
      </c>
      <c r="AC377" s="42">
        <v>0</v>
      </c>
      <c r="AE377" s="42">
        <v>0</v>
      </c>
      <c r="AG377" s="42">
        <v>0</v>
      </c>
      <c r="AI377" s="42">
        <v>0</v>
      </c>
      <c r="AK377" s="42">
        <v>0</v>
      </c>
      <c r="AL377" s="9" t="s">
        <v>759</v>
      </c>
      <c r="AM377" s="9"/>
      <c r="AN377" s="9" t="s">
        <v>57</v>
      </c>
      <c r="AP377" s="42">
        <v>0</v>
      </c>
      <c r="AR377" s="42">
        <v>0</v>
      </c>
      <c r="AT377" s="42">
        <v>0</v>
      </c>
      <c r="AV377" s="42">
        <v>0</v>
      </c>
      <c r="AX377" s="42">
        <v>0</v>
      </c>
      <c r="AZ377" s="42">
        <v>0</v>
      </c>
      <c r="BB377" s="5"/>
      <c r="BD377" s="42">
        <v>0</v>
      </c>
      <c r="BF377" s="42">
        <v>0</v>
      </c>
      <c r="BH377" s="42">
        <v>0</v>
      </c>
      <c r="BJ377" s="42">
        <v>0</v>
      </c>
      <c r="BL377" s="5"/>
      <c r="BN377" s="5"/>
      <c r="BP377" s="42">
        <v>0</v>
      </c>
      <c r="BR377" s="42">
        <v>0</v>
      </c>
      <c r="BT377" s="42">
        <v>0</v>
      </c>
      <c r="BV377" s="5"/>
      <c r="BW377" s="5"/>
      <c r="BX377" s="5"/>
    </row>
    <row r="378" spans="1:76">
      <c r="A378" s="9" t="s">
        <v>210</v>
      </c>
      <c r="B378" s="9"/>
      <c r="C378" s="9" t="s">
        <v>13</v>
      </c>
      <c r="D378" s="9"/>
      <c r="E378" s="23">
        <v>44446</v>
      </c>
      <c r="G378" s="42">
        <v>5348224</v>
      </c>
      <c r="I378" s="42">
        <v>1804362</v>
      </c>
      <c r="K378" s="42">
        <v>169102</v>
      </c>
      <c r="M378" s="42">
        <v>0</v>
      </c>
      <c r="O378" s="42">
        <v>74058</v>
      </c>
      <c r="Q378" s="42">
        <v>347450</v>
      </c>
      <c r="S378" s="42">
        <v>755828</v>
      </c>
      <c r="U378" s="42">
        <v>65145</v>
      </c>
      <c r="W378" s="42">
        <v>1214533</v>
      </c>
      <c r="Y378" s="42">
        <v>343118</v>
      </c>
      <c r="AA378" s="42">
        <v>0</v>
      </c>
      <c r="AC378" s="42">
        <v>1276401</v>
      </c>
      <c r="AE378" s="42">
        <v>816248</v>
      </c>
      <c r="AG378" s="42">
        <v>40</v>
      </c>
      <c r="AI378" s="42">
        <v>625546</v>
      </c>
      <c r="AK378" s="42">
        <v>1447</v>
      </c>
      <c r="AL378" s="9" t="s">
        <v>210</v>
      </c>
      <c r="AM378" s="9"/>
      <c r="AN378" s="9" t="s">
        <v>13</v>
      </c>
      <c r="AP378" s="42">
        <v>284854</v>
      </c>
      <c r="AR378" s="42">
        <v>12060</v>
      </c>
      <c r="AT378" s="42">
        <v>0</v>
      </c>
      <c r="AV378" s="42">
        <v>353000</v>
      </c>
      <c r="AX378" s="42">
        <v>301737</v>
      </c>
      <c r="AZ378" s="42">
        <v>0</v>
      </c>
      <c r="BB378" s="5">
        <f t="shared" si="52"/>
        <v>13793153</v>
      </c>
      <c r="BD378" s="42">
        <v>147724</v>
      </c>
      <c r="BF378" s="42">
        <v>0</v>
      </c>
      <c r="BH378" s="42">
        <v>0</v>
      </c>
      <c r="BJ378" s="42">
        <v>0</v>
      </c>
      <c r="BL378" s="5">
        <f t="shared" ref="BL378:BL408" si="55">BB378+BD378+BJ378</f>
        <v>13940877</v>
      </c>
      <c r="BN378" s="5">
        <f>'Gov Fd Rev'!AQ378-'Gov Fd Exp'!BL378</f>
        <v>508287</v>
      </c>
      <c r="BP378" s="42">
        <v>5093874</v>
      </c>
      <c r="BR378" s="42">
        <v>0</v>
      </c>
      <c r="BT378" s="42">
        <v>0</v>
      </c>
      <c r="BV378" s="5">
        <f t="shared" si="54"/>
        <v>5602161</v>
      </c>
      <c r="BW378" s="5"/>
      <c r="BX378" s="5">
        <f>BV378-'Gov Fd BS'!AI378</f>
        <v>0</v>
      </c>
    </row>
    <row r="379" spans="1:76">
      <c r="A379" s="9" t="s">
        <v>603</v>
      </c>
      <c r="B379" s="9"/>
      <c r="C379" s="9" t="s">
        <v>27</v>
      </c>
      <c r="D379" s="9"/>
      <c r="E379" s="23">
        <v>46995</v>
      </c>
      <c r="G379" s="42">
        <v>23395153</v>
      </c>
      <c r="I379" s="42">
        <v>7187469</v>
      </c>
      <c r="K379" s="42">
        <v>0</v>
      </c>
      <c r="M379" s="42">
        <v>0</v>
      </c>
      <c r="O379" s="42">
        <v>303577</v>
      </c>
      <c r="Q379" s="42">
        <v>4651189</v>
      </c>
      <c r="S379" s="42">
        <v>3227256</v>
      </c>
      <c r="U379" s="42">
        <v>0</v>
      </c>
      <c r="W379" s="42">
        <f>67217+3598397</f>
        <v>3665614</v>
      </c>
      <c r="Y379" s="42">
        <v>0</v>
      </c>
      <c r="AA379" s="42">
        <v>1637885</v>
      </c>
      <c r="AC379" s="42">
        <v>4732066</v>
      </c>
      <c r="AE379" s="42">
        <v>3097253</v>
      </c>
      <c r="AG379" s="42">
        <v>323642</v>
      </c>
      <c r="AI379" s="42">
        <v>1657285</v>
      </c>
      <c r="AK379" s="42">
        <v>1261188</v>
      </c>
      <c r="AL379" s="9" t="s">
        <v>603</v>
      </c>
      <c r="AM379" s="9"/>
      <c r="AN379" s="9" t="s">
        <v>27</v>
      </c>
      <c r="AP379" s="42">
        <v>1859234</v>
      </c>
      <c r="AR379" s="42">
        <v>708559</v>
      </c>
      <c r="AT379" s="42">
        <v>0</v>
      </c>
      <c r="AV379" s="42">
        <v>4885000</v>
      </c>
      <c r="AX379" s="42">
        <v>2509277</v>
      </c>
      <c r="AZ379" s="42">
        <f>288373+405663</f>
        <v>694036</v>
      </c>
      <c r="BB379" s="5">
        <f t="shared" si="52"/>
        <v>65795683</v>
      </c>
      <c r="BD379" s="42">
        <v>231288</v>
      </c>
      <c r="BF379" s="42">
        <v>0</v>
      </c>
      <c r="BH379" s="42">
        <v>0</v>
      </c>
      <c r="BJ379" s="42">
        <v>3994913</v>
      </c>
      <c r="BL379" s="5">
        <f t="shared" si="55"/>
        <v>70021884</v>
      </c>
      <c r="BN379" s="5">
        <f>'Gov Fd Rev'!AQ379-'Gov Fd Exp'!BL379</f>
        <v>43301661</v>
      </c>
      <c r="BP379" s="42">
        <v>35761066</v>
      </c>
      <c r="BR379" s="42">
        <v>0</v>
      </c>
      <c r="BT379" s="42">
        <v>0</v>
      </c>
      <c r="BV379" s="5">
        <f t="shared" si="54"/>
        <v>79062727</v>
      </c>
      <c r="BW379" s="5"/>
      <c r="BX379" s="5">
        <f>BV379-'Gov Fd BS'!AI379</f>
        <v>0</v>
      </c>
    </row>
    <row r="380" spans="1:76">
      <c r="A380" s="9" t="s">
        <v>480</v>
      </c>
      <c r="B380" s="9"/>
      <c r="C380" s="9" t="s">
        <v>59</v>
      </c>
      <c r="D380" s="9"/>
      <c r="E380" s="23">
        <v>44461</v>
      </c>
      <c r="G380" s="42">
        <v>2433926</v>
      </c>
      <c r="I380" s="42">
        <v>797992</v>
      </c>
      <c r="K380" s="42">
        <v>131</v>
      </c>
      <c r="M380" s="42">
        <v>0</v>
      </c>
      <c r="O380" s="42">
        <v>0</v>
      </c>
      <c r="Q380" s="42">
        <v>207137</v>
      </c>
      <c r="S380" s="42">
        <v>381561</v>
      </c>
      <c r="U380" s="42">
        <v>14817</v>
      </c>
      <c r="W380" s="42">
        <v>510386</v>
      </c>
      <c r="Y380" s="42">
        <v>183626</v>
      </c>
      <c r="AA380" s="42">
        <v>0</v>
      </c>
      <c r="AC380" s="42">
        <v>473709</v>
      </c>
      <c r="AE380" s="42">
        <v>106563</v>
      </c>
      <c r="AG380" s="42">
        <v>56081</v>
      </c>
      <c r="AI380" s="42">
        <v>229105</v>
      </c>
      <c r="AK380" s="42">
        <v>0</v>
      </c>
      <c r="AL380" s="9" t="s">
        <v>480</v>
      </c>
      <c r="AM380" s="9"/>
      <c r="AN380" s="9" t="s">
        <v>59</v>
      </c>
      <c r="AP380" s="42">
        <v>137302</v>
      </c>
      <c r="AR380" s="42">
        <v>6256633</v>
      </c>
      <c r="AT380" s="42">
        <v>0</v>
      </c>
      <c r="AV380" s="42">
        <v>50000</v>
      </c>
      <c r="AX380" s="42">
        <v>147045</v>
      </c>
      <c r="AZ380" s="42">
        <v>0</v>
      </c>
      <c r="BB380" s="5">
        <f t="shared" si="52"/>
        <v>11986014</v>
      </c>
      <c r="BD380" s="42">
        <v>300414</v>
      </c>
      <c r="BF380" s="42">
        <v>0</v>
      </c>
      <c r="BH380" s="42">
        <v>0</v>
      </c>
      <c r="BJ380" s="42">
        <v>0</v>
      </c>
      <c r="BL380" s="5">
        <f t="shared" si="55"/>
        <v>12286428</v>
      </c>
      <c r="BN380" s="5">
        <f>'Gov Fd Rev'!AQ380-'Gov Fd Exp'!BL380</f>
        <v>-5895802</v>
      </c>
      <c r="BP380" s="42">
        <v>7715785</v>
      </c>
      <c r="BR380" s="42">
        <v>0</v>
      </c>
      <c r="BT380" s="42">
        <v>0</v>
      </c>
      <c r="BV380" s="5">
        <f t="shared" si="54"/>
        <v>1819983</v>
      </c>
      <c r="BW380" s="5"/>
      <c r="BX380" s="5">
        <f>BV380-'Gov Fd BS'!AI380</f>
        <v>0</v>
      </c>
    </row>
    <row r="381" spans="1:76">
      <c r="A381" s="9" t="s">
        <v>213</v>
      </c>
      <c r="B381" s="9"/>
      <c r="C381" s="9" t="s">
        <v>14</v>
      </c>
      <c r="D381" s="9"/>
      <c r="E381" s="23">
        <v>45955</v>
      </c>
      <c r="G381" s="42">
        <v>4704697</v>
      </c>
      <c r="I381" s="42">
        <v>484047</v>
      </c>
      <c r="K381" s="42">
        <v>153152</v>
      </c>
      <c r="M381" s="42">
        <v>0</v>
      </c>
      <c r="O381" s="42">
        <v>0</v>
      </c>
      <c r="Q381" s="42">
        <v>587509</v>
      </c>
      <c r="S381" s="42">
        <v>636710</v>
      </c>
      <c r="U381" s="42">
        <v>50154</v>
      </c>
      <c r="W381" s="42">
        <v>732117</v>
      </c>
      <c r="Y381" s="42">
        <v>203305</v>
      </c>
      <c r="AA381" s="42">
        <v>0</v>
      </c>
      <c r="AC381" s="42">
        <v>1045821</v>
      </c>
      <c r="AE381" s="42">
        <v>198532</v>
      </c>
      <c r="AG381" s="42">
        <v>69666</v>
      </c>
      <c r="AI381" s="42">
        <v>0</v>
      </c>
      <c r="AK381" s="42">
        <v>337210</v>
      </c>
      <c r="AL381" s="9" t="s">
        <v>213</v>
      </c>
      <c r="AM381" s="9"/>
      <c r="AN381" s="9" t="s">
        <v>14</v>
      </c>
      <c r="AP381" s="42">
        <v>424758</v>
      </c>
      <c r="AR381" s="42">
        <v>66946</v>
      </c>
      <c r="AT381" s="42">
        <v>0</v>
      </c>
      <c r="AV381" s="42">
        <v>165926</v>
      </c>
      <c r="AX381" s="42">
        <v>117688</v>
      </c>
      <c r="AZ381" s="42">
        <v>529074</v>
      </c>
      <c r="BB381" s="5">
        <f t="shared" si="52"/>
        <v>10507312</v>
      </c>
      <c r="BD381" s="42">
        <v>20000</v>
      </c>
      <c r="BF381" s="42">
        <v>0</v>
      </c>
      <c r="BH381" s="42">
        <v>0</v>
      </c>
      <c r="BJ381" s="42">
        <v>0</v>
      </c>
      <c r="BL381" s="5">
        <f t="shared" si="55"/>
        <v>10527312</v>
      </c>
      <c r="BN381" s="5">
        <f>'Gov Fd Rev'!AQ381-'Gov Fd Exp'!BL381</f>
        <v>-327431</v>
      </c>
      <c r="BP381" s="42">
        <v>7627751</v>
      </c>
      <c r="BR381" s="42">
        <v>0</v>
      </c>
      <c r="BT381" s="42">
        <v>0</v>
      </c>
      <c r="BV381" s="5">
        <f t="shared" si="54"/>
        <v>7300320</v>
      </c>
      <c r="BW381" s="5"/>
      <c r="BX381" s="5">
        <f>BV381-'Gov Fd BS'!AI381</f>
        <v>0</v>
      </c>
    </row>
    <row r="382" spans="1:76" hidden="1">
      <c r="A382" s="9" t="s">
        <v>700</v>
      </c>
      <c r="B382" s="9"/>
      <c r="C382" s="9" t="s">
        <v>14</v>
      </c>
      <c r="D382" s="9"/>
      <c r="E382" s="23">
        <v>45963</v>
      </c>
      <c r="G382" s="42">
        <v>0</v>
      </c>
      <c r="I382" s="42">
        <v>0</v>
      </c>
      <c r="K382" s="42">
        <v>0</v>
      </c>
      <c r="M382" s="42">
        <v>0</v>
      </c>
      <c r="O382" s="42">
        <v>0</v>
      </c>
      <c r="Q382" s="42">
        <v>0</v>
      </c>
      <c r="S382" s="42">
        <v>0</v>
      </c>
      <c r="U382" s="42">
        <v>0</v>
      </c>
      <c r="W382" s="42">
        <v>0</v>
      </c>
      <c r="Y382" s="42">
        <v>0</v>
      </c>
      <c r="AA382" s="42">
        <v>0</v>
      </c>
      <c r="AC382" s="42">
        <v>0</v>
      </c>
      <c r="AE382" s="42">
        <v>0</v>
      </c>
      <c r="AG382" s="42">
        <v>0</v>
      </c>
      <c r="AI382" s="42">
        <v>0</v>
      </c>
      <c r="AK382" s="42">
        <v>0</v>
      </c>
      <c r="AL382" s="9" t="s">
        <v>700</v>
      </c>
      <c r="AM382" s="9"/>
      <c r="AN382" s="9" t="s">
        <v>14</v>
      </c>
      <c r="AP382" s="42">
        <v>0</v>
      </c>
      <c r="AR382" s="42">
        <v>0</v>
      </c>
      <c r="AT382" s="42">
        <v>0</v>
      </c>
      <c r="AV382" s="42">
        <v>0</v>
      </c>
      <c r="AX382" s="42">
        <v>0</v>
      </c>
      <c r="AZ382" s="42">
        <v>0</v>
      </c>
      <c r="BB382" s="5">
        <f t="shared" si="52"/>
        <v>0</v>
      </c>
      <c r="BD382" s="42">
        <v>0</v>
      </c>
      <c r="BF382" s="42">
        <v>0</v>
      </c>
      <c r="BH382" s="42">
        <v>0</v>
      </c>
      <c r="BJ382" s="42">
        <v>0</v>
      </c>
      <c r="BL382" s="5">
        <f t="shared" si="55"/>
        <v>0</v>
      </c>
      <c r="BN382" s="5">
        <f>'Gov Fd Rev'!AQ382-'Gov Fd Exp'!BL382</f>
        <v>0</v>
      </c>
      <c r="BP382" s="42">
        <v>0</v>
      </c>
      <c r="BR382" s="42">
        <v>0</v>
      </c>
      <c r="BT382" s="42">
        <v>0</v>
      </c>
      <c r="BV382" s="5">
        <f t="shared" si="54"/>
        <v>0</v>
      </c>
      <c r="BW382" s="5"/>
      <c r="BX382" s="5">
        <f>BV382-'Gov Fd BS'!AI382</f>
        <v>0</v>
      </c>
    </row>
    <row r="383" spans="1:76">
      <c r="A383" s="9" t="s">
        <v>430</v>
      </c>
      <c r="B383" s="9"/>
      <c r="C383" s="9" t="s">
        <v>50</v>
      </c>
      <c r="D383" s="9"/>
      <c r="E383" s="23">
        <v>48710</v>
      </c>
      <c r="G383" s="42">
        <v>4630885</v>
      </c>
      <c r="I383" s="42">
        <v>1354506</v>
      </c>
      <c r="K383" s="42">
        <v>0</v>
      </c>
      <c r="M383" s="42">
        <v>0</v>
      </c>
      <c r="O383" s="42">
        <v>374198</v>
      </c>
      <c r="Q383" s="42">
        <v>485956</v>
      </c>
      <c r="S383" s="42">
        <v>864519</v>
      </c>
      <c r="U383" s="42">
        <v>0</v>
      </c>
      <c r="W383" s="42">
        <f>82898+812773</f>
        <v>895671</v>
      </c>
      <c r="Y383" s="42">
        <v>205750</v>
      </c>
      <c r="AA383" s="42">
        <v>79279</v>
      </c>
      <c r="AC383" s="42">
        <v>1269021</v>
      </c>
      <c r="AE383" s="42">
        <v>646311</v>
      </c>
      <c r="AG383" s="42">
        <v>289269</v>
      </c>
      <c r="AI383" s="42">
        <v>0</v>
      </c>
      <c r="AK383" s="42">
        <v>463627</v>
      </c>
      <c r="AL383" s="9" t="s">
        <v>430</v>
      </c>
      <c r="AM383" s="9"/>
      <c r="AN383" s="9" t="s">
        <v>50</v>
      </c>
      <c r="AP383" s="42">
        <v>366787</v>
      </c>
      <c r="AR383" s="42">
        <v>0</v>
      </c>
      <c r="AT383" s="42">
        <v>0</v>
      </c>
      <c r="AV383" s="42">
        <v>215000</v>
      </c>
      <c r="AX383" s="42">
        <v>111132</v>
      </c>
      <c r="AZ383" s="42">
        <v>0</v>
      </c>
      <c r="BB383" s="5">
        <f t="shared" si="52"/>
        <v>12251911</v>
      </c>
      <c r="BD383" s="42">
        <v>220324</v>
      </c>
      <c r="BF383" s="42">
        <v>0</v>
      </c>
      <c r="BH383" s="42">
        <v>0</v>
      </c>
      <c r="BJ383" s="42">
        <v>0</v>
      </c>
      <c r="BL383" s="5">
        <f t="shared" si="55"/>
        <v>12472235</v>
      </c>
      <c r="BN383" s="5">
        <f>'Gov Fd Rev'!AQ383-'Gov Fd Exp'!BL383</f>
        <v>544912</v>
      </c>
      <c r="BP383" s="42">
        <v>6078721</v>
      </c>
      <c r="BR383" s="42">
        <v>0</v>
      </c>
      <c r="BT383" s="42">
        <v>0</v>
      </c>
      <c r="BV383" s="5">
        <f t="shared" si="54"/>
        <v>6623633</v>
      </c>
      <c r="BW383" s="5"/>
      <c r="BX383" s="5">
        <f>BV383-'Gov Fd BS'!AI383</f>
        <v>0</v>
      </c>
    </row>
    <row r="384" spans="1:76" hidden="1">
      <c r="A384" s="9" t="s">
        <v>803</v>
      </c>
      <c r="B384" s="9"/>
      <c r="C384" s="9" t="s">
        <v>448</v>
      </c>
      <c r="D384" s="9"/>
      <c r="E384" s="23">
        <v>44479</v>
      </c>
      <c r="G384" s="42">
        <v>0</v>
      </c>
      <c r="I384" s="42">
        <v>0</v>
      </c>
      <c r="K384" s="42">
        <v>0</v>
      </c>
      <c r="M384" s="42">
        <v>0</v>
      </c>
      <c r="O384" s="42">
        <v>0</v>
      </c>
      <c r="Q384" s="42">
        <v>0</v>
      </c>
      <c r="S384" s="42">
        <v>0</v>
      </c>
      <c r="U384" s="42">
        <v>0</v>
      </c>
      <c r="W384" s="42">
        <v>0</v>
      </c>
      <c r="Y384" s="42">
        <v>0</v>
      </c>
      <c r="AA384" s="42">
        <v>0</v>
      </c>
      <c r="AC384" s="42">
        <v>0</v>
      </c>
      <c r="AE384" s="42">
        <v>0</v>
      </c>
      <c r="AG384" s="42">
        <v>0</v>
      </c>
      <c r="AI384" s="42">
        <v>0</v>
      </c>
      <c r="AK384" s="42">
        <v>0</v>
      </c>
      <c r="AL384" s="9" t="s">
        <v>803</v>
      </c>
      <c r="AM384" s="9"/>
      <c r="AN384" s="9" t="s">
        <v>448</v>
      </c>
      <c r="AP384" s="42">
        <v>0</v>
      </c>
      <c r="AR384" s="42">
        <v>0</v>
      </c>
      <c r="AT384" s="42">
        <v>0</v>
      </c>
      <c r="AV384" s="42">
        <v>0</v>
      </c>
      <c r="AX384" s="42">
        <v>0</v>
      </c>
      <c r="AZ384" s="42">
        <v>0</v>
      </c>
      <c r="BB384" s="5">
        <f t="shared" si="52"/>
        <v>0</v>
      </c>
      <c r="BD384" s="42">
        <v>0</v>
      </c>
      <c r="BF384" s="42">
        <v>0</v>
      </c>
      <c r="BH384" s="42">
        <v>0</v>
      </c>
      <c r="BJ384" s="42">
        <v>0</v>
      </c>
      <c r="BL384" s="5">
        <f t="shared" si="55"/>
        <v>0</v>
      </c>
      <c r="BN384" s="5">
        <f>'Gov Fd Rev'!AQ384-'Gov Fd Exp'!BL384</f>
        <v>0</v>
      </c>
      <c r="BP384" s="42">
        <v>0</v>
      </c>
      <c r="BR384" s="42">
        <v>0</v>
      </c>
      <c r="BT384" s="42">
        <v>0</v>
      </c>
      <c r="BV384" s="5">
        <f t="shared" si="54"/>
        <v>0</v>
      </c>
      <c r="BW384" s="5"/>
      <c r="BX384" s="5">
        <f>BV384-'Gov Fd BS'!AI384</f>
        <v>0</v>
      </c>
    </row>
    <row r="385" spans="1:76">
      <c r="A385" s="9" t="s">
        <v>355</v>
      </c>
      <c r="B385" s="9"/>
      <c r="C385" s="9" t="s">
        <v>37</v>
      </c>
      <c r="D385" s="9"/>
      <c r="E385" s="23">
        <v>47720</v>
      </c>
      <c r="G385" s="42">
        <v>5039548</v>
      </c>
      <c r="I385" s="42">
        <v>1275729</v>
      </c>
      <c r="K385" s="42">
        <v>239191</v>
      </c>
      <c r="M385" s="42">
        <v>0</v>
      </c>
      <c r="O385" s="42">
        <v>12787</v>
      </c>
      <c r="Q385" s="42">
        <v>483494</v>
      </c>
      <c r="S385" s="42">
        <v>235484</v>
      </c>
      <c r="U385" s="42">
        <v>23141</v>
      </c>
      <c r="W385" s="42">
        <v>734669</v>
      </c>
      <c r="Y385" s="42">
        <v>336029</v>
      </c>
      <c r="AA385" s="42">
        <v>77</v>
      </c>
      <c r="AC385" s="42">
        <v>893612</v>
      </c>
      <c r="AE385" s="42">
        <v>560827</v>
      </c>
      <c r="AG385" s="42">
        <v>176937</v>
      </c>
      <c r="AI385" s="42">
        <v>400835</v>
      </c>
      <c r="AK385" s="42">
        <v>2781</v>
      </c>
      <c r="AL385" s="9" t="s">
        <v>355</v>
      </c>
      <c r="AM385" s="9"/>
      <c r="AN385" s="9" t="s">
        <v>37</v>
      </c>
      <c r="AP385" s="42">
        <v>418832</v>
      </c>
      <c r="AR385" s="42">
        <v>0</v>
      </c>
      <c r="AT385" s="42">
        <v>0</v>
      </c>
      <c r="AV385" s="42">
        <v>193524</v>
      </c>
      <c r="AX385" s="42">
        <v>71832</v>
      </c>
      <c r="AZ385" s="42">
        <v>0</v>
      </c>
      <c r="BB385" s="5">
        <f t="shared" si="52"/>
        <v>11099329</v>
      </c>
      <c r="BD385" s="42">
        <v>22503</v>
      </c>
      <c r="BF385" s="42">
        <v>0</v>
      </c>
      <c r="BH385" s="42">
        <v>0</v>
      </c>
      <c r="BJ385" s="42">
        <v>0</v>
      </c>
      <c r="BL385" s="5">
        <f t="shared" si="55"/>
        <v>11121832</v>
      </c>
      <c r="BN385" s="5">
        <f>'Gov Fd Rev'!AQ385-'Gov Fd Exp'!BL385</f>
        <v>-539112</v>
      </c>
      <c r="BP385" s="42">
        <v>2618929</v>
      </c>
      <c r="BR385" s="42">
        <v>0</v>
      </c>
      <c r="BT385" s="42">
        <v>0</v>
      </c>
      <c r="BV385" s="5">
        <f t="shared" si="54"/>
        <v>2079817</v>
      </c>
      <c r="BW385" s="5"/>
      <c r="BX385" s="5">
        <f>BV385-'Gov Fd BS'!AI385</f>
        <v>0</v>
      </c>
    </row>
    <row r="386" spans="1:76">
      <c r="A386" s="9" t="s">
        <v>225</v>
      </c>
      <c r="B386" s="9"/>
      <c r="C386" s="9" t="s">
        <v>220</v>
      </c>
      <c r="D386" s="9"/>
      <c r="E386" s="23">
        <v>46136</v>
      </c>
      <c r="G386" s="42">
        <v>3071370</v>
      </c>
      <c r="I386" s="42">
        <v>640654</v>
      </c>
      <c r="K386" s="42">
        <v>0</v>
      </c>
      <c r="M386" s="42">
        <v>0</v>
      </c>
      <c r="O386" s="42">
        <v>43747</v>
      </c>
      <c r="Q386" s="42">
        <v>365479</v>
      </c>
      <c r="S386" s="42">
        <v>188091</v>
      </c>
      <c r="U386" s="42">
        <v>35864</v>
      </c>
      <c r="W386" s="42">
        <v>795639</v>
      </c>
      <c r="Y386" s="42">
        <v>189650</v>
      </c>
      <c r="AA386" s="42">
        <v>13008</v>
      </c>
      <c r="AC386" s="42">
        <v>845539</v>
      </c>
      <c r="AE386" s="42">
        <v>483350</v>
      </c>
      <c r="AG386" s="42">
        <v>0</v>
      </c>
      <c r="AI386" s="42">
        <v>482193</v>
      </c>
      <c r="AK386" s="42">
        <v>0</v>
      </c>
      <c r="AL386" s="9" t="s">
        <v>225</v>
      </c>
      <c r="AM386" s="9"/>
      <c r="AN386" s="9" t="s">
        <v>220</v>
      </c>
      <c r="AP386" s="42">
        <v>149495</v>
      </c>
      <c r="AR386" s="42">
        <v>0</v>
      </c>
      <c r="AT386" s="42">
        <v>0</v>
      </c>
      <c r="AV386" s="42">
        <v>127257</v>
      </c>
      <c r="AX386" s="42">
        <v>130528</v>
      </c>
      <c r="AZ386" s="42">
        <v>362</v>
      </c>
      <c r="BB386" s="5">
        <f t="shared" si="52"/>
        <v>7562226</v>
      </c>
      <c r="BD386" s="42">
        <v>58115</v>
      </c>
      <c r="BF386" s="42">
        <v>0</v>
      </c>
      <c r="BH386" s="42">
        <v>0</v>
      </c>
      <c r="BJ386" s="42">
        <v>0</v>
      </c>
      <c r="BL386" s="5">
        <f t="shared" si="55"/>
        <v>7620341</v>
      </c>
      <c r="BN386" s="5">
        <f>'Gov Fd Rev'!AQ386-'Gov Fd Exp'!BL386</f>
        <v>25772</v>
      </c>
      <c r="BP386" s="42">
        <v>3587069</v>
      </c>
      <c r="BR386" s="42">
        <v>0</v>
      </c>
      <c r="BT386" s="42">
        <v>0</v>
      </c>
      <c r="BV386" s="5">
        <f t="shared" si="54"/>
        <v>3612841</v>
      </c>
      <c r="BW386" s="5"/>
      <c r="BX386" s="5">
        <f>BV386-'Gov Fd BS'!AI386</f>
        <v>0</v>
      </c>
    </row>
    <row r="387" spans="1:76">
      <c r="A387" s="9" t="s">
        <v>533</v>
      </c>
      <c r="B387" s="9"/>
      <c r="C387" s="9" t="s">
        <v>65</v>
      </c>
      <c r="D387" s="9"/>
      <c r="E387" s="23">
        <v>44487</v>
      </c>
      <c r="G387" s="42">
        <v>12110772</v>
      </c>
      <c r="I387" s="42">
        <v>3154458</v>
      </c>
      <c r="K387" s="42">
        <v>130813</v>
      </c>
      <c r="M387" s="42">
        <v>0</v>
      </c>
      <c r="O387" s="42">
        <v>2630767</v>
      </c>
      <c r="Q387" s="42">
        <v>1557593</v>
      </c>
      <c r="S387" s="42">
        <v>1074957</v>
      </c>
      <c r="U387" s="42">
        <v>31432</v>
      </c>
      <c r="W387" s="42">
        <v>2340058</v>
      </c>
      <c r="Y387" s="42">
        <v>824457</v>
      </c>
      <c r="AA387" s="42">
        <v>0</v>
      </c>
      <c r="AC387" s="42">
        <v>2155023</v>
      </c>
      <c r="AE387" s="42">
        <v>860553</v>
      </c>
      <c r="AG387" s="42">
        <v>0</v>
      </c>
      <c r="AI387" s="42">
        <v>880797</v>
      </c>
      <c r="AK387" s="42">
        <v>572504</v>
      </c>
      <c r="AL387" s="9" t="s">
        <v>533</v>
      </c>
      <c r="AM387" s="9"/>
      <c r="AN387" s="9" t="s">
        <v>65</v>
      </c>
      <c r="AP387" s="42">
        <v>1101048</v>
      </c>
      <c r="AR387" s="42">
        <v>332308</v>
      </c>
      <c r="AT387" s="42">
        <v>0</v>
      </c>
      <c r="AV387" s="42">
        <v>377841</v>
      </c>
      <c r="AX387" s="42">
        <v>407134</v>
      </c>
      <c r="AZ387" s="42">
        <v>0</v>
      </c>
      <c r="BB387" s="5">
        <f t="shared" si="52"/>
        <v>30542515</v>
      </c>
      <c r="BD387" s="42">
        <v>251500</v>
      </c>
      <c r="BF387" s="42">
        <v>0</v>
      </c>
      <c r="BH387" s="42">
        <v>0</v>
      </c>
      <c r="BJ387" s="42">
        <v>0</v>
      </c>
      <c r="BL387" s="5">
        <f t="shared" si="55"/>
        <v>30794015</v>
      </c>
      <c r="BN387" s="5">
        <f>'Gov Fd Rev'!AQ387-'Gov Fd Exp'!BL387</f>
        <v>-1900910</v>
      </c>
      <c r="BP387" s="42">
        <v>7631936</v>
      </c>
      <c r="BR387" s="42">
        <v>0</v>
      </c>
      <c r="BT387" s="42">
        <v>0</v>
      </c>
      <c r="BV387" s="5">
        <f t="shared" si="54"/>
        <v>5731026</v>
      </c>
      <c r="BW387" s="5"/>
      <c r="BX387" s="5">
        <f>BV387-'Gov Fd BS'!AI387</f>
        <v>0</v>
      </c>
    </row>
    <row r="388" spans="1:76">
      <c r="A388" s="9" t="s">
        <v>766</v>
      </c>
      <c r="B388" s="9"/>
      <c r="C388" s="9" t="s">
        <v>112</v>
      </c>
      <c r="D388" s="9"/>
      <c r="E388" s="23">
        <v>45559</v>
      </c>
      <c r="G388" s="42">
        <v>12954718</v>
      </c>
      <c r="I388" s="42">
        <v>3140240</v>
      </c>
      <c r="K388" s="42">
        <v>0</v>
      </c>
      <c r="M388" s="42">
        <v>30326</v>
      </c>
      <c r="O388" s="42">
        <v>0</v>
      </c>
      <c r="Q388" s="42">
        <v>1059376</v>
      </c>
      <c r="S388" s="42">
        <v>1204436</v>
      </c>
      <c r="U388" s="42">
        <v>101725</v>
      </c>
      <c r="W388" s="42">
        <v>1667699</v>
      </c>
      <c r="Y388" s="42">
        <v>883285</v>
      </c>
      <c r="AA388" s="42">
        <v>0</v>
      </c>
      <c r="AC388" s="42">
        <v>3198629</v>
      </c>
      <c r="AE388" s="42">
        <v>1662506</v>
      </c>
      <c r="AG388" s="42">
        <v>370356</v>
      </c>
      <c r="AI388" s="42">
        <v>0</v>
      </c>
      <c r="AK388" s="42">
        <v>777</v>
      </c>
      <c r="AL388" s="9" t="s">
        <v>766</v>
      </c>
      <c r="AM388" s="9"/>
      <c r="AN388" s="9" t="s">
        <v>112</v>
      </c>
      <c r="AP388" s="42">
        <v>529520</v>
      </c>
      <c r="AR388" s="42">
        <v>416533</v>
      </c>
      <c r="AT388" s="42">
        <v>0</v>
      </c>
      <c r="AV388" s="42">
        <v>0</v>
      </c>
      <c r="AX388" s="42">
        <v>0</v>
      </c>
      <c r="AZ388" s="42">
        <v>0</v>
      </c>
      <c r="BB388" s="5">
        <f t="shared" si="52"/>
        <v>27220126</v>
      </c>
      <c r="BD388" s="42">
        <v>1247596</v>
      </c>
      <c r="BF388" s="42">
        <v>0</v>
      </c>
      <c r="BH388" s="42">
        <v>0</v>
      </c>
      <c r="BJ388" s="42">
        <v>0</v>
      </c>
      <c r="BL388" s="5">
        <f t="shared" si="55"/>
        <v>28467722</v>
      </c>
      <c r="BN388" s="5">
        <f>'Gov Fd Rev'!AQ388-'Gov Fd Exp'!BL388</f>
        <v>3045012</v>
      </c>
      <c r="BP388" s="42">
        <v>20792343</v>
      </c>
      <c r="BR388" s="42">
        <v>0</v>
      </c>
      <c r="BT388" s="42">
        <v>0</v>
      </c>
      <c r="BV388" s="5">
        <f t="shared" si="54"/>
        <v>23837355</v>
      </c>
      <c r="BW388" s="5"/>
      <c r="BX388" s="5">
        <f>BV388-'Gov Fd BS'!AI388</f>
        <v>0</v>
      </c>
    </row>
    <row r="389" spans="1:76" hidden="1">
      <c r="A389" s="9" t="s">
        <v>804</v>
      </c>
      <c r="B389" s="9"/>
      <c r="C389" s="9" t="s">
        <v>60</v>
      </c>
      <c r="D389" s="9"/>
      <c r="E389" s="23">
        <v>49718</v>
      </c>
      <c r="G389" s="42">
        <v>0</v>
      </c>
      <c r="I389" s="42">
        <v>0</v>
      </c>
      <c r="K389" s="42">
        <v>0</v>
      </c>
      <c r="M389" s="42">
        <v>0</v>
      </c>
      <c r="O389" s="42">
        <v>0</v>
      </c>
      <c r="Q389" s="42">
        <v>0</v>
      </c>
      <c r="S389" s="42">
        <v>0</v>
      </c>
      <c r="U389" s="42">
        <v>0</v>
      </c>
      <c r="W389" s="42">
        <v>0</v>
      </c>
      <c r="Y389" s="42">
        <v>0</v>
      </c>
      <c r="AA389" s="42">
        <v>0</v>
      </c>
      <c r="AC389" s="42">
        <v>0</v>
      </c>
      <c r="AE389" s="42">
        <v>0</v>
      </c>
      <c r="AG389" s="42">
        <v>0</v>
      </c>
      <c r="AI389" s="42">
        <v>0</v>
      </c>
      <c r="AK389" s="42">
        <v>0</v>
      </c>
      <c r="AL389" s="9" t="s">
        <v>804</v>
      </c>
      <c r="AM389" s="9"/>
      <c r="AN389" s="9" t="s">
        <v>60</v>
      </c>
      <c r="AP389" s="42">
        <v>0</v>
      </c>
      <c r="AR389" s="42">
        <v>0</v>
      </c>
      <c r="AT389" s="42">
        <v>0</v>
      </c>
      <c r="AV389" s="42">
        <v>0</v>
      </c>
      <c r="AX389" s="42">
        <v>0</v>
      </c>
      <c r="AZ389" s="42">
        <v>0</v>
      </c>
      <c r="BB389" s="5">
        <f t="shared" si="52"/>
        <v>0</v>
      </c>
      <c r="BD389" s="42">
        <v>0</v>
      </c>
      <c r="BF389" s="42">
        <v>0</v>
      </c>
      <c r="BH389" s="42">
        <v>0</v>
      </c>
      <c r="BJ389" s="42">
        <v>0</v>
      </c>
      <c r="BL389" s="5">
        <f t="shared" si="55"/>
        <v>0</v>
      </c>
      <c r="BN389" s="5">
        <f>'Gov Fd Rev'!AQ389-'Gov Fd Exp'!BL389</f>
        <v>0</v>
      </c>
      <c r="BP389" s="42">
        <v>0</v>
      </c>
      <c r="BR389" s="42">
        <v>0</v>
      </c>
      <c r="BT389" s="42">
        <v>0</v>
      </c>
      <c r="BV389" s="5">
        <f t="shared" si="54"/>
        <v>0</v>
      </c>
      <c r="BW389" s="5"/>
      <c r="BX389" s="5">
        <f>BV389-'Gov Fd BS'!AI389</f>
        <v>0</v>
      </c>
    </row>
    <row r="390" spans="1:76">
      <c r="A390" s="9" t="s">
        <v>374</v>
      </c>
      <c r="B390" s="9"/>
      <c r="C390" s="9" t="s">
        <v>42</v>
      </c>
      <c r="D390" s="9"/>
      <c r="E390" s="23">
        <v>44453</v>
      </c>
      <c r="G390" s="42">
        <v>31221725</v>
      </c>
      <c r="I390" s="42">
        <v>9558244</v>
      </c>
      <c r="K390" s="42">
        <v>264377</v>
      </c>
      <c r="M390" s="42">
        <v>0</v>
      </c>
      <c r="O390" s="42">
        <v>260394</v>
      </c>
      <c r="Q390" s="42">
        <v>3611968</v>
      </c>
      <c r="S390" s="42">
        <v>3860664</v>
      </c>
      <c r="U390" s="42">
        <v>130169</v>
      </c>
      <c r="W390" s="42">
        <v>3556450</v>
      </c>
      <c r="Y390" s="42">
        <v>1283155</v>
      </c>
      <c r="AA390" s="42">
        <v>450846</v>
      </c>
      <c r="AC390" s="42">
        <v>5989433</v>
      </c>
      <c r="AE390" s="42">
        <v>2699744</v>
      </c>
      <c r="AG390" s="42">
        <v>1055074</v>
      </c>
      <c r="AI390" s="42">
        <v>2211304</v>
      </c>
      <c r="AK390" s="42">
        <v>767454</v>
      </c>
      <c r="AL390" s="9" t="s">
        <v>374</v>
      </c>
      <c r="AM390" s="9"/>
      <c r="AN390" s="9" t="s">
        <v>42</v>
      </c>
      <c r="AP390" s="42">
        <v>427811</v>
      </c>
      <c r="AR390" s="42">
        <v>10090442</v>
      </c>
      <c r="AT390" s="42">
        <v>0</v>
      </c>
      <c r="AV390" s="42">
        <v>2336866</v>
      </c>
      <c r="AX390" s="42">
        <v>2775471</v>
      </c>
      <c r="AZ390" s="42">
        <v>0</v>
      </c>
      <c r="BB390" s="5">
        <f t="shared" si="52"/>
        <v>82551591</v>
      </c>
      <c r="BD390" s="42">
        <v>2221799</v>
      </c>
      <c r="BF390" s="42">
        <v>0</v>
      </c>
      <c r="BH390" s="42">
        <v>0</v>
      </c>
      <c r="BJ390" s="42">
        <v>0</v>
      </c>
      <c r="BL390" s="5">
        <f t="shared" si="55"/>
        <v>84773390</v>
      </c>
      <c r="BN390" s="5">
        <f>'Gov Fd Rev'!AQ390-'Gov Fd Exp'!BL390</f>
        <v>-5898825</v>
      </c>
      <c r="BP390" s="42">
        <v>31726140</v>
      </c>
      <c r="BR390" s="42">
        <v>2619</v>
      </c>
      <c r="BT390" s="42">
        <v>0</v>
      </c>
      <c r="BV390" s="5">
        <f t="shared" si="54"/>
        <v>25829934</v>
      </c>
      <c r="BW390" s="5"/>
      <c r="BX390" s="5">
        <f>BV390-'Gov Fd BS'!AI390</f>
        <v>0</v>
      </c>
    </row>
    <row r="391" spans="1:76" hidden="1">
      <c r="A391" s="8" t="s">
        <v>867</v>
      </c>
      <c r="B391" s="9"/>
      <c r="C391" s="9" t="s">
        <v>30</v>
      </c>
      <c r="D391" s="9"/>
      <c r="E391" s="23">
        <v>47217</v>
      </c>
      <c r="G391" s="42">
        <v>0</v>
      </c>
      <c r="I391" s="42">
        <v>0</v>
      </c>
      <c r="K391" s="42">
        <v>0</v>
      </c>
      <c r="M391" s="42">
        <v>0</v>
      </c>
      <c r="O391" s="42">
        <v>0</v>
      </c>
      <c r="Q391" s="42">
        <v>0</v>
      </c>
      <c r="S391" s="42">
        <v>0</v>
      </c>
      <c r="U391" s="42">
        <v>0</v>
      </c>
      <c r="W391" s="42">
        <v>0</v>
      </c>
      <c r="Y391" s="42">
        <v>0</v>
      </c>
      <c r="AA391" s="42">
        <v>0</v>
      </c>
      <c r="AC391" s="42">
        <v>0</v>
      </c>
      <c r="AE391" s="42">
        <v>0</v>
      </c>
      <c r="AG391" s="42">
        <v>0</v>
      </c>
      <c r="AI391" s="42">
        <v>0</v>
      </c>
      <c r="AK391" s="42">
        <v>0</v>
      </c>
      <c r="AL391" s="8" t="s">
        <v>867</v>
      </c>
      <c r="AM391" s="9"/>
      <c r="AN391" s="9" t="s">
        <v>30</v>
      </c>
      <c r="AP391" s="42">
        <v>0</v>
      </c>
      <c r="AR391" s="42">
        <v>0</v>
      </c>
      <c r="AT391" s="42">
        <v>0</v>
      </c>
      <c r="AV391" s="42">
        <v>0</v>
      </c>
      <c r="AX391" s="42">
        <v>0</v>
      </c>
      <c r="AZ391" s="42">
        <v>0</v>
      </c>
      <c r="BB391" s="5">
        <f t="shared" si="52"/>
        <v>0</v>
      </c>
      <c r="BD391" s="42">
        <v>0</v>
      </c>
      <c r="BF391" s="42">
        <v>0</v>
      </c>
      <c r="BH391" s="42">
        <v>0</v>
      </c>
      <c r="BJ391" s="42">
        <v>0</v>
      </c>
      <c r="BL391" s="5">
        <f t="shared" si="55"/>
        <v>0</v>
      </c>
      <c r="BN391" s="5">
        <f>'Gov Fd Rev'!AQ391-'Gov Fd Exp'!BL391</f>
        <v>0</v>
      </c>
      <c r="BP391" s="42">
        <v>0</v>
      </c>
      <c r="BR391" s="42">
        <v>0</v>
      </c>
      <c r="BT391" s="42">
        <v>0</v>
      </c>
      <c r="BV391" s="5">
        <f t="shared" si="54"/>
        <v>0</v>
      </c>
      <c r="BW391" s="5"/>
      <c r="BX391" s="5">
        <f>BV391-'Gov Fd BS'!AI391</f>
        <v>0</v>
      </c>
    </row>
    <row r="392" spans="1:76">
      <c r="A392" s="9" t="s">
        <v>767</v>
      </c>
      <c r="B392" s="9"/>
      <c r="C392" s="9" t="s">
        <v>65</v>
      </c>
      <c r="D392" s="9"/>
      <c r="E392" s="23">
        <v>45542</v>
      </c>
      <c r="G392" s="42">
        <v>4248995</v>
      </c>
      <c r="I392" s="42">
        <v>1458578</v>
      </c>
      <c r="K392" s="42">
        <v>78774</v>
      </c>
      <c r="M392" s="42">
        <v>7424</v>
      </c>
      <c r="O392" s="42">
        <v>682373</v>
      </c>
      <c r="Q392" s="42">
        <v>394093</v>
      </c>
      <c r="S392" s="42">
        <v>703218</v>
      </c>
      <c r="U392" s="42">
        <v>26316</v>
      </c>
      <c r="W392" s="42">
        <v>1013578</v>
      </c>
      <c r="Y392" s="42">
        <v>292258</v>
      </c>
      <c r="AA392" s="42">
        <v>0</v>
      </c>
      <c r="AC392" s="42">
        <v>1266663</v>
      </c>
      <c r="AE392" s="42">
        <v>511629</v>
      </c>
      <c r="AG392" s="42">
        <v>0</v>
      </c>
      <c r="AI392" s="42">
        <v>580032</v>
      </c>
      <c r="AK392" s="42">
        <v>39742</v>
      </c>
      <c r="AL392" s="9" t="s">
        <v>767</v>
      </c>
      <c r="AM392" s="9"/>
      <c r="AN392" s="9" t="s">
        <v>65</v>
      </c>
      <c r="AP392" s="42">
        <v>331764</v>
      </c>
      <c r="AR392" s="42">
        <f>150271+102107</f>
        <v>252378</v>
      </c>
      <c r="AT392" s="42">
        <v>0</v>
      </c>
      <c r="AV392" s="42">
        <v>272363</v>
      </c>
      <c r="AX392" s="42">
        <v>83954</v>
      </c>
      <c r="AZ392" s="42">
        <v>0</v>
      </c>
      <c r="BB392" s="5">
        <f t="shared" si="52"/>
        <v>12244132</v>
      </c>
      <c r="BD392" s="42">
        <v>0</v>
      </c>
      <c r="BF392" s="42">
        <v>0</v>
      </c>
      <c r="BH392" s="42">
        <v>0</v>
      </c>
      <c r="BJ392" s="42">
        <v>0</v>
      </c>
      <c r="BL392" s="5">
        <f t="shared" si="55"/>
        <v>12244132</v>
      </c>
      <c r="BN392" s="5">
        <f>'Gov Fd Rev'!AQ392-'Gov Fd Exp'!BL392</f>
        <v>-424256</v>
      </c>
      <c r="BP392" s="42">
        <v>733539</v>
      </c>
      <c r="BR392" s="42">
        <v>0</v>
      </c>
      <c r="BT392" s="42">
        <v>0</v>
      </c>
      <c r="BV392" s="5">
        <f t="shared" si="54"/>
        <v>309283</v>
      </c>
      <c r="BW392" s="5"/>
      <c r="BX392" s="5">
        <f>BV392-'Gov Fd BS'!AI392</f>
        <v>0</v>
      </c>
    </row>
    <row r="393" spans="1:76">
      <c r="A393" s="9" t="s">
        <v>768</v>
      </c>
      <c r="B393" s="9"/>
      <c r="C393" s="9" t="s">
        <v>64</v>
      </c>
      <c r="D393" s="9"/>
      <c r="E393" s="23">
        <v>45567</v>
      </c>
      <c r="G393" s="42">
        <v>5646677</v>
      </c>
      <c r="I393" s="42">
        <v>1520438</v>
      </c>
      <c r="K393" s="42">
        <v>121943</v>
      </c>
      <c r="M393" s="42">
        <v>1000</v>
      </c>
      <c r="O393" s="42">
        <v>0</v>
      </c>
      <c r="Q393" s="42">
        <v>690019</v>
      </c>
      <c r="S393" s="42">
        <v>440209</v>
      </c>
      <c r="U393" s="42">
        <v>89734</v>
      </c>
      <c r="W393" s="42">
        <v>1157760</v>
      </c>
      <c r="Y393" s="42">
        <v>297873</v>
      </c>
      <c r="AA393" s="42">
        <v>0</v>
      </c>
      <c r="AC393" s="42">
        <v>1096961</v>
      </c>
      <c r="AE393" s="42">
        <v>701420</v>
      </c>
      <c r="AG393" s="42">
        <v>161650</v>
      </c>
      <c r="AI393" s="42">
        <v>517208</v>
      </c>
      <c r="AK393" s="42">
        <v>0</v>
      </c>
      <c r="AL393" s="9" t="s">
        <v>768</v>
      </c>
      <c r="AM393" s="9"/>
      <c r="AN393" s="9" t="s">
        <v>64</v>
      </c>
      <c r="AP393" s="42">
        <v>397462</v>
      </c>
      <c r="AR393" s="42">
        <v>0</v>
      </c>
      <c r="AT393" s="42">
        <v>0</v>
      </c>
      <c r="AV393" s="42">
        <v>225000</v>
      </c>
      <c r="AX393" s="42">
        <v>64726</v>
      </c>
      <c r="AZ393" s="42">
        <v>0</v>
      </c>
      <c r="BB393" s="5">
        <f t="shared" si="52"/>
        <v>13130080</v>
      </c>
      <c r="BD393" s="42">
        <v>34076</v>
      </c>
      <c r="BF393" s="42">
        <v>0</v>
      </c>
      <c r="BH393" s="42">
        <v>0</v>
      </c>
      <c r="BJ393" s="42">
        <v>0</v>
      </c>
      <c r="BL393" s="5">
        <f t="shared" si="55"/>
        <v>13164156</v>
      </c>
      <c r="BN393" s="5">
        <f>'Gov Fd Rev'!AQ393-'Gov Fd Exp'!BL393</f>
        <v>-501549</v>
      </c>
      <c r="BP393" s="42">
        <v>663234</v>
      </c>
      <c r="BR393" s="42">
        <v>0</v>
      </c>
      <c r="BT393" s="42">
        <v>0</v>
      </c>
      <c r="BV393" s="5">
        <f t="shared" si="54"/>
        <v>161685</v>
      </c>
      <c r="BW393" s="5"/>
      <c r="BX393" s="5">
        <f>BV393-'Gov Fd BS'!AI393</f>
        <v>0</v>
      </c>
    </row>
    <row r="394" spans="1:76" hidden="1">
      <c r="A394" s="9" t="s">
        <v>805</v>
      </c>
      <c r="B394" s="9"/>
      <c r="C394" s="9" t="s">
        <v>48</v>
      </c>
      <c r="D394" s="9"/>
      <c r="E394" s="23">
        <v>48637</v>
      </c>
      <c r="G394" s="42">
        <v>0</v>
      </c>
      <c r="I394" s="42">
        <v>0</v>
      </c>
      <c r="K394" s="42">
        <v>0</v>
      </c>
      <c r="M394" s="42">
        <v>0</v>
      </c>
      <c r="O394" s="42">
        <v>0</v>
      </c>
      <c r="Q394" s="42">
        <v>0</v>
      </c>
      <c r="S394" s="42">
        <v>0</v>
      </c>
      <c r="U394" s="42">
        <v>0</v>
      </c>
      <c r="W394" s="42">
        <v>0</v>
      </c>
      <c r="Y394" s="42">
        <v>0</v>
      </c>
      <c r="AA394" s="42">
        <v>0</v>
      </c>
      <c r="AC394" s="42">
        <v>0</v>
      </c>
      <c r="AE394" s="42">
        <v>0</v>
      </c>
      <c r="AG394" s="42">
        <v>0</v>
      </c>
      <c r="AI394" s="42">
        <v>0</v>
      </c>
      <c r="AK394" s="42">
        <v>0</v>
      </c>
      <c r="AL394" s="9" t="s">
        <v>805</v>
      </c>
      <c r="AM394" s="9"/>
      <c r="AN394" s="9" t="s">
        <v>48</v>
      </c>
      <c r="AP394" s="42">
        <v>0</v>
      </c>
      <c r="AR394" s="42">
        <v>0</v>
      </c>
      <c r="AT394" s="42">
        <v>0</v>
      </c>
      <c r="AV394" s="42">
        <v>0</v>
      </c>
      <c r="AX394" s="42">
        <v>0</v>
      </c>
      <c r="AZ394" s="42">
        <v>0</v>
      </c>
      <c r="BB394" s="5">
        <f t="shared" si="52"/>
        <v>0</v>
      </c>
      <c r="BD394" s="42">
        <v>0</v>
      </c>
      <c r="BF394" s="42">
        <v>0</v>
      </c>
      <c r="BH394" s="42">
        <v>0</v>
      </c>
      <c r="BJ394" s="42">
        <v>0</v>
      </c>
      <c r="BL394" s="5">
        <f t="shared" si="55"/>
        <v>0</v>
      </c>
      <c r="BN394" s="5">
        <f>'Gov Fd Rev'!AQ394-'Gov Fd Exp'!BL394</f>
        <v>0</v>
      </c>
      <c r="BP394" s="42">
        <v>0</v>
      </c>
      <c r="BR394" s="42">
        <v>0</v>
      </c>
      <c r="BT394" s="42">
        <v>0</v>
      </c>
      <c r="BV394" s="5">
        <f t="shared" si="54"/>
        <v>0</v>
      </c>
      <c r="BW394" s="5"/>
      <c r="BX394" s="5">
        <f>BV394-'Gov Fd BS'!AI394</f>
        <v>0</v>
      </c>
    </row>
    <row r="395" spans="1:76">
      <c r="A395" s="9" t="s">
        <v>601</v>
      </c>
      <c r="B395" s="9"/>
      <c r="C395" s="9" t="s">
        <v>64</v>
      </c>
      <c r="D395" s="9"/>
      <c r="E395" s="23">
        <v>44495</v>
      </c>
      <c r="G395" s="42">
        <v>10833990</v>
      </c>
      <c r="I395" s="42">
        <v>3642217</v>
      </c>
      <c r="K395" s="42">
        <v>109242</v>
      </c>
      <c r="M395" s="42">
        <v>0</v>
      </c>
      <c r="O395" s="42">
        <v>1108292</v>
      </c>
      <c r="Q395" s="42">
        <v>1212248</v>
      </c>
      <c r="S395" s="42">
        <v>1096995</v>
      </c>
      <c r="U395" s="42">
        <v>54390</v>
      </c>
      <c r="W395" s="42">
        <v>2351061</v>
      </c>
      <c r="Y395" s="42">
        <v>541652</v>
      </c>
      <c r="AA395" s="42">
        <v>146425</v>
      </c>
      <c r="AC395" s="42">
        <v>1645781</v>
      </c>
      <c r="AE395" s="42">
        <v>1014789</v>
      </c>
      <c r="AG395" s="42">
        <v>287271</v>
      </c>
      <c r="AI395" s="42">
        <v>1187264</v>
      </c>
      <c r="AK395" s="42">
        <v>81584</v>
      </c>
      <c r="AL395" s="9" t="s">
        <v>601</v>
      </c>
      <c r="AM395" s="9"/>
      <c r="AN395" s="9" t="s">
        <v>64</v>
      </c>
      <c r="AP395" s="42">
        <v>446575</v>
      </c>
      <c r="AR395" s="42">
        <v>25160575</v>
      </c>
      <c r="AT395" s="42">
        <v>0</v>
      </c>
      <c r="AV395" s="42">
        <v>717000</v>
      </c>
      <c r="AX395" s="42">
        <v>917974</v>
      </c>
      <c r="AZ395" s="42">
        <v>0</v>
      </c>
      <c r="BB395" s="5">
        <f t="shared" si="52"/>
        <v>52555325</v>
      </c>
      <c r="BD395" s="42">
        <v>35</v>
      </c>
      <c r="BF395" s="42">
        <v>0</v>
      </c>
      <c r="BH395" s="42">
        <v>0</v>
      </c>
      <c r="BJ395" s="42">
        <v>0</v>
      </c>
      <c r="BL395" s="5">
        <f t="shared" si="55"/>
        <v>52555360</v>
      </c>
      <c r="BN395" s="5">
        <f>'Gov Fd Rev'!AQ395-'Gov Fd Exp'!BL395</f>
        <v>-20877760</v>
      </c>
      <c r="BP395" s="42">
        <v>27209433</v>
      </c>
      <c r="BR395" s="42">
        <v>0</v>
      </c>
      <c r="BT395" s="42">
        <v>0</v>
      </c>
      <c r="BV395" s="5">
        <f t="shared" si="54"/>
        <v>6331673</v>
      </c>
      <c r="BW395" s="5"/>
      <c r="BX395" s="5">
        <f>BV395-'Gov Fd BS'!AI395</f>
        <v>0</v>
      </c>
    </row>
    <row r="396" spans="1:76">
      <c r="A396" s="9" t="s">
        <v>446</v>
      </c>
      <c r="B396" s="9"/>
      <c r="C396" s="9" t="s">
        <v>52</v>
      </c>
      <c r="D396" s="9"/>
      <c r="E396" s="23">
        <v>48900</v>
      </c>
      <c r="G396" s="42">
        <v>4472779</v>
      </c>
      <c r="I396" s="42">
        <v>1081676</v>
      </c>
      <c r="K396" s="42">
        <v>327385</v>
      </c>
      <c r="M396" s="42">
        <v>0</v>
      </c>
      <c r="O396" s="42">
        <v>0</v>
      </c>
      <c r="Q396" s="42">
        <v>460225</v>
      </c>
      <c r="S396" s="42">
        <v>442248</v>
      </c>
      <c r="U396" s="42">
        <v>61946</v>
      </c>
      <c r="W396" s="42">
        <v>1324343</v>
      </c>
      <c r="Y396" s="42">
        <v>431634</v>
      </c>
      <c r="AA396" s="42">
        <v>19904</v>
      </c>
      <c r="AC396" s="42">
        <v>829323</v>
      </c>
      <c r="AE396" s="42">
        <v>1144693</v>
      </c>
      <c r="AG396" s="42">
        <v>8033</v>
      </c>
      <c r="AI396" s="42">
        <v>0</v>
      </c>
      <c r="AK396" s="42">
        <v>550995</v>
      </c>
      <c r="AL396" s="9" t="s">
        <v>446</v>
      </c>
      <c r="AM396" s="9"/>
      <c r="AN396" s="9" t="s">
        <v>52</v>
      </c>
      <c r="AP396" s="42">
        <v>219528</v>
      </c>
      <c r="AR396" s="42">
        <v>981960</v>
      </c>
      <c r="AT396" s="42">
        <v>0</v>
      </c>
      <c r="AV396" s="42">
        <v>7986</v>
      </c>
      <c r="AX396" s="42">
        <v>14963</v>
      </c>
      <c r="AZ396" s="42">
        <v>21162</v>
      </c>
      <c r="BB396" s="5">
        <f t="shared" si="52"/>
        <v>12400783</v>
      </c>
      <c r="BD396" s="42">
        <v>35000</v>
      </c>
      <c r="BF396" s="42">
        <v>0</v>
      </c>
      <c r="BH396" s="42">
        <v>0</v>
      </c>
      <c r="BJ396" s="42">
        <v>0</v>
      </c>
      <c r="BL396" s="5">
        <f t="shared" si="55"/>
        <v>12435783</v>
      </c>
      <c r="BN396" s="5">
        <f>'Gov Fd Rev'!AQ396-'Gov Fd Exp'!BL396</f>
        <v>576222</v>
      </c>
      <c r="BP396" s="42">
        <v>2857319</v>
      </c>
      <c r="BR396" s="42">
        <v>0</v>
      </c>
      <c r="BT396" s="42">
        <v>0</v>
      </c>
      <c r="BV396" s="5">
        <f t="shared" si="54"/>
        <v>3433541</v>
      </c>
      <c r="BW396" s="5"/>
      <c r="BX396" s="5">
        <f>BV396-'Gov Fd BS'!AI396</f>
        <v>0</v>
      </c>
    </row>
    <row r="397" spans="1:76">
      <c r="A397" s="9" t="s">
        <v>507</v>
      </c>
      <c r="B397" s="9"/>
      <c r="C397" s="9" t="s">
        <v>63</v>
      </c>
      <c r="D397" s="9"/>
      <c r="E397" s="23">
        <v>50047</v>
      </c>
      <c r="G397" s="42">
        <v>17638813</v>
      </c>
      <c r="I397" s="42">
        <v>5359158</v>
      </c>
      <c r="K397" s="42">
        <v>109137</v>
      </c>
      <c r="M397" s="42">
        <v>0</v>
      </c>
      <c r="O397" s="42">
        <v>133867</v>
      </c>
      <c r="Q397" s="42">
        <v>2917631</v>
      </c>
      <c r="S397" s="42">
        <v>665126</v>
      </c>
      <c r="U397" s="42">
        <v>16058</v>
      </c>
      <c r="W397" s="42">
        <v>2607202</v>
      </c>
      <c r="Y397" s="42">
        <v>1501536</v>
      </c>
      <c r="AA397" s="42">
        <v>277533</v>
      </c>
      <c r="AC397" s="42">
        <v>3385584</v>
      </c>
      <c r="AE397" s="42">
        <v>2223398</v>
      </c>
      <c r="AG397" s="42">
        <v>920197</v>
      </c>
      <c r="AI397" s="42">
        <v>1190548</v>
      </c>
      <c r="AK397" s="42">
        <v>719999</v>
      </c>
      <c r="AL397" s="9" t="s">
        <v>507</v>
      </c>
      <c r="AM397" s="9"/>
      <c r="AN397" s="9" t="s">
        <v>63</v>
      </c>
      <c r="AP397" s="42">
        <v>1664849</v>
      </c>
      <c r="AR397" s="42">
        <v>547984</v>
      </c>
      <c r="AT397" s="42">
        <v>0</v>
      </c>
      <c r="AV397" s="42">
        <v>1215683</v>
      </c>
      <c r="AX397" s="42">
        <v>1145335</v>
      </c>
      <c r="AZ397" s="42">
        <v>984317</v>
      </c>
      <c r="BB397" s="5">
        <f t="shared" si="52"/>
        <v>45223955</v>
      </c>
      <c r="BD397" s="42">
        <v>15000</v>
      </c>
      <c r="BF397" s="42">
        <v>0</v>
      </c>
      <c r="BH397" s="42">
        <v>0</v>
      </c>
      <c r="BJ397" s="42">
        <v>0</v>
      </c>
      <c r="BL397" s="5">
        <f>BB397+BD397+BJ397</f>
        <v>45238955</v>
      </c>
      <c r="BN397" s="5">
        <f>'Gov Fd Rev'!AQ397-'Gov Fd Exp'!BL397</f>
        <v>1252064</v>
      </c>
      <c r="BP397" s="42">
        <v>10608337</v>
      </c>
      <c r="BR397" s="42">
        <v>0</v>
      </c>
      <c r="BT397" s="42">
        <v>0</v>
      </c>
      <c r="BV397" s="5">
        <f t="shared" si="54"/>
        <v>11860401</v>
      </c>
      <c r="BW397" s="5"/>
      <c r="BX397" s="5">
        <f>BV397-'Gov Fd BS'!AI397</f>
        <v>0</v>
      </c>
    </row>
    <row r="398" spans="1:76">
      <c r="A398" s="9" t="s">
        <v>551</v>
      </c>
      <c r="B398" s="9"/>
      <c r="C398" s="9" t="s">
        <v>72</v>
      </c>
      <c r="D398" s="9"/>
      <c r="E398" s="23">
        <v>50708</v>
      </c>
      <c r="G398" s="42">
        <v>2939539</v>
      </c>
      <c r="I398" s="42">
        <v>1357684</v>
      </c>
      <c r="K398" s="42">
        <v>0</v>
      </c>
      <c r="M398" s="42">
        <v>0</v>
      </c>
      <c r="O398" s="42">
        <v>519818</v>
      </c>
      <c r="Q398" s="42">
        <v>258614</v>
      </c>
      <c r="S398" s="42">
        <v>394231</v>
      </c>
      <c r="U398" s="42">
        <v>162568</v>
      </c>
      <c r="W398" s="42">
        <v>487195</v>
      </c>
      <c r="Y398" s="42">
        <v>336921</v>
      </c>
      <c r="AA398" s="42">
        <v>0</v>
      </c>
      <c r="AC398" s="42">
        <v>829688</v>
      </c>
      <c r="AE398" s="42">
        <v>273876</v>
      </c>
      <c r="AG398" s="42">
        <v>0</v>
      </c>
      <c r="AI398" s="42">
        <v>263388</v>
      </c>
      <c r="AK398" s="42">
        <v>0</v>
      </c>
      <c r="AL398" s="9" t="s">
        <v>551</v>
      </c>
      <c r="AM398" s="9"/>
      <c r="AN398" s="9" t="s">
        <v>72</v>
      </c>
      <c r="AP398" s="42">
        <v>287826</v>
      </c>
      <c r="AR398" s="42">
        <v>2497457</v>
      </c>
      <c r="AT398" s="42">
        <v>0</v>
      </c>
      <c r="AV398" s="42">
        <v>412419</v>
      </c>
      <c r="AX398" s="42">
        <v>385020</v>
      </c>
      <c r="AZ398" s="42">
        <v>0</v>
      </c>
      <c r="BB398" s="5">
        <f t="shared" si="52"/>
        <v>11406244</v>
      </c>
      <c r="BD398" s="42">
        <v>39585</v>
      </c>
      <c r="BF398" s="42">
        <v>0</v>
      </c>
      <c r="BH398" s="42">
        <v>0</v>
      </c>
      <c r="BJ398" s="42">
        <v>0</v>
      </c>
      <c r="BL398" s="5">
        <f t="shared" si="55"/>
        <v>11445829</v>
      </c>
      <c r="BN398" s="5">
        <f>'Gov Fd Rev'!AQ398-'Gov Fd Exp'!BL398</f>
        <v>-1598613</v>
      </c>
      <c r="BP398" s="42">
        <v>7754082</v>
      </c>
      <c r="BR398" s="42">
        <v>0</v>
      </c>
      <c r="BT398" s="42">
        <v>0</v>
      </c>
      <c r="BV398" s="5">
        <f t="shared" si="54"/>
        <v>6155469</v>
      </c>
      <c r="BW398" s="5"/>
      <c r="BX398" s="5">
        <f>BV398-'Gov Fd BS'!AI398</f>
        <v>0</v>
      </c>
    </row>
    <row r="399" spans="1:76" hidden="1">
      <c r="A399" s="9" t="s">
        <v>807</v>
      </c>
      <c r="B399" s="9"/>
      <c r="C399" s="9" t="s">
        <v>53</v>
      </c>
      <c r="D399" s="9"/>
      <c r="E399" s="23">
        <v>48967</v>
      </c>
      <c r="G399" s="42">
        <v>0</v>
      </c>
      <c r="I399" s="42">
        <v>0</v>
      </c>
      <c r="K399" s="42">
        <v>0</v>
      </c>
      <c r="M399" s="42">
        <v>0</v>
      </c>
      <c r="O399" s="42">
        <v>0</v>
      </c>
      <c r="Q399" s="42">
        <v>0</v>
      </c>
      <c r="S399" s="42">
        <v>0</v>
      </c>
      <c r="U399" s="42">
        <v>0</v>
      </c>
      <c r="W399" s="42">
        <v>0</v>
      </c>
      <c r="Y399" s="42">
        <v>0</v>
      </c>
      <c r="AA399" s="42">
        <v>0</v>
      </c>
      <c r="AC399" s="42">
        <v>0</v>
      </c>
      <c r="AE399" s="42">
        <v>0</v>
      </c>
      <c r="AG399" s="42">
        <v>0</v>
      </c>
      <c r="AI399" s="42">
        <v>0</v>
      </c>
      <c r="AK399" s="42">
        <v>0</v>
      </c>
      <c r="AL399" s="9" t="s">
        <v>807</v>
      </c>
      <c r="AM399" s="9"/>
      <c r="AN399" s="9" t="s">
        <v>53</v>
      </c>
      <c r="AP399" s="42">
        <v>0</v>
      </c>
      <c r="AR399" s="42">
        <v>0</v>
      </c>
      <c r="AT399" s="42">
        <v>0</v>
      </c>
      <c r="AV399" s="42">
        <v>0</v>
      </c>
      <c r="AX399" s="42">
        <v>0</v>
      </c>
      <c r="AZ399" s="42">
        <v>0</v>
      </c>
      <c r="BB399" s="5">
        <f t="shared" si="52"/>
        <v>0</v>
      </c>
      <c r="BD399" s="42">
        <v>0</v>
      </c>
      <c r="BF399" s="42">
        <v>0</v>
      </c>
      <c r="BH399" s="42">
        <v>0</v>
      </c>
      <c r="BJ399" s="42">
        <v>0</v>
      </c>
      <c r="BL399" s="5">
        <f t="shared" si="55"/>
        <v>0</v>
      </c>
      <c r="BN399" s="5">
        <f>'Gov Fd Rev'!AQ399-'Gov Fd Exp'!BL399</f>
        <v>0</v>
      </c>
      <c r="BP399" s="42">
        <v>0</v>
      </c>
      <c r="BR399" s="42">
        <v>0</v>
      </c>
      <c r="BT399" s="42">
        <v>0</v>
      </c>
      <c r="BV399" s="5">
        <f t="shared" si="54"/>
        <v>0</v>
      </c>
      <c r="BW399" s="5"/>
      <c r="BX399" s="5">
        <f>BV399-'Gov Fd BS'!AI399</f>
        <v>0</v>
      </c>
    </row>
    <row r="400" spans="1:76">
      <c r="A400" s="9" t="s">
        <v>499</v>
      </c>
      <c r="B400" s="9"/>
      <c r="C400" s="9" t="s">
        <v>62</v>
      </c>
      <c r="D400" s="9"/>
      <c r="E400" s="23">
        <v>44503</v>
      </c>
      <c r="G400" s="42">
        <v>18448692</v>
      </c>
      <c r="I400" s="42">
        <v>3748056</v>
      </c>
      <c r="K400" s="42">
        <v>1576391</v>
      </c>
      <c r="M400" s="42">
        <v>0</v>
      </c>
      <c r="O400" s="42">
        <v>154311</v>
      </c>
      <c r="Q400" s="42">
        <v>1932700</v>
      </c>
      <c r="S400" s="42">
        <v>2576634</v>
      </c>
      <c r="U400" s="42">
        <v>17318</v>
      </c>
      <c r="W400" s="42">
        <v>3309604</v>
      </c>
      <c r="Y400" s="42">
        <v>1042787</v>
      </c>
      <c r="AA400" s="42">
        <v>0</v>
      </c>
      <c r="AC400" s="42">
        <v>3940559</v>
      </c>
      <c r="AE400" s="42">
        <v>2889049</v>
      </c>
      <c r="AG400" s="42">
        <v>351630</v>
      </c>
      <c r="AI400" s="42">
        <v>1829038</v>
      </c>
      <c r="AK400" s="42">
        <v>268506</v>
      </c>
      <c r="AL400" s="9" t="s">
        <v>499</v>
      </c>
      <c r="AM400" s="9"/>
      <c r="AN400" s="9" t="s">
        <v>62</v>
      </c>
      <c r="AP400" s="42">
        <v>1275925</v>
      </c>
      <c r="AR400" s="42">
        <v>23375</v>
      </c>
      <c r="AT400" s="42">
        <v>0</v>
      </c>
      <c r="AV400" s="42">
        <v>1574047</v>
      </c>
      <c r="AX400" s="42">
        <v>455927</v>
      </c>
      <c r="AZ400" s="42">
        <v>0</v>
      </c>
      <c r="BB400" s="5">
        <f t="shared" si="52"/>
        <v>45414549</v>
      </c>
      <c r="BD400" s="42">
        <v>159660</v>
      </c>
      <c r="BF400" s="42">
        <v>0</v>
      </c>
      <c r="BH400" s="42">
        <v>0</v>
      </c>
      <c r="BJ400" s="42">
        <v>0</v>
      </c>
      <c r="BL400" s="5">
        <f t="shared" si="55"/>
        <v>45574209</v>
      </c>
      <c r="BN400" s="5">
        <f>'Gov Fd Rev'!AQ400-'Gov Fd Exp'!BL400</f>
        <v>-723886</v>
      </c>
      <c r="BP400" s="42">
        <v>3617421</v>
      </c>
      <c r="BR400" s="42">
        <v>-55286</v>
      </c>
      <c r="BT400" s="42">
        <v>0</v>
      </c>
      <c r="BV400" s="5">
        <f t="shared" si="54"/>
        <v>2838249</v>
      </c>
      <c r="BW400" s="5"/>
      <c r="BX400" s="5">
        <f>BV400-'Gov Fd BS'!AI400</f>
        <v>0</v>
      </c>
    </row>
    <row r="401" spans="1:76" hidden="1">
      <c r="A401" s="9" t="s">
        <v>808</v>
      </c>
      <c r="B401" s="9"/>
      <c r="C401" s="9" t="s">
        <v>548</v>
      </c>
      <c r="D401" s="9"/>
      <c r="E401" s="23">
        <v>50641</v>
      </c>
      <c r="G401" s="42">
        <v>0</v>
      </c>
      <c r="I401" s="42">
        <v>0</v>
      </c>
      <c r="K401" s="42">
        <v>0</v>
      </c>
      <c r="M401" s="42">
        <v>0</v>
      </c>
      <c r="O401" s="42">
        <v>0</v>
      </c>
      <c r="Q401" s="42">
        <v>0</v>
      </c>
      <c r="S401" s="42">
        <v>0</v>
      </c>
      <c r="U401" s="42">
        <v>0</v>
      </c>
      <c r="W401" s="42">
        <v>0</v>
      </c>
      <c r="Y401" s="42">
        <v>0</v>
      </c>
      <c r="AA401" s="42">
        <v>0</v>
      </c>
      <c r="AC401" s="42">
        <v>0</v>
      </c>
      <c r="AE401" s="42">
        <v>0</v>
      </c>
      <c r="AG401" s="42">
        <v>0</v>
      </c>
      <c r="AI401" s="42">
        <v>0</v>
      </c>
      <c r="AK401" s="42">
        <v>0</v>
      </c>
      <c r="AL401" s="9" t="s">
        <v>808</v>
      </c>
      <c r="AM401" s="9"/>
      <c r="AN401" s="9" t="s">
        <v>548</v>
      </c>
      <c r="AP401" s="42">
        <v>0</v>
      </c>
      <c r="AR401" s="42">
        <v>0</v>
      </c>
      <c r="AT401" s="42">
        <v>0</v>
      </c>
      <c r="AV401" s="42">
        <v>0</v>
      </c>
      <c r="AX401" s="42">
        <v>0</v>
      </c>
      <c r="AZ401" s="42">
        <v>0</v>
      </c>
      <c r="BB401" s="5">
        <f t="shared" si="52"/>
        <v>0</v>
      </c>
      <c r="BD401" s="42">
        <v>0</v>
      </c>
      <c r="BF401" s="42">
        <v>0</v>
      </c>
      <c r="BH401" s="42">
        <v>0</v>
      </c>
      <c r="BJ401" s="42">
        <v>0</v>
      </c>
      <c r="BL401" s="5">
        <f t="shared" si="55"/>
        <v>0</v>
      </c>
      <c r="BN401" s="5">
        <f>'Gov Fd Rev'!AQ401-'Gov Fd Exp'!BL401</f>
        <v>0</v>
      </c>
      <c r="BP401" s="42">
        <v>0</v>
      </c>
      <c r="BR401" s="42">
        <v>0</v>
      </c>
      <c r="BT401" s="42">
        <v>0</v>
      </c>
      <c r="BV401" s="5">
        <f t="shared" si="54"/>
        <v>0</v>
      </c>
      <c r="BW401" s="5"/>
      <c r="BX401" s="5">
        <f>BV401-'Gov Fd BS'!AI401</f>
        <v>0</v>
      </c>
    </row>
    <row r="402" spans="1:76">
      <c r="A402" s="9" t="s">
        <v>703</v>
      </c>
      <c r="B402" s="9"/>
      <c r="C402" s="9" t="s">
        <v>32</v>
      </c>
      <c r="D402" s="9"/>
      <c r="E402" s="23">
        <v>44511</v>
      </c>
      <c r="G402" s="42">
        <v>6025366</v>
      </c>
      <c r="I402" s="42">
        <v>2840158</v>
      </c>
      <c r="K402" s="42">
        <v>35141</v>
      </c>
      <c r="M402" s="42">
        <v>0</v>
      </c>
      <c r="O402" s="42">
        <v>514</v>
      </c>
      <c r="Q402" s="42">
        <v>1137640</v>
      </c>
      <c r="S402" s="42">
        <v>682075</v>
      </c>
      <c r="U402" s="42">
        <v>43752</v>
      </c>
      <c r="W402" s="42">
        <v>1017562</v>
      </c>
      <c r="Y402" s="42">
        <v>361716</v>
      </c>
      <c r="AA402" s="42">
        <v>11962</v>
      </c>
      <c r="AC402" s="42">
        <v>1473451</v>
      </c>
      <c r="AE402" s="42">
        <v>246711</v>
      </c>
      <c r="AG402" s="42">
        <v>7014</v>
      </c>
      <c r="AI402" s="42">
        <v>924699</v>
      </c>
      <c r="AK402" s="42">
        <v>26308</v>
      </c>
      <c r="AL402" s="9" t="s">
        <v>703</v>
      </c>
      <c r="AM402" s="9"/>
      <c r="AN402" s="9" t="s">
        <v>32</v>
      </c>
      <c r="AP402" s="42">
        <v>320528</v>
      </c>
      <c r="AR402" s="42">
        <v>0</v>
      </c>
      <c r="AT402" s="42">
        <v>0</v>
      </c>
      <c r="AV402" s="42">
        <v>297000</v>
      </c>
      <c r="AX402" s="42">
        <v>574494</v>
      </c>
      <c r="AZ402" s="42">
        <v>0</v>
      </c>
      <c r="BB402" s="5">
        <f t="shared" si="52"/>
        <v>16026091</v>
      </c>
      <c r="BD402" s="42">
        <v>393</v>
      </c>
      <c r="BF402" s="42">
        <v>0</v>
      </c>
      <c r="BH402" s="42">
        <v>0</v>
      </c>
      <c r="BJ402" s="42">
        <v>0</v>
      </c>
      <c r="BL402" s="5">
        <f t="shared" si="55"/>
        <v>16026484</v>
      </c>
      <c r="BN402" s="5">
        <f>'Gov Fd Rev'!AQ402-'Gov Fd Exp'!BL402</f>
        <v>-270450</v>
      </c>
      <c r="BP402" s="42">
        <v>3596601</v>
      </c>
      <c r="BR402" s="42">
        <v>0</v>
      </c>
      <c r="BT402" s="42">
        <v>0</v>
      </c>
      <c r="BV402" s="5">
        <f t="shared" si="54"/>
        <v>3326151</v>
      </c>
      <c r="BW402" s="5"/>
      <c r="BX402" s="5">
        <f>BV402-'Gov Fd BS'!AI402</f>
        <v>0</v>
      </c>
    </row>
    <row r="403" spans="1:76">
      <c r="A403" s="9" t="s">
        <v>375</v>
      </c>
      <c r="B403" s="9"/>
      <c r="C403" s="9" t="s">
        <v>42</v>
      </c>
      <c r="D403" s="9"/>
      <c r="E403" s="23">
        <v>48025</v>
      </c>
      <c r="G403" s="42">
        <v>5757794</v>
      </c>
      <c r="I403" s="42">
        <v>2880384</v>
      </c>
      <c r="K403" s="42">
        <v>136290</v>
      </c>
      <c r="M403" s="42">
        <v>0</v>
      </c>
      <c r="O403" s="42">
        <v>254074</v>
      </c>
      <c r="Q403" s="42">
        <v>1664899</v>
      </c>
      <c r="S403" s="42">
        <v>98090</v>
      </c>
      <c r="U403" s="42">
        <v>33828</v>
      </c>
      <c r="W403" s="42">
        <v>1157565</v>
      </c>
      <c r="Y403" s="42">
        <v>558827</v>
      </c>
      <c r="AA403" s="42">
        <v>0</v>
      </c>
      <c r="AC403" s="42">
        <v>1506817</v>
      </c>
      <c r="AE403" s="42">
        <v>1283522</v>
      </c>
      <c r="AG403" s="42">
        <v>88127</v>
      </c>
      <c r="AI403" s="42">
        <v>735670</v>
      </c>
      <c r="AK403" s="42">
        <v>0</v>
      </c>
      <c r="AL403" s="9" t="s">
        <v>375</v>
      </c>
      <c r="AM403" s="9"/>
      <c r="AN403" s="9" t="s">
        <v>42</v>
      </c>
      <c r="AP403" s="42">
        <v>643692</v>
      </c>
      <c r="AR403" s="42">
        <f>8892+288820</f>
        <v>297712</v>
      </c>
      <c r="AT403" s="42">
        <v>0</v>
      </c>
      <c r="AV403" s="42">
        <v>548984</v>
      </c>
      <c r="AX403" s="42">
        <v>396849</v>
      </c>
      <c r="AZ403" s="42">
        <v>0</v>
      </c>
      <c r="BB403" s="5">
        <f t="shared" si="52"/>
        <v>18043124</v>
      </c>
      <c r="BD403" s="42">
        <v>108079</v>
      </c>
      <c r="BF403" s="42">
        <v>0</v>
      </c>
      <c r="BH403" s="42">
        <v>0</v>
      </c>
      <c r="BJ403" s="42">
        <v>0</v>
      </c>
      <c r="BL403" s="5">
        <f t="shared" si="55"/>
        <v>18151203</v>
      </c>
      <c r="BN403" s="5">
        <f>'Gov Fd Rev'!AQ403-'Gov Fd Exp'!BL403</f>
        <v>1419132</v>
      </c>
      <c r="BP403" s="42">
        <v>2264558</v>
      </c>
      <c r="BR403" s="42">
        <v>213</v>
      </c>
      <c r="BT403" s="42">
        <v>0</v>
      </c>
      <c r="BV403" s="5">
        <f t="shared" si="54"/>
        <v>3683903</v>
      </c>
      <c r="BW403" s="5"/>
      <c r="BX403" s="5">
        <f>BV403-'Gov Fd BS'!AI403</f>
        <v>0</v>
      </c>
    </row>
    <row r="404" spans="1:76">
      <c r="A404" s="9" t="s">
        <v>269</v>
      </c>
      <c r="B404" s="9"/>
      <c r="C404" s="9" t="s">
        <v>20</v>
      </c>
      <c r="D404" s="9"/>
      <c r="E404" s="23">
        <v>44529</v>
      </c>
      <c r="G404" s="42">
        <v>24233867</v>
      </c>
      <c r="I404" s="42">
        <v>7796109</v>
      </c>
      <c r="K404" s="42">
        <v>461210</v>
      </c>
      <c r="M404" s="42">
        <v>0</v>
      </c>
      <c r="O404" s="42">
        <v>285825</v>
      </c>
      <c r="Q404" s="42">
        <v>4691310</v>
      </c>
      <c r="S404" s="42">
        <v>1000946</v>
      </c>
      <c r="U404" s="42">
        <v>377032</v>
      </c>
      <c r="W404" s="42">
        <v>3147469</v>
      </c>
      <c r="Y404" s="42">
        <v>1222655</v>
      </c>
      <c r="AA404" s="42">
        <v>244563</v>
      </c>
      <c r="AC404" s="42">
        <v>5530590</v>
      </c>
      <c r="AE404" s="42">
        <v>2339691</v>
      </c>
      <c r="AG404" s="42">
        <v>1160803</v>
      </c>
      <c r="AI404" s="42">
        <v>1618632</v>
      </c>
      <c r="AK404" s="42">
        <v>277969</v>
      </c>
      <c r="AL404" s="9" t="s">
        <v>269</v>
      </c>
      <c r="AM404" s="9"/>
      <c r="AN404" s="9" t="s">
        <v>20</v>
      </c>
      <c r="AP404" s="42">
        <v>1540787</v>
      </c>
      <c r="AR404" s="42">
        <v>0</v>
      </c>
      <c r="AT404" s="42">
        <v>0</v>
      </c>
      <c r="AV404" s="42">
        <v>85000</v>
      </c>
      <c r="AX404" s="42">
        <v>8818</v>
      </c>
      <c r="AZ404" s="42">
        <v>0</v>
      </c>
      <c r="BB404" s="5">
        <f t="shared" si="52"/>
        <v>56023276</v>
      </c>
      <c r="BD404" s="42">
        <v>308713</v>
      </c>
      <c r="BF404" s="42">
        <v>0</v>
      </c>
      <c r="BH404" s="42">
        <v>0</v>
      </c>
      <c r="BJ404" s="42">
        <v>0</v>
      </c>
      <c r="BL404" s="5">
        <f t="shared" si="55"/>
        <v>56331989</v>
      </c>
      <c r="BN404" s="5">
        <f>'Gov Fd Rev'!AQ404-'Gov Fd Exp'!BL404</f>
        <v>6156993</v>
      </c>
      <c r="BP404" s="42">
        <v>16854136</v>
      </c>
      <c r="BR404" s="42">
        <v>0</v>
      </c>
      <c r="BT404" s="42">
        <v>0</v>
      </c>
      <c r="BV404" s="5">
        <f t="shared" si="54"/>
        <v>23011129</v>
      </c>
      <c r="BW404" s="5"/>
      <c r="BX404" s="5">
        <f>BV404-'Gov Fd BS'!AI404</f>
        <v>0</v>
      </c>
    </row>
    <row r="405" spans="1:76">
      <c r="A405" s="9" t="s">
        <v>385</v>
      </c>
      <c r="B405" s="9"/>
      <c r="C405" s="9" t="s">
        <v>44</v>
      </c>
      <c r="D405" s="9"/>
      <c r="E405" s="23">
        <v>44537</v>
      </c>
      <c r="G405" s="42">
        <v>13195242</v>
      </c>
      <c r="I405" s="42">
        <v>4784887</v>
      </c>
      <c r="K405" s="42">
        <v>108617</v>
      </c>
      <c r="M405" s="42">
        <v>0</v>
      </c>
      <c r="O405" s="42">
        <v>1808468</v>
      </c>
      <c r="Q405" s="42">
        <v>1725861</v>
      </c>
      <c r="S405" s="42">
        <v>1968298</v>
      </c>
      <c r="U405" s="42">
        <v>154245</v>
      </c>
      <c r="W405" s="42">
        <v>2008261</v>
      </c>
      <c r="Y405" s="42">
        <v>830408</v>
      </c>
      <c r="AA405" s="42">
        <v>182690</v>
      </c>
      <c r="AC405" s="42">
        <v>2555351</v>
      </c>
      <c r="AE405" s="42">
        <v>2553907</v>
      </c>
      <c r="AG405" s="42">
        <v>69959</v>
      </c>
      <c r="AI405" s="42">
        <v>1112353</v>
      </c>
      <c r="AK405" s="42">
        <v>587571</v>
      </c>
      <c r="AL405" s="9" t="s">
        <v>385</v>
      </c>
      <c r="AM405" s="9"/>
      <c r="AN405" s="9" t="s">
        <v>44</v>
      </c>
      <c r="AP405" s="42">
        <v>796922</v>
      </c>
      <c r="AR405" s="42">
        <v>385915</v>
      </c>
      <c r="AT405" s="42">
        <v>0</v>
      </c>
      <c r="AV405" s="42">
        <v>388654</v>
      </c>
      <c r="AX405" s="42">
        <v>62927</v>
      </c>
      <c r="AZ405" s="42">
        <v>0</v>
      </c>
      <c r="BB405" s="5">
        <f t="shared" si="52"/>
        <v>35280536</v>
      </c>
      <c r="BD405" s="42">
        <v>23182</v>
      </c>
      <c r="BF405" s="42">
        <v>0</v>
      </c>
      <c r="BH405" s="42">
        <v>0</v>
      </c>
      <c r="BJ405" s="42">
        <v>0</v>
      </c>
      <c r="BL405" s="5">
        <f t="shared" si="55"/>
        <v>35303718</v>
      </c>
      <c r="BN405" s="5">
        <f>'Gov Fd Rev'!AQ405-'Gov Fd Exp'!BL405</f>
        <v>3185320</v>
      </c>
      <c r="BP405" s="42">
        <v>964394</v>
      </c>
      <c r="BR405" s="42">
        <v>0</v>
      </c>
      <c r="BT405" s="42">
        <v>0</v>
      </c>
      <c r="BV405" s="5">
        <f t="shared" si="54"/>
        <v>4149714</v>
      </c>
      <c r="BW405" s="5"/>
      <c r="BX405" s="5">
        <f>BV405-'Gov Fd BS'!AI405</f>
        <v>0</v>
      </c>
    </row>
    <row r="406" spans="1:76">
      <c r="A406" s="9" t="s">
        <v>270</v>
      </c>
      <c r="B406" s="9"/>
      <c r="C406" s="9" t="s">
        <v>20</v>
      </c>
      <c r="D406" s="9"/>
      <c r="E406" s="23">
        <v>44545</v>
      </c>
      <c r="G406" s="42">
        <v>24728691</v>
      </c>
      <c r="I406" s="42">
        <v>3395416</v>
      </c>
      <c r="K406" s="42">
        <v>128772</v>
      </c>
      <c r="M406" s="42">
        <v>0</v>
      </c>
      <c r="O406" s="42">
        <v>1233551</v>
      </c>
      <c r="Q406" s="42">
        <v>2969569</v>
      </c>
      <c r="S406" s="42">
        <v>2553383</v>
      </c>
      <c r="U406" s="42">
        <v>42802</v>
      </c>
      <c r="W406" s="42">
        <v>3338971</v>
      </c>
      <c r="Y406" s="42">
        <v>1258659</v>
      </c>
      <c r="AA406" s="42">
        <v>344756</v>
      </c>
      <c r="AC406" s="42">
        <v>3837123</v>
      </c>
      <c r="AE406" s="42">
        <v>3744611</v>
      </c>
      <c r="AG406" s="42">
        <v>577848</v>
      </c>
      <c r="AI406" s="42">
        <v>1144729</v>
      </c>
      <c r="AK406" s="42">
        <v>987494</v>
      </c>
      <c r="AL406" s="9" t="s">
        <v>270</v>
      </c>
      <c r="AM406" s="9"/>
      <c r="AN406" s="9" t="s">
        <v>20</v>
      </c>
      <c r="AP406" s="42">
        <v>1139803</v>
      </c>
      <c r="AR406" s="42">
        <v>662371</v>
      </c>
      <c r="AT406" s="42">
        <v>0</v>
      </c>
      <c r="AV406" s="42">
        <v>1435000</v>
      </c>
      <c r="AX406" s="42">
        <v>633194</v>
      </c>
      <c r="AZ406" s="42">
        <v>0</v>
      </c>
      <c r="BB406" s="5">
        <f t="shared" si="52"/>
        <v>54156743</v>
      </c>
      <c r="BD406" s="42">
        <v>118000</v>
      </c>
      <c r="BF406" s="42">
        <v>0</v>
      </c>
      <c r="BH406" s="42">
        <v>0</v>
      </c>
      <c r="BJ406" s="42">
        <v>0</v>
      </c>
      <c r="BL406" s="5">
        <f t="shared" si="55"/>
        <v>54274743</v>
      </c>
      <c r="BN406" s="5">
        <f>'Gov Fd Rev'!AQ406-'Gov Fd Exp'!BL406</f>
        <v>-195349</v>
      </c>
      <c r="BP406" s="42">
        <v>15935895</v>
      </c>
      <c r="BR406" s="42">
        <v>0</v>
      </c>
      <c r="BT406" s="42">
        <v>0</v>
      </c>
      <c r="BV406" s="5">
        <f t="shared" si="54"/>
        <v>15740546</v>
      </c>
      <c r="BW406" s="5"/>
      <c r="BX406" s="5">
        <f>BV406-'Gov Fd BS'!AI406</f>
        <v>0</v>
      </c>
    </row>
    <row r="407" spans="1:76">
      <c r="A407" s="9" t="s">
        <v>536</v>
      </c>
      <c r="B407" s="9"/>
      <c r="C407" s="9" t="s">
        <v>66</v>
      </c>
      <c r="D407" s="9"/>
      <c r="E407" s="23">
        <v>50336</v>
      </c>
      <c r="G407" s="42">
        <v>6718167</v>
      </c>
      <c r="I407" s="42">
        <v>1851769</v>
      </c>
      <c r="K407" s="42">
        <v>893406</v>
      </c>
      <c r="M407" s="42">
        <v>0</v>
      </c>
      <c r="O407" s="42">
        <v>0</v>
      </c>
      <c r="Q407" s="42">
        <v>804305</v>
      </c>
      <c r="S407" s="42">
        <v>928043</v>
      </c>
      <c r="U407" s="42">
        <v>31223</v>
      </c>
      <c r="W407" s="42">
        <v>1040180</v>
      </c>
      <c r="Y407" s="42">
        <v>550216</v>
      </c>
      <c r="AA407" s="42">
        <v>0</v>
      </c>
      <c r="AC407" s="42">
        <v>1809614</v>
      </c>
      <c r="AE407" s="42">
        <v>944880</v>
      </c>
      <c r="AG407" s="42">
        <v>8050</v>
      </c>
      <c r="AI407" s="42">
        <v>0</v>
      </c>
      <c r="AK407" s="42">
        <v>660659</v>
      </c>
      <c r="AL407" s="9" t="s">
        <v>536</v>
      </c>
      <c r="AM407" s="9"/>
      <c r="AN407" s="9" t="s">
        <v>66</v>
      </c>
      <c r="AP407" s="42">
        <v>441805</v>
      </c>
      <c r="AR407" s="42">
        <v>521666</v>
      </c>
      <c r="AT407" s="42">
        <v>0</v>
      </c>
      <c r="AV407" s="42">
        <v>475000</v>
      </c>
      <c r="AX407" s="42">
        <v>236525</v>
      </c>
      <c r="AZ407" s="42">
        <v>0</v>
      </c>
      <c r="BB407" s="5">
        <f t="shared" si="52"/>
        <v>17915508</v>
      </c>
      <c r="BD407" s="42">
        <v>131757</v>
      </c>
      <c r="BF407" s="42">
        <v>0</v>
      </c>
      <c r="BH407" s="42">
        <v>0</v>
      </c>
      <c r="BJ407" s="42">
        <v>0</v>
      </c>
      <c r="BL407" s="5">
        <f t="shared" si="55"/>
        <v>18047265</v>
      </c>
      <c r="BN407" s="5">
        <f>'Gov Fd Rev'!AQ407-'Gov Fd Exp'!BL407</f>
        <v>-533905</v>
      </c>
      <c r="BP407" s="42">
        <v>11450604</v>
      </c>
      <c r="BR407" s="42">
        <v>0</v>
      </c>
      <c r="BT407" s="42">
        <v>0</v>
      </c>
      <c r="BV407" s="5">
        <f t="shared" si="54"/>
        <v>10916699</v>
      </c>
      <c r="BW407" s="5"/>
      <c r="BX407" s="5">
        <f>BV407-'Gov Fd BS'!AI407</f>
        <v>0</v>
      </c>
    </row>
    <row r="408" spans="1:76">
      <c r="A408" s="9" t="s">
        <v>231</v>
      </c>
      <c r="B408" s="9"/>
      <c r="C408" s="9" t="s">
        <v>17</v>
      </c>
      <c r="D408" s="9"/>
      <c r="E408" s="23">
        <v>46250</v>
      </c>
      <c r="G408" s="42">
        <v>14246218</v>
      </c>
      <c r="I408" s="42">
        <v>3002042</v>
      </c>
      <c r="K408" s="42">
        <v>653914</v>
      </c>
      <c r="M408" s="42">
        <v>0</v>
      </c>
      <c r="O408" s="42">
        <f>17851+16328</f>
        <v>34179</v>
      </c>
      <c r="Q408" s="42">
        <v>1775598</v>
      </c>
      <c r="S408" s="42">
        <v>1442445</v>
      </c>
      <c r="U408" s="42">
        <v>49315</v>
      </c>
      <c r="W408" s="42">
        <v>2592902</v>
      </c>
      <c r="Y408" s="42">
        <v>714249</v>
      </c>
      <c r="AA408" s="42">
        <v>0</v>
      </c>
      <c r="AC408" s="42">
        <v>2521839</v>
      </c>
      <c r="AE408" s="42">
        <v>2114195</v>
      </c>
      <c r="AG408" s="42">
        <v>15153</v>
      </c>
      <c r="AI408" s="42">
        <v>0</v>
      </c>
      <c r="AK408" s="42">
        <v>1607705</v>
      </c>
      <c r="AL408" s="9" t="s">
        <v>231</v>
      </c>
      <c r="AM408" s="9"/>
      <c r="AN408" s="9" t="s">
        <v>17</v>
      </c>
      <c r="AP408" s="42">
        <v>980998</v>
      </c>
      <c r="AR408" s="42">
        <v>31582</v>
      </c>
      <c r="AT408" s="42">
        <v>0</v>
      </c>
      <c r="AV408" s="42">
        <v>368012</v>
      </c>
      <c r="AX408" s="42">
        <v>114988</v>
      </c>
      <c r="AZ408" s="42">
        <v>0</v>
      </c>
      <c r="BB408" s="5">
        <f t="shared" si="52"/>
        <v>32265334</v>
      </c>
      <c r="BD408" s="42">
        <v>40658</v>
      </c>
      <c r="BF408" s="42">
        <v>0</v>
      </c>
      <c r="BH408" s="42">
        <v>0</v>
      </c>
      <c r="BJ408" s="42">
        <v>0</v>
      </c>
      <c r="BL408" s="5">
        <f t="shared" si="55"/>
        <v>32305992</v>
      </c>
      <c r="BN408" s="5">
        <f>'Gov Fd Rev'!AQ408-'Gov Fd Exp'!BL408</f>
        <v>-1665289</v>
      </c>
      <c r="BP408" s="42">
        <v>6065304</v>
      </c>
      <c r="BR408" s="42">
        <v>0</v>
      </c>
      <c r="BT408" s="42">
        <v>0</v>
      </c>
      <c r="BV408" s="5">
        <f t="shared" si="54"/>
        <v>4400015</v>
      </c>
      <c r="BW408" s="5"/>
      <c r="BX408" s="5">
        <f>BV408-'Gov Fd BS'!AI408</f>
        <v>0</v>
      </c>
    </row>
    <row r="409" spans="1:76" hidden="1">
      <c r="A409" s="9" t="s">
        <v>809</v>
      </c>
      <c r="B409" s="9"/>
      <c r="C409" s="9" t="s">
        <v>22</v>
      </c>
      <c r="D409" s="9"/>
      <c r="E409" s="23">
        <v>46722</v>
      </c>
      <c r="G409" s="42">
        <v>0</v>
      </c>
      <c r="I409" s="42">
        <v>0</v>
      </c>
      <c r="K409" s="42">
        <v>0</v>
      </c>
      <c r="M409" s="42">
        <v>0</v>
      </c>
      <c r="O409" s="42">
        <v>0</v>
      </c>
      <c r="Q409" s="42">
        <v>0</v>
      </c>
      <c r="S409" s="42">
        <v>0</v>
      </c>
      <c r="U409" s="42">
        <v>0</v>
      </c>
      <c r="W409" s="42">
        <v>0</v>
      </c>
      <c r="Y409" s="42">
        <v>0</v>
      </c>
      <c r="AA409" s="42">
        <v>0</v>
      </c>
      <c r="AC409" s="42">
        <v>0</v>
      </c>
      <c r="AE409" s="42">
        <v>0</v>
      </c>
      <c r="AG409" s="42">
        <v>0</v>
      </c>
      <c r="AI409" s="42">
        <v>0</v>
      </c>
      <c r="AK409" s="42">
        <v>0</v>
      </c>
      <c r="AL409" s="9" t="s">
        <v>809</v>
      </c>
      <c r="AM409" s="9"/>
      <c r="AN409" s="9" t="s">
        <v>22</v>
      </c>
      <c r="AP409" s="42">
        <v>0</v>
      </c>
      <c r="AR409" s="42">
        <v>0</v>
      </c>
      <c r="AT409" s="42">
        <v>0</v>
      </c>
      <c r="AV409" s="42">
        <v>0</v>
      </c>
      <c r="AX409" s="42">
        <v>0</v>
      </c>
      <c r="AZ409" s="42">
        <v>0</v>
      </c>
      <c r="BB409" s="5">
        <f t="shared" si="52"/>
        <v>0</v>
      </c>
      <c r="BD409" s="42">
        <v>0</v>
      </c>
      <c r="BF409" s="42">
        <v>0</v>
      </c>
      <c r="BH409" s="42">
        <v>0</v>
      </c>
      <c r="BJ409" s="42">
        <v>0</v>
      </c>
      <c r="BL409" s="5">
        <f t="shared" si="53"/>
        <v>0</v>
      </c>
      <c r="BN409" s="5">
        <f>'Gov Fd Rev'!AQ409-'Gov Fd Exp'!BL409</f>
        <v>0</v>
      </c>
      <c r="BP409" s="42">
        <v>0</v>
      </c>
      <c r="BR409" s="42">
        <v>0</v>
      </c>
      <c r="BT409" s="42">
        <v>0</v>
      </c>
      <c r="BV409" s="5">
        <f t="shared" si="54"/>
        <v>0</v>
      </c>
      <c r="BW409" s="5"/>
      <c r="BX409" s="5">
        <f>BV409-'Gov Fd BS'!AI409</f>
        <v>0</v>
      </c>
    </row>
    <row r="410" spans="1:76" hidden="1">
      <c r="A410" s="9" t="s">
        <v>810</v>
      </c>
      <c r="B410" s="9"/>
      <c r="C410" s="9" t="s">
        <v>448</v>
      </c>
      <c r="D410" s="9"/>
      <c r="E410" s="23">
        <v>49056</v>
      </c>
      <c r="G410" s="42">
        <v>0</v>
      </c>
      <c r="I410" s="42">
        <v>0</v>
      </c>
      <c r="K410" s="42">
        <v>0</v>
      </c>
      <c r="M410" s="42">
        <v>0</v>
      </c>
      <c r="O410" s="42">
        <v>0</v>
      </c>
      <c r="Q410" s="42">
        <v>0</v>
      </c>
      <c r="S410" s="42">
        <v>0</v>
      </c>
      <c r="U410" s="42">
        <v>0</v>
      </c>
      <c r="W410" s="42">
        <v>0</v>
      </c>
      <c r="Y410" s="42">
        <v>0</v>
      </c>
      <c r="AA410" s="42">
        <v>0</v>
      </c>
      <c r="AC410" s="42">
        <v>0</v>
      </c>
      <c r="AE410" s="42">
        <v>0</v>
      </c>
      <c r="AG410" s="42">
        <v>0</v>
      </c>
      <c r="AI410" s="42">
        <v>0</v>
      </c>
      <c r="AK410" s="42">
        <v>0</v>
      </c>
      <c r="AL410" s="9" t="s">
        <v>810</v>
      </c>
      <c r="AM410" s="9"/>
      <c r="AN410" s="9" t="s">
        <v>448</v>
      </c>
      <c r="AP410" s="42">
        <v>0</v>
      </c>
      <c r="AR410" s="42">
        <v>0</v>
      </c>
      <c r="AT410" s="42">
        <v>0</v>
      </c>
      <c r="AV410" s="42">
        <v>0</v>
      </c>
      <c r="AX410" s="42">
        <v>0</v>
      </c>
      <c r="AZ410" s="42">
        <v>0</v>
      </c>
      <c r="BB410" s="5">
        <f t="shared" si="52"/>
        <v>0</v>
      </c>
      <c r="BD410" s="42">
        <v>0</v>
      </c>
      <c r="BF410" s="42">
        <v>0</v>
      </c>
      <c r="BH410" s="42">
        <v>0</v>
      </c>
      <c r="BJ410" s="42">
        <v>0</v>
      </c>
      <c r="BL410" s="5">
        <f t="shared" ref="BL410" si="56">BB410+BD410+BJ410</f>
        <v>0</v>
      </c>
      <c r="BN410" s="5">
        <f>'Gov Fd Rev'!AQ410-'Gov Fd Exp'!BL410</f>
        <v>0</v>
      </c>
      <c r="BP410" s="42">
        <v>0</v>
      </c>
      <c r="BR410" s="42">
        <v>0</v>
      </c>
      <c r="BT410" s="42">
        <v>0</v>
      </c>
      <c r="BV410" s="5">
        <f t="shared" si="54"/>
        <v>0</v>
      </c>
      <c r="BW410" s="5"/>
      <c r="BX410" s="5"/>
    </row>
    <row r="411" spans="1:76">
      <c r="A411" s="9" t="s">
        <v>431</v>
      </c>
      <c r="B411" s="9"/>
      <c r="C411" s="9" t="s">
        <v>50</v>
      </c>
      <c r="D411" s="9"/>
      <c r="E411" s="23">
        <v>48728</v>
      </c>
      <c r="G411" s="42">
        <v>24567312</v>
      </c>
      <c r="I411" s="42">
        <v>10076470</v>
      </c>
      <c r="K411" s="42">
        <v>209204</v>
      </c>
      <c r="M411" s="42">
        <v>0</v>
      </c>
      <c r="O411" s="42">
        <v>8537</v>
      </c>
      <c r="Q411" s="42">
        <v>4013969</v>
      </c>
      <c r="S411" s="42">
        <v>489616</v>
      </c>
      <c r="U411" s="42">
        <v>0</v>
      </c>
      <c r="W411" s="42">
        <f>123043+3314308</f>
        <v>3437351</v>
      </c>
      <c r="Y411" s="42">
        <v>1171447</v>
      </c>
      <c r="AA411" s="42">
        <v>500855</v>
      </c>
      <c r="AC411" s="42">
        <v>3416952</v>
      </c>
      <c r="AE411" s="42">
        <v>2973893</v>
      </c>
      <c r="AG411" s="42">
        <v>352314</v>
      </c>
      <c r="AI411" s="42">
        <v>0</v>
      </c>
      <c r="AK411" s="42">
        <v>3749809</v>
      </c>
      <c r="AL411" s="9" t="s">
        <v>431</v>
      </c>
      <c r="AM411" s="9"/>
      <c r="AN411" s="9" t="s">
        <v>50</v>
      </c>
      <c r="AP411" s="42">
        <v>1140547</v>
      </c>
      <c r="AR411" s="42">
        <v>11170447</v>
      </c>
      <c r="AT411" s="42">
        <v>0</v>
      </c>
      <c r="AV411" s="42">
        <v>760222</v>
      </c>
      <c r="AX411" s="42">
        <v>2119760</v>
      </c>
      <c r="AZ411" s="42">
        <v>0</v>
      </c>
      <c r="BB411" s="5">
        <f t="shared" si="52"/>
        <v>70158705</v>
      </c>
      <c r="BD411" s="42">
        <v>8300</v>
      </c>
      <c r="BF411" s="42">
        <v>0</v>
      </c>
      <c r="BH411" s="42">
        <v>0</v>
      </c>
      <c r="BJ411" s="42">
        <v>0</v>
      </c>
      <c r="BL411" s="5">
        <f t="shared" si="53"/>
        <v>70167005</v>
      </c>
      <c r="BN411" s="5">
        <f>'Gov Fd Rev'!AQ411-'Gov Fd Exp'!BL411</f>
        <v>-1522075</v>
      </c>
      <c r="BP411" s="42">
        <v>63844421</v>
      </c>
      <c r="BR411" s="42">
        <v>0</v>
      </c>
      <c r="BT411" s="42">
        <v>0</v>
      </c>
      <c r="BV411" s="5">
        <f t="shared" si="54"/>
        <v>62322346</v>
      </c>
      <c r="BW411" s="5"/>
      <c r="BX411" s="5">
        <f>BV411-'Gov Fd BS'!AI411</f>
        <v>0</v>
      </c>
    </row>
    <row r="412" spans="1:76">
      <c r="A412" s="9" t="s">
        <v>439</v>
      </c>
      <c r="B412" s="9"/>
      <c r="C412" s="9" t="s">
        <v>78</v>
      </c>
      <c r="D412" s="9"/>
      <c r="E412" s="23">
        <v>48819</v>
      </c>
      <c r="G412" s="42">
        <v>4814266</v>
      </c>
      <c r="I412" s="42">
        <v>1250963</v>
      </c>
      <c r="K412" s="42">
        <v>181127</v>
      </c>
      <c r="M412" s="42">
        <v>0</v>
      </c>
      <c r="O412" s="42">
        <v>1084213</v>
      </c>
      <c r="Q412" s="42">
        <v>292531</v>
      </c>
      <c r="S412" s="42">
        <v>716867</v>
      </c>
      <c r="U412" s="42">
        <v>18120</v>
      </c>
      <c r="W412" s="42">
        <v>1080005</v>
      </c>
      <c r="Y412" s="42">
        <v>441193</v>
      </c>
      <c r="AA412" s="42">
        <v>0</v>
      </c>
      <c r="AC412" s="42">
        <v>1124795</v>
      </c>
      <c r="AE412" s="42">
        <v>852189</v>
      </c>
      <c r="AG412" s="42">
        <v>440</v>
      </c>
      <c r="AI412" s="42">
        <v>450287</v>
      </c>
      <c r="AK412" s="42">
        <v>3374</v>
      </c>
      <c r="AL412" s="9" t="s">
        <v>439</v>
      </c>
      <c r="AM412" s="9"/>
      <c r="AN412" s="9" t="s">
        <v>78</v>
      </c>
      <c r="AP412" s="42">
        <v>315575</v>
      </c>
      <c r="AR412" s="42">
        <v>438531</v>
      </c>
      <c r="AT412" s="42">
        <v>0</v>
      </c>
      <c r="AV412" s="42">
        <v>305000</v>
      </c>
      <c r="AX412" s="42">
        <v>633524</v>
      </c>
      <c r="AZ412" s="42">
        <v>0</v>
      </c>
      <c r="BB412" s="5">
        <f t="shared" si="52"/>
        <v>14003000</v>
      </c>
      <c r="BD412" s="42">
        <v>1184890</v>
      </c>
      <c r="BF412" s="42">
        <v>0</v>
      </c>
      <c r="BH412" s="42">
        <v>0</v>
      </c>
      <c r="BJ412" s="42">
        <v>0</v>
      </c>
      <c r="BL412" s="5">
        <f t="shared" si="53"/>
        <v>15187890</v>
      </c>
      <c r="BN412" s="5">
        <f>'Gov Fd Rev'!AQ412-'Gov Fd Exp'!BL412</f>
        <v>-515317</v>
      </c>
      <c r="BP412" s="42">
        <v>3725286</v>
      </c>
      <c r="BR412" s="42">
        <v>0</v>
      </c>
      <c r="BT412" s="42">
        <v>-1157758</v>
      </c>
      <c r="BV412" s="5">
        <f t="shared" si="54"/>
        <v>2052211</v>
      </c>
      <c r="BW412" s="5"/>
      <c r="BX412" s="5">
        <f>BV412-'Gov Fd BS'!AI412</f>
        <v>0</v>
      </c>
    </row>
    <row r="413" spans="1:76">
      <c r="A413" s="9" t="s">
        <v>376</v>
      </c>
      <c r="B413" s="9"/>
      <c r="C413" s="9" t="s">
        <v>42</v>
      </c>
      <c r="D413" s="9"/>
      <c r="E413" s="23">
        <v>48033</v>
      </c>
      <c r="G413" s="42">
        <v>5019719</v>
      </c>
      <c r="I413" s="42">
        <v>1092488</v>
      </c>
      <c r="K413" s="42">
        <v>16217</v>
      </c>
      <c r="M413" s="42">
        <v>0</v>
      </c>
      <c r="O413" s="42">
        <v>19095</v>
      </c>
      <c r="Q413" s="42">
        <v>392762</v>
      </c>
      <c r="S413" s="42">
        <v>489985</v>
      </c>
      <c r="U413" s="42">
        <v>90011</v>
      </c>
      <c r="W413" s="42">
        <v>941587</v>
      </c>
      <c r="Y413" s="42">
        <v>403024</v>
      </c>
      <c r="AA413" s="42">
        <v>0</v>
      </c>
      <c r="AC413" s="42">
        <v>1040461</v>
      </c>
      <c r="AE413" s="42">
        <v>1343197</v>
      </c>
      <c r="AG413" s="42">
        <v>135329</v>
      </c>
      <c r="AI413" s="42">
        <v>384762</v>
      </c>
      <c r="AK413" s="42">
        <v>385</v>
      </c>
      <c r="AL413" s="9" t="s">
        <v>376</v>
      </c>
      <c r="AM413" s="9"/>
      <c r="AN413" s="9" t="s">
        <v>42</v>
      </c>
      <c r="AP413" s="42">
        <v>215156</v>
      </c>
      <c r="AR413" s="42">
        <v>0</v>
      </c>
      <c r="AT413" s="42">
        <v>0</v>
      </c>
      <c r="AV413" s="42">
        <v>601916</v>
      </c>
      <c r="AX413" s="42">
        <v>223411</v>
      </c>
      <c r="AZ413" s="42">
        <v>0</v>
      </c>
      <c r="BB413" s="5">
        <f t="shared" si="52"/>
        <v>12409505</v>
      </c>
      <c r="BD413" s="42">
        <v>0</v>
      </c>
      <c r="BF413" s="42">
        <v>0</v>
      </c>
      <c r="BH413" s="42">
        <v>0</v>
      </c>
      <c r="BJ413" s="42">
        <v>0</v>
      </c>
      <c r="BL413" s="5">
        <f t="shared" si="53"/>
        <v>12409505</v>
      </c>
      <c r="BN413" s="5">
        <f>'Gov Fd Rev'!AQ413-'Gov Fd Exp'!BL413</f>
        <v>2020122</v>
      </c>
      <c r="BP413" s="42">
        <v>6778128</v>
      </c>
      <c r="BR413" s="42">
        <v>0</v>
      </c>
      <c r="BT413" s="42">
        <v>0</v>
      </c>
      <c r="BV413" s="5">
        <f t="shared" si="54"/>
        <v>8798250</v>
      </c>
      <c r="BW413" s="5"/>
      <c r="BX413" s="5">
        <f>BV413-'Gov Fd BS'!AI413</f>
        <v>0</v>
      </c>
    </row>
    <row r="414" spans="1:76">
      <c r="A414" s="9" t="s">
        <v>376</v>
      </c>
      <c r="B414" s="9"/>
      <c r="C414" s="9" t="s">
        <v>50</v>
      </c>
      <c r="D414" s="9"/>
      <c r="E414" s="23">
        <v>48736</v>
      </c>
      <c r="G414" s="42">
        <v>8653028</v>
      </c>
      <c r="I414" s="42">
        <v>3453933</v>
      </c>
      <c r="K414" s="42">
        <v>549</v>
      </c>
      <c r="M414" s="42">
        <v>0</v>
      </c>
      <c r="O414" s="42">
        <v>18719</v>
      </c>
      <c r="Q414" s="42">
        <v>1375650</v>
      </c>
      <c r="S414" s="42">
        <v>560441</v>
      </c>
      <c r="U414" s="42">
        <v>34316</v>
      </c>
      <c r="W414" s="42">
        <v>2193008</v>
      </c>
      <c r="Y414" s="42">
        <v>431346</v>
      </c>
      <c r="AA414" s="42">
        <v>204484</v>
      </c>
      <c r="AC414" s="42">
        <v>1766991</v>
      </c>
      <c r="AE414" s="42">
        <v>1055031</v>
      </c>
      <c r="AG414" s="42">
        <v>55456</v>
      </c>
      <c r="AI414" s="42">
        <v>0</v>
      </c>
      <c r="AK414" s="42">
        <v>1037218</v>
      </c>
      <c r="AL414" s="9" t="s">
        <v>376</v>
      </c>
      <c r="AM414" s="9"/>
      <c r="AN414" s="9" t="s">
        <v>50</v>
      </c>
      <c r="AP414" s="42">
        <v>474162</v>
      </c>
      <c r="AR414" s="42">
        <v>225720</v>
      </c>
      <c r="AT414" s="42">
        <v>0</v>
      </c>
      <c r="AV414" s="42">
        <v>405000</v>
      </c>
      <c r="AX414" s="42">
        <v>164200</v>
      </c>
      <c r="AZ414" s="42">
        <v>0</v>
      </c>
      <c r="BB414" s="5">
        <f t="shared" si="52"/>
        <v>22109252</v>
      </c>
      <c r="BD414" s="42">
        <v>0</v>
      </c>
      <c r="BF414" s="42">
        <v>0</v>
      </c>
      <c r="BH414" s="42">
        <v>0</v>
      </c>
      <c r="BJ414" s="42">
        <v>0</v>
      </c>
      <c r="BL414" s="5">
        <f t="shared" si="53"/>
        <v>22109252</v>
      </c>
      <c r="BN414" s="5">
        <f>'Gov Fd Rev'!AQ414-'Gov Fd Exp'!BL414</f>
        <v>1087019</v>
      </c>
      <c r="BP414" s="42">
        <v>7968378</v>
      </c>
      <c r="BR414" s="42">
        <v>0</v>
      </c>
      <c r="BT414" s="42">
        <v>0</v>
      </c>
      <c r="BV414" s="5">
        <f t="shared" si="54"/>
        <v>9055397</v>
      </c>
      <c r="BW414" s="5"/>
      <c r="BX414" s="5">
        <f>BV414-'Gov Fd BS'!AI414</f>
        <v>0</v>
      </c>
    </row>
    <row r="415" spans="1:76">
      <c r="A415" s="9" t="s">
        <v>325</v>
      </c>
      <c r="B415" s="9"/>
      <c r="C415" s="9" t="s">
        <v>32</v>
      </c>
      <c r="D415" s="9"/>
      <c r="E415" s="23">
        <v>47365</v>
      </c>
      <c r="G415" s="42">
        <v>37510194</v>
      </c>
      <c r="I415" s="42">
        <v>11426589</v>
      </c>
      <c r="K415" s="42">
        <v>41773</v>
      </c>
      <c r="M415" s="42">
        <v>0</v>
      </c>
      <c r="O415" s="42">
        <v>562087</v>
      </c>
      <c r="Q415" s="42">
        <v>5445195</v>
      </c>
      <c r="S415" s="42">
        <v>6129881</v>
      </c>
      <c r="U415" s="42">
        <v>106610</v>
      </c>
      <c r="W415" s="42">
        <v>5797858</v>
      </c>
      <c r="Y415" s="42">
        <v>2061788</v>
      </c>
      <c r="AA415" s="42">
        <v>430116</v>
      </c>
      <c r="AC415" s="42">
        <v>7260093</v>
      </c>
      <c r="AE415" s="42">
        <v>5278539</v>
      </c>
      <c r="AG415" s="42">
        <v>1602071</v>
      </c>
      <c r="AI415" s="42">
        <v>0</v>
      </c>
      <c r="AK415" s="42">
        <v>7425550</v>
      </c>
      <c r="AL415" s="9" t="s">
        <v>325</v>
      </c>
      <c r="AM415" s="9"/>
      <c r="AN415" s="9" t="s">
        <v>32</v>
      </c>
      <c r="AP415" s="42">
        <v>1907581</v>
      </c>
      <c r="AR415" s="42">
        <v>7621167</v>
      </c>
      <c r="AT415" s="42">
        <v>0</v>
      </c>
      <c r="AV415" s="42">
        <v>1155000</v>
      </c>
      <c r="AX415" s="42">
        <v>1046827</v>
      </c>
      <c r="AZ415" s="42">
        <v>0</v>
      </c>
      <c r="BB415" s="5">
        <f t="shared" si="52"/>
        <v>102808919</v>
      </c>
      <c r="BD415" s="42">
        <v>60000</v>
      </c>
      <c r="BF415" s="42">
        <v>0</v>
      </c>
      <c r="BH415" s="42">
        <v>0</v>
      </c>
      <c r="BJ415" s="42">
        <v>0</v>
      </c>
      <c r="BL415" s="5">
        <f t="shared" si="53"/>
        <v>102868919</v>
      </c>
      <c r="BN415" s="5">
        <f>'Gov Fd Rev'!AQ415-'Gov Fd Exp'!BL415</f>
        <v>10982575</v>
      </c>
      <c r="BP415" s="42">
        <v>34906616</v>
      </c>
      <c r="BR415" s="42">
        <v>0</v>
      </c>
      <c r="BT415" s="42">
        <v>0</v>
      </c>
      <c r="BV415" s="5">
        <f t="shared" si="54"/>
        <v>45889191</v>
      </c>
      <c r="BW415" s="5"/>
      <c r="BX415" s="5">
        <f>BV415-'Gov Fd BS'!AI415</f>
        <v>0</v>
      </c>
    </row>
    <row r="416" spans="1:76">
      <c r="A416" s="9" t="s">
        <v>592</v>
      </c>
      <c r="B416" s="9"/>
      <c r="C416" s="9" t="s">
        <v>59</v>
      </c>
      <c r="D416" s="9"/>
      <c r="E416" s="23">
        <v>49635</v>
      </c>
      <c r="G416" s="42">
        <v>7395497</v>
      </c>
      <c r="I416" s="42">
        <v>1646967</v>
      </c>
      <c r="K416" s="42">
        <v>97324</v>
      </c>
      <c r="M416" s="42">
        <v>0</v>
      </c>
      <c r="O416" s="42">
        <v>1568551</v>
      </c>
      <c r="Q416" s="42">
        <v>728860</v>
      </c>
      <c r="S416" s="42">
        <v>1059325</v>
      </c>
      <c r="U416" s="42">
        <v>39546</v>
      </c>
      <c r="W416" s="42">
        <v>1255839</v>
      </c>
      <c r="Y416" s="42">
        <v>271707</v>
      </c>
      <c r="AA416" s="42">
        <v>0</v>
      </c>
      <c r="AC416" s="42">
        <v>1476356</v>
      </c>
      <c r="AE416" s="42">
        <v>1618113</v>
      </c>
      <c r="AG416" s="42">
        <v>4700</v>
      </c>
      <c r="AI416" s="42">
        <v>0</v>
      </c>
      <c r="AK416" s="42">
        <v>837798</v>
      </c>
      <c r="AL416" s="9" t="s">
        <v>592</v>
      </c>
      <c r="AM416" s="9"/>
      <c r="AN416" s="9" t="s">
        <v>59</v>
      </c>
      <c r="AP416" s="42">
        <v>290524</v>
      </c>
      <c r="AR416" s="42">
        <v>58679</v>
      </c>
      <c r="AT416" s="42">
        <v>0</v>
      </c>
      <c r="AV416" s="42">
        <v>492000</v>
      </c>
      <c r="AX416" s="42">
        <v>75588</v>
      </c>
      <c r="AZ416" s="42">
        <v>0</v>
      </c>
      <c r="BB416" s="5">
        <f t="shared" si="52"/>
        <v>18917374</v>
      </c>
      <c r="BD416" s="42">
        <v>0</v>
      </c>
      <c r="BF416" s="42">
        <v>0</v>
      </c>
      <c r="BH416" s="42">
        <v>0</v>
      </c>
      <c r="BJ416" s="42">
        <v>0</v>
      </c>
      <c r="BL416" s="5">
        <f t="shared" si="53"/>
        <v>18917374</v>
      </c>
      <c r="BN416" s="5">
        <f>'Gov Fd Rev'!AQ416-'Gov Fd Exp'!BL416</f>
        <v>-717145</v>
      </c>
      <c r="BP416" s="42">
        <v>119899</v>
      </c>
      <c r="BR416" s="42">
        <v>0</v>
      </c>
      <c r="BT416" s="42">
        <v>0</v>
      </c>
      <c r="BV416" s="5">
        <f t="shared" si="54"/>
        <v>-597246</v>
      </c>
      <c r="BW416" s="5"/>
      <c r="BX416" s="5">
        <f>BV416-'Gov Fd BS'!AI416</f>
        <v>0</v>
      </c>
    </row>
    <row r="417" spans="1:76">
      <c r="A417" s="9" t="s">
        <v>325</v>
      </c>
      <c r="B417" s="9"/>
      <c r="C417" s="9" t="s">
        <v>62</v>
      </c>
      <c r="D417" s="9"/>
      <c r="E417" s="23">
        <v>49908</v>
      </c>
      <c r="G417" s="42">
        <v>8701744</v>
      </c>
      <c r="I417" s="42">
        <v>2496750</v>
      </c>
      <c r="K417" s="42">
        <v>151792</v>
      </c>
      <c r="M417" s="42">
        <v>0</v>
      </c>
      <c r="O417" s="42">
        <v>98136</v>
      </c>
      <c r="Q417" s="42">
        <v>751438</v>
      </c>
      <c r="S417" s="42">
        <v>114159</v>
      </c>
      <c r="U417" s="42">
        <v>39722</v>
      </c>
      <c r="W417" s="42">
        <v>1901898</v>
      </c>
      <c r="Y417" s="42">
        <v>448319</v>
      </c>
      <c r="AA417" s="42">
        <v>0</v>
      </c>
      <c r="AC417" s="42">
        <v>1895100</v>
      </c>
      <c r="AE417" s="42">
        <v>1186402</v>
      </c>
      <c r="AG417" s="42">
        <v>239424</v>
      </c>
      <c r="AI417" s="42">
        <v>633768</v>
      </c>
      <c r="AK417" s="42">
        <v>101140</v>
      </c>
      <c r="AL417" s="9" t="s">
        <v>325</v>
      </c>
      <c r="AM417" s="9"/>
      <c r="AN417" s="9" t="s">
        <v>62</v>
      </c>
      <c r="AP417" s="42">
        <v>384518</v>
      </c>
      <c r="AR417" s="42">
        <v>9005923</v>
      </c>
      <c r="AT417" s="42">
        <v>0</v>
      </c>
      <c r="AV417" s="42">
        <v>1021000</v>
      </c>
      <c r="AX417" s="42">
        <v>737328</v>
      </c>
      <c r="AZ417" s="42">
        <v>0</v>
      </c>
      <c r="BB417" s="5">
        <f t="shared" si="52"/>
        <v>29908561</v>
      </c>
      <c r="BD417" s="42">
        <v>0</v>
      </c>
      <c r="BF417" s="42">
        <v>0</v>
      </c>
      <c r="BH417" s="42">
        <v>0</v>
      </c>
      <c r="BJ417" s="42">
        <v>0</v>
      </c>
      <c r="BL417" s="5">
        <f t="shared" si="53"/>
        <v>29908561</v>
      </c>
      <c r="BN417" s="5">
        <f>'Gov Fd Rev'!AQ417-'Gov Fd Exp'!BL417</f>
        <v>-6226832</v>
      </c>
      <c r="BP417" s="42">
        <v>9446005</v>
      </c>
      <c r="BR417" s="42">
        <v>-16655</v>
      </c>
      <c r="BT417" s="42">
        <v>0</v>
      </c>
      <c r="BV417" s="5">
        <f t="shared" si="54"/>
        <v>3202518</v>
      </c>
      <c r="BW417" s="5"/>
      <c r="BX417" s="5">
        <f>BV417-'Gov Fd BS'!AI417</f>
        <v>0</v>
      </c>
    </row>
    <row r="418" spans="1:76">
      <c r="A418" s="9" t="s">
        <v>232</v>
      </c>
      <c r="B418" s="9"/>
      <c r="C418" s="9" t="s">
        <v>17</v>
      </c>
      <c r="D418" s="9"/>
      <c r="E418" s="23">
        <v>46268</v>
      </c>
      <c r="G418" s="42">
        <v>7972491</v>
      </c>
      <c r="I418" s="42">
        <v>1857061</v>
      </c>
      <c r="K418" s="42">
        <v>0</v>
      </c>
      <c r="M418" s="42">
        <v>0</v>
      </c>
      <c r="O418" s="42">
        <v>3768</v>
      </c>
      <c r="Q418" s="42">
        <v>1087435</v>
      </c>
      <c r="S418" s="42">
        <v>356193</v>
      </c>
      <c r="U418" s="42">
        <v>92954</v>
      </c>
      <c r="W418" s="42">
        <v>1057120</v>
      </c>
      <c r="Y418" s="42">
        <v>505586</v>
      </c>
      <c r="AA418" s="42">
        <v>0</v>
      </c>
      <c r="AC418" s="42">
        <v>1111203</v>
      </c>
      <c r="AE418" s="42">
        <v>1083391</v>
      </c>
      <c r="AG418" s="42">
        <v>31343</v>
      </c>
      <c r="AI418" s="42">
        <v>0</v>
      </c>
      <c r="AK418" s="42">
        <v>665930</v>
      </c>
      <c r="AL418" s="9" t="s">
        <v>232</v>
      </c>
      <c r="AM418" s="9"/>
      <c r="AN418" s="9" t="s">
        <v>17</v>
      </c>
      <c r="AP418" s="42">
        <v>442260</v>
      </c>
      <c r="AR418" s="42">
        <v>34012523</v>
      </c>
      <c r="AT418" s="42">
        <v>0</v>
      </c>
      <c r="AV418" s="42">
        <v>440000</v>
      </c>
      <c r="AX418" s="42">
        <v>1747074</v>
      </c>
      <c r="AZ418" s="42">
        <v>0</v>
      </c>
      <c r="BB418" s="5">
        <f t="shared" si="52"/>
        <v>52466332</v>
      </c>
      <c r="BD418" s="42">
        <v>110721</v>
      </c>
      <c r="BF418" s="42">
        <v>0</v>
      </c>
      <c r="BH418" s="42">
        <v>0</v>
      </c>
      <c r="BJ418" s="42">
        <v>0</v>
      </c>
      <c r="BL418" s="5">
        <f t="shared" si="53"/>
        <v>52577053</v>
      </c>
      <c r="BN418" s="5">
        <f>'Gov Fd Rev'!AQ418-'Gov Fd Exp'!BL418</f>
        <v>-26550425</v>
      </c>
      <c r="BP418" s="42">
        <v>43339760</v>
      </c>
      <c r="BR418" s="42">
        <v>0</v>
      </c>
      <c r="BT418" s="42">
        <v>0</v>
      </c>
      <c r="BV418" s="5">
        <f t="shared" si="54"/>
        <v>16789335</v>
      </c>
      <c r="BW418" s="5"/>
      <c r="BX418" s="5">
        <f>BV418-'Gov Fd BS'!AI418</f>
        <v>0</v>
      </c>
    </row>
    <row r="419" spans="1:76" hidden="1">
      <c r="A419" s="9" t="s">
        <v>733</v>
      </c>
      <c r="B419" s="9"/>
      <c r="C419" s="9" t="s">
        <v>71</v>
      </c>
      <c r="D419" s="9"/>
      <c r="E419" s="23">
        <v>50575</v>
      </c>
      <c r="G419" s="42">
        <v>0</v>
      </c>
      <c r="I419" s="42">
        <v>0</v>
      </c>
      <c r="K419" s="42">
        <v>0</v>
      </c>
      <c r="M419" s="42">
        <v>0</v>
      </c>
      <c r="O419" s="42">
        <v>0</v>
      </c>
      <c r="Q419" s="42">
        <v>0</v>
      </c>
      <c r="S419" s="42">
        <v>0</v>
      </c>
      <c r="U419" s="42">
        <v>0</v>
      </c>
      <c r="W419" s="42">
        <v>0</v>
      </c>
      <c r="Y419" s="42">
        <v>0</v>
      </c>
      <c r="AA419" s="42">
        <v>0</v>
      </c>
      <c r="AC419" s="42">
        <v>0</v>
      </c>
      <c r="AE419" s="42">
        <v>0</v>
      </c>
      <c r="AG419" s="42">
        <v>0</v>
      </c>
      <c r="AI419" s="42">
        <v>0</v>
      </c>
      <c r="AK419" s="42">
        <v>0</v>
      </c>
      <c r="AL419" s="9" t="s">
        <v>733</v>
      </c>
      <c r="AM419" s="9"/>
      <c r="AN419" s="9" t="s">
        <v>71</v>
      </c>
      <c r="AP419" s="42">
        <v>0</v>
      </c>
      <c r="AR419" s="42">
        <v>0</v>
      </c>
      <c r="AT419" s="42">
        <v>0</v>
      </c>
      <c r="AV419" s="42">
        <v>0</v>
      </c>
      <c r="AX419" s="42">
        <v>0</v>
      </c>
      <c r="AZ419" s="42">
        <v>0</v>
      </c>
      <c r="BB419" s="5"/>
      <c r="BD419" s="42">
        <v>0</v>
      </c>
      <c r="BF419" s="42">
        <v>0</v>
      </c>
      <c r="BH419" s="42">
        <v>0</v>
      </c>
      <c r="BJ419" s="42">
        <v>0</v>
      </c>
      <c r="BL419" s="5"/>
      <c r="BN419" s="5"/>
      <c r="BP419" s="42">
        <v>0</v>
      </c>
      <c r="BR419" s="42">
        <v>0</v>
      </c>
      <c r="BT419" s="42">
        <v>0</v>
      </c>
      <c r="BV419" s="5"/>
      <c r="BW419" s="5"/>
      <c r="BX419" s="5"/>
    </row>
    <row r="420" spans="1:76" hidden="1">
      <c r="A420" s="8" t="s">
        <v>868</v>
      </c>
      <c r="B420" s="9"/>
      <c r="C420" s="9" t="s">
        <v>72</v>
      </c>
      <c r="D420" s="9"/>
      <c r="E420" s="23">
        <v>50716</v>
      </c>
      <c r="G420" s="42">
        <v>0</v>
      </c>
      <c r="I420" s="42">
        <v>0</v>
      </c>
      <c r="K420" s="42">
        <v>0</v>
      </c>
      <c r="M420" s="42">
        <v>0</v>
      </c>
      <c r="O420" s="42">
        <v>0</v>
      </c>
      <c r="Q420" s="42">
        <v>0</v>
      </c>
      <c r="S420" s="42">
        <v>0</v>
      </c>
      <c r="U420" s="42">
        <v>0</v>
      </c>
      <c r="W420" s="42">
        <v>0</v>
      </c>
      <c r="Y420" s="42">
        <v>0</v>
      </c>
      <c r="AA420" s="42">
        <v>0</v>
      </c>
      <c r="AC420" s="42">
        <v>0</v>
      </c>
      <c r="AE420" s="42">
        <v>0</v>
      </c>
      <c r="AG420" s="42">
        <v>0</v>
      </c>
      <c r="AI420" s="42">
        <v>0</v>
      </c>
      <c r="AK420" s="42">
        <v>0</v>
      </c>
      <c r="AL420" s="8" t="s">
        <v>868</v>
      </c>
      <c r="AM420" s="9"/>
      <c r="AN420" s="9" t="s">
        <v>72</v>
      </c>
      <c r="AP420" s="42">
        <v>0</v>
      </c>
      <c r="AR420" s="42">
        <v>0</v>
      </c>
      <c r="AT420" s="42">
        <v>0</v>
      </c>
      <c r="AV420" s="42">
        <v>0</v>
      </c>
      <c r="AX420" s="42">
        <v>0</v>
      </c>
      <c r="AZ420" s="42">
        <v>0</v>
      </c>
      <c r="BB420" s="5">
        <f t="shared" si="52"/>
        <v>0</v>
      </c>
      <c r="BD420" s="42">
        <v>0</v>
      </c>
      <c r="BF420" s="42">
        <v>0</v>
      </c>
      <c r="BH420" s="42">
        <v>0</v>
      </c>
      <c r="BJ420" s="42">
        <v>0</v>
      </c>
      <c r="BL420" s="5">
        <f t="shared" si="53"/>
        <v>0</v>
      </c>
      <c r="BN420" s="5">
        <f>'Gov Fd Rev'!AQ420-'Gov Fd Exp'!BL420</f>
        <v>0</v>
      </c>
      <c r="BP420" s="42">
        <v>0</v>
      </c>
      <c r="BR420" s="42">
        <v>0</v>
      </c>
      <c r="BT420" s="42">
        <v>0</v>
      </c>
      <c r="BV420" s="5">
        <f t="shared" si="54"/>
        <v>0</v>
      </c>
      <c r="BW420" s="5"/>
      <c r="BX420" s="5">
        <f>BV420-'Gov Fd BS'!AI420</f>
        <v>0</v>
      </c>
    </row>
    <row r="421" spans="1:76">
      <c r="A421" s="9" t="s">
        <v>508</v>
      </c>
      <c r="B421" s="9"/>
      <c r="C421" s="9" t="s">
        <v>63</v>
      </c>
      <c r="D421" s="9"/>
      <c r="E421" s="23">
        <v>44552</v>
      </c>
      <c r="G421" s="42">
        <v>10482318</v>
      </c>
      <c r="I421" s="42">
        <v>2481084</v>
      </c>
      <c r="K421" s="42">
        <v>586953</v>
      </c>
      <c r="M421" s="42">
        <v>4259</v>
      </c>
      <c r="O421" s="42">
        <v>415283</v>
      </c>
      <c r="Q421" s="42">
        <v>728810</v>
      </c>
      <c r="S421" s="42">
        <v>1195874</v>
      </c>
      <c r="U421" s="42">
        <v>25387</v>
      </c>
      <c r="W421" s="42">
        <v>1563030</v>
      </c>
      <c r="Y421" s="42">
        <v>652031</v>
      </c>
      <c r="AA421" s="42">
        <v>207309</v>
      </c>
      <c r="AC421" s="42">
        <v>1808308</v>
      </c>
      <c r="AE421" s="42">
        <v>1614513</v>
      </c>
      <c r="AG421" s="42">
        <v>71542</v>
      </c>
      <c r="AI421" s="42">
        <v>896114</v>
      </c>
      <c r="AK421" s="42">
        <v>3725</v>
      </c>
      <c r="AL421" s="9" t="s">
        <v>508</v>
      </c>
      <c r="AM421" s="9"/>
      <c r="AN421" s="9" t="s">
        <v>63</v>
      </c>
      <c r="AP421" s="42">
        <v>536567</v>
      </c>
      <c r="AR421" s="42">
        <v>1919243</v>
      </c>
      <c r="AT421" s="42">
        <v>0</v>
      </c>
      <c r="AV421" s="42">
        <v>38433</v>
      </c>
      <c r="AX421" s="42">
        <v>4401</v>
      </c>
      <c r="AZ421" s="42">
        <v>0</v>
      </c>
      <c r="BB421" s="5">
        <f t="shared" si="52"/>
        <v>25235184</v>
      </c>
      <c r="BD421" s="42">
        <v>0</v>
      </c>
      <c r="BF421" s="42">
        <v>0</v>
      </c>
      <c r="BH421" s="42">
        <v>0</v>
      </c>
      <c r="BJ421" s="42">
        <v>0</v>
      </c>
      <c r="BL421" s="5">
        <f>BB421+BD421+BJ421</f>
        <v>25235184</v>
      </c>
      <c r="BN421" s="5">
        <f>'Gov Fd Rev'!AQ421-'Gov Fd Exp'!BL421</f>
        <v>-2484682</v>
      </c>
      <c r="BP421" s="42">
        <v>6991565</v>
      </c>
      <c r="BR421" s="42">
        <v>0</v>
      </c>
      <c r="BT421" s="42">
        <v>0</v>
      </c>
      <c r="BV421" s="5">
        <f>BN421+BP421+BR421+BT421</f>
        <v>4506883</v>
      </c>
      <c r="BW421" s="5"/>
      <c r="BX421" s="5">
        <f>BV421-'Gov Fd BS'!AI421</f>
        <v>0</v>
      </c>
    </row>
    <row r="422" spans="1:76">
      <c r="A422" s="9" t="s">
        <v>356</v>
      </c>
      <c r="B422" s="9"/>
      <c r="C422" s="9" t="s">
        <v>37</v>
      </c>
      <c r="D422" s="9"/>
      <c r="E422" s="23">
        <v>44560</v>
      </c>
      <c r="G422" s="42">
        <v>10755789</v>
      </c>
      <c r="I422" s="42">
        <v>3445239</v>
      </c>
      <c r="K422" s="42">
        <v>197268</v>
      </c>
      <c r="M422" s="42">
        <v>49842</v>
      </c>
      <c r="O422" s="42">
        <f>3665+1926155</f>
        <v>1929820</v>
      </c>
      <c r="Q422" s="42">
        <v>1100584</v>
      </c>
      <c r="S422" s="42">
        <v>2075698</v>
      </c>
      <c r="U422" s="42">
        <v>260892</v>
      </c>
      <c r="W422" s="42">
        <v>1883478</v>
      </c>
      <c r="Y422" s="42">
        <v>575418</v>
      </c>
      <c r="AA422" s="42">
        <v>62402</v>
      </c>
      <c r="AC422" s="42">
        <v>2384292</v>
      </c>
      <c r="AE422" s="42">
        <v>748965</v>
      </c>
      <c r="AG422" s="42">
        <v>64104</v>
      </c>
      <c r="AI422" s="42">
        <v>1117127</v>
      </c>
      <c r="AK422" s="42">
        <v>546069</v>
      </c>
      <c r="AL422" s="9" t="s">
        <v>356</v>
      </c>
      <c r="AM422" s="9"/>
      <c r="AN422" s="9" t="s">
        <v>37</v>
      </c>
      <c r="AP422" s="42">
        <v>715204</v>
      </c>
      <c r="AR422" s="42">
        <v>515770</v>
      </c>
      <c r="AT422" s="42">
        <v>0</v>
      </c>
      <c r="AV422" s="42">
        <v>610000</v>
      </c>
      <c r="AX422" s="42">
        <v>416920</v>
      </c>
      <c r="AZ422" s="42">
        <v>0</v>
      </c>
      <c r="BB422" s="5">
        <f t="shared" si="52"/>
        <v>29454881</v>
      </c>
      <c r="BD422" s="42">
        <v>0</v>
      </c>
      <c r="BF422" s="42">
        <v>0</v>
      </c>
      <c r="BH422" s="42">
        <v>0</v>
      </c>
      <c r="BJ422" s="42">
        <v>0</v>
      </c>
      <c r="BL422" s="5">
        <f t="shared" si="53"/>
        <v>29454881</v>
      </c>
      <c r="BN422" s="5">
        <f>'Gov Fd Rev'!AQ422-'Gov Fd Exp'!BL422</f>
        <v>-2358628</v>
      </c>
      <c r="BP422" s="42">
        <v>10771208</v>
      </c>
      <c r="BR422" s="42">
        <v>0</v>
      </c>
      <c r="BT422" s="42">
        <v>0</v>
      </c>
      <c r="BV422" s="5">
        <f t="shared" si="54"/>
        <v>8412580</v>
      </c>
      <c r="BW422" s="5"/>
      <c r="BX422" s="5">
        <f>BV422-'Gov Fd BS'!AI422</f>
        <v>0</v>
      </c>
    </row>
    <row r="423" spans="1:76" hidden="1">
      <c r="A423" s="9" t="s">
        <v>811</v>
      </c>
      <c r="B423" s="9"/>
      <c r="C423" s="9" t="s">
        <v>71</v>
      </c>
      <c r="D423" s="9"/>
      <c r="E423" s="23">
        <v>50567</v>
      </c>
      <c r="G423" s="42">
        <v>0</v>
      </c>
      <c r="I423" s="42">
        <v>0</v>
      </c>
      <c r="K423" s="42">
        <v>0</v>
      </c>
      <c r="M423" s="42">
        <v>0</v>
      </c>
      <c r="O423" s="42">
        <v>0</v>
      </c>
      <c r="Q423" s="42">
        <v>0</v>
      </c>
      <c r="S423" s="42">
        <v>0</v>
      </c>
      <c r="U423" s="42">
        <v>0</v>
      </c>
      <c r="W423" s="42">
        <v>0</v>
      </c>
      <c r="Y423" s="42">
        <v>0</v>
      </c>
      <c r="AA423" s="42">
        <v>0</v>
      </c>
      <c r="AC423" s="42">
        <v>0</v>
      </c>
      <c r="AE423" s="42">
        <v>0</v>
      </c>
      <c r="AG423" s="42">
        <v>0</v>
      </c>
      <c r="AI423" s="42">
        <v>0</v>
      </c>
      <c r="AK423" s="42">
        <v>0</v>
      </c>
      <c r="AL423" s="9" t="s">
        <v>811</v>
      </c>
      <c r="AM423" s="9"/>
      <c r="AN423" s="9" t="s">
        <v>71</v>
      </c>
      <c r="AP423" s="42">
        <v>0</v>
      </c>
      <c r="AR423" s="42">
        <v>0</v>
      </c>
      <c r="AT423" s="42">
        <v>0</v>
      </c>
      <c r="AV423" s="42">
        <v>0</v>
      </c>
      <c r="AX423" s="42">
        <v>0</v>
      </c>
      <c r="AZ423" s="42">
        <v>0</v>
      </c>
      <c r="BB423" s="5">
        <f t="shared" ref="BB423" si="57">SUM(G423:AZ423)</f>
        <v>0</v>
      </c>
      <c r="BD423" s="42">
        <v>0</v>
      </c>
      <c r="BF423" s="42">
        <v>0</v>
      </c>
      <c r="BH423" s="42">
        <v>0</v>
      </c>
      <c r="BJ423" s="42">
        <v>0</v>
      </c>
      <c r="BL423" s="5">
        <f t="shared" ref="BL423" si="58">BB423+BD423+BJ423</f>
        <v>0</v>
      </c>
      <c r="BN423" s="5">
        <f>'Gov Fd Rev'!AQ423-'Gov Fd Exp'!BL423</f>
        <v>0</v>
      </c>
      <c r="BP423" s="42">
        <v>0</v>
      </c>
      <c r="BR423" s="42">
        <v>0</v>
      </c>
      <c r="BT423" s="42">
        <v>0</v>
      </c>
      <c r="BV423" s="5">
        <f t="shared" ref="BV423" si="59">BN423+BP423+BR423+BT423</f>
        <v>0</v>
      </c>
      <c r="BW423" s="5"/>
      <c r="BX423" s="5">
        <f>BV423-'Gov Fd BS'!AI423</f>
        <v>0</v>
      </c>
    </row>
    <row r="424" spans="1:76">
      <c r="A424" s="9" t="s">
        <v>626</v>
      </c>
      <c r="B424" s="9"/>
      <c r="C424" s="9" t="s">
        <v>32</v>
      </c>
      <c r="D424" s="9"/>
      <c r="E424" s="23">
        <v>44578</v>
      </c>
      <c r="G424" s="42">
        <v>11657042</v>
      </c>
      <c r="I424" s="42">
        <v>4590436</v>
      </c>
      <c r="K424" s="42">
        <v>0</v>
      </c>
      <c r="M424" s="42">
        <v>0</v>
      </c>
      <c r="O424" s="42">
        <v>1061914</v>
      </c>
      <c r="Q424" s="42">
        <v>1783926</v>
      </c>
      <c r="S424" s="42">
        <v>577864</v>
      </c>
      <c r="U424" s="42">
        <v>0</v>
      </c>
      <c r="W424" s="42">
        <f>19687+1599173</f>
        <v>1618860</v>
      </c>
      <c r="Y424" s="42">
        <v>688504</v>
      </c>
      <c r="AA424" s="42">
        <v>4959</v>
      </c>
      <c r="AC424" s="42">
        <v>2105336</v>
      </c>
      <c r="AE424" s="42">
        <v>573946</v>
      </c>
      <c r="AG424" s="42">
        <v>131551</v>
      </c>
      <c r="AI424" s="42">
        <v>0</v>
      </c>
      <c r="AK424" s="42">
        <v>1085124</v>
      </c>
      <c r="AL424" s="9" t="s">
        <v>626</v>
      </c>
      <c r="AM424" s="9"/>
      <c r="AN424" s="9" t="s">
        <v>32</v>
      </c>
      <c r="AP424" s="42">
        <v>551832</v>
      </c>
      <c r="AR424" s="42">
        <v>793428</v>
      </c>
      <c r="AT424" s="42">
        <v>0</v>
      </c>
      <c r="AV424" s="42">
        <v>4470700</v>
      </c>
      <c r="AX424" s="42">
        <v>1170878</v>
      </c>
      <c r="AZ424" s="42">
        <v>0</v>
      </c>
      <c r="BB424" s="5">
        <f t="shared" si="52"/>
        <v>32866300</v>
      </c>
      <c r="BD424" s="42">
        <v>5324058</v>
      </c>
      <c r="BF424" s="42">
        <v>0</v>
      </c>
      <c r="BH424" s="42">
        <v>0</v>
      </c>
      <c r="BJ424" s="42">
        <v>0</v>
      </c>
      <c r="BL424" s="5">
        <f t="shared" si="53"/>
        <v>38190358</v>
      </c>
      <c r="BN424" s="5">
        <f>'Gov Fd Rev'!AQ424-'Gov Fd Exp'!BL424</f>
        <v>1374046</v>
      </c>
      <c r="BP424" s="42">
        <v>8470858</v>
      </c>
      <c r="BR424" s="42">
        <v>0</v>
      </c>
      <c r="BT424" s="42">
        <v>0</v>
      </c>
      <c r="BV424" s="5">
        <f t="shared" si="54"/>
        <v>9844904</v>
      </c>
      <c r="BW424" s="5"/>
      <c r="BX424" s="5">
        <f>BV424-'Gov Fd BS'!AI424</f>
        <v>0</v>
      </c>
    </row>
    <row r="425" spans="1:76" hidden="1">
      <c r="A425" s="9" t="s">
        <v>732</v>
      </c>
      <c r="B425" s="9"/>
      <c r="C425" s="9" t="s">
        <v>38</v>
      </c>
      <c r="D425" s="9"/>
      <c r="E425" s="23">
        <v>47761</v>
      </c>
      <c r="G425" s="42">
        <v>0</v>
      </c>
      <c r="I425" s="42">
        <v>0</v>
      </c>
      <c r="K425" s="42">
        <v>0</v>
      </c>
      <c r="M425" s="42">
        <v>0</v>
      </c>
      <c r="O425" s="42">
        <v>0</v>
      </c>
      <c r="Q425" s="42">
        <v>0</v>
      </c>
      <c r="S425" s="42">
        <v>0</v>
      </c>
      <c r="U425" s="42">
        <v>0</v>
      </c>
      <c r="W425" s="42">
        <v>0</v>
      </c>
      <c r="Y425" s="42">
        <v>0</v>
      </c>
      <c r="AA425" s="42">
        <v>0</v>
      </c>
      <c r="AC425" s="42">
        <v>0</v>
      </c>
      <c r="AE425" s="42">
        <v>0</v>
      </c>
      <c r="AG425" s="42">
        <v>0</v>
      </c>
      <c r="AI425" s="42">
        <v>0</v>
      </c>
      <c r="AK425" s="42">
        <v>0</v>
      </c>
      <c r="AL425" s="9" t="s">
        <v>732</v>
      </c>
      <c r="AM425" s="9"/>
      <c r="AN425" s="9" t="s">
        <v>38</v>
      </c>
      <c r="AP425" s="42">
        <v>0</v>
      </c>
      <c r="AR425" s="42">
        <v>0</v>
      </c>
      <c r="AT425" s="42">
        <v>0</v>
      </c>
      <c r="AV425" s="42">
        <v>0</v>
      </c>
      <c r="AX425" s="42">
        <v>0</v>
      </c>
      <c r="AZ425" s="42">
        <v>0</v>
      </c>
      <c r="BB425" s="5"/>
      <c r="BD425" s="42">
        <v>0</v>
      </c>
      <c r="BF425" s="42">
        <v>0</v>
      </c>
      <c r="BH425" s="42">
        <v>0</v>
      </c>
      <c r="BJ425" s="42">
        <v>0</v>
      </c>
      <c r="BL425" s="5"/>
      <c r="BN425" s="5"/>
      <c r="BP425" s="42">
        <v>0</v>
      </c>
      <c r="BR425" s="42">
        <v>0</v>
      </c>
      <c r="BT425" s="42">
        <v>0</v>
      </c>
      <c r="BV425" s="5"/>
      <c r="BW425" s="5"/>
      <c r="BX425" s="5"/>
    </row>
    <row r="426" spans="1:76">
      <c r="A426" s="9" t="s">
        <v>326</v>
      </c>
      <c r="B426" s="9"/>
      <c r="C426" s="9" t="s">
        <v>32</v>
      </c>
      <c r="D426" s="9"/>
      <c r="E426" s="23">
        <v>47373</v>
      </c>
      <c r="G426" s="42">
        <v>31136770</v>
      </c>
      <c r="I426" s="42">
        <v>8622566</v>
      </c>
      <c r="K426" s="42">
        <v>447</v>
      </c>
      <c r="M426" s="42">
        <v>0</v>
      </c>
      <c r="O426" s="42">
        <v>239570</v>
      </c>
      <c r="Q426" s="42">
        <v>5070589</v>
      </c>
      <c r="S426" s="42">
        <v>5651256</v>
      </c>
      <c r="U426" s="42">
        <v>0</v>
      </c>
      <c r="W426" s="42">
        <f>126079+5456558</f>
        <v>5582637</v>
      </c>
      <c r="Y426" s="42">
        <v>1258301</v>
      </c>
      <c r="AA426" s="42">
        <v>116976</v>
      </c>
      <c r="AC426" s="42">
        <v>6167959</v>
      </c>
      <c r="AE426" s="42">
        <v>2882636</v>
      </c>
      <c r="AG426" s="42">
        <v>548724</v>
      </c>
      <c r="AI426" s="42">
        <v>0</v>
      </c>
      <c r="AK426" s="42">
        <v>4548106</v>
      </c>
      <c r="AL426" s="9" t="s">
        <v>326</v>
      </c>
      <c r="AM426" s="9"/>
      <c r="AN426" s="9" t="s">
        <v>32</v>
      </c>
      <c r="AP426" s="42">
        <v>2161777</v>
      </c>
      <c r="AR426" s="42">
        <v>343496</v>
      </c>
      <c r="AT426" s="42">
        <v>0</v>
      </c>
      <c r="AV426" s="42">
        <v>1490000</v>
      </c>
      <c r="AX426" s="42">
        <v>1664175</v>
      </c>
      <c r="AZ426" s="42">
        <v>0</v>
      </c>
      <c r="BB426" s="5">
        <f t="shared" ref="BB426:BB438" si="60">SUM(G426:AZ426)</f>
        <v>77485985</v>
      </c>
      <c r="BD426" s="42">
        <v>246270</v>
      </c>
      <c r="BF426" s="42">
        <v>0</v>
      </c>
      <c r="BH426" s="42">
        <v>0</v>
      </c>
      <c r="BJ426" s="42">
        <v>0</v>
      </c>
      <c r="BL426" s="5">
        <f t="shared" si="53"/>
        <v>77732255</v>
      </c>
      <c r="BN426" s="5">
        <f>'Gov Fd Rev'!AQ426-'Gov Fd Exp'!BL426</f>
        <v>266404</v>
      </c>
      <c r="BP426" s="42">
        <v>28231345</v>
      </c>
      <c r="BR426" s="42">
        <v>0</v>
      </c>
      <c r="BT426" s="42">
        <v>0</v>
      </c>
      <c r="BV426" s="5">
        <f t="shared" si="54"/>
        <v>28497749</v>
      </c>
      <c r="BW426" s="5"/>
      <c r="BX426" s="5">
        <f>BV426-'Gov Fd BS'!AI426</f>
        <v>0</v>
      </c>
    </row>
    <row r="427" spans="1:76">
      <c r="A427" s="9" t="s">
        <v>432</v>
      </c>
      <c r="B427" s="9"/>
      <c r="C427" s="9" t="s">
        <v>50</v>
      </c>
      <c r="D427" s="9"/>
      <c r="E427" s="23">
        <v>44586</v>
      </c>
      <c r="G427" s="42">
        <v>12319301</v>
      </c>
      <c r="I427" s="42">
        <v>2845990</v>
      </c>
      <c r="K427" s="42">
        <v>0</v>
      </c>
      <c r="M427" s="42">
        <v>0</v>
      </c>
      <c r="O427" s="42">
        <v>176524</v>
      </c>
      <c r="Q427" s="42">
        <v>1667516</v>
      </c>
      <c r="S427" s="42">
        <v>281406</v>
      </c>
      <c r="U427" s="42">
        <v>31136</v>
      </c>
      <c r="W427" s="42">
        <v>2034036</v>
      </c>
      <c r="Y427" s="42">
        <v>741990</v>
      </c>
      <c r="AA427" s="42">
        <v>10228</v>
      </c>
      <c r="AC427" s="42">
        <v>2103967</v>
      </c>
      <c r="AE427" s="42">
        <v>259483</v>
      </c>
      <c r="AG427" s="42">
        <v>549829</v>
      </c>
      <c r="AI427" s="42">
        <v>0</v>
      </c>
      <c r="AK427" s="42">
        <v>668451</v>
      </c>
      <c r="AL427" s="9" t="s">
        <v>432</v>
      </c>
      <c r="AM427" s="9"/>
      <c r="AN427" s="9" t="s">
        <v>50</v>
      </c>
      <c r="AP427" s="42">
        <v>1046748</v>
      </c>
      <c r="AR427" s="42">
        <v>348615</v>
      </c>
      <c r="AT427" s="42">
        <v>0</v>
      </c>
      <c r="AV427" s="42">
        <v>786216</v>
      </c>
      <c r="AX427" s="42">
        <v>519373</v>
      </c>
      <c r="AZ427" s="42">
        <v>0</v>
      </c>
      <c r="BB427" s="5">
        <f t="shared" si="60"/>
        <v>26390809</v>
      </c>
      <c r="BD427" s="42">
        <v>907512</v>
      </c>
      <c r="BF427" s="42">
        <v>0</v>
      </c>
      <c r="BH427" s="42">
        <v>0</v>
      </c>
      <c r="BJ427" s="42">
        <v>0</v>
      </c>
      <c r="BL427" s="5">
        <f t="shared" si="53"/>
        <v>27298321</v>
      </c>
      <c r="BN427" s="5">
        <f>'Gov Fd Rev'!AQ427-'Gov Fd Exp'!BL427</f>
        <v>-497572</v>
      </c>
      <c r="BP427" s="42">
        <v>1549140</v>
      </c>
      <c r="BR427" s="42">
        <v>0</v>
      </c>
      <c r="BT427" s="42">
        <v>0</v>
      </c>
      <c r="BV427" s="5">
        <f t="shared" si="54"/>
        <v>1051568</v>
      </c>
      <c r="BW427" s="5"/>
      <c r="BX427" s="5">
        <f>BV427-'Gov Fd BS'!AI427</f>
        <v>0</v>
      </c>
    </row>
    <row r="428" spans="1:76">
      <c r="A428" s="9" t="s">
        <v>386</v>
      </c>
      <c r="B428" s="9"/>
      <c r="C428" s="9" t="s">
        <v>44</v>
      </c>
      <c r="D428" s="9"/>
      <c r="E428" s="23">
        <v>44594</v>
      </c>
      <c r="G428" s="42">
        <v>7239450</v>
      </c>
      <c r="I428" s="42">
        <v>1152510</v>
      </c>
      <c r="K428" s="42">
        <v>103984</v>
      </c>
      <c r="M428" s="42">
        <v>0</v>
      </c>
      <c r="O428" s="42">
        <v>21511</v>
      </c>
      <c r="Q428" s="42">
        <v>1108933</v>
      </c>
      <c r="S428" s="42">
        <v>574147</v>
      </c>
      <c r="U428" s="42">
        <v>45579</v>
      </c>
      <c r="W428" s="42">
        <v>1384191</v>
      </c>
      <c r="Y428" s="42">
        <v>526605</v>
      </c>
      <c r="AA428" s="42">
        <v>69806</v>
      </c>
      <c r="AC428" s="42">
        <v>1442565</v>
      </c>
      <c r="AE428" s="42">
        <v>509953</v>
      </c>
      <c r="AG428" s="42">
        <v>33130</v>
      </c>
      <c r="AI428" s="42">
        <v>432333</v>
      </c>
      <c r="AK428" s="42">
        <v>956</v>
      </c>
      <c r="AL428" s="9" t="s">
        <v>386</v>
      </c>
      <c r="AM428" s="9"/>
      <c r="AN428" s="9" t="s">
        <v>44</v>
      </c>
      <c r="AP428" s="42">
        <v>381619</v>
      </c>
      <c r="AR428" s="42">
        <v>0</v>
      </c>
      <c r="AT428" s="42">
        <v>0</v>
      </c>
      <c r="AV428" s="42">
        <v>96862</v>
      </c>
      <c r="AX428" s="42">
        <v>22993</v>
      </c>
      <c r="AZ428" s="42">
        <v>0</v>
      </c>
      <c r="BB428" s="5">
        <f t="shared" si="60"/>
        <v>15147127</v>
      </c>
      <c r="BD428" s="42">
        <v>40255</v>
      </c>
      <c r="BF428" s="42">
        <v>0</v>
      </c>
      <c r="BH428" s="42">
        <v>0</v>
      </c>
      <c r="BJ428" s="42">
        <v>0</v>
      </c>
      <c r="BL428" s="5">
        <f t="shared" si="53"/>
        <v>15187382</v>
      </c>
      <c r="BN428" s="5">
        <f>'Gov Fd Rev'!AQ428-'Gov Fd Exp'!BL428</f>
        <v>201073</v>
      </c>
      <c r="BP428" s="42">
        <v>1612319</v>
      </c>
      <c r="BR428" s="42">
        <v>0</v>
      </c>
      <c r="BT428" s="42">
        <v>0</v>
      </c>
      <c r="BV428" s="5">
        <f t="shared" si="54"/>
        <v>1813392</v>
      </c>
      <c r="BW428" s="5"/>
      <c r="BX428" s="5">
        <f>BV428-'Gov Fd BS'!AI428</f>
        <v>0</v>
      </c>
    </row>
    <row r="429" spans="1:76" hidden="1">
      <c r="A429" s="9" t="s">
        <v>609</v>
      </c>
      <c r="B429" s="9"/>
      <c r="C429" s="9" t="s">
        <v>60</v>
      </c>
      <c r="D429" s="9"/>
      <c r="E429" s="23">
        <v>49726</v>
      </c>
      <c r="G429" s="42">
        <v>0</v>
      </c>
      <c r="I429" s="42">
        <v>0</v>
      </c>
      <c r="K429" s="42">
        <v>0</v>
      </c>
      <c r="M429" s="42">
        <v>0</v>
      </c>
      <c r="O429" s="42">
        <v>0</v>
      </c>
      <c r="Q429" s="42">
        <v>0</v>
      </c>
      <c r="S429" s="42">
        <v>0</v>
      </c>
      <c r="U429" s="42">
        <v>0</v>
      </c>
      <c r="W429" s="42">
        <v>0</v>
      </c>
      <c r="Y429" s="42">
        <v>0</v>
      </c>
      <c r="AA429" s="42">
        <v>0</v>
      </c>
      <c r="AC429" s="42">
        <v>0</v>
      </c>
      <c r="AE429" s="42">
        <v>0</v>
      </c>
      <c r="AG429" s="42">
        <v>0</v>
      </c>
      <c r="AI429" s="42">
        <v>0</v>
      </c>
      <c r="AK429" s="42">
        <v>0</v>
      </c>
      <c r="AL429" s="9" t="s">
        <v>609</v>
      </c>
      <c r="AM429" s="9"/>
      <c r="AN429" s="9" t="s">
        <v>60</v>
      </c>
      <c r="AP429" s="42">
        <v>0</v>
      </c>
      <c r="AR429" s="42">
        <v>0</v>
      </c>
      <c r="AT429" s="42">
        <v>0</v>
      </c>
      <c r="AV429" s="42">
        <v>0</v>
      </c>
      <c r="AX429" s="42">
        <v>0</v>
      </c>
      <c r="AZ429" s="42">
        <v>0</v>
      </c>
      <c r="BB429" s="5">
        <f t="shared" si="60"/>
        <v>0</v>
      </c>
      <c r="BD429" s="42">
        <v>0</v>
      </c>
      <c r="BF429" s="42">
        <v>0</v>
      </c>
      <c r="BH429" s="42">
        <v>0</v>
      </c>
      <c r="BJ429" s="42">
        <v>0</v>
      </c>
      <c r="BL429" s="5">
        <f t="shared" si="53"/>
        <v>0</v>
      </c>
      <c r="BN429" s="5">
        <f>'Gov Fd Rev'!AQ429-'Gov Fd Exp'!BL429</f>
        <v>0</v>
      </c>
      <c r="BP429" s="42">
        <v>0</v>
      </c>
      <c r="BR429" s="42">
        <v>0</v>
      </c>
      <c r="BT429" s="42">
        <v>0</v>
      </c>
      <c r="BV429" s="5">
        <f t="shared" si="54"/>
        <v>0</v>
      </c>
      <c r="BW429" s="5"/>
      <c r="BX429" s="5">
        <f>BV429-'Gov Fd BS'!AI429</f>
        <v>0</v>
      </c>
    </row>
    <row r="430" spans="1:76">
      <c r="A430" s="9" t="s">
        <v>282</v>
      </c>
      <c r="B430" s="9"/>
      <c r="C430" s="9" t="s">
        <v>23</v>
      </c>
      <c r="D430" s="9"/>
      <c r="E430" s="23">
        <v>46763</v>
      </c>
      <c r="G430" s="42">
        <v>81051983</v>
      </c>
      <c r="I430" s="42">
        <v>19116065</v>
      </c>
      <c r="K430" s="42">
        <v>1022456</v>
      </c>
      <c r="M430" s="42">
        <v>0</v>
      </c>
      <c r="O430" s="42">
        <v>0</v>
      </c>
      <c r="Q430" s="42">
        <v>7125981</v>
      </c>
      <c r="S430" s="42">
        <v>10155815</v>
      </c>
      <c r="U430" s="42">
        <v>649903</v>
      </c>
      <c r="W430" s="42">
        <v>7982442</v>
      </c>
      <c r="Y430" s="42">
        <v>3690928</v>
      </c>
      <c r="AA430" s="42">
        <v>361680</v>
      </c>
      <c r="AC430" s="42">
        <v>13791033</v>
      </c>
      <c r="AE430" s="42">
        <v>8867524</v>
      </c>
      <c r="AG430" s="42">
        <v>2721525</v>
      </c>
      <c r="AI430" s="42">
        <v>0</v>
      </c>
      <c r="AK430" s="42">
        <v>8781075</v>
      </c>
      <c r="AL430" s="9" t="s">
        <v>282</v>
      </c>
      <c r="AM430" s="9"/>
      <c r="AN430" s="9" t="s">
        <v>23</v>
      </c>
      <c r="AP430" s="42">
        <v>4324016</v>
      </c>
      <c r="AR430" s="42">
        <v>2441576</v>
      </c>
      <c r="AT430" s="42">
        <v>0</v>
      </c>
      <c r="AV430" s="42">
        <v>16622636</v>
      </c>
      <c r="AX430" s="42">
        <v>16130688</v>
      </c>
      <c r="AZ430" s="42">
        <v>0</v>
      </c>
      <c r="BB430" s="5">
        <f t="shared" si="60"/>
        <v>204837326</v>
      </c>
      <c r="BD430" s="42">
        <v>13000000</v>
      </c>
      <c r="BF430" s="42">
        <v>0</v>
      </c>
      <c r="BH430" s="42">
        <v>0</v>
      </c>
      <c r="BJ430" s="42">
        <v>89452762</v>
      </c>
      <c r="BL430" s="5">
        <f t="shared" si="53"/>
        <v>307290088</v>
      </c>
      <c r="BN430" s="5">
        <f>'Gov Fd Rev'!AQ430-'Gov Fd Exp'!BL430</f>
        <v>13266400</v>
      </c>
      <c r="BP430" s="42">
        <v>86653976</v>
      </c>
      <c r="BR430" s="42">
        <v>0</v>
      </c>
      <c r="BT430" s="42">
        <v>0</v>
      </c>
      <c r="BV430" s="5">
        <f t="shared" si="54"/>
        <v>99920376</v>
      </c>
      <c r="BW430" s="5"/>
      <c r="BX430" s="5">
        <f>BV430-'Gov Fd BS'!AI430</f>
        <v>0</v>
      </c>
    </row>
    <row r="431" spans="1:76">
      <c r="A431" s="9" t="s">
        <v>271</v>
      </c>
      <c r="B431" s="9"/>
      <c r="C431" s="9" t="s">
        <v>20</v>
      </c>
      <c r="D431" s="9"/>
      <c r="E431" s="23">
        <v>46573</v>
      </c>
      <c r="G431" s="42">
        <v>18543264</v>
      </c>
      <c r="I431" s="42">
        <v>5989043</v>
      </c>
      <c r="K431" s="42">
        <v>292933</v>
      </c>
      <c r="M431" s="42">
        <v>0</v>
      </c>
      <c r="O431" s="42">
        <v>43122</v>
      </c>
      <c r="Q431" s="42">
        <v>1869713</v>
      </c>
      <c r="S431" s="42">
        <v>1222030</v>
      </c>
      <c r="U431" s="42">
        <v>199296</v>
      </c>
      <c r="W431" s="42">
        <v>2536195</v>
      </c>
      <c r="Y431" s="42">
        <v>1007069</v>
      </c>
      <c r="AA431" s="42">
        <v>0</v>
      </c>
      <c r="AC431" s="42">
        <v>3868581</v>
      </c>
      <c r="AE431" s="42">
        <v>1877829</v>
      </c>
      <c r="AG431" s="42">
        <v>727290</v>
      </c>
      <c r="AI431" s="42">
        <v>0</v>
      </c>
      <c r="AK431" s="42">
        <v>1192320</v>
      </c>
      <c r="AL431" s="9" t="s">
        <v>271</v>
      </c>
      <c r="AM431" s="9"/>
      <c r="AN431" s="9" t="s">
        <v>20</v>
      </c>
      <c r="AP431" s="42">
        <v>1730022</v>
      </c>
      <c r="AR431" s="42">
        <v>148768</v>
      </c>
      <c r="AT431" s="42">
        <v>0</v>
      </c>
      <c r="AV431" s="42">
        <v>1315255</v>
      </c>
      <c r="AX431" s="42">
        <v>1382637</v>
      </c>
      <c r="AZ431" s="42">
        <v>0</v>
      </c>
      <c r="BB431" s="5">
        <f t="shared" si="60"/>
        <v>43945367</v>
      </c>
      <c r="BD431" s="42">
        <v>722949</v>
      </c>
      <c r="BF431" s="42">
        <v>0</v>
      </c>
      <c r="BH431" s="42">
        <v>0</v>
      </c>
      <c r="BJ431" s="42">
        <v>0</v>
      </c>
      <c r="BL431" s="5">
        <f>BB431+BD431+BJ431</f>
        <v>44668316</v>
      </c>
      <c r="BN431" s="5">
        <f>'Gov Fd Rev'!AQ431-'Gov Fd Exp'!BL431</f>
        <v>1186098</v>
      </c>
      <c r="BP431" s="42">
        <v>9672150</v>
      </c>
      <c r="BR431" s="42">
        <v>0</v>
      </c>
      <c r="BT431" s="42">
        <v>0</v>
      </c>
      <c r="BV431" s="5">
        <f t="shared" si="54"/>
        <v>10858248</v>
      </c>
      <c r="BW431" s="5"/>
      <c r="BX431" s="5">
        <f>BV431-'Gov Fd BS'!AI431</f>
        <v>0</v>
      </c>
    </row>
    <row r="432" spans="1:76">
      <c r="A432" s="9" t="s">
        <v>467</v>
      </c>
      <c r="B432" s="9"/>
      <c r="C432" s="9" t="s">
        <v>109</v>
      </c>
      <c r="D432" s="9"/>
      <c r="E432" s="23">
        <v>49478</v>
      </c>
      <c r="G432" s="42">
        <v>7102346</v>
      </c>
      <c r="I432" s="42">
        <v>1562002</v>
      </c>
      <c r="K432" s="42">
        <v>244852</v>
      </c>
      <c r="M432" s="42">
        <v>0</v>
      </c>
      <c r="O432" s="42">
        <v>488756</v>
      </c>
      <c r="Q432" s="42">
        <v>942194</v>
      </c>
      <c r="S432" s="42">
        <v>887468</v>
      </c>
      <c r="U432" s="42">
        <v>51149</v>
      </c>
      <c r="W432" s="42">
        <v>1299201</v>
      </c>
      <c r="Y432" s="42">
        <v>534362</v>
      </c>
      <c r="AA432" s="42">
        <v>0</v>
      </c>
      <c r="AC432" s="42">
        <v>1611700</v>
      </c>
      <c r="AE432" s="42">
        <v>801790</v>
      </c>
      <c r="AG432" s="42">
        <v>59046</v>
      </c>
      <c r="AI432" s="42">
        <v>807026</v>
      </c>
      <c r="AK432" s="42">
        <v>2625</v>
      </c>
      <c r="AL432" s="9" t="s">
        <v>467</v>
      </c>
      <c r="AM432" s="9"/>
      <c r="AN432" s="9" t="s">
        <v>109</v>
      </c>
      <c r="AP432" s="42">
        <v>795509</v>
      </c>
      <c r="AR432" s="42">
        <v>179023</v>
      </c>
      <c r="AT432" s="42">
        <v>0</v>
      </c>
      <c r="AV432" s="42">
        <v>1051023</v>
      </c>
      <c r="AX432" s="42">
        <v>566411</v>
      </c>
      <c r="AZ432" s="42">
        <v>0</v>
      </c>
      <c r="BB432" s="5">
        <f t="shared" si="60"/>
        <v>18986483</v>
      </c>
      <c r="BD432" s="42">
        <v>0</v>
      </c>
      <c r="BF432" s="42">
        <v>0</v>
      </c>
      <c r="BH432" s="42">
        <v>0</v>
      </c>
      <c r="BJ432" s="42">
        <v>0</v>
      </c>
      <c r="BL432" s="5">
        <f t="shared" si="53"/>
        <v>18986483</v>
      </c>
      <c r="BN432" s="5">
        <f>'Gov Fd Rev'!AQ432-'Gov Fd Exp'!BL432</f>
        <v>-102880</v>
      </c>
      <c r="BP432" s="42">
        <v>7378374</v>
      </c>
      <c r="BR432" s="42">
        <v>-34852</v>
      </c>
      <c r="BT432" s="42">
        <v>0</v>
      </c>
      <c r="BV432" s="5">
        <f t="shared" si="54"/>
        <v>7240642</v>
      </c>
      <c r="BW432" s="5"/>
      <c r="BX432" s="5">
        <f>BV432-'Gov Fd BS'!AI432</f>
        <v>0</v>
      </c>
    </row>
    <row r="433" spans="1:76">
      <c r="A433" s="9" t="s">
        <v>272</v>
      </c>
      <c r="B433" s="9"/>
      <c r="C433" s="9" t="s">
        <v>20</v>
      </c>
      <c r="D433" s="9"/>
      <c r="E433" s="23">
        <v>46581</v>
      </c>
      <c r="G433" s="42">
        <v>17961767</v>
      </c>
      <c r="I433" s="42">
        <v>6305746</v>
      </c>
      <c r="K433" s="42">
        <v>337679</v>
      </c>
      <c r="M433" s="42">
        <v>0</v>
      </c>
      <c r="O433" s="42">
        <v>685834</v>
      </c>
      <c r="Q433" s="42">
        <v>3545909</v>
      </c>
      <c r="S433" s="42">
        <v>3988800</v>
      </c>
      <c r="U433" s="42">
        <v>69126</v>
      </c>
      <c r="W433" s="42">
        <v>3332557</v>
      </c>
      <c r="Y433" s="42">
        <v>1338823</v>
      </c>
      <c r="AA433" s="42">
        <v>593970</v>
      </c>
      <c r="AC433" s="42">
        <v>4522117</v>
      </c>
      <c r="AE433" s="42">
        <v>3714548</v>
      </c>
      <c r="AG433" s="42">
        <v>1034998</v>
      </c>
      <c r="AI433" s="42">
        <v>675203</v>
      </c>
      <c r="AK433" s="42">
        <v>462770</v>
      </c>
      <c r="AL433" s="9" t="s">
        <v>272</v>
      </c>
      <c r="AM433" s="9"/>
      <c r="AN433" s="9" t="s">
        <v>20</v>
      </c>
      <c r="AP433" s="42">
        <v>1556513</v>
      </c>
      <c r="AR433" s="42">
        <v>1622291</v>
      </c>
      <c r="AT433" s="42">
        <v>0</v>
      </c>
      <c r="AV433" s="42">
        <v>1633920</v>
      </c>
      <c r="AX433" s="42">
        <v>895174</v>
      </c>
      <c r="AZ433" s="42">
        <v>0</v>
      </c>
      <c r="BB433" s="5">
        <f t="shared" si="60"/>
        <v>54277745</v>
      </c>
      <c r="BD433" s="42">
        <v>2610000</v>
      </c>
      <c r="BF433" s="42">
        <v>0</v>
      </c>
      <c r="BH433" s="42">
        <v>0</v>
      </c>
      <c r="BJ433" s="42">
        <v>0</v>
      </c>
      <c r="BL433" s="5">
        <f t="shared" si="53"/>
        <v>56887745</v>
      </c>
      <c r="BN433" s="5">
        <f>'Gov Fd Rev'!AQ433-'Gov Fd Exp'!BL433</f>
        <v>2170069</v>
      </c>
      <c r="BP433" s="42">
        <v>38737320</v>
      </c>
      <c r="BR433" s="42">
        <v>0</v>
      </c>
      <c r="BT433" s="42">
        <v>0</v>
      </c>
      <c r="BV433" s="5">
        <f t="shared" si="54"/>
        <v>40907389</v>
      </c>
      <c r="BW433" s="5"/>
      <c r="BX433" s="5">
        <f>BV433-'Gov Fd BS'!AI433</f>
        <v>0</v>
      </c>
    </row>
    <row r="434" spans="1:76">
      <c r="A434" s="9" t="s">
        <v>388</v>
      </c>
      <c r="B434" s="9"/>
      <c r="C434" s="9" t="s">
        <v>114</v>
      </c>
      <c r="D434" s="9"/>
      <c r="E434" s="23">
        <v>44602</v>
      </c>
      <c r="G434" s="42">
        <v>16192061</v>
      </c>
      <c r="I434" s="42">
        <v>5090293</v>
      </c>
      <c r="K434" s="42">
        <v>2423836</v>
      </c>
      <c r="M434" s="42">
        <v>106186</v>
      </c>
      <c r="O434" s="42">
        <v>250502</v>
      </c>
      <c r="Q434" s="42">
        <v>1414923</v>
      </c>
      <c r="S434" s="42">
        <v>2958886</v>
      </c>
      <c r="U434" s="42">
        <v>30199</v>
      </c>
      <c r="W434" s="42">
        <v>2737004</v>
      </c>
      <c r="Y434" s="42">
        <v>884245</v>
      </c>
      <c r="AA434" s="42">
        <v>336709</v>
      </c>
      <c r="AC434" s="42">
        <v>3892699</v>
      </c>
      <c r="AE434" s="42">
        <v>1769310</v>
      </c>
      <c r="AG434" s="42">
        <v>694</v>
      </c>
      <c r="AI434" s="42">
        <v>1613430</v>
      </c>
      <c r="AK434" s="42">
        <v>398843</v>
      </c>
      <c r="AL434" s="9" t="s">
        <v>388</v>
      </c>
      <c r="AM434" s="9"/>
      <c r="AN434" s="9" t="s">
        <v>114</v>
      </c>
      <c r="AP434" s="42">
        <v>1131716</v>
      </c>
      <c r="AR434" s="42">
        <v>1171886</v>
      </c>
      <c r="AT434" s="42">
        <v>0</v>
      </c>
      <c r="AV434" s="42">
        <v>1317792</v>
      </c>
      <c r="AX434" s="42">
        <v>1123949</v>
      </c>
      <c r="AZ434" s="42">
        <v>527540</v>
      </c>
      <c r="BB434" s="5">
        <f t="shared" si="60"/>
        <v>45372703</v>
      </c>
      <c r="BD434" s="42">
        <v>99205</v>
      </c>
      <c r="BF434" s="42">
        <v>0</v>
      </c>
      <c r="BH434" s="42">
        <v>0</v>
      </c>
      <c r="BJ434" s="42">
        <v>37763894</v>
      </c>
      <c r="BL434" s="5">
        <f t="shared" si="53"/>
        <v>83235802</v>
      </c>
      <c r="BN434" s="5">
        <f>'Gov Fd Rev'!AQ434-'Gov Fd Exp'!BL434</f>
        <v>485062</v>
      </c>
      <c r="BP434" s="42">
        <v>12000539</v>
      </c>
      <c r="BR434" s="42">
        <v>-7956</v>
      </c>
      <c r="BT434" s="42">
        <v>0</v>
      </c>
      <c r="BV434" s="5">
        <f t="shared" si="54"/>
        <v>12477645</v>
      </c>
      <c r="BW434" s="5"/>
      <c r="BX434" s="5">
        <f>BV434-'Gov Fd BS'!AI434</f>
        <v>0</v>
      </c>
    </row>
    <row r="435" spans="1:76" hidden="1">
      <c r="A435" s="9" t="s">
        <v>812</v>
      </c>
      <c r="B435" s="9"/>
      <c r="C435" s="9" t="s">
        <v>71</v>
      </c>
      <c r="D435" s="9"/>
      <c r="E435" s="23">
        <v>44610</v>
      </c>
      <c r="G435" s="42">
        <v>0</v>
      </c>
      <c r="I435" s="42">
        <v>0</v>
      </c>
      <c r="K435" s="42">
        <v>0</v>
      </c>
      <c r="M435" s="42">
        <v>0</v>
      </c>
      <c r="O435" s="42">
        <v>0</v>
      </c>
      <c r="Q435" s="42">
        <v>0</v>
      </c>
      <c r="S435" s="42">
        <v>0</v>
      </c>
      <c r="U435" s="42">
        <v>0</v>
      </c>
      <c r="W435" s="42">
        <v>0</v>
      </c>
      <c r="Y435" s="42">
        <v>0</v>
      </c>
      <c r="AA435" s="42">
        <v>0</v>
      </c>
      <c r="AC435" s="42">
        <v>0</v>
      </c>
      <c r="AE435" s="42">
        <v>0</v>
      </c>
      <c r="AG435" s="42">
        <v>0</v>
      </c>
      <c r="AI435" s="42">
        <v>0</v>
      </c>
      <c r="AK435" s="42">
        <v>0</v>
      </c>
      <c r="AL435" s="9" t="s">
        <v>812</v>
      </c>
      <c r="AM435" s="9"/>
      <c r="AN435" s="9" t="s">
        <v>71</v>
      </c>
      <c r="AP435" s="42">
        <v>0</v>
      </c>
      <c r="AR435" s="42">
        <v>0</v>
      </c>
      <c r="AT435" s="42">
        <v>0</v>
      </c>
      <c r="AV435" s="42">
        <v>0</v>
      </c>
      <c r="AX435" s="42">
        <v>0</v>
      </c>
      <c r="AZ435" s="42">
        <v>0</v>
      </c>
      <c r="BB435" s="5">
        <f t="shared" si="60"/>
        <v>0</v>
      </c>
      <c r="BD435" s="42">
        <v>0</v>
      </c>
      <c r="BF435" s="42">
        <v>0</v>
      </c>
      <c r="BH435" s="42">
        <v>0</v>
      </c>
      <c r="BJ435" s="42">
        <v>0</v>
      </c>
      <c r="BL435" s="5">
        <f t="shared" si="53"/>
        <v>0</v>
      </c>
      <c r="BN435" s="5">
        <f>'Gov Fd Rev'!AQ435-'Gov Fd Exp'!BL435</f>
        <v>0</v>
      </c>
      <c r="BP435" s="42">
        <v>0</v>
      </c>
      <c r="BR435" s="42">
        <v>0</v>
      </c>
      <c r="BT435" s="42">
        <v>0</v>
      </c>
      <c r="BV435" s="5">
        <f t="shared" si="54"/>
        <v>0</v>
      </c>
      <c r="BW435" s="5"/>
      <c r="BX435" s="5">
        <f>BV435-'Gov Fd BS'!AI435</f>
        <v>0</v>
      </c>
    </row>
    <row r="436" spans="1:76" hidden="1">
      <c r="A436" s="8" t="s">
        <v>869</v>
      </c>
      <c r="B436" s="9"/>
      <c r="C436" s="9" t="s">
        <v>62</v>
      </c>
      <c r="D436" s="9"/>
      <c r="E436" s="23">
        <v>49916</v>
      </c>
      <c r="G436" s="42">
        <v>0</v>
      </c>
      <c r="I436" s="42">
        <v>0</v>
      </c>
      <c r="K436" s="42">
        <v>0</v>
      </c>
      <c r="M436" s="42">
        <v>0</v>
      </c>
      <c r="O436" s="42">
        <v>0</v>
      </c>
      <c r="Q436" s="42">
        <v>0</v>
      </c>
      <c r="S436" s="42">
        <v>0</v>
      </c>
      <c r="U436" s="42">
        <v>0</v>
      </c>
      <c r="W436" s="42">
        <v>0</v>
      </c>
      <c r="Y436" s="42">
        <v>0</v>
      </c>
      <c r="AA436" s="42">
        <v>0</v>
      </c>
      <c r="AC436" s="42">
        <v>0</v>
      </c>
      <c r="AE436" s="42">
        <v>0</v>
      </c>
      <c r="AG436" s="42">
        <v>0</v>
      </c>
      <c r="AI436" s="42">
        <v>0</v>
      </c>
      <c r="AK436" s="42">
        <v>0</v>
      </c>
      <c r="AL436" s="8" t="s">
        <v>869</v>
      </c>
      <c r="AM436" s="9"/>
      <c r="AN436" s="9" t="s">
        <v>62</v>
      </c>
      <c r="AP436" s="42">
        <v>0</v>
      </c>
      <c r="AR436" s="42">
        <v>0</v>
      </c>
      <c r="AT436" s="42">
        <v>0</v>
      </c>
      <c r="AV436" s="42">
        <v>0</v>
      </c>
      <c r="AX436" s="42">
        <v>0</v>
      </c>
      <c r="AZ436" s="42">
        <v>0</v>
      </c>
      <c r="BB436" s="5">
        <f t="shared" si="60"/>
        <v>0</v>
      </c>
      <c r="BD436" s="42">
        <v>0</v>
      </c>
      <c r="BF436" s="42">
        <v>0</v>
      </c>
      <c r="BH436" s="42">
        <v>0</v>
      </c>
      <c r="BJ436" s="42">
        <v>0</v>
      </c>
      <c r="BL436" s="5">
        <f t="shared" ref="BL436:BL489" si="61">BB436+BD436+BJ436</f>
        <v>0</v>
      </c>
      <c r="BN436" s="5">
        <f>'Gov Fd Rev'!AQ436-'Gov Fd Exp'!BL436</f>
        <v>0</v>
      </c>
      <c r="BP436" s="42">
        <v>0</v>
      </c>
      <c r="BR436" s="42">
        <v>0</v>
      </c>
      <c r="BT436" s="42">
        <v>0</v>
      </c>
      <c r="BV436" s="5">
        <f t="shared" si="54"/>
        <v>0</v>
      </c>
      <c r="BW436" s="5"/>
      <c r="BX436" s="5">
        <f>BV436-'Gov Fd BS'!AI436</f>
        <v>0</v>
      </c>
    </row>
    <row r="437" spans="1:76">
      <c r="A437" s="9" t="s">
        <v>552</v>
      </c>
      <c r="B437" s="9"/>
      <c r="C437" s="9" t="s">
        <v>72</v>
      </c>
      <c r="D437" s="9"/>
      <c r="E437" s="23">
        <v>50724</v>
      </c>
      <c r="G437" s="42">
        <v>6440942</v>
      </c>
      <c r="I437" s="42">
        <v>2027787</v>
      </c>
      <c r="K437" s="42">
        <v>3332</v>
      </c>
      <c r="M437" s="42">
        <v>0</v>
      </c>
      <c r="O437" s="42">
        <v>0</v>
      </c>
      <c r="Q437" s="42">
        <v>681260</v>
      </c>
      <c r="S437" s="42">
        <v>223769</v>
      </c>
      <c r="U437" s="42">
        <v>41590</v>
      </c>
      <c r="W437" s="42">
        <v>941298</v>
      </c>
      <c r="Y437" s="42">
        <v>381938</v>
      </c>
      <c r="AA437" s="42">
        <v>5375</v>
      </c>
      <c r="AC437" s="42">
        <v>1164344</v>
      </c>
      <c r="AE437" s="42">
        <v>981624</v>
      </c>
      <c r="AG437" s="42">
        <v>4011</v>
      </c>
      <c r="AI437" s="42">
        <v>0</v>
      </c>
      <c r="AK437" s="42">
        <v>644128</v>
      </c>
      <c r="AL437" s="9" t="s">
        <v>552</v>
      </c>
      <c r="AM437" s="9"/>
      <c r="AN437" s="9" t="s">
        <v>72</v>
      </c>
      <c r="AP437" s="42">
        <v>439472</v>
      </c>
      <c r="AR437" s="42">
        <v>8856039</v>
      </c>
      <c r="AT437" s="42">
        <v>0</v>
      </c>
      <c r="AV437" s="42">
        <v>860000</v>
      </c>
      <c r="AX437" s="42">
        <v>695791</v>
      </c>
      <c r="AZ437" s="42">
        <v>0</v>
      </c>
      <c r="BB437" s="5">
        <f t="shared" si="60"/>
        <v>24392700</v>
      </c>
      <c r="BD437" s="42">
        <v>108997</v>
      </c>
      <c r="BF437" s="42">
        <v>0</v>
      </c>
      <c r="BH437" s="42">
        <v>0</v>
      </c>
      <c r="BJ437" s="42">
        <v>0</v>
      </c>
      <c r="BL437" s="5">
        <f t="shared" si="61"/>
        <v>24501697</v>
      </c>
      <c r="BN437" s="5">
        <f>'Gov Fd Rev'!AQ437-'Gov Fd Exp'!BL437</f>
        <v>-6123728</v>
      </c>
      <c r="BP437" s="42">
        <v>11663840</v>
      </c>
      <c r="BR437" s="42">
        <v>0</v>
      </c>
      <c r="BT437" s="42">
        <v>0</v>
      </c>
      <c r="BV437" s="5">
        <f t="shared" si="54"/>
        <v>5540112</v>
      </c>
      <c r="BW437" s="5"/>
      <c r="BX437" s="5">
        <f>BV437-'Gov Fd BS'!AI437</f>
        <v>0</v>
      </c>
    </row>
    <row r="438" spans="1:76">
      <c r="A438" s="9" t="s">
        <v>389</v>
      </c>
      <c r="B438" s="9"/>
      <c r="C438" s="9" t="s">
        <v>114</v>
      </c>
      <c r="D438" s="9"/>
      <c r="E438" s="23">
        <v>48215</v>
      </c>
      <c r="G438" s="42">
        <v>9083026</v>
      </c>
      <c r="I438" s="42">
        <v>0</v>
      </c>
      <c r="K438" s="42">
        <v>0</v>
      </c>
      <c r="M438" s="42">
        <v>0</v>
      </c>
      <c r="O438" s="42">
        <v>0</v>
      </c>
      <c r="Q438" s="42">
        <v>684730</v>
      </c>
      <c r="S438" s="42">
        <v>510136</v>
      </c>
      <c r="U438" s="42">
        <v>27102</v>
      </c>
      <c r="W438" s="42">
        <v>927445</v>
      </c>
      <c r="Y438" s="42">
        <v>474925</v>
      </c>
      <c r="AA438" s="42">
        <v>0</v>
      </c>
      <c r="AC438" s="42">
        <v>1113524</v>
      </c>
      <c r="AE438" s="42">
        <v>39131</v>
      </c>
      <c r="AG438" s="42">
        <v>125870</v>
      </c>
      <c r="AI438" s="42">
        <v>0</v>
      </c>
      <c r="AK438" s="42">
        <v>403242</v>
      </c>
      <c r="AL438" s="9" t="s">
        <v>389</v>
      </c>
      <c r="AM438" s="9"/>
      <c r="AN438" s="9" t="s">
        <v>114</v>
      </c>
      <c r="AP438" s="42">
        <v>739141</v>
      </c>
      <c r="AR438" s="42">
        <v>30915</v>
      </c>
      <c r="AT438" s="42">
        <v>0</v>
      </c>
      <c r="AV438" s="42">
        <v>587040</v>
      </c>
      <c r="AX438" s="42">
        <v>47638</v>
      </c>
      <c r="AZ438" s="42">
        <v>0</v>
      </c>
      <c r="BB438" s="5">
        <f t="shared" si="60"/>
        <v>14793865</v>
      </c>
      <c r="BD438" s="42">
        <v>38000</v>
      </c>
      <c r="BF438" s="42">
        <v>0</v>
      </c>
      <c r="BH438" s="42">
        <v>0</v>
      </c>
      <c r="BJ438" s="42">
        <v>0</v>
      </c>
      <c r="BL438" s="5">
        <f t="shared" si="61"/>
        <v>14831865</v>
      </c>
      <c r="BN438" s="5">
        <f>'Gov Fd Rev'!AQ438-'Gov Fd Exp'!BL438</f>
        <v>1029226</v>
      </c>
      <c r="BP438" s="42">
        <v>4207207</v>
      </c>
      <c r="BR438" s="42">
        <v>0</v>
      </c>
      <c r="BT438" s="42">
        <v>0</v>
      </c>
      <c r="BV438" s="5">
        <f t="shared" ref="BV438:BV489" si="62">BN438+BP438+BR438+BT438</f>
        <v>5236433</v>
      </c>
      <c r="BW438" s="5"/>
      <c r="BX438" s="5">
        <f>BV438-'Gov Fd BS'!AI438</f>
        <v>0</v>
      </c>
    </row>
    <row r="439" spans="1:76" hidden="1">
      <c r="A439" s="9" t="s">
        <v>704</v>
      </c>
      <c r="B439" s="9"/>
      <c r="C439" s="9" t="s">
        <v>464</v>
      </c>
      <c r="D439" s="9"/>
      <c r="E439" s="23">
        <v>49379</v>
      </c>
      <c r="G439" s="42">
        <v>0</v>
      </c>
      <c r="I439" s="42">
        <v>0</v>
      </c>
      <c r="K439" s="42">
        <v>0</v>
      </c>
      <c r="M439" s="42">
        <v>0</v>
      </c>
      <c r="O439" s="42">
        <v>0</v>
      </c>
      <c r="Q439" s="42">
        <v>0</v>
      </c>
      <c r="S439" s="42">
        <v>0</v>
      </c>
      <c r="U439" s="42">
        <v>0</v>
      </c>
      <c r="W439" s="42">
        <v>0</v>
      </c>
      <c r="Y439" s="42">
        <v>0</v>
      </c>
      <c r="AA439" s="42">
        <v>0</v>
      </c>
      <c r="AC439" s="42">
        <v>0</v>
      </c>
      <c r="AE439" s="42">
        <v>0</v>
      </c>
      <c r="AG439" s="42">
        <v>0</v>
      </c>
      <c r="AI439" s="42">
        <v>0</v>
      </c>
      <c r="AK439" s="42">
        <v>0</v>
      </c>
      <c r="AL439" s="9" t="s">
        <v>704</v>
      </c>
      <c r="AM439" s="9"/>
      <c r="AN439" s="9" t="s">
        <v>464</v>
      </c>
      <c r="AP439" s="42">
        <v>0</v>
      </c>
      <c r="AR439" s="42">
        <v>0</v>
      </c>
      <c r="AT439" s="42">
        <v>0</v>
      </c>
      <c r="AV439" s="42">
        <v>0</v>
      </c>
      <c r="AX439" s="42">
        <v>0</v>
      </c>
      <c r="AZ439" s="42">
        <v>0</v>
      </c>
      <c r="BB439" s="5">
        <f t="shared" ref="BB439:BB489" si="63">SUM(G439:AZ439)</f>
        <v>0</v>
      </c>
      <c r="BD439" s="42">
        <v>0</v>
      </c>
      <c r="BF439" s="42">
        <v>0</v>
      </c>
      <c r="BH439" s="42">
        <v>0</v>
      </c>
      <c r="BJ439" s="42">
        <v>0</v>
      </c>
      <c r="BL439" s="5">
        <f t="shared" si="61"/>
        <v>0</v>
      </c>
      <c r="BN439" s="5">
        <f>'Gov Fd Rev'!AQ439-'Gov Fd Exp'!BL439</f>
        <v>0</v>
      </c>
      <c r="BP439" s="42">
        <v>0</v>
      </c>
      <c r="BR439" s="42">
        <v>0</v>
      </c>
      <c r="BT439" s="42">
        <v>0</v>
      </c>
      <c r="BV439" s="5">
        <f t="shared" si="62"/>
        <v>0</v>
      </c>
      <c r="BW439" s="5"/>
      <c r="BX439" s="5">
        <f>BV439-'Gov Fd BS'!AI439</f>
        <v>0</v>
      </c>
    </row>
    <row r="440" spans="1:76" hidden="1">
      <c r="A440" s="9" t="s">
        <v>813</v>
      </c>
      <c r="B440" s="9"/>
      <c r="C440" s="9" t="s">
        <v>464</v>
      </c>
      <c r="D440" s="9"/>
      <c r="E440" s="23">
        <v>49387</v>
      </c>
      <c r="G440" s="42">
        <v>0</v>
      </c>
      <c r="I440" s="42">
        <v>0</v>
      </c>
      <c r="K440" s="42">
        <v>0</v>
      </c>
      <c r="M440" s="42">
        <v>0</v>
      </c>
      <c r="O440" s="42">
        <v>0</v>
      </c>
      <c r="Q440" s="42">
        <v>0</v>
      </c>
      <c r="S440" s="42">
        <v>0</v>
      </c>
      <c r="U440" s="42">
        <v>0</v>
      </c>
      <c r="W440" s="42">
        <v>0</v>
      </c>
      <c r="Y440" s="42">
        <v>0</v>
      </c>
      <c r="AA440" s="42">
        <v>0</v>
      </c>
      <c r="AC440" s="42">
        <v>0</v>
      </c>
      <c r="AE440" s="42">
        <v>0</v>
      </c>
      <c r="AG440" s="42">
        <v>0</v>
      </c>
      <c r="AI440" s="42">
        <v>0</v>
      </c>
      <c r="AK440" s="42">
        <v>0</v>
      </c>
      <c r="AL440" s="9" t="s">
        <v>813</v>
      </c>
      <c r="AM440" s="9"/>
      <c r="AN440" s="9" t="s">
        <v>464</v>
      </c>
      <c r="AP440" s="42">
        <v>0</v>
      </c>
      <c r="AR440" s="42">
        <v>0</v>
      </c>
      <c r="AT440" s="42">
        <v>0</v>
      </c>
      <c r="AV440" s="42">
        <v>0</v>
      </c>
      <c r="AX440" s="42">
        <v>0</v>
      </c>
      <c r="AZ440" s="42">
        <v>0</v>
      </c>
      <c r="BB440" s="5">
        <f t="shared" si="63"/>
        <v>0</v>
      </c>
      <c r="BD440" s="42">
        <v>0</v>
      </c>
      <c r="BF440" s="42">
        <v>0</v>
      </c>
      <c r="BH440" s="42">
        <v>0</v>
      </c>
      <c r="BJ440" s="42">
        <v>0</v>
      </c>
      <c r="BL440" s="5">
        <f t="shared" si="61"/>
        <v>0</v>
      </c>
      <c r="BN440" s="5">
        <f>'Gov Fd Rev'!AQ440-'Gov Fd Exp'!BL440</f>
        <v>0</v>
      </c>
      <c r="BP440" s="42">
        <v>0</v>
      </c>
      <c r="BR440" s="42">
        <v>0</v>
      </c>
      <c r="BT440" s="42">
        <v>0</v>
      </c>
      <c r="BV440" s="5">
        <f t="shared" si="62"/>
        <v>0</v>
      </c>
      <c r="BW440" s="5"/>
      <c r="BX440" s="5">
        <f>BV440-'Gov Fd BS'!AI440</f>
        <v>0</v>
      </c>
    </row>
    <row r="441" spans="1:76" hidden="1">
      <c r="A441" s="9" t="s">
        <v>814</v>
      </c>
      <c r="B441" s="9"/>
      <c r="C441" s="9" t="s">
        <v>41</v>
      </c>
      <c r="D441" s="9"/>
      <c r="E441" s="23">
        <v>44628</v>
      </c>
      <c r="G441" s="42">
        <v>0</v>
      </c>
      <c r="I441" s="42">
        <v>0</v>
      </c>
      <c r="K441" s="42">
        <v>0</v>
      </c>
      <c r="M441" s="42">
        <v>0</v>
      </c>
      <c r="O441" s="42">
        <v>0</v>
      </c>
      <c r="Q441" s="42">
        <v>0</v>
      </c>
      <c r="S441" s="42">
        <v>0</v>
      </c>
      <c r="U441" s="42">
        <v>0</v>
      </c>
      <c r="W441" s="42">
        <v>0</v>
      </c>
      <c r="Y441" s="42">
        <v>0</v>
      </c>
      <c r="AA441" s="42">
        <v>0</v>
      </c>
      <c r="AC441" s="42">
        <v>0</v>
      </c>
      <c r="AE441" s="42">
        <v>0</v>
      </c>
      <c r="AG441" s="42">
        <v>0</v>
      </c>
      <c r="AI441" s="42">
        <v>0</v>
      </c>
      <c r="AK441" s="42">
        <v>0</v>
      </c>
      <c r="AL441" s="9" t="s">
        <v>814</v>
      </c>
      <c r="AM441" s="9"/>
      <c r="AN441" s="9" t="s">
        <v>41</v>
      </c>
      <c r="AP441" s="42">
        <v>0</v>
      </c>
      <c r="AR441" s="42">
        <v>0</v>
      </c>
      <c r="AT441" s="42">
        <v>0</v>
      </c>
      <c r="AV441" s="42">
        <v>0</v>
      </c>
      <c r="AX441" s="42">
        <v>0</v>
      </c>
      <c r="AZ441" s="42">
        <v>0</v>
      </c>
      <c r="BB441" s="5">
        <f t="shared" si="63"/>
        <v>0</v>
      </c>
      <c r="BD441" s="42">
        <v>0</v>
      </c>
      <c r="BF441" s="42">
        <v>0</v>
      </c>
      <c r="BH441" s="42">
        <v>0</v>
      </c>
      <c r="BJ441" s="42">
        <v>0</v>
      </c>
      <c r="BL441" s="5">
        <f t="shared" si="61"/>
        <v>0</v>
      </c>
      <c r="BN441" s="5">
        <f>'Gov Fd Rev'!AQ441-'Gov Fd Exp'!BL441</f>
        <v>0</v>
      </c>
      <c r="BP441" s="42">
        <v>0</v>
      </c>
      <c r="BR441" s="42">
        <v>0</v>
      </c>
      <c r="BT441" s="42">
        <v>0</v>
      </c>
      <c r="BV441" s="5">
        <f t="shared" si="62"/>
        <v>0</v>
      </c>
      <c r="BW441" s="5"/>
      <c r="BX441" s="5">
        <f>BV441-'Gov Fd BS'!AI441</f>
        <v>0</v>
      </c>
    </row>
    <row r="442" spans="1:76" hidden="1">
      <c r="A442" s="9" t="s">
        <v>778</v>
      </c>
      <c r="B442" s="9"/>
      <c r="C442" s="9" t="s">
        <v>41</v>
      </c>
      <c r="D442" s="9"/>
      <c r="E442" s="23">
        <v>47894</v>
      </c>
      <c r="G442" s="42">
        <v>0</v>
      </c>
      <c r="I442" s="42">
        <v>0</v>
      </c>
      <c r="K442" s="42">
        <v>0</v>
      </c>
      <c r="M442" s="42">
        <v>0</v>
      </c>
      <c r="O442" s="42">
        <v>0</v>
      </c>
      <c r="Q442" s="42">
        <v>0</v>
      </c>
      <c r="S442" s="42">
        <v>0</v>
      </c>
      <c r="U442" s="42">
        <v>0</v>
      </c>
      <c r="W442" s="42">
        <v>0</v>
      </c>
      <c r="Y442" s="42">
        <v>0</v>
      </c>
      <c r="AA442" s="42">
        <v>0</v>
      </c>
      <c r="AC442" s="42">
        <v>0</v>
      </c>
      <c r="AE442" s="42">
        <v>0</v>
      </c>
      <c r="AG442" s="42">
        <v>0</v>
      </c>
      <c r="AI442" s="42">
        <v>0</v>
      </c>
      <c r="AK442" s="42">
        <v>0</v>
      </c>
      <c r="AL442" s="9" t="s">
        <v>778</v>
      </c>
      <c r="AM442" s="9"/>
      <c r="AN442" s="9" t="s">
        <v>41</v>
      </c>
      <c r="AP442" s="42">
        <v>0</v>
      </c>
      <c r="AR442" s="42">
        <v>0</v>
      </c>
      <c r="AT442" s="42">
        <v>0</v>
      </c>
      <c r="AV442" s="42">
        <v>0</v>
      </c>
      <c r="AX442" s="42">
        <v>0</v>
      </c>
      <c r="AZ442" s="42">
        <v>0</v>
      </c>
      <c r="BB442" s="5">
        <f t="shared" si="63"/>
        <v>0</v>
      </c>
      <c r="BD442" s="42">
        <v>0</v>
      </c>
      <c r="BF442" s="42">
        <v>0</v>
      </c>
      <c r="BH442" s="42">
        <v>0</v>
      </c>
      <c r="BJ442" s="42">
        <v>0</v>
      </c>
      <c r="BL442" s="5">
        <f t="shared" si="61"/>
        <v>0</v>
      </c>
      <c r="BN442" s="5">
        <f>'Gov Fd Rev'!AQ442-'Gov Fd Exp'!BL442</f>
        <v>0</v>
      </c>
      <c r="BP442" s="42">
        <v>0</v>
      </c>
      <c r="BR442" s="42">
        <v>0</v>
      </c>
      <c r="BT442" s="42">
        <v>0</v>
      </c>
      <c r="BV442" s="5">
        <f t="shared" si="62"/>
        <v>0</v>
      </c>
      <c r="BW442" s="5"/>
      <c r="BX442" s="5">
        <f>BV442-'Gov Fd BS'!AI442</f>
        <v>0</v>
      </c>
    </row>
    <row r="443" spans="1:76">
      <c r="A443" s="9" t="s">
        <v>472</v>
      </c>
      <c r="B443" s="9"/>
      <c r="C443" s="9" t="s">
        <v>58</v>
      </c>
      <c r="D443" s="9"/>
      <c r="E443" s="23">
        <v>49510</v>
      </c>
      <c r="G443" s="42">
        <v>4305742</v>
      </c>
      <c r="I443" s="42">
        <v>1827169</v>
      </c>
      <c r="K443" s="42">
        <v>1924</v>
      </c>
      <c r="M443" s="42">
        <v>0</v>
      </c>
      <c r="O443" s="42">
        <v>1167350</v>
      </c>
      <c r="Q443" s="42">
        <v>302412</v>
      </c>
      <c r="S443" s="42">
        <v>166521</v>
      </c>
      <c r="U443" s="42">
        <v>76382</v>
      </c>
      <c r="W443" s="42">
        <v>614233</v>
      </c>
      <c r="Y443" s="42">
        <v>351003</v>
      </c>
      <c r="AA443" s="42">
        <v>0</v>
      </c>
      <c r="AC443" s="42">
        <v>978809</v>
      </c>
      <c r="AE443" s="42">
        <v>544491</v>
      </c>
      <c r="AG443" s="42">
        <v>57185</v>
      </c>
      <c r="AI443" s="42">
        <v>0</v>
      </c>
      <c r="AK443" s="42">
        <v>383238</v>
      </c>
      <c r="AL443" s="9" t="s">
        <v>472</v>
      </c>
      <c r="AM443" s="9"/>
      <c r="AN443" s="9" t="s">
        <v>58</v>
      </c>
      <c r="AP443" s="42">
        <v>243824</v>
      </c>
      <c r="AR443" s="42">
        <v>652233</v>
      </c>
      <c r="AT443" s="42">
        <v>0</v>
      </c>
      <c r="AV443" s="42">
        <v>161311</v>
      </c>
      <c r="AX443" s="42">
        <v>30261</v>
      </c>
      <c r="AZ443" s="42">
        <v>0</v>
      </c>
      <c r="BB443" s="5">
        <f t="shared" si="63"/>
        <v>11864088</v>
      </c>
      <c r="BD443" s="42">
        <v>0</v>
      </c>
      <c r="BF443" s="42">
        <v>0</v>
      </c>
      <c r="BH443" s="42">
        <v>0</v>
      </c>
      <c r="BJ443" s="42">
        <v>0</v>
      </c>
      <c r="BL443" s="5">
        <f t="shared" si="61"/>
        <v>11864088</v>
      </c>
      <c r="BN443" s="5">
        <f>'Gov Fd Rev'!AQ443-'Gov Fd Exp'!BL443</f>
        <v>-1000792</v>
      </c>
      <c r="BP443" s="42">
        <v>3167458</v>
      </c>
      <c r="BR443" s="42">
        <v>0</v>
      </c>
      <c r="BT443" s="42">
        <v>0</v>
      </c>
      <c r="BV443" s="5">
        <f t="shared" si="62"/>
        <v>2166666</v>
      </c>
      <c r="BW443" s="5"/>
      <c r="BX443" s="5">
        <f>BV443-'Gov Fd BS'!AI443</f>
        <v>0</v>
      </c>
    </row>
    <row r="444" spans="1:76" hidden="1">
      <c r="A444" s="9" t="s">
        <v>681</v>
      </c>
      <c r="B444" s="9"/>
      <c r="C444" s="9" t="s">
        <v>464</v>
      </c>
      <c r="D444" s="9"/>
      <c r="E444" s="23">
        <v>49395</v>
      </c>
      <c r="G444" s="42">
        <v>0</v>
      </c>
      <c r="I444" s="42">
        <v>0</v>
      </c>
      <c r="K444" s="42">
        <v>0</v>
      </c>
      <c r="M444" s="42">
        <v>0</v>
      </c>
      <c r="O444" s="42">
        <v>0</v>
      </c>
      <c r="Q444" s="42">
        <v>0</v>
      </c>
      <c r="S444" s="42">
        <v>0</v>
      </c>
      <c r="U444" s="42">
        <v>0</v>
      </c>
      <c r="W444" s="42">
        <v>0</v>
      </c>
      <c r="Y444" s="42">
        <v>0</v>
      </c>
      <c r="AA444" s="42">
        <v>0</v>
      </c>
      <c r="AC444" s="42">
        <v>0</v>
      </c>
      <c r="AE444" s="42">
        <v>0</v>
      </c>
      <c r="AG444" s="42">
        <v>0</v>
      </c>
      <c r="AI444" s="42">
        <v>0</v>
      </c>
      <c r="AK444" s="42">
        <v>0</v>
      </c>
      <c r="AL444" s="9" t="s">
        <v>681</v>
      </c>
      <c r="AM444" s="9"/>
      <c r="AN444" s="9" t="s">
        <v>464</v>
      </c>
      <c r="AP444" s="42">
        <v>0</v>
      </c>
      <c r="AR444" s="42">
        <v>0</v>
      </c>
      <c r="AT444" s="42">
        <v>0</v>
      </c>
      <c r="AV444" s="42">
        <v>0</v>
      </c>
      <c r="AX444" s="42">
        <v>0</v>
      </c>
      <c r="AZ444" s="42">
        <v>0</v>
      </c>
      <c r="BB444" s="5">
        <f t="shared" si="63"/>
        <v>0</v>
      </c>
      <c r="BD444" s="42">
        <v>0</v>
      </c>
      <c r="BF444" s="42">
        <v>0</v>
      </c>
      <c r="BH444" s="42">
        <v>0</v>
      </c>
      <c r="BJ444" s="42">
        <v>0</v>
      </c>
      <c r="BL444" s="5">
        <f t="shared" si="61"/>
        <v>0</v>
      </c>
      <c r="BN444" s="5">
        <f>'Gov Fd Rev'!AQ444-'Gov Fd Exp'!BL444</f>
        <v>0</v>
      </c>
      <c r="BP444" s="42">
        <v>0</v>
      </c>
      <c r="BR444" s="42">
        <v>0</v>
      </c>
      <c r="BT444" s="42">
        <v>0</v>
      </c>
      <c r="BV444" s="5">
        <f t="shared" si="62"/>
        <v>0</v>
      </c>
      <c r="BW444" s="5"/>
      <c r="BX444" s="5">
        <f>BV444-'Gov Fd BS'!AI444</f>
        <v>0</v>
      </c>
    </row>
    <row r="445" spans="1:76" hidden="1">
      <c r="A445" s="9" t="s">
        <v>682</v>
      </c>
      <c r="B445" s="9"/>
      <c r="C445" s="9" t="s">
        <v>419</v>
      </c>
      <c r="D445" s="9"/>
      <c r="E445" s="23">
        <v>48579</v>
      </c>
      <c r="G445" s="42">
        <v>0</v>
      </c>
      <c r="I445" s="42">
        <v>0</v>
      </c>
      <c r="K445" s="42">
        <v>0</v>
      </c>
      <c r="M445" s="42">
        <v>0</v>
      </c>
      <c r="O445" s="42">
        <v>0</v>
      </c>
      <c r="Q445" s="42">
        <v>0</v>
      </c>
      <c r="S445" s="42">
        <v>0</v>
      </c>
      <c r="U445" s="42">
        <v>0</v>
      </c>
      <c r="W445" s="42">
        <v>0</v>
      </c>
      <c r="Y445" s="42">
        <v>0</v>
      </c>
      <c r="AA445" s="42">
        <v>0</v>
      </c>
      <c r="AC445" s="42">
        <v>0</v>
      </c>
      <c r="AE445" s="42">
        <v>0</v>
      </c>
      <c r="AG445" s="42">
        <v>0</v>
      </c>
      <c r="AI445" s="42">
        <v>0</v>
      </c>
      <c r="AK445" s="42">
        <v>0</v>
      </c>
      <c r="AL445" s="9" t="s">
        <v>682</v>
      </c>
      <c r="AM445" s="9"/>
      <c r="AN445" s="9" t="s">
        <v>419</v>
      </c>
      <c r="AP445" s="42">
        <v>0</v>
      </c>
      <c r="AR445" s="42">
        <v>0</v>
      </c>
      <c r="AT445" s="42">
        <v>0</v>
      </c>
      <c r="AV445" s="42">
        <v>0</v>
      </c>
      <c r="AX445" s="42">
        <v>0</v>
      </c>
      <c r="AZ445" s="42">
        <v>0</v>
      </c>
      <c r="BB445" s="5">
        <f t="shared" si="63"/>
        <v>0</v>
      </c>
      <c r="BD445" s="42">
        <v>0</v>
      </c>
      <c r="BF445" s="42">
        <v>0</v>
      </c>
      <c r="BH445" s="42">
        <v>0</v>
      </c>
      <c r="BJ445" s="42">
        <v>0</v>
      </c>
      <c r="BL445" s="5">
        <f t="shared" si="61"/>
        <v>0</v>
      </c>
      <c r="BN445" s="5">
        <f>'Gov Fd Rev'!AQ445-'Gov Fd Exp'!BL445</f>
        <v>0</v>
      </c>
      <c r="BP445" s="42">
        <v>0</v>
      </c>
      <c r="BR445" s="42">
        <v>0</v>
      </c>
      <c r="BT445" s="42">
        <v>0</v>
      </c>
      <c r="BV445" s="5">
        <f t="shared" si="62"/>
        <v>0</v>
      </c>
      <c r="BW445" s="5"/>
      <c r="BX445" s="5">
        <f>BV445-'Gov Fd BS'!AI445</f>
        <v>0</v>
      </c>
    </row>
    <row r="446" spans="1:76">
      <c r="A446" s="9" t="s">
        <v>273</v>
      </c>
      <c r="B446" s="9"/>
      <c r="C446" s="9" t="s">
        <v>20</v>
      </c>
      <c r="D446" s="9"/>
      <c r="E446" s="23">
        <v>44636</v>
      </c>
      <c r="G446" s="42">
        <v>60615834</v>
      </c>
      <c r="I446" s="42">
        <v>21254474</v>
      </c>
      <c r="K446" s="42">
        <v>2830562</v>
      </c>
      <c r="M446" s="42">
        <v>876255</v>
      </c>
      <c r="O446" s="42">
        <v>147025</v>
      </c>
      <c r="Q446" s="42">
        <v>11651635</v>
      </c>
      <c r="S446" s="42">
        <v>9901928</v>
      </c>
      <c r="U446" s="42">
        <v>688728</v>
      </c>
      <c r="W446" s="42">
        <v>9492504</v>
      </c>
      <c r="Y446" s="42">
        <v>2991093</v>
      </c>
      <c r="AA446" s="42">
        <v>1653765</v>
      </c>
      <c r="AC446" s="42">
        <v>9556016</v>
      </c>
      <c r="AE446" s="42">
        <v>5755752</v>
      </c>
      <c r="AG446" s="42">
        <v>2736932</v>
      </c>
      <c r="AI446" s="42">
        <v>0</v>
      </c>
      <c r="AK446" s="42">
        <v>4099635</v>
      </c>
      <c r="AL446" s="9" t="s">
        <v>273</v>
      </c>
      <c r="AM446" s="9"/>
      <c r="AN446" s="9" t="s">
        <v>20</v>
      </c>
      <c r="AP446" s="42">
        <v>2933399</v>
      </c>
      <c r="AR446" s="42">
        <v>2923079</v>
      </c>
      <c r="AT446" s="42">
        <v>0</v>
      </c>
      <c r="AV446" s="42">
        <v>5607569</v>
      </c>
      <c r="AX446" s="42">
        <v>1282479</v>
      </c>
      <c r="AZ446" s="42">
        <v>0</v>
      </c>
      <c r="BB446" s="5">
        <f t="shared" si="63"/>
        <v>156998664</v>
      </c>
      <c r="BD446" s="42">
        <v>5720</v>
      </c>
      <c r="BF446" s="42">
        <v>0</v>
      </c>
      <c r="BH446" s="42">
        <v>0</v>
      </c>
      <c r="BJ446" s="42">
        <v>0</v>
      </c>
      <c r="BL446" s="5">
        <f t="shared" si="61"/>
        <v>157004384</v>
      </c>
      <c r="BN446" s="5">
        <f>'Gov Fd Rev'!AQ446-'Gov Fd Exp'!BL446</f>
        <v>-2415970</v>
      </c>
      <c r="BP446" s="42">
        <v>22634372</v>
      </c>
      <c r="BR446" s="42">
        <v>0</v>
      </c>
      <c r="BT446" s="42">
        <v>0</v>
      </c>
      <c r="BV446" s="5">
        <f t="shared" si="62"/>
        <v>20218402</v>
      </c>
      <c r="BW446" s="5"/>
      <c r="BX446" s="5">
        <f>BV446-'Gov Fd BS'!AI446</f>
        <v>0</v>
      </c>
    </row>
    <row r="447" spans="1:76">
      <c r="A447" s="9" t="s">
        <v>345</v>
      </c>
      <c r="B447" s="9"/>
      <c r="C447" s="9" t="s">
        <v>34</v>
      </c>
      <c r="D447" s="9"/>
      <c r="E447" s="23">
        <v>47597</v>
      </c>
      <c r="G447" s="42">
        <v>4234352</v>
      </c>
      <c r="I447" s="42">
        <v>1083900</v>
      </c>
      <c r="K447" s="42">
        <v>83669</v>
      </c>
      <c r="M447" s="42">
        <v>0</v>
      </c>
      <c r="O447" s="42">
        <f>12+520778</f>
        <v>520790</v>
      </c>
      <c r="Q447" s="42">
        <v>502052</v>
      </c>
      <c r="S447" s="42">
        <v>553721</v>
      </c>
      <c r="U447" s="42">
        <v>16602</v>
      </c>
      <c r="W447" s="42">
        <v>484009</v>
      </c>
      <c r="Y447" s="42">
        <v>268639</v>
      </c>
      <c r="AA447" s="42">
        <v>27926</v>
      </c>
      <c r="AC447" s="42">
        <v>821461</v>
      </c>
      <c r="AE447" s="42">
        <v>457199</v>
      </c>
      <c r="AG447" s="42">
        <v>88185</v>
      </c>
      <c r="AI447" s="42">
        <v>0</v>
      </c>
      <c r="AK447" s="42">
        <v>453573</v>
      </c>
      <c r="AL447" s="9" t="s">
        <v>345</v>
      </c>
      <c r="AM447" s="9"/>
      <c r="AN447" s="9" t="s">
        <v>34</v>
      </c>
      <c r="AP447" s="42">
        <v>454905</v>
      </c>
      <c r="AR447" s="42">
        <v>69</v>
      </c>
      <c r="AT447" s="42">
        <v>0</v>
      </c>
      <c r="AV447" s="42">
        <v>151334</v>
      </c>
      <c r="AX447" s="42">
        <v>271348</v>
      </c>
      <c r="AZ447" s="42">
        <v>0</v>
      </c>
      <c r="BB447" s="5">
        <f t="shared" si="63"/>
        <v>10473734</v>
      </c>
      <c r="BD447" s="42">
        <v>66305</v>
      </c>
      <c r="BF447" s="42">
        <v>0</v>
      </c>
      <c r="BH447" s="42">
        <v>0</v>
      </c>
      <c r="BJ447" s="42">
        <v>0</v>
      </c>
      <c r="BL447" s="5">
        <f t="shared" si="61"/>
        <v>10540039</v>
      </c>
      <c r="BN447" s="5">
        <f>'Gov Fd Rev'!AQ447-'Gov Fd Exp'!BL447</f>
        <v>1809469</v>
      </c>
      <c r="BP447" s="42">
        <v>2303593</v>
      </c>
      <c r="BR447" s="42">
        <v>0</v>
      </c>
      <c r="BT447" s="42">
        <v>0</v>
      </c>
      <c r="BV447" s="5">
        <f t="shared" si="62"/>
        <v>4113062</v>
      </c>
      <c r="BW447" s="5"/>
      <c r="BX447" s="5">
        <f>BV447-'Gov Fd BS'!AI447</f>
        <v>0</v>
      </c>
    </row>
    <row r="448" spans="1:76" hidden="1">
      <c r="A448" s="9" t="s">
        <v>769</v>
      </c>
      <c r="B448" s="9"/>
      <c r="C448" s="9" t="s">
        <v>447</v>
      </c>
      <c r="D448" s="9"/>
      <c r="E448" s="23">
        <v>45575</v>
      </c>
      <c r="G448" s="42">
        <v>0</v>
      </c>
      <c r="I448" s="42">
        <v>0</v>
      </c>
      <c r="K448" s="42">
        <v>0</v>
      </c>
      <c r="M448" s="42">
        <v>0</v>
      </c>
      <c r="O448" s="42">
        <v>0</v>
      </c>
      <c r="Q448" s="42">
        <v>0</v>
      </c>
      <c r="S448" s="42">
        <v>0</v>
      </c>
      <c r="U448" s="42">
        <v>0</v>
      </c>
      <c r="W448" s="42">
        <v>0</v>
      </c>
      <c r="Y448" s="42">
        <v>0</v>
      </c>
      <c r="AA448" s="42">
        <v>0</v>
      </c>
      <c r="AC448" s="42">
        <v>0</v>
      </c>
      <c r="AE448" s="42">
        <v>0</v>
      </c>
      <c r="AG448" s="42">
        <v>0</v>
      </c>
      <c r="AI448" s="42">
        <v>0</v>
      </c>
      <c r="AK448" s="42">
        <v>0</v>
      </c>
      <c r="AL448" s="9" t="s">
        <v>769</v>
      </c>
      <c r="AM448" s="9"/>
      <c r="AN448" s="9" t="s">
        <v>447</v>
      </c>
      <c r="AP448" s="42">
        <v>0</v>
      </c>
      <c r="AR448" s="42">
        <v>0</v>
      </c>
      <c r="AT448" s="42">
        <v>0</v>
      </c>
      <c r="AV448" s="42">
        <v>0</v>
      </c>
      <c r="AX448" s="42">
        <v>0</v>
      </c>
      <c r="AZ448" s="42">
        <v>0</v>
      </c>
      <c r="BB448" s="5">
        <f t="shared" si="63"/>
        <v>0</v>
      </c>
      <c r="BD448" s="42">
        <v>0</v>
      </c>
      <c r="BF448" s="42">
        <v>0</v>
      </c>
      <c r="BH448" s="42">
        <v>0</v>
      </c>
      <c r="BJ448" s="42">
        <v>0</v>
      </c>
      <c r="BL448" s="5">
        <f t="shared" si="61"/>
        <v>0</v>
      </c>
      <c r="BN448" s="5">
        <f>'Gov Fd Rev'!AQ448-'Gov Fd Exp'!BL448</f>
        <v>0</v>
      </c>
      <c r="BP448" s="42">
        <v>0</v>
      </c>
      <c r="BR448" s="42">
        <v>0</v>
      </c>
      <c r="BT448" s="42">
        <v>0</v>
      </c>
      <c r="BV448" s="5">
        <f t="shared" si="62"/>
        <v>0</v>
      </c>
      <c r="BW448" s="5"/>
      <c r="BX448" s="5">
        <f>BV448-'Gov Fd BS'!AI448</f>
        <v>0</v>
      </c>
    </row>
    <row r="449" spans="1:76">
      <c r="A449" s="9" t="s">
        <v>287</v>
      </c>
      <c r="B449" s="9"/>
      <c r="C449" s="9" t="s">
        <v>24</v>
      </c>
      <c r="D449" s="9"/>
      <c r="E449" s="23">
        <v>46813</v>
      </c>
      <c r="G449" s="42">
        <v>11159622</v>
      </c>
      <c r="I449" s="42">
        <v>3327367</v>
      </c>
      <c r="K449" s="42">
        <v>156541</v>
      </c>
      <c r="M449" s="42">
        <v>0</v>
      </c>
      <c r="O449" s="42">
        <v>834802</v>
      </c>
      <c r="Q449" s="42">
        <v>1803394</v>
      </c>
      <c r="S449" s="42">
        <v>1685363</v>
      </c>
      <c r="U449" s="42">
        <v>8458</v>
      </c>
      <c r="W449" s="42">
        <v>1776918</v>
      </c>
      <c r="Y449" s="42">
        <v>540593</v>
      </c>
      <c r="AA449" s="42">
        <v>1781</v>
      </c>
      <c r="AC449" s="42">
        <v>1900372</v>
      </c>
      <c r="AE449" s="42">
        <v>925177</v>
      </c>
      <c r="AG449" s="42">
        <v>160434</v>
      </c>
      <c r="AI449" s="42">
        <v>870395</v>
      </c>
      <c r="AK449" s="42">
        <v>60759</v>
      </c>
      <c r="AL449" s="9" t="s">
        <v>287</v>
      </c>
      <c r="AM449" s="9"/>
      <c r="AN449" s="9" t="s">
        <v>24</v>
      </c>
      <c r="AP449" s="42">
        <v>711858</v>
      </c>
      <c r="AR449" s="42">
        <v>4321106</v>
      </c>
      <c r="AT449" s="42">
        <v>0</v>
      </c>
      <c r="AV449" s="42">
        <v>545593</v>
      </c>
      <c r="AX449" s="42">
        <v>112793</v>
      </c>
      <c r="AZ449" s="42">
        <v>0</v>
      </c>
      <c r="BB449" s="5">
        <f t="shared" si="63"/>
        <v>30903326</v>
      </c>
      <c r="BD449" s="42">
        <v>658386</v>
      </c>
      <c r="BF449" s="42">
        <v>0</v>
      </c>
      <c r="BH449" s="42">
        <v>0</v>
      </c>
      <c r="BJ449" s="42">
        <v>0</v>
      </c>
      <c r="BL449" s="5">
        <f t="shared" si="61"/>
        <v>31561712</v>
      </c>
      <c r="BN449" s="5">
        <f>'Gov Fd Rev'!AQ449-'Gov Fd Exp'!BL449</f>
        <v>-1500427</v>
      </c>
      <c r="BP449" s="42">
        <v>2718066</v>
      </c>
      <c r="BR449" s="42">
        <v>4381</v>
      </c>
      <c r="BT449" s="42">
        <v>0</v>
      </c>
      <c r="BV449" s="5">
        <f t="shared" si="62"/>
        <v>1222020</v>
      </c>
      <c r="BW449" s="5"/>
      <c r="BX449" s="5">
        <f>BV449-'Gov Fd BS'!AI449</f>
        <v>0</v>
      </c>
    </row>
    <row r="450" spans="1:76" hidden="1">
      <c r="A450" s="9" t="s">
        <v>683</v>
      </c>
      <c r="B450" s="9"/>
      <c r="C450" s="9" t="s">
        <v>10</v>
      </c>
      <c r="D450" s="9"/>
      <c r="E450" s="23">
        <v>45781</v>
      </c>
      <c r="G450" s="42">
        <v>0</v>
      </c>
      <c r="I450" s="42">
        <v>0</v>
      </c>
      <c r="K450" s="42">
        <v>0</v>
      </c>
      <c r="M450" s="42">
        <v>0</v>
      </c>
      <c r="O450" s="42">
        <v>0</v>
      </c>
      <c r="Q450" s="42">
        <v>0</v>
      </c>
      <c r="S450" s="42">
        <v>0</v>
      </c>
      <c r="U450" s="42">
        <v>0</v>
      </c>
      <c r="W450" s="42">
        <v>0</v>
      </c>
      <c r="Y450" s="42">
        <v>0</v>
      </c>
      <c r="AA450" s="42">
        <v>0</v>
      </c>
      <c r="AC450" s="42">
        <v>0</v>
      </c>
      <c r="AE450" s="42">
        <v>0</v>
      </c>
      <c r="AG450" s="42">
        <v>0</v>
      </c>
      <c r="AI450" s="42">
        <v>0</v>
      </c>
      <c r="AK450" s="42">
        <v>0</v>
      </c>
      <c r="AL450" s="9" t="s">
        <v>683</v>
      </c>
      <c r="AM450" s="9"/>
      <c r="AN450" s="9" t="s">
        <v>10</v>
      </c>
      <c r="AP450" s="42">
        <v>0</v>
      </c>
      <c r="AR450" s="42">
        <v>0</v>
      </c>
      <c r="AT450" s="42">
        <v>0</v>
      </c>
      <c r="AV450" s="42">
        <v>0</v>
      </c>
      <c r="AX450" s="42">
        <v>0</v>
      </c>
      <c r="AZ450" s="42">
        <v>0</v>
      </c>
      <c r="BB450" s="5">
        <f t="shared" si="63"/>
        <v>0</v>
      </c>
      <c r="BD450" s="42">
        <v>0</v>
      </c>
      <c r="BF450" s="42">
        <v>0</v>
      </c>
      <c r="BH450" s="42">
        <v>0</v>
      </c>
      <c r="BJ450" s="42">
        <v>0</v>
      </c>
      <c r="BL450" s="5">
        <f t="shared" si="61"/>
        <v>0</v>
      </c>
      <c r="BN450" s="5">
        <f>'Gov Fd Rev'!AQ450-'Gov Fd Exp'!BL450</f>
        <v>0</v>
      </c>
      <c r="BP450" s="42">
        <v>0</v>
      </c>
      <c r="BR450" s="42">
        <v>0</v>
      </c>
      <c r="BT450" s="42">
        <v>0</v>
      </c>
      <c r="BV450" s="5">
        <f t="shared" si="62"/>
        <v>0</v>
      </c>
      <c r="BW450" s="5"/>
      <c r="BX450" s="5">
        <f>BV450-'Gov Fd BS'!AI450</f>
        <v>0</v>
      </c>
    </row>
    <row r="451" spans="1:76">
      <c r="A451" s="9" t="s">
        <v>201</v>
      </c>
      <c r="B451" s="9"/>
      <c r="C451" s="9" t="s">
        <v>41</v>
      </c>
      <c r="D451" s="9"/>
      <c r="E451" s="23">
        <v>47902</v>
      </c>
      <c r="G451" s="42">
        <v>10608777</v>
      </c>
      <c r="I451" s="42">
        <v>595271</v>
      </c>
      <c r="K451" s="42">
        <v>127333</v>
      </c>
      <c r="M451" s="42">
        <v>0</v>
      </c>
      <c r="O451" s="42">
        <v>2072844</v>
      </c>
      <c r="Q451" s="42">
        <v>1386027</v>
      </c>
      <c r="S451" s="42">
        <v>1693864</v>
      </c>
      <c r="U451" s="42">
        <v>94901</v>
      </c>
      <c r="W451" s="42">
        <v>1483696</v>
      </c>
      <c r="Y451" s="42">
        <v>641070</v>
      </c>
      <c r="AA451" s="42">
        <v>288209</v>
      </c>
      <c r="AC451" s="42">
        <v>3411654</v>
      </c>
      <c r="AE451" s="42">
        <v>1260730</v>
      </c>
      <c r="AG451" s="42">
        <v>23572</v>
      </c>
      <c r="AI451" s="42">
        <v>906325</v>
      </c>
      <c r="AK451" s="42">
        <v>248016</v>
      </c>
      <c r="AL451" s="9" t="s">
        <v>201</v>
      </c>
      <c r="AM451" s="9"/>
      <c r="AN451" s="9" t="s">
        <v>41</v>
      </c>
      <c r="AP451" s="42">
        <v>1282988</v>
      </c>
      <c r="AR451" s="42">
        <v>1866412</v>
      </c>
      <c r="AT451" s="42">
        <v>0</v>
      </c>
      <c r="AV451" s="42">
        <v>253121</v>
      </c>
      <c r="AX451" s="42">
        <v>37809</v>
      </c>
      <c r="AZ451" s="42">
        <v>0</v>
      </c>
      <c r="BB451" s="5">
        <f t="shared" si="63"/>
        <v>28282619</v>
      </c>
      <c r="BD451" s="42">
        <v>2091000</v>
      </c>
      <c r="BF451" s="42">
        <v>0</v>
      </c>
      <c r="BH451" s="42">
        <v>0</v>
      </c>
      <c r="BJ451" s="42">
        <v>0</v>
      </c>
      <c r="BL451" s="5">
        <f t="shared" si="61"/>
        <v>30373619</v>
      </c>
      <c r="BN451" s="5">
        <f>'Gov Fd Rev'!AQ451-'Gov Fd Exp'!BL451</f>
        <v>-600793</v>
      </c>
      <c r="BP451" s="42">
        <v>35008492</v>
      </c>
      <c r="BR451" s="42">
        <v>0</v>
      </c>
      <c r="BT451" s="42">
        <v>0</v>
      </c>
      <c r="BV451" s="5">
        <f t="shared" si="62"/>
        <v>34407699</v>
      </c>
      <c r="BW451" s="5"/>
      <c r="BX451" s="5">
        <f>BV451-'Gov Fd BS'!AI451</f>
        <v>0</v>
      </c>
    </row>
    <row r="452" spans="1:76">
      <c r="A452" s="9" t="s">
        <v>201</v>
      </c>
      <c r="B452" s="9"/>
      <c r="C452" s="9" t="s">
        <v>62</v>
      </c>
      <c r="D452" s="9"/>
      <c r="E452" s="23">
        <v>49924</v>
      </c>
      <c r="G452" s="42">
        <v>20159403</v>
      </c>
      <c r="I452" s="42">
        <v>4951419</v>
      </c>
      <c r="K452" s="42">
        <v>1833477</v>
      </c>
      <c r="M452" s="42">
        <v>6744</v>
      </c>
      <c r="O452" s="42">
        <v>120188</v>
      </c>
      <c r="Q452" s="42">
        <v>3058209</v>
      </c>
      <c r="S452" s="42">
        <v>677785</v>
      </c>
      <c r="U452" s="42">
        <v>121026</v>
      </c>
      <c r="W452" s="42">
        <v>3400698</v>
      </c>
      <c r="Y452" s="42">
        <v>755761</v>
      </c>
      <c r="AA452" s="42">
        <v>197200</v>
      </c>
      <c r="AC452" s="42">
        <v>3601164</v>
      </c>
      <c r="AE452" s="42">
        <v>2126223</v>
      </c>
      <c r="AG452" s="42">
        <v>735844</v>
      </c>
      <c r="AI452" s="42">
        <v>0</v>
      </c>
      <c r="AK452" s="42">
        <v>2044072</v>
      </c>
      <c r="AL452" s="9" t="s">
        <v>201</v>
      </c>
      <c r="AM452" s="9"/>
      <c r="AN452" s="9" t="s">
        <v>62</v>
      </c>
      <c r="AP452" s="42">
        <v>1173066</v>
      </c>
      <c r="AR452" s="42">
        <v>343125</v>
      </c>
      <c r="AT452" s="42">
        <v>0</v>
      </c>
      <c r="AV452" s="42">
        <v>325000</v>
      </c>
      <c r="AX452" s="42">
        <v>25638</v>
      </c>
      <c r="AZ452" s="42">
        <v>0</v>
      </c>
      <c r="BB452" s="5">
        <f t="shared" si="63"/>
        <v>45656042</v>
      </c>
      <c r="BD452" s="42">
        <v>1563</v>
      </c>
      <c r="BF452" s="42">
        <v>0</v>
      </c>
      <c r="BH452" s="42">
        <v>0</v>
      </c>
      <c r="BJ452" s="42">
        <v>0</v>
      </c>
      <c r="BL452" s="5">
        <f t="shared" si="61"/>
        <v>45657605</v>
      </c>
      <c r="BN452" s="5">
        <f>'Gov Fd Rev'!AQ452-'Gov Fd Exp'!BL452</f>
        <v>-1406148</v>
      </c>
      <c r="BP452" s="42">
        <v>19642816</v>
      </c>
      <c r="BR452" s="42">
        <v>0</v>
      </c>
      <c r="BT452" s="42">
        <v>0</v>
      </c>
      <c r="BV452" s="5">
        <f t="shared" si="62"/>
        <v>18236668</v>
      </c>
      <c r="BW452" s="5"/>
      <c r="BX452" s="5">
        <f>BV452-'Gov Fd BS'!AI452</f>
        <v>0</v>
      </c>
    </row>
    <row r="453" spans="1:76">
      <c r="A453" s="9" t="s">
        <v>770</v>
      </c>
      <c r="B453" s="9"/>
      <c r="C453" s="9" t="s">
        <v>72</v>
      </c>
      <c r="D453" s="9"/>
      <c r="E453" s="23">
        <v>45583</v>
      </c>
      <c r="G453" s="42">
        <v>21852494</v>
      </c>
      <c r="I453" s="42">
        <v>5161648</v>
      </c>
      <c r="K453" s="42">
        <v>176843</v>
      </c>
      <c r="M453" s="42">
        <v>0</v>
      </c>
      <c r="O453" s="42">
        <v>0</v>
      </c>
      <c r="Q453" s="42">
        <v>2617062</v>
      </c>
      <c r="S453" s="42">
        <v>826899</v>
      </c>
      <c r="U453" s="42">
        <v>34491</v>
      </c>
      <c r="W453" s="42">
        <v>2793750</v>
      </c>
      <c r="Y453" s="42">
        <v>909612</v>
      </c>
      <c r="AA453" s="42">
        <v>38252</v>
      </c>
      <c r="AC453" s="42">
        <v>3919327</v>
      </c>
      <c r="AE453" s="42">
        <v>1629111</v>
      </c>
      <c r="AG453" s="42">
        <v>785685</v>
      </c>
      <c r="AI453" s="42">
        <v>1678344</v>
      </c>
      <c r="AK453" s="42">
        <v>250518</v>
      </c>
      <c r="AL453" s="9" t="s">
        <v>770</v>
      </c>
      <c r="AM453" s="9"/>
      <c r="AN453" s="9" t="s">
        <v>72</v>
      </c>
      <c r="AP453" s="42">
        <v>1650461</v>
      </c>
      <c r="AR453" s="42">
        <v>1573158</v>
      </c>
      <c r="AT453" s="42">
        <v>0</v>
      </c>
      <c r="AV453" s="42">
        <v>1967759</v>
      </c>
      <c r="AX453" s="42">
        <v>1494147</v>
      </c>
      <c r="AZ453" s="42">
        <v>0</v>
      </c>
      <c r="BB453" s="5">
        <f t="shared" si="63"/>
        <v>49359561</v>
      </c>
      <c r="BD453" s="42">
        <v>3967</v>
      </c>
      <c r="BF453" s="42">
        <v>0</v>
      </c>
      <c r="BH453" s="42">
        <v>0</v>
      </c>
      <c r="BJ453" s="42">
        <v>0</v>
      </c>
      <c r="BL453" s="5">
        <f t="shared" si="61"/>
        <v>49363528</v>
      </c>
      <c r="BN453" s="5">
        <f>'Gov Fd Rev'!AQ453-'Gov Fd Exp'!BL453</f>
        <v>5478237</v>
      </c>
      <c r="BP453" s="42">
        <v>4417971</v>
      </c>
      <c r="BR453" s="42">
        <v>0</v>
      </c>
      <c r="BT453" s="42">
        <v>0</v>
      </c>
      <c r="BV453" s="5">
        <f t="shared" si="62"/>
        <v>9896208</v>
      </c>
      <c r="BW453" s="5"/>
      <c r="BX453" s="5">
        <f>BV453-'Gov Fd BS'!AI453</f>
        <v>0</v>
      </c>
    </row>
    <row r="454" spans="1:76" hidden="1">
      <c r="A454" s="9" t="s">
        <v>884</v>
      </c>
      <c r="B454" s="9"/>
      <c r="C454" s="9" t="s">
        <v>28</v>
      </c>
      <c r="D454" s="9"/>
      <c r="E454" s="23">
        <v>47076</v>
      </c>
      <c r="G454" s="42">
        <v>0</v>
      </c>
      <c r="I454" s="42">
        <v>0</v>
      </c>
      <c r="K454" s="42">
        <v>0</v>
      </c>
      <c r="M454" s="42">
        <v>0</v>
      </c>
      <c r="O454" s="42">
        <v>0</v>
      </c>
      <c r="Q454" s="42">
        <v>0</v>
      </c>
      <c r="S454" s="42">
        <v>0</v>
      </c>
      <c r="U454" s="42">
        <v>0</v>
      </c>
      <c r="W454" s="42">
        <v>0</v>
      </c>
      <c r="Y454" s="42">
        <v>0</v>
      </c>
      <c r="AA454" s="42">
        <v>0</v>
      </c>
      <c r="AC454" s="42">
        <v>0</v>
      </c>
      <c r="AE454" s="42">
        <v>0</v>
      </c>
      <c r="AG454" s="42">
        <v>0</v>
      </c>
      <c r="AI454" s="42">
        <v>0</v>
      </c>
      <c r="AK454" s="42">
        <v>0</v>
      </c>
      <c r="AL454" s="9" t="s">
        <v>884</v>
      </c>
      <c r="AM454" s="9"/>
      <c r="AN454" s="9" t="s">
        <v>28</v>
      </c>
      <c r="AP454" s="42">
        <v>0</v>
      </c>
      <c r="AR454" s="42">
        <v>0</v>
      </c>
      <c r="AT454" s="42">
        <v>0</v>
      </c>
      <c r="AV454" s="42">
        <v>0</v>
      </c>
      <c r="AX454" s="42">
        <v>0</v>
      </c>
      <c r="AZ454" s="42">
        <v>0</v>
      </c>
      <c r="BB454" s="5">
        <f t="shared" si="63"/>
        <v>0</v>
      </c>
      <c r="BD454" s="42">
        <v>0</v>
      </c>
      <c r="BF454" s="42">
        <v>0</v>
      </c>
      <c r="BH454" s="42">
        <v>0</v>
      </c>
      <c r="BJ454" s="42">
        <v>0</v>
      </c>
      <c r="BL454" s="5">
        <f t="shared" si="61"/>
        <v>0</v>
      </c>
      <c r="BN454" s="5">
        <f>'Gov Fd Rev'!AQ454-'Gov Fd Exp'!BL454</f>
        <v>0</v>
      </c>
      <c r="BP454" s="42">
        <v>0</v>
      </c>
      <c r="BR454" s="42">
        <v>0</v>
      </c>
      <c r="BT454" s="42">
        <v>0</v>
      </c>
      <c r="BV454" s="5">
        <f t="shared" si="62"/>
        <v>0</v>
      </c>
      <c r="BW454" s="5"/>
      <c r="BX454" s="5">
        <f>BV454-'Gov Fd BS'!AI454</f>
        <v>0</v>
      </c>
    </row>
    <row r="455" spans="1:76">
      <c r="A455" s="9" t="s">
        <v>294</v>
      </c>
      <c r="B455" s="9"/>
      <c r="C455" s="9" t="s">
        <v>25</v>
      </c>
      <c r="D455" s="9"/>
      <c r="E455" s="23">
        <v>46896</v>
      </c>
      <c r="G455" s="42">
        <v>42339621</v>
      </c>
      <c r="I455" s="42">
        <v>8538566</v>
      </c>
      <c r="K455" s="42">
        <v>308389</v>
      </c>
      <c r="M455" s="42">
        <v>0</v>
      </c>
      <c r="O455" s="42">
        <v>3833367</v>
      </c>
      <c r="Q455" s="42">
        <v>5265106</v>
      </c>
      <c r="S455" s="42">
        <v>5818828</v>
      </c>
      <c r="U455" s="42">
        <v>506489</v>
      </c>
      <c r="W455" s="42">
        <v>7656407</v>
      </c>
      <c r="Y455" s="42">
        <v>1926529</v>
      </c>
      <c r="AA455" s="42">
        <v>546366</v>
      </c>
      <c r="AC455" s="42">
        <v>10084344</v>
      </c>
      <c r="AE455" s="42">
        <v>5130192</v>
      </c>
      <c r="AG455" s="42">
        <v>85341</v>
      </c>
      <c r="AI455" s="42">
        <v>4003238</v>
      </c>
      <c r="AK455" s="42">
        <v>442074</v>
      </c>
      <c r="AL455" s="9" t="s">
        <v>294</v>
      </c>
      <c r="AM455" s="9"/>
      <c r="AN455" s="9" t="s">
        <v>25</v>
      </c>
      <c r="AP455" s="42">
        <v>2263488</v>
      </c>
      <c r="AR455" s="42">
        <f>5908265+925275</f>
        <v>6833540</v>
      </c>
      <c r="AT455" s="42">
        <v>0</v>
      </c>
      <c r="AV455" s="42">
        <v>10000103</v>
      </c>
      <c r="AX455" s="42">
        <v>5184012</v>
      </c>
      <c r="AZ455" s="42">
        <v>0</v>
      </c>
      <c r="BB455" s="5">
        <f t="shared" si="63"/>
        <v>120766000</v>
      </c>
      <c r="BD455" s="42">
        <v>1397457</v>
      </c>
      <c r="BF455" s="42">
        <v>0</v>
      </c>
      <c r="BH455" s="42">
        <v>0</v>
      </c>
      <c r="BJ455" s="42">
        <v>0</v>
      </c>
      <c r="BL455" s="5">
        <f t="shared" si="61"/>
        <v>122163457</v>
      </c>
      <c r="BN455" s="5">
        <f>'Gov Fd Rev'!AQ455-'Gov Fd Exp'!BL455</f>
        <v>3252387</v>
      </c>
      <c r="BP455" s="42">
        <v>40302873</v>
      </c>
      <c r="BR455" s="42">
        <v>0</v>
      </c>
      <c r="BT455" s="42">
        <v>0</v>
      </c>
      <c r="BV455" s="5">
        <f t="shared" si="62"/>
        <v>43555260</v>
      </c>
      <c r="BW455" s="5"/>
      <c r="BX455" s="5">
        <f>BV455-'Gov Fd BS'!AI455</f>
        <v>0</v>
      </c>
    </row>
    <row r="456" spans="1:76" hidden="1">
      <c r="A456" s="9" t="s">
        <v>815</v>
      </c>
      <c r="B456" s="9"/>
      <c r="C456" s="9" t="s">
        <v>28</v>
      </c>
      <c r="D456" s="9"/>
      <c r="E456" s="23">
        <v>47084</v>
      </c>
      <c r="G456" s="42">
        <v>0</v>
      </c>
      <c r="I456" s="42">
        <v>0</v>
      </c>
      <c r="K456" s="42">
        <v>0</v>
      </c>
      <c r="M456" s="42">
        <v>0</v>
      </c>
      <c r="O456" s="42">
        <v>0</v>
      </c>
      <c r="Q456" s="42">
        <v>0</v>
      </c>
      <c r="S456" s="42">
        <v>0</v>
      </c>
      <c r="U456" s="42">
        <v>0</v>
      </c>
      <c r="W456" s="42">
        <v>0</v>
      </c>
      <c r="Y456" s="42">
        <v>0</v>
      </c>
      <c r="AA456" s="42">
        <v>0</v>
      </c>
      <c r="AC456" s="42">
        <v>0</v>
      </c>
      <c r="AE456" s="42">
        <v>0</v>
      </c>
      <c r="AG456" s="42">
        <v>0</v>
      </c>
      <c r="AI456" s="42">
        <v>0</v>
      </c>
      <c r="AK456" s="42">
        <v>0</v>
      </c>
      <c r="AL456" s="9" t="s">
        <v>815</v>
      </c>
      <c r="AM456" s="9"/>
      <c r="AN456" s="9" t="s">
        <v>28</v>
      </c>
      <c r="AP456" s="42">
        <v>0</v>
      </c>
      <c r="AR456" s="42">
        <v>0</v>
      </c>
      <c r="AT456" s="42">
        <v>0</v>
      </c>
      <c r="AV456" s="42">
        <v>0</v>
      </c>
      <c r="AX456" s="42">
        <v>0</v>
      </c>
      <c r="AZ456" s="42">
        <v>0</v>
      </c>
      <c r="BB456" s="5">
        <f t="shared" si="63"/>
        <v>0</v>
      </c>
      <c r="BD456" s="42">
        <v>0</v>
      </c>
      <c r="BF456" s="42">
        <v>0</v>
      </c>
      <c r="BH456" s="42">
        <v>0</v>
      </c>
      <c r="BJ456" s="42">
        <v>0</v>
      </c>
      <c r="BL456" s="5">
        <f t="shared" si="61"/>
        <v>0</v>
      </c>
      <c r="BN456" s="5">
        <f>'Gov Fd Rev'!AQ456-'Gov Fd Exp'!BL456</f>
        <v>0</v>
      </c>
      <c r="BP456" s="42">
        <v>0</v>
      </c>
      <c r="BR456" s="42">
        <v>0</v>
      </c>
      <c r="BT456" s="42">
        <v>0</v>
      </c>
      <c r="BV456" s="5">
        <f t="shared" si="62"/>
        <v>0</v>
      </c>
      <c r="BW456" s="5"/>
      <c r="BX456" s="5">
        <f>BV456-'Gov Fd BS'!AI456</f>
        <v>0</v>
      </c>
    </row>
    <row r="457" spans="1:76">
      <c r="A457" s="9" t="s">
        <v>422</v>
      </c>
      <c r="B457" s="9"/>
      <c r="C457" s="9" t="s">
        <v>48</v>
      </c>
      <c r="D457" s="9"/>
      <c r="E457" s="23">
        <v>44644</v>
      </c>
      <c r="G457" s="42">
        <v>21616288</v>
      </c>
      <c r="I457" s="42">
        <v>0</v>
      </c>
      <c r="K457" s="42">
        <v>0</v>
      </c>
      <c r="M457" s="42">
        <v>0</v>
      </c>
      <c r="O457" s="42">
        <v>0</v>
      </c>
      <c r="Q457" s="42">
        <v>934030</v>
      </c>
      <c r="S457" s="42">
        <v>2130850</v>
      </c>
      <c r="U457" s="42">
        <v>30160</v>
      </c>
      <c r="W457" s="42">
        <v>2269621</v>
      </c>
      <c r="Y457" s="42">
        <v>678113</v>
      </c>
      <c r="AA457" s="42">
        <v>261</v>
      </c>
      <c r="AC457" s="42">
        <v>2618058</v>
      </c>
      <c r="AE457" s="42">
        <v>1535300</v>
      </c>
      <c r="AG457" s="42">
        <v>217670</v>
      </c>
      <c r="AI457" s="42">
        <v>0</v>
      </c>
      <c r="AK457" s="42">
        <v>187306</v>
      </c>
      <c r="AL457" s="9" t="s">
        <v>422</v>
      </c>
      <c r="AM457" s="9"/>
      <c r="AN457" s="9" t="s">
        <v>48</v>
      </c>
      <c r="AP457" s="42">
        <v>836366</v>
      </c>
      <c r="AR457" s="42">
        <v>3603325</v>
      </c>
      <c r="AT457" s="42">
        <v>0</v>
      </c>
      <c r="AV457" s="42">
        <v>1395000</v>
      </c>
      <c r="AX457" s="42">
        <v>1676566</v>
      </c>
      <c r="AZ457" s="42">
        <v>0</v>
      </c>
      <c r="BB457" s="5">
        <f t="shared" si="63"/>
        <v>39728914</v>
      </c>
      <c r="BD457" s="42">
        <v>302982</v>
      </c>
      <c r="BF457" s="42">
        <v>0</v>
      </c>
      <c r="BH457" s="42">
        <v>0</v>
      </c>
      <c r="BJ457" s="42">
        <v>0</v>
      </c>
      <c r="BL457" s="5">
        <f t="shared" si="61"/>
        <v>40031896</v>
      </c>
      <c r="BN457" s="5">
        <f>'Gov Fd Rev'!AQ457-'Gov Fd Exp'!BL457</f>
        <v>4502258</v>
      </c>
      <c r="BP457" s="42">
        <v>42900846</v>
      </c>
      <c r="BR457" s="42">
        <v>-168</v>
      </c>
      <c r="BT457" s="42">
        <v>0</v>
      </c>
      <c r="BV457" s="5">
        <f t="shared" si="62"/>
        <v>47402936</v>
      </c>
      <c r="BW457" s="5"/>
      <c r="BX457" s="5">
        <f>BV457-'Gov Fd BS'!AI457</f>
        <v>0</v>
      </c>
    </row>
    <row r="458" spans="1:76">
      <c r="A458" s="9" t="s">
        <v>304</v>
      </c>
      <c r="B458" s="9"/>
      <c r="C458" s="9" t="s">
        <v>62</v>
      </c>
      <c r="D458" s="9"/>
      <c r="E458" s="23">
        <v>49932</v>
      </c>
      <c r="G458" s="42">
        <v>23396764</v>
      </c>
      <c r="I458" s="42">
        <v>6797325</v>
      </c>
      <c r="K458" s="42">
        <v>1287938</v>
      </c>
      <c r="M458" s="42">
        <v>0</v>
      </c>
      <c r="O458" s="42">
        <v>228071</v>
      </c>
      <c r="Q458" s="42">
        <v>2772381</v>
      </c>
      <c r="S458" s="42">
        <v>2212375</v>
      </c>
      <c r="U458" s="42">
        <v>59207</v>
      </c>
      <c r="W458" s="42">
        <v>3463589</v>
      </c>
      <c r="Y458" s="42">
        <v>1087519</v>
      </c>
      <c r="AA458" s="42">
        <v>162540</v>
      </c>
      <c r="AC458" s="42">
        <v>5353389</v>
      </c>
      <c r="AE458" s="42">
        <v>3095035</v>
      </c>
      <c r="AG458" s="42">
        <v>197566</v>
      </c>
      <c r="AI458" s="42">
        <v>2441253</v>
      </c>
      <c r="AK458" s="42">
        <v>608500</v>
      </c>
      <c r="AL458" s="9" t="s">
        <v>304</v>
      </c>
      <c r="AM458" s="9"/>
      <c r="AN458" s="9" t="s">
        <v>62</v>
      </c>
      <c r="AP458" s="42">
        <v>1292795</v>
      </c>
      <c r="AR458" s="42">
        <v>0</v>
      </c>
      <c r="AT458" s="42">
        <v>0</v>
      </c>
      <c r="AV458" s="42">
        <v>1775000</v>
      </c>
      <c r="AX458" s="42">
        <v>1929705</v>
      </c>
      <c r="AZ458" s="42">
        <v>0</v>
      </c>
      <c r="BB458" s="5">
        <f t="shared" si="63"/>
        <v>58160952</v>
      </c>
      <c r="BD458" s="42">
        <v>0</v>
      </c>
      <c r="BF458" s="42">
        <v>0</v>
      </c>
      <c r="BH458" s="42">
        <v>0</v>
      </c>
      <c r="BJ458" s="42">
        <v>0</v>
      </c>
      <c r="BL458" s="5">
        <f t="shared" si="61"/>
        <v>58160952</v>
      </c>
      <c r="BN458" s="5">
        <f>'Gov Fd Rev'!AQ458-'Gov Fd Exp'!BL458</f>
        <v>409871</v>
      </c>
      <c r="BP458" s="42">
        <v>11847166</v>
      </c>
      <c r="BR458" s="42">
        <v>-11445</v>
      </c>
      <c r="BT458" s="42">
        <v>0</v>
      </c>
      <c r="BV458" s="5">
        <f t="shared" si="62"/>
        <v>12245592</v>
      </c>
      <c r="BW458" s="5"/>
      <c r="BX458" s="5">
        <f>BV458-'Gov Fd BS'!AI458</f>
        <v>0</v>
      </c>
    </row>
    <row r="459" spans="1:76">
      <c r="A459" s="9" t="s">
        <v>408</v>
      </c>
      <c r="B459" s="9"/>
      <c r="C459" s="9" t="s">
        <v>46</v>
      </c>
      <c r="D459" s="9"/>
      <c r="E459" s="23">
        <v>48421</v>
      </c>
      <c r="G459" s="42">
        <v>7169575</v>
      </c>
      <c r="I459" s="42">
        <v>755911</v>
      </c>
      <c r="K459" s="42">
        <v>128578</v>
      </c>
      <c r="M459" s="42">
        <v>0</v>
      </c>
      <c r="O459" s="42">
        <v>3774</v>
      </c>
      <c r="Q459" s="42">
        <v>384109</v>
      </c>
      <c r="S459" s="42">
        <v>324059</v>
      </c>
      <c r="U459" s="42">
        <v>73128</v>
      </c>
      <c r="W459" s="42">
        <v>1030042</v>
      </c>
      <c r="Y459" s="42">
        <v>309450</v>
      </c>
      <c r="AA459" s="42">
        <v>0</v>
      </c>
      <c r="AC459" s="42">
        <v>918225</v>
      </c>
      <c r="AE459" s="42">
        <v>381268</v>
      </c>
      <c r="AG459" s="42">
        <v>0</v>
      </c>
      <c r="AI459" s="42">
        <v>0</v>
      </c>
      <c r="AK459" s="42">
        <v>505108</v>
      </c>
      <c r="AL459" s="9" t="s">
        <v>408</v>
      </c>
      <c r="AM459" s="9"/>
      <c r="AN459" s="9" t="s">
        <v>46</v>
      </c>
      <c r="AP459" s="42">
        <v>455036</v>
      </c>
      <c r="AR459" s="42">
        <v>8597</v>
      </c>
      <c r="AT459" s="42">
        <v>0</v>
      </c>
      <c r="AV459" s="42">
        <v>259876</v>
      </c>
      <c r="AX459" s="42">
        <v>42869</v>
      </c>
      <c r="AZ459" s="42">
        <v>0</v>
      </c>
      <c r="BB459" s="5">
        <f t="shared" si="63"/>
        <v>12749605</v>
      </c>
      <c r="BD459" s="42">
        <v>25596</v>
      </c>
      <c r="BF459" s="42">
        <v>0</v>
      </c>
      <c r="BH459" s="42">
        <v>0</v>
      </c>
      <c r="BJ459" s="42">
        <v>0</v>
      </c>
      <c r="BL459" s="5">
        <f t="shared" si="61"/>
        <v>12775201</v>
      </c>
      <c r="BN459" s="5">
        <f>'Gov Fd Rev'!AQ459-'Gov Fd Exp'!BL459</f>
        <v>-625797</v>
      </c>
      <c r="BP459" s="42">
        <v>4955974</v>
      </c>
      <c r="BR459" s="42">
        <v>0</v>
      </c>
      <c r="BT459" s="42">
        <v>0</v>
      </c>
      <c r="BV459" s="5">
        <f t="shared" si="62"/>
        <v>4330177</v>
      </c>
      <c r="BW459" s="5"/>
      <c r="BX459" s="5">
        <f>BV459-'Gov Fd BS'!AI459</f>
        <v>0</v>
      </c>
    </row>
    <row r="460" spans="1:76">
      <c r="A460" s="9" t="s">
        <v>468</v>
      </c>
      <c r="B460" s="9"/>
      <c r="C460" s="9" t="s">
        <v>109</v>
      </c>
      <c r="D460" s="9"/>
      <c r="E460" s="23">
        <v>49460</v>
      </c>
      <c r="G460" s="42">
        <v>3460441</v>
      </c>
      <c r="I460" s="42">
        <v>1032021</v>
      </c>
      <c r="K460" s="42">
        <v>122067</v>
      </c>
      <c r="M460" s="42">
        <v>0</v>
      </c>
      <c r="O460" s="42">
        <v>491138</v>
      </c>
      <c r="Q460" s="42">
        <v>489499</v>
      </c>
      <c r="S460" s="42">
        <v>482629</v>
      </c>
      <c r="U460" s="42">
        <v>19361</v>
      </c>
      <c r="W460" s="42">
        <v>745330</v>
      </c>
      <c r="Y460" s="42">
        <v>234946</v>
      </c>
      <c r="AA460" s="42">
        <v>5450</v>
      </c>
      <c r="AC460" s="42">
        <v>967134</v>
      </c>
      <c r="AE460" s="42">
        <v>571171</v>
      </c>
      <c r="AG460" s="42">
        <v>15866</v>
      </c>
      <c r="AI460" s="42">
        <v>478437</v>
      </c>
      <c r="AK460" s="42">
        <v>1996</v>
      </c>
      <c r="AL460" s="9" t="s">
        <v>468</v>
      </c>
      <c r="AM460" s="9"/>
      <c r="AN460" s="9" t="s">
        <v>109</v>
      </c>
      <c r="AP460" s="42">
        <v>375203</v>
      </c>
      <c r="AR460" s="42">
        <v>149818</v>
      </c>
      <c r="AT460" s="42">
        <v>0</v>
      </c>
      <c r="AV460" s="42">
        <v>130365</v>
      </c>
      <c r="AX460" s="42">
        <v>95303</v>
      </c>
      <c r="AZ460" s="42">
        <v>0</v>
      </c>
      <c r="BB460" s="5">
        <f t="shared" si="63"/>
        <v>9868175</v>
      </c>
      <c r="BD460" s="42">
        <v>16000</v>
      </c>
      <c r="BF460" s="42">
        <v>0</v>
      </c>
      <c r="BH460" s="42">
        <v>0</v>
      </c>
      <c r="BJ460" s="42">
        <v>0</v>
      </c>
      <c r="BL460" s="5">
        <f t="shared" si="61"/>
        <v>9884175</v>
      </c>
      <c r="BN460" s="5">
        <f>'Gov Fd Rev'!AQ460-'Gov Fd Exp'!BL460</f>
        <v>-72871</v>
      </c>
      <c r="BP460" s="42">
        <v>3888387</v>
      </c>
      <c r="BR460" s="42">
        <v>0</v>
      </c>
      <c r="BT460" s="42">
        <v>0</v>
      </c>
      <c r="BV460" s="5">
        <f t="shared" si="62"/>
        <v>3815516</v>
      </c>
      <c r="BW460" s="5"/>
      <c r="BX460" s="5">
        <f>BV460-'Gov Fd BS'!AI460</f>
        <v>0</v>
      </c>
    </row>
    <row r="461" spans="1:76">
      <c r="A461" s="9" t="s">
        <v>718</v>
      </c>
      <c r="B461" s="9"/>
      <c r="C461" s="9" t="s">
        <v>45</v>
      </c>
      <c r="D461" s="9"/>
      <c r="E461" s="23">
        <v>48348</v>
      </c>
      <c r="G461" s="42">
        <v>9756429</v>
      </c>
      <c r="I461" s="42">
        <v>1956148</v>
      </c>
      <c r="K461" s="42">
        <v>139593</v>
      </c>
      <c r="M461" s="42">
        <v>128806</v>
      </c>
      <c r="O461" s="42">
        <v>5693</v>
      </c>
      <c r="Q461" s="42">
        <v>1305827</v>
      </c>
      <c r="S461" s="42">
        <v>589855</v>
      </c>
      <c r="U461" s="42">
        <v>25615</v>
      </c>
      <c r="W461" s="42">
        <v>1523837</v>
      </c>
      <c r="Y461" s="42">
        <v>542156</v>
      </c>
      <c r="AA461" s="42">
        <v>254</v>
      </c>
      <c r="AC461" s="42">
        <v>1815636</v>
      </c>
      <c r="AE461" s="42">
        <v>908295</v>
      </c>
      <c r="AG461" s="42">
        <v>0</v>
      </c>
      <c r="AI461" s="42">
        <v>831178</v>
      </c>
      <c r="AK461" s="42">
        <v>279080</v>
      </c>
      <c r="AL461" s="9" t="s">
        <v>718</v>
      </c>
      <c r="AM461" s="9"/>
      <c r="AN461" s="9" t="s">
        <v>45</v>
      </c>
      <c r="AP461" s="42">
        <v>690478</v>
      </c>
      <c r="AR461" s="42">
        <v>48300</v>
      </c>
      <c r="AT461" s="42">
        <v>0</v>
      </c>
      <c r="AV461" s="42">
        <v>958224</v>
      </c>
      <c r="AX461" s="42">
        <v>388945</v>
      </c>
      <c r="AZ461" s="42">
        <v>0</v>
      </c>
      <c r="BB461" s="5">
        <f t="shared" si="63"/>
        <v>21894349</v>
      </c>
      <c r="BD461" s="42">
        <v>65000</v>
      </c>
      <c r="BF461" s="42">
        <v>0</v>
      </c>
      <c r="BH461" s="42">
        <v>0</v>
      </c>
      <c r="BJ461" s="42">
        <v>0</v>
      </c>
      <c r="BL461" s="5">
        <f t="shared" si="61"/>
        <v>21959349</v>
      </c>
      <c r="BN461" s="5">
        <f>'Gov Fd Rev'!AQ461-'Gov Fd Exp'!BL461</f>
        <v>701753</v>
      </c>
      <c r="BP461" s="42">
        <v>856378</v>
      </c>
      <c r="BR461" s="42">
        <v>0</v>
      </c>
      <c r="BT461" s="42">
        <v>0</v>
      </c>
      <c r="BV461" s="5">
        <f t="shared" si="62"/>
        <v>1558131</v>
      </c>
      <c r="BW461" s="5"/>
      <c r="BX461" s="5">
        <f>BV461-'Gov Fd BS'!AI461</f>
        <v>0</v>
      </c>
    </row>
    <row r="462" spans="1:76" hidden="1">
      <c r="A462" s="9" t="s">
        <v>816</v>
      </c>
      <c r="B462" s="9"/>
      <c r="C462" s="9" t="s">
        <v>53</v>
      </c>
      <c r="D462" s="9"/>
      <c r="E462" s="23">
        <v>44651</v>
      </c>
      <c r="G462" s="42">
        <v>0</v>
      </c>
      <c r="I462" s="42">
        <v>0</v>
      </c>
      <c r="K462" s="42">
        <v>0</v>
      </c>
      <c r="M462" s="42">
        <v>0</v>
      </c>
      <c r="O462" s="42">
        <v>0</v>
      </c>
      <c r="Q462" s="42">
        <v>0</v>
      </c>
      <c r="S462" s="42">
        <v>0</v>
      </c>
      <c r="U462" s="42">
        <v>0</v>
      </c>
      <c r="W462" s="42">
        <v>0</v>
      </c>
      <c r="Y462" s="42">
        <v>0</v>
      </c>
      <c r="AA462" s="42">
        <v>0</v>
      </c>
      <c r="AC462" s="42">
        <v>0</v>
      </c>
      <c r="AE462" s="42">
        <v>0</v>
      </c>
      <c r="AG462" s="42">
        <v>0</v>
      </c>
      <c r="AI462" s="42">
        <v>0</v>
      </c>
      <c r="AK462" s="42">
        <v>0</v>
      </c>
      <c r="AL462" s="9" t="s">
        <v>816</v>
      </c>
      <c r="AM462" s="9"/>
      <c r="AN462" s="9" t="s">
        <v>53</v>
      </c>
      <c r="AP462" s="42">
        <v>0</v>
      </c>
      <c r="AR462" s="42">
        <v>0</v>
      </c>
      <c r="AT462" s="42">
        <v>0</v>
      </c>
      <c r="AV462" s="42">
        <v>0</v>
      </c>
      <c r="AX462" s="42">
        <v>0</v>
      </c>
      <c r="AZ462" s="42">
        <v>0</v>
      </c>
      <c r="BB462" s="5">
        <f t="shared" si="63"/>
        <v>0</v>
      </c>
      <c r="BD462" s="42">
        <v>0</v>
      </c>
      <c r="BF462" s="42">
        <v>0</v>
      </c>
      <c r="BH462" s="42">
        <v>0</v>
      </c>
      <c r="BJ462" s="42">
        <v>0</v>
      </c>
      <c r="BL462" s="5">
        <f t="shared" si="61"/>
        <v>0</v>
      </c>
      <c r="BN462" s="5">
        <f>'Gov Fd Rev'!AQ462-'Gov Fd Exp'!BL462</f>
        <v>0</v>
      </c>
      <c r="BP462" s="42">
        <v>0</v>
      </c>
      <c r="BR462" s="42">
        <v>0</v>
      </c>
      <c r="BT462" s="42">
        <v>0</v>
      </c>
      <c r="BV462" s="5">
        <f t="shared" si="62"/>
        <v>0</v>
      </c>
      <c r="BW462" s="5"/>
      <c r="BX462" s="5">
        <f>BV462-'Gov Fd BS'!AI462</f>
        <v>0</v>
      </c>
    </row>
    <row r="463" spans="1:76">
      <c r="A463" s="9" t="s">
        <v>481</v>
      </c>
      <c r="B463" s="9"/>
      <c r="C463" s="9" t="s">
        <v>59</v>
      </c>
      <c r="D463" s="9"/>
      <c r="E463" s="23">
        <v>44669</v>
      </c>
      <c r="G463" s="42">
        <v>12975617</v>
      </c>
      <c r="I463" s="42">
        <v>5734893</v>
      </c>
      <c r="K463" s="42">
        <v>314023</v>
      </c>
      <c r="M463" s="42">
        <v>0</v>
      </c>
      <c r="O463" s="42">
        <v>361850</v>
      </c>
      <c r="Q463" s="42">
        <v>1892792</v>
      </c>
      <c r="S463" s="42">
        <v>1744873</v>
      </c>
      <c r="U463" s="42">
        <v>28682</v>
      </c>
      <c r="W463" s="42">
        <v>1542821</v>
      </c>
      <c r="Y463" s="42">
        <v>674134</v>
      </c>
      <c r="AA463" s="42">
        <v>101286</v>
      </c>
      <c r="AC463" s="42">
        <v>2572475</v>
      </c>
      <c r="AE463" s="42">
        <v>515050</v>
      </c>
      <c r="AG463" s="42">
        <v>41843</v>
      </c>
      <c r="AI463" s="42">
        <v>1080191</v>
      </c>
      <c r="AK463" s="42">
        <v>268150</v>
      </c>
      <c r="AL463" s="9" t="s">
        <v>481</v>
      </c>
      <c r="AM463" s="9"/>
      <c r="AN463" s="9" t="s">
        <v>59</v>
      </c>
      <c r="AP463" s="42">
        <v>371815</v>
      </c>
      <c r="AR463" s="42">
        <v>679469</v>
      </c>
      <c r="AT463" s="42">
        <v>0</v>
      </c>
      <c r="AV463" s="42">
        <v>777755</v>
      </c>
      <c r="AX463" s="42">
        <v>441865</v>
      </c>
      <c r="AZ463" s="42">
        <v>0</v>
      </c>
      <c r="BB463" s="5">
        <f t="shared" si="63"/>
        <v>32119584</v>
      </c>
      <c r="BD463" s="42">
        <v>0</v>
      </c>
      <c r="BF463" s="42">
        <v>0</v>
      </c>
      <c r="BH463" s="42">
        <v>0</v>
      </c>
      <c r="BJ463" s="42">
        <v>0</v>
      </c>
      <c r="BL463" s="5">
        <f t="shared" si="61"/>
        <v>32119584</v>
      </c>
      <c r="BN463" s="5">
        <f>'Gov Fd Rev'!AQ463-'Gov Fd Exp'!BL463</f>
        <v>-1826053</v>
      </c>
      <c r="BP463" s="42">
        <v>5299593</v>
      </c>
      <c r="BR463" s="42">
        <v>0</v>
      </c>
      <c r="BT463" s="42">
        <v>0</v>
      </c>
      <c r="BV463" s="5">
        <f t="shared" si="62"/>
        <v>3473540</v>
      </c>
      <c r="BW463" s="5"/>
      <c r="BX463" s="5">
        <f>BV463-'Gov Fd BS'!AI463</f>
        <v>0</v>
      </c>
    </row>
    <row r="464" spans="1:76" hidden="1">
      <c r="A464" s="9" t="s">
        <v>684</v>
      </c>
      <c r="B464" s="9"/>
      <c r="C464" s="9" t="s">
        <v>57</v>
      </c>
      <c r="D464" s="9"/>
      <c r="E464" s="23">
        <v>49288</v>
      </c>
      <c r="G464" s="42">
        <v>0</v>
      </c>
      <c r="I464" s="42">
        <v>0</v>
      </c>
      <c r="K464" s="42">
        <v>0</v>
      </c>
      <c r="M464" s="42">
        <v>0</v>
      </c>
      <c r="O464" s="42">
        <v>0</v>
      </c>
      <c r="Q464" s="42">
        <v>0</v>
      </c>
      <c r="S464" s="42">
        <v>0</v>
      </c>
      <c r="U464" s="42">
        <v>0</v>
      </c>
      <c r="W464" s="42">
        <v>0</v>
      </c>
      <c r="Y464" s="42">
        <v>0</v>
      </c>
      <c r="AA464" s="42">
        <v>0</v>
      </c>
      <c r="AC464" s="42">
        <v>0</v>
      </c>
      <c r="AE464" s="42">
        <v>0</v>
      </c>
      <c r="AG464" s="42">
        <v>0</v>
      </c>
      <c r="AI464" s="42">
        <v>0</v>
      </c>
      <c r="AK464" s="42">
        <v>0</v>
      </c>
      <c r="AL464" s="9" t="s">
        <v>684</v>
      </c>
      <c r="AM464" s="9"/>
      <c r="AN464" s="9" t="s">
        <v>57</v>
      </c>
      <c r="AP464" s="42">
        <v>0</v>
      </c>
      <c r="AR464" s="42">
        <v>0</v>
      </c>
      <c r="AT464" s="42">
        <v>0</v>
      </c>
      <c r="AV464" s="42">
        <v>0</v>
      </c>
      <c r="AX464" s="42">
        <v>0</v>
      </c>
      <c r="AZ464" s="42">
        <v>0</v>
      </c>
      <c r="BB464" s="5">
        <f t="shared" si="63"/>
        <v>0</v>
      </c>
      <c r="BD464" s="42">
        <v>0</v>
      </c>
      <c r="BF464" s="42">
        <v>0</v>
      </c>
      <c r="BH464" s="42">
        <v>0</v>
      </c>
      <c r="BJ464" s="42">
        <v>0</v>
      </c>
      <c r="BL464" s="5">
        <f t="shared" si="61"/>
        <v>0</v>
      </c>
      <c r="BN464" s="5">
        <f>'Gov Fd Rev'!AQ464-'Gov Fd Exp'!BL464</f>
        <v>0</v>
      </c>
      <c r="BP464" s="42">
        <v>0</v>
      </c>
      <c r="BR464" s="42">
        <v>0</v>
      </c>
      <c r="BT464" s="42">
        <v>0</v>
      </c>
      <c r="BV464" s="5">
        <f t="shared" si="62"/>
        <v>0</v>
      </c>
      <c r="BW464" s="5"/>
      <c r="BX464" s="5">
        <f>BV464-'Gov Fd BS'!AI464</f>
        <v>0</v>
      </c>
    </row>
    <row r="465" spans="1:76">
      <c r="A465" s="9" t="s">
        <v>327</v>
      </c>
      <c r="B465" s="9"/>
      <c r="C465" s="9" t="s">
        <v>32</v>
      </c>
      <c r="D465" s="9"/>
      <c r="E465" s="23">
        <v>44677</v>
      </c>
      <c r="G465" s="42">
        <v>35691001</v>
      </c>
      <c r="I465" s="42">
        <v>9308261</v>
      </c>
      <c r="K465" s="42">
        <v>53388</v>
      </c>
      <c r="M465" s="42">
        <v>0</v>
      </c>
      <c r="O465" s="42">
        <v>2473789</v>
      </c>
      <c r="Q465" s="42">
        <v>4292060</v>
      </c>
      <c r="S465" s="42">
        <v>2202967</v>
      </c>
      <c r="U465" s="42">
        <v>0</v>
      </c>
      <c r="W465" s="42">
        <f>222072+5894558</f>
        <v>6116630</v>
      </c>
      <c r="Y465" s="42">
        <v>2083024</v>
      </c>
      <c r="AA465" s="42">
        <v>215765</v>
      </c>
      <c r="AC465" s="42">
        <v>7391505</v>
      </c>
      <c r="AE465" s="42">
        <v>5299350</v>
      </c>
      <c r="AG465" s="42">
        <v>927910</v>
      </c>
      <c r="AI465" s="42">
        <v>0</v>
      </c>
      <c r="AK465" s="42">
        <v>3950224</v>
      </c>
      <c r="AL465" s="9" t="s">
        <v>327</v>
      </c>
      <c r="AM465" s="9"/>
      <c r="AN465" s="9" t="s">
        <v>32</v>
      </c>
      <c r="AP465" s="42">
        <v>1190368</v>
      </c>
      <c r="AR465" s="42">
        <v>62972645</v>
      </c>
      <c r="AT465" s="42">
        <v>0</v>
      </c>
      <c r="AV465" s="42">
        <v>1891348</v>
      </c>
      <c r="AX465" s="42">
        <v>11355573</v>
      </c>
      <c r="AZ465" s="42">
        <v>0</v>
      </c>
      <c r="BB465" s="5">
        <f t="shared" si="63"/>
        <v>157415808</v>
      </c>
      <c r="BD465" s="42">
        <v>3107761</v>
      </c>
      <c r="BF465" s="42">
        <v>0</v>
      </c>
      <c r="BH465" s="42">
        <v>0</v>
      </c>
      <c r="BJ465" s="42">
        <v>0</v>
      </c>
      <c r="BL465" s="5">
        <f t="shared" si="61"/>
        <v>160523569</v>
      </c>
      <c r="BN465" s="5">
        <f>'Gov Fd Rev'!AQ465-'Gov Fd Exp'!BL465</f>
        <v>-56540804</v>
      </c>
      <c r="BP465" s="42">
        <v>136908317</v>
      </c>
      <c r="BR465" s="42">
        <v>0</v>
      </c>
      <c r="BT465" s="42">
        <v>0</v>
      </c>
      <c r="BV465" s="5">
        <f t="shared" si="62"/>
        <v>80367513</v>
      </c>
      <c r="BW465" s="5"/>
      <c r="BX465" s="5">
        <f>BV465-'Gov Fd BS'!AI465</f>
        <v>0</v>
      </c>
    </row>
    <row r="466" spans="1:76" hidden="1">
      <c r="A466" s="9" t="s">
        <v>817</v>
      </c>
      <c r="B466" s="9"/>
      <c r="C466" s="9" t="s">
        <v>53</v>
      </c>
      <c r="D466" s="9"/>
      <c r="E466" s="23">
        <v>48975</v>
      </c>
      <c r="G466" s="42">
        <v>0</v>
      </c>
      <c r="I466" s="42">
        <v>0</v>
      </c>
      <c r="K466" s="42">
        <v>0</v>
      </c>
      <c r="M466" s="42">
        <v>0</v>
      </c>
      <c r="O466" s="42">
        <v>0</v>
      </c>
      <c r="Q466" s="42">
        <v>0</v>
      </c>
      <c r="S466" s="42">
        <v>0</v>
      </c>
      <c r="U466" s="42">
        <v>0</v>
      </c>
      <c r="W466" s="42">
        <v>0</v>
      </c>
      <c r="Y466" s="42">
        <v>0</v>
      </c>
      <c r="AA466" s="42">
        <v>0</v>
      </c>
      <c r="AC466" s="42">
        <v>0</v>
      </c>
      <c r="AE466" s="42">
        <v>0</v>
      </c>
      <c r="AG466" s="42">
        <v>0</v>
      </c>
      <c r="AI466" s="42">
        <v>0</v>
      </c>
      <c r="AK466" s="42">
        <v>0</v>
      </c>
      <c r="AL466" s="9" t="s">
        <v>817</v>
      </c>
      <c r="AM466" s="9"/>
      <c r="AN466" s="9" t="s">
        <v>53</v>
      </c>
      <c r="AP466" s="42">
        <v>0</v>
      </c>
      <c r="AR466" s="42">
        <v>0</v>
      </c>
      <c r="AT466" s="42">
        <v>0</v>
      </c>
      <c r="AV466" s="42">
        <v>0</v>
      </c>
      <c r="AX466" s="42">
        <v>0</v>
      </c>
      <c r="AZ466" s="42">
        <v>0</v>
      </c>
      <c r="BB466" s="5">
        <f t="shared" ref="BB466" si="64">SUM(G466:AZ466)</f>
        <v>0</v>
      </c>
      <c r="BD466" s="42">
        <v>0</v>
      </c>
      <c r="BF466" s="42">
        <v>0</v>
      </c>
      <c r="BH466" s="42">
        <v>0</v>
      </c>
      <c r="BJ466" s="42">
        <v>0</v>
      </c>
      <c r="BL466" s="5">
        <f t="shared" ref="BL466" si="65">BB466+BD466+BJ466</f>
        <v>0</v>
      </c>
      <c r="BN466" s="5">
        <f>'Gov Fd Rev'!AQ466-'Gov Fd Exp'!BL466</f>
        <v>0</v>
      </c>
      <c r="BP466" s="42">
        <v>0</v>
      </c>
      <c r="BR466" s="42">
        <v>0</v>
      </c>
      <c r="BT466" s="42">
        <v>0</v>
      </c>
      <c r="BV466" s="5">
        <f t="shared" si="62"/>
        <v>0</v>
      </c>
      <c r="BW466" s="5"/>
      <c r="BX466" s="5">
        <f>BV466-'Gov Fd BS'!AI466</f>
        <v>0</v>
      </c>
    </row>
    <row r="467" spans="1:76" hidden="1">
      <c r="A467" s="9" t="s">
        <v>818</v>
      </c>
      <c r="B467" s="9"/>
      <c r="C467" s="9" t="s">
        <v>12</v>
      </c>
      <c r="D467" s="9"/>
      <c r="E467" s="23">
        <v>45880</v>
      </c>
      <c r="G467" s="42">
        <v>0</v>
      </c>
      <c r="I467" s="42">
        <v>0</v>
      </c>
      <c r="K467" s="42">
        <v>0</v>
      </c>
      <c r="M467" s="42">
        <v>0</v>
      </c>
      <c r="O467" s="42">
        <v>0</v>
      </c>
      <c r="Q467" s="42">
        <v>0</v>
      </c>
      <c r="S467" s="42">
        <v>0</v>
      </c>
      <c r="U467" s="42">
        <v>0</v>
      </c>
      <c r="W467" s="42">
        <v>0</v>
      </c>
      <c r="Y467" s="42">
        <v>0</v>
      </c>
      <c r="AA467" s="42">
        <v>0</v>
      </c>
      <c r="AC467" s="42">
        <v>0</v>
      </c>
      <c r="AE467" s="42">
        <v>0</v>
      </c>
      <c r="AG467" s="42">
        <v>0</v>
      </c>
      <c r="AI467" s="42">
        <v>0</v>
      </c>
      <c r="AK467" s="42">
        <v>0</v>
      </c>
      <c r="AL467" s="9" t="s">
        <v>818</v>
      </c>
      <c r="AM467" s="9"/>
      <c r="AN467" s="9" t="s">
        <v>12</v>
      </c>
      <c r="AP467" s="42">
        <v>0</v>
      </c>
      <c r="AR467" s="42">
        <v>0</v>
      </c>
      <c r="AT467" s="42">
        <v>0</v>
      </c>
      <c r="AV467" s="42">
        <v>0</v>
      </c>
      <c r="AX467" s="42">
        <v>0</v>
      </c>
      <c r="AZ467" s="42">
        <v>0</v>
      </c>
      <c r="BB467" s="5">
        <f t="shared" si="63"/>
        <v>0</v>
      </c>
      <c r="BD467" s="42">
        <v>0</v>
      </c>
      <c r="BF467" s="42">
        <v>0</v>
      </c>
      <c r="BH467" s="42">
        <v>0</v>
      </c>
      <c r="BJ467" s="42">
        <v>0</v>
      </c>
      <c r="BL467" s="5">
        <f t="shared" si="61"/>
        <v>0</v>
      </c>
      <c r="BN467" s="5">
        <f>'Gov Fd Rev'!AQ467-'Gov Fd Exp'!BL467</f>
        <v>0</v>
      </c>
      <c r="BP467" s="42">
        <v>0</v>
      </c>
      <c r="BR467" s="42">
        <v>0</v>
      </c>
      <c r="BT467" s="42">
        <v>0</v>
      </c>
      <c r="BV467" s="5">
        <f t="shared" si="62"/>
        <v>0</v>
      </c>
      <c r="BW467" s="5"/>
      <c r="BX467" s="5">
        <f>BV467-'Gov Fd BS'!AI467</f>
        <v>0</v>
      </c>
    </row>
    <row r="468" spans="1:76" s="24" customFormat="1">
      <c r="A468" s="51" t="s">
        <v>627</v>
      </c>
      <c r="B468" s="51"/>
      <c r="C468" s="51" t="s">
        <v>56</v>
      </c>
      <c r="D468" s="51"/>
      <c r="E468" s="23">
        <v>44685</v>
      </c>
      <c r="G468" s="42">
        <v>10285577</v>
      </c>
      <c r="H468" s="42"/>
      <c r="I468" s="42">
        <v>5510668</v>
      </c>
      <c r="J468" s="42"/>
      <c r="K468" s="42">
        <v>313467</v>
      </c>
      <c r="L468" s="42"/>
      <c r="M468" s="42">
        <v>0</v>
      </c>
      <c r="N468" s="42"/>
      <c r="O468" s="42">
        <v>1874323</v>
      </c>
      <c r="P468" s="42"/>
      <c r="Q468" s="42">
        <v>1458879</v>
      </c>
      <c r="R468" s="42"/>
      <c r="S468" s="42">
        <v>931599</v>
      </c>
      <c r="T468" s="42"/>
      <c r="U468" s="42">
        <v>99802</v>
      </c>
      <c r="V468" s="42"/>
      <c r="W468" s="42">
        <v>2143418</v>
      </c>
      <c r="X468" s="42"/>
      <c r="Y468" s="42">
        <v>709574</v>
      </c>
      <c r="Z468" s="42"/>
      <c r="AA468" s="42">
        <v>208599</v>
      </c>
      <c r="AB468" s="42"/>
      <c r="AC468" s="42">
        <v>2600171</v>
      </c>
      <c r="AD468" s="42"/>
      <c r="AE468" s="42">
        <v>1386987</v>
      </c>
      <c r="AF468" s="42"/>
      <c r="AG468" s="42">
        <v>769779</v>
      </c>
      <c r="AH468" s="42"/>
      <c r="AI468" s="42">
        <v>1250193</v>
      </c>
      <c r="AJ468" s="42"/>
      <c r="AK468" s="42">
        <v>41136</v>
      </c>
      <c r="AL468" s="51" t="s">
        <v>627</v>
      </c>
      <c r="AM468" s="51"/>
      <c r="AN468" s="51" t="s">
        <v>56</v>
      </c>
      <c r="AP468" s="42">
        <v>732920</v>
      </c>
      <c r="AQ468" s="42"/>
      <c r="AR468" s="42">
        <f>2321912+398697</f>
        <v>2720609</v>
      </c>
      <c r="AS468" s="42"/>
      <c r="AT468" s="42">
        <v>0</v>
      </c>
      <c r="AU468" s="42"/>
      <c r="AV468" s="42">
        <v>485000</v>
      </c>
      <c r="AW468" s="42"/>
      <c r="AX468" s="42">
        <v>595789</v>
      </c>
      <c r="AY468" s="42"/>
      <c r="AZ468" s="42">
        <v>289044</v>
      </c>
      <c r="BA468" s="42"/>
      <c r="BB468" s="5">
        <f t="shared" si="63"/>
        <v>34407534</v>
      </c>
      <c r="BC468" s="42"/>
      <c r="BD468" s="42">
        <v>242432</v>
      </c>
      <c r="BE468" s="42"/>
      <c r="BF468" s="42">
        <v>0</v>
      </c>
      <c r="BG468" s="42"/>
      <c r="BH468" s="42">
        <v>0</v>
      </c>
      <c r="BI468" s="42"/>
      <c r="BJ468" s="42">
        <v>14138007</v>
      </c>
      <c r="BK468" s="42"/>
      <c r="BL468" s="5">
        <f t="shared" si="61"/>
        <v>48787973</v>
      </c>
      <c r="BM468" s="42"/>
      <c r="BN468" s="5">
        <f>'Gov Fd Rev'!AQ468-'Gov Fd Exp'!BL468</f>
        <v>-2846015</v>
      </c>
      <c r="BO468" s="42"/>
      <c r="BP468" s="42">
        <v>2861902</v>
      </c>
      <c r="BQ468" s="42"/>
      <c r="BR468" s="42">
        <v>0</v>
      </c>
      <c r="BS468" s="42"/>
      <c r="BT468" s="42">
        <v>0</v>
      </c>
      <c r="BU468" s="42"/>
      <c r="BV468" s="5">
        <f t="shared" si="62"/>
        <v>15887</v>
      </c>
      <c r="BW468" s="5"/>
      <c r="BX468" s="5">
        <f>BV468-'Gov Fd BS'!AI468</f>
        <v>0</v>
      </c>
    </row>
    <row r="469" spans="1:76">
      <c r="A469" s="9" t="s">
        <v>328</v>
      </c>
      <c r="B469" s="9"/>
      <c r="C469" s="9" t="s">
        <v>32</v>
      </c>
      <c r="D469" s="9"/>
      <c r="E469" s="23">
        <v>44693</v>
      </c>
      <c r="G469" s="42">
        <v>7649137</v>
      </c>
      <c r="I469" s="42">
        <v>2584011</v>
      </c>
      <c r="K469" s="42">
        <v>2086</v>
      </c>
      <c r="M469" s="42">
        <v>0</v>
      </c>
      <c r="O469" s="42">
        <v>537267</v>
      </c>
      <c r="Q469" s="42">
        <v>1074734</v>
      </c>
      <c r="S469" s="42">
        <v>529909</v>
      </c>
      <c r="U469" s="42">
        <v>47352</v>
      </c>
      <c r="W469" s="42">
        <v>1480318</v>
      </c>
      <c r="Y469" s="42">
        <v>358722</v>
      </c>
      <c r="AA469" s="42">
        <v>0</v>
      </c>
      <c r="AC469" s="42">
        <v>1170434</v>
      </c>
      <c r="AE469" s="42">
        <v>253177</v>
      </c>
      <c r="AG469" s="42">
        <v>54721</v>
      </c>
      <c r="AI469" s="42">
        <v>0</v>
      </c>
      <c r="AK469" s="42">
        <v>1516941</v>
      </c>
      <c r="AL469" s="9" t="s">
        <v>328</v>
      </c>
      <c r="AM469" s="9"/>
      <c r="AN469" s="9" t="s">
        <v>32</v>
      </c>
      <c r="AP469" s="42">
        <v>546647</v>
      </c>
      <c r="AR469" s="42">
        <v>892818</v>
      </c>
      <c r="AT469" s="42">
        <v>0</v>
      </c>
      <c r="AV469" s="42">
        <v>107421</v>
      </c>
      <c r="AX469" s="42">
        <v>71709</v>
      </c>
      <c r="AZ469" s="42">
        <v>63933</v>
      </c>
      <c r="BB469" s="5">
        <f t="shared" si="63"/>
        <v>18941337</v>
      </c>
      <c r="BD469" s="42">
        <v>51600</v>
      </c>
      <c r="BF469" s="42">
        <v>0</v>
      </c>
      <c r="BH469" s="42">
        <v>0</v>
      </c>
      <c r="BJ469" s="42">
        <v>0</v>
      </c>
      <c r="BL469" s="5">
        <f t="shared" si="61"/>
        <v>18992937</v>
      </c>
      <c r="BN469" s="5">
        <f>'Gov Fd Rev'!AQ469-'Gov Fd Exp'!BL469</f>
        <v>1046940</v>
      </c>
      <c r="BP469" s="42">
        <v>4989474</v>
      </c>
      <c r="BR469" s="42">
        <v>0</v>
      </c>
      <c r="BT469" s="42">
        <v>0</v>
      </c>
      <c r="BV469" s="5">
        <f t="shared" si="62"/>
        <v>6036414</v>
      </c>
      <c r="BW469" s="5"/>
      <c r="BX469" s="5">
        <f>BV469-'Gov Fd BS'!AI469</f>
        <v>0</v>
      </c>
    </row>
    <row r="470" spans="1:76">
      <c r="A470" s="9" t="s">
        <v>509</v>
      </c>
      <c r="B470" s="9"/>
      <c r="C470" s="9" t="s">
        <v>63</v>
      </c>
      <c r="D470" s="9"/>
      <c r="E470" s="23">
        <v>50054</v>
      </c>
      <c r="G470" s="42">
        <v>15422418</v>
      </c>
      <c r="I470" s="42">
        <v>2279310</v>
      </c>
      <c r="K470" s="42">
        <v>305312</v>
      </c>
      <c r="M470" s="42">
        <v>0</v>
      </c>
      <c r="O470" s="42">
        <f>661857+727819</f>
        <v>1389676</v>
      </c>
      <c r="Q470" s="42">
        <v>1652217</v>
      </c>
      <c r="S470" s="42">
        <v>1380271</v>
      </c>
      <c r="U470" s="42">
        <v>344109</v>
      </c>
      <c r="W470" s="42">
        <v>2157841</v>
      </c>
      <c r="Y470" s="42">
        <v>1198973</v>
      </c>
      <c r="AA470" s="42">
        <v>83073</v>
      </c>
      <c r="AC470" s="42">
        <v>3686618</v>
      </c>
      <c r="AE470" s="42">
        <v>2349591</v>
      </c>
      <c r="AG470" s="42">
        <v>317558</v>
      </c>
      <c r="AI470" s="42">
        <v>935066</v>
      </c>
      <c r="AK470" s="42">
        <v>358219</v>
      </c>
      <c r="AL470" s="9" t="s">
        <v>509</v>
      </c>
      <c r="AM470" s="9"/>
      <c r="AN470" s="9" t="s">
        <v>63</v>
      </c>
      <c r="AP470" s="42">
        <v>1293730</v>
      </c>
      <c r="AR470" s="42">
        <v>1772698</v>
      </c>
      <c r="AT470" s="42">
        <v>0</v>
      </c>
      <c r="AV470" s="42">
        <v>1150000</v>
      </c>
      <c r="AX470" s="42">
        <v>399830</v>
      </c>
      <c r="AZ470" s="42">
        <v>0</v>
      </c>
      <c r="BB470" s="5">
        <f t="shared" si="63"/>
        <v>38476510</v>
      </c>
      <c r="BD470" s="42">
        <v>171000</v>
      </c>
      <c r="BF470" s="42">
        <v>0</v>
      </c>
      <c r="BH470" s="42">
        <v>0</v>
      </c>
      <c r="BJ470" s="42">
        <v>0</v>
      </c>
      <c r="BL470" s="5">
        <f t="shared" si="61"/>
        <v>38647510</v>
      </c>
      <c r="BN470" s="5">
        <f>'Gov Fd Rev'!AQ470-'Gov Fd Exp'!BL470</f>
        <v>-512583</v>
      </c>
      <c r="BP470" s="42">
        <v>19405036</v>
      </c>
      <c r="BR470" s="42">
        <v>0</v>
      </c>
      <c r="BT470" s="42">
        <v>0</v>
      </c>
      <c r="BV470" s="5">
        <f t="shared" si="62"/>
        <v>18892453</v>
      </c>
      <c r="BW470" s="5"/>
      <c r="BX470" s="5">
        <f>BV470-'Gov Fd BS'!AI470</f>
        <v>0</v>
      </c>
    </row>
    <row r="471" spans="1:76" hidden="1">
      <c r="A471" s="9" t="s">
        <v>819</v>
      </c>
      <c r="B471" s="9"/>
      <c r="C471" s="9" t="s">
        <v>27</v>
      </c>
      <c r="D471" s="9"/>
      <c r="E471" s="23">
        <v>47001</v>
      </c>
      <c r="G471" s="42">
        <v>0</v>
      </c>
      <c r="I471" s="42">
        <v>0</v>
      </c>
      <c r="K471" s="42">
        <v>0</v>
      </c>
      <c r="M471" s="42">
        <v>0</v>
      </c>
      <c r="O471" s="42">
        <v>0</v>
      </c>
      <c r="Q471" s="42">
        <v>0</v>
      </c>
      <c r="S471" s="42">
        <v>0</v>
      </c>
      <c r="U471" s="42">
        <v>0</v>
      </c>
      <c r="W471" s="42">
        <v>0</v>
      </c>
      <c r="Y471" s="42">
        <v>0</v>
      </c>
      <c r="AA471" s="42">
        <v>0</v>
      </c>
      <c r="AC471" s="42">
        <v>0</v>
      </c>
      <c r="AE471" s="42">
        <v>0</v>
      </c>
      <c r="AG471" s="42">
        <v>0</v>
      </c>
      <c r="AI471" s="42">
        <v>0</v>
      </c>
      <c r="AK471" s="42">
        <v>0</v>
      </c>
      <c r="AL471" s="9" t="s">
        <v>819</v>
      </c>
      <c r="AM471" s="9"/>
      <c r="AN471" s="9" t="s">
        <v>27</v>
      </c>
      <c r="AP471" s="42">
        <v>0</v>
      </c>
      <c r="AR471" s="42">
        <v>0</v>
      </c>
      <c r="AT471" s="42">
        <v>0</v>
      </c>
      <c r="AV471" s="42">
        <v>0</v>
      </c>
      <c r="AX471" s="42">
        <v>0</v>
      </c>
      <c r="AZ471" s="42">
        <v>0</v>
      </c>
      <c r="BB471" s="5">
        <f t="shared" si="63"/>
        <v>0</v>
      </c>
      <c r="BD471" s="42">
        <v>0</v>
      </c>
      <c r="BF471" s="42">
        <v>0</v>
      </c>
      <c r="BH471" s="42">
        <v>0</v>
      </c>
      <c r="BJ471" s="42">
        <v>0</v>
      </c>
      <c r="BL471" s="5">
        <f t="shared" si="61"/>
        <v>0</v>
      </c>
      <c r="BN471" s="5">
        <f>'Gov Fd Rev'!AQ471-'Gov Fd Exp'!BL471</f>
        <v>0</v>
      </c>
      <c r="BP471" s="42">
        <v>0</v>
      </c>
      <c r="BR471" s="42">
        <v>0</v>
      </c>
      <c r="BT471" s="42">
        <v>0</v>
      </c>
      <c r="BV471" s="5">
        <f t="shared" si="62"/>
        <v>0</v>
      </c>
      <c r="BW471" s="5"/>
      <c r="BX471" s="5">
        <f>BV471-'Gov Fd BS'!AI471</f>
        <v>0</v>
      </c>
    </row>
    <row r="472" spans="1:76">
      <c r="A472" s="9" t="s">
        <v>274</v>
      </c>
      <c r="B472" s="9"/>
      <c r="C472" s="9" t="s">
        <v>20</v>
      </c>
      <c r="D472" s="9"/>
      <c r="E472" s="23">
        <v>46599</v>
      </c>
      <c r="G472" s="42">
        <v>6131895</v>
      </c>
      <c r="I472" s="42">
        <v>2527893</v>
      </c>
      <c r="K472" s="42">
        <v>151113</v>
      </c>
      <c r="M472" s="42">
        <v>0</v>
      </c>
      <c r="O472" s="42">
        <v>0</v>
      </c>
      <c r="Q472" s="42">
        <v>668226</v>
      </c>
      <c r="S472" s="42">
        <v>174653</v>
      </c>
      <c r="U472" s="42">
        <v>342231</v>
      </c>
      <c r="W472" s="42">
        <v>960010</v>
      </c>
      <c r="Y472" s="42">
        <v>465080</v>
      </c>
      <c r="AA472" s="42">
        <v>10505</v>
      </c>
      <c r="AC472" s="42">
        <v>948652</v>
      </c>
      <c r="AE472" s="42">
        <v>1029373</v>
      </c>
      <c r="AG472" s="42">
        <v>175384</v>
      </c>
      <c r="AI472" s="42">
        <v>0</v>
      </c>
      <c r="AK472" s="42">
        <v>5156</v>
      </c>
      <c r="AL472" s="9" t="s">
        <v>274</v>
      </c>
      <c r="AM472" s="9"/>
      <c r="AN472" s="9" t="s">
        <v>20</v>
      </c>
      <c r="AP472" s="42">
        <v>302331</v>
      </c>
      <c r="AR472" s="42">
        <v>99557</v>
      </c>
      <c r="AT472" s="42">
        <v>0</v>
      </c>
      <c r="AV472" s="42">
        <v>74428</v>
      </c>
      <c r="AX472" s="42">
        <v>48759</v>
      </c>
      <c r="AZ472" s="42">
        <v>0</v>
      </c>
      <c r="BB472" s="5">
        <f t="shared" si="63"/>
        <v>14115246</v>
      </c>
      <c r="BD472" s="42">
        <v>139430</v>
      </c>
      <c r="BF472" s="42">
        <v>0</v>
      </c>
      <c r="BH472" s="42">
        <v>0</v>
      </c>
      <c r="BJ472" s="42">
        <v>0</v>
      </c>
      <c r="BL472" s="5">
        <f t="shared" si="61"/>
        <v>14254676</v>
      </c>
      <c r="BN472" s="5">
        <f>'Gov Fd Rev'!AQ472-'Gov Fd Exp'!BL472</f>
        <v>302713</v>
      </c>
      <c r="BP472" s="42">
        <v>-164012</v>
      </c>
      <c r="BR472" s="42">
        <v>0</v>
      </c>
      <c r="BT472" s="42">
        <v>0</v>
      </c>
      <c r="BV472" s="5">
        <f t="shared" si="62"/>
        <v>138701</v>
      </c>
      <c r="BW472" s="5"/>
      <c r="BX472" s="5">
        <f>BV472-'Gov Fd BS'!AI472</f>
        <v>0</v>
      </c>
    </row>
    <row r="473" spans="1:76" s="24" customFormat="1">
      <c r="A473" s="51" t="s">
        <v>409</v>
      </c>
      <c r="B473" s="51"/>
      <c r="C473" s="51" t="s">
        <v>46</v>
      </c>
      <c r="D473" s="51"/>
      <c r="E473" s="51">
        <v>48439</v>
      </c>
      <c r="G473" s="24">
        <v>3166542</v>
      </c>
      <c r="I473" s="24">
        <v>708303</v>
      </c>
      <c r="K473" s="24">
        <v>200052</v>
      </c>
      <c r="M473" s="24">
        <v>0</v>
      </c>
      <c r="O473" s="24">
        <f>5850+1109802</f>
        <v>1115652</v>
      </c>
      <c r="Q473" s="24">
        <v>251980</v>
      </c>
      <c r="S473" s="24">
        <v>277014</v>
      </c>
      <c r="U473" s="24">
        <v>47601</v>
      </c>
      <c r="W473" s="24">
        <v>672832</v>
      </c>
      <c r="Y473" s="24">
        <v>256923</v>
      </c>
      <c r="AA473" s="24">
        <v>0</v>
      </c>
      <c r="AC473" s="24">
        <v>662638</v>
      </c>
      <c r="AE473" s="24">
        <v>482317</v>
      </c>
      <c r="AG473" s="24">
        <v>33707</v>
      </c>
      <c r="AI473" s="24">
        <v>389787</v>
      </c>
      <c r="AK473" s="24">
        <v>0</v>
      </c>
      <c r="AL473" s="51" t="s">
        <v>409</v>
      </c>
      <c r="AM473" s="51"/>
      <c r="AN473" s="51" t="s">
        <v>46</v>
      </c>
      <c r="AP473" s="24">
        <v>183524</v>
      </c>
      <c r="AR473" s="24">
        <v>222202</v>
      </c>
      <c r="AT473" s="24">
        <v>0</v>
      </c>
      <c r="AV473" s="24">
        <v>154011</v>
      </c>
      <c r="AX473" s="24">
        <v>19571</v>
      </c>
      <c r="AZ473" s="24">
        <v>0</v>
      </c>
      <c r="BB473" s="64">
        <f t="shared" si="63"/>
        <v>8844656</v>
      </c>
      <c r="BD473" s="24">
        <v>0</v>
      </c>
      <c r="BF473" s="24">
        <v>0</v>
      </c>
      <c r="BH473" s="24">
        <v>0</v>
      </c>
      <c r="BJ473" s="24">
        <v>0</v>
      </c>
      <c r="BL473" s="64">
        <f t="shared" si="61"/>
        <v>8844656</v>
      </c>
      <c r="BN473" s="64">
        <f>'Gov Fd Rev'!AQ473-'Gov Fd Exp'!BL473</f>
        <v>-160214</v>
      </c>
      <c r="BP473" s="24">
        <v>3473090</v>
      </c>
      <c r="BR473" s="24">
        <v>0</v>
      </c>
      <c r="BT473" s="24">
        <v>0</v>
      </c>
      <c r="BV473" s="64">
        <f t="shared" si="62"/>
        <v>3312876</v>
      </c>
      <c r="BW473" s="64"/>
      <c r="BX473" s="64">
        <f>BV473-'Gov Fd BS'!AI473</f>
        <v>0</v>
      </c>
    </row>
    <row r="474" spans="1:76" hidden="1">
      <c r="A474" s="9" t="s">
        <v>885</v>
      </c>
      <c r="B474" s="9"/>
      <c r="C474" s="9" t="s">
        <v>337</v>
      </c>
      <c r="D474" s="9"/>
      <c r="E474" s="23">
        <v>47506</v>
      </c>
      <c r="G474" s="42">
        <v>0</v>
      </c>
      <c r="I474" s="42">
        <v>0</v>
      </c>
      <c r="K474" s="42">
        <v>0</v>
      </c>
      <c r="M474" s="42">
        <v>0</v>
      </c>
      <c r="O474" s="42">
        <v>0</v>
      </c>
      <c r="Q474" s="42">
        <v>0</v>
      </c>
      <c r="S474" s="42">
        <v>0</v>
      </c>
      <c r="U474" s="42">
        <v>0</v>
      </c>
      <c r="W474" s="42">
        <v>0</v>
      </c>
      <c r="Y474" s="42">
        <v>0</v>
      </c>
      <c r="AA474" s="42">
        <v>0</v>
      </c>
      <c r="AC474" s="42">
        <v>0</v>
      </c>
      <c r="AE474" s="42">
        <v>0</v>
      </c>
      <c r="AG474" s="42">
        <v>0</v>
      </c>
      <c r="AI474" s="42">
        <v>0</v>
      </c>
      <c r="AK474" s="42">
        <v>0</v>
      </c>
      <c r="AL474" s="9" t="s">
        <v>885</v>
      </c>
      <c r="AM474" s="9"/>
      <c r="AN474" s="9" t="s">
        <v>337</v>
      </c>
      <c r="AP474" s="42">
        <v>0</v>
      </c>
      <c r="AR474" s="42">
        <v>0</v>
      </c>
      <c r="AT474" s="42">
        <v>0</v>
      </c>
      <c r="AV474" s="42">
        <v>0</v>
      </c>
      <c r="AX474" s="42">
        <v>0</v>
      </c>
      <c r="AZ474" s="42">
        <v>0</v>
      </c>
      <c r="BB474" s="5">
        <f t="shared" si="63"/>
        <v>0</v>
      </c>
      <c r="BD474" s="42">
        <v>0</v>
      </c>
      <c r="BF474" s="42">
        <v>0</v>
      </c>
      <c r="BH474" s="42">
        <v>0</v>
      </c>
      <c r="BJ474" s="42">
        <v>0</v>
      </c>
      <c r="BL474" s="5">
        <f t="shared" si="61"/>
        <v>0</v>
      </c>
      <c r="BN474" s="5">
        <f>'Gov Fd Rev'!AQ474-'Gov Fd Exp'!BL474</f>
        <v>0</v>
      </c>
      <c r="BP474" s="42">
        <v>0</v>
      </c>
      <c r="BR474" s="42">
        <v>0</v>
      </c>
      <c r="BT474" s="42">
        <v>0</v>
      </c>
      <c r="BV474" s="5">
        <f t="shared" si="62"/>
        <v>0</v>
      </c>
      <c r="BW474" s="5"/>
      <c r="BX474" s="5">
        <f>BV474-'Gov Fd BS'!AI474</f>
        <v>0</v>
      </c>
    </row>
    <row r="475" spans="1:76">
      <c r="A475" s="9" t="s">
        <v>252</v>
      </c>
      <c r="B475" s="9"/>
      <c r="C475" s="9" t="s">
        <v>19</v>
      </c>
      <c r="D475" s="9"/>
      <c r="E475" s="23">
        <v>46474</v>
      </c>
      <c r="G475" s="42">
        <v>4966159</v>
      </c>
      <c r="I475" s="42">
        <v>1032128</v>
      </c>
      <c r="K475" s="42">
        <v>246510</v>
      </c>
      <c r="M475" s="42">
        <v>0</v>
      </c>
      <c r="O475" s="42">
        <v>36676</v>
      </c>
      <c r="Q475" s="42">
        <v>462195</v>
      </c>
      <c r="S475" s="42">
        <v>642618</v>
      </c>
      <c r="U475" s="42">
        <v>30491</v>
      </c>
      <c r="W475" s="42">
        <v>638788</v>
      </c>
      <c r="Y475" s="42">
        <v>364435</v>
      </c>
      <c r="AA475" s="42">
        <v>32635</v>
      </c>
      <c r="AC475" s="42">
        <v>1332963</v>
      </c>
      <c r="AE475" s="42">
        <v>851226</v>
      </c>
      <c r="AG475" s="42">
        <v>3558</v>
      </c>
      <c r="AI475" s="42">
        <v>656338</v>
      </c>
      <c r="AK475" s="42">
        <v>0</v>
      </c>
      <c r="AL475" s="9" t="s">
        <v>252</v>
      </c>
      <c r="AM475" s="9"/>
      <c r="AN475" s="9" t="s">
        <v>19</v>
      </c>
      <c r="AP475" s="42">
        <v>426161</v>
      </c>
      <c r="AR475" s="42">
        <v>0</v>
      </c>
      <c r="AT475" s="42">
        <v>0</v>
      </c>
      <c r="AV475" s="42">
        <v>250157</v>
      </c>
      <c r="AX475" s="42">
        <v>104338</v>
      </c>
      <c r="AZ475" s="42">
        <v>0</v>
      </c>
      <c r="BB475" s="5">
        <f t="shared" si="63"/>
        <v>12077376</v>
      </c>
      <c r="BD475" s="42">
        <v>0</v>
      </c>
      <c r="BF475" s="42">
        <v>0</v>
      </c>
      <c r="BH475" s="42">
        <v>0</v>
      </c>
      <c r="BJ475" s="42">
        <v>0</v>
      </c>
      <c r="BL475" s="5">
        <f t="shared" si="61"/>
        <v>12077376</v>
      </c>
      <c r="BN475" s="5">
        <f>'Gov Fd Rev'!AQ475-'Gov Fd Exp'!BL475</f>
        <v>361575</v>
      </c>
      <c r="BP475" s="42">
        <v>4083136</v>
      </c>
      <c r="BR475" s="42">
        <v>0</v>
      </c>
      <c r="BT475" s="42">
        <v>0</v>
      </c>
      <c r="BV475" s="5">
        <f t="shared" si="62"/>
        <v>4444711</v>
      </c>
      <c r="BW475" s="5"/>
      <c r="BX475" s="5">
        <f>BV475-'Gov Fd BS'!AI475</f>
        <v>0</v>
      </c>
    </row>
    <row r="476" spans="1:76" hidden="1">
      <c r="A476" s="9" t="s">
        <v>820</v>
      </c>
      <c r="B476" s="9"/>
      <c r="C476" s="9" t="s">
        <v>77</v>
      </c>
      <c r="D476" s="9"/>
      <c r="E476" s="23">
        <v>46078</v>
      </c>
      <c r="G476" s="42">
        <v>0</v>
      </c>
      <c r="I476" s="42">
        <v>0</v>
      </c>
      <c r="K476" s="42">
        <v>0</v>
      </c>
      <c r="M476" s="42">
        <v>0</v>
      </c>
      <c r="O476" s="42">
        <v>0</v>
      </c>
      <c r="Q476" s="42">
        <v>0</v>
      </c>
      <c r="S476" s="42">
        <v>0</v>
      </c>
      <c r="U476" s="42">
        <v>0</v>
      </c>
      <c r="W476" s="42">
        <v>0</v>
      </c>
      <c r="Y476" s="42">
        <v>0</v>
      </c>
      <c r="AA476" s="42">
        <v>0</v>
      </c>
      <c r="AC476" s="42">
        <v>0</v>
      </c>
      <c r="AE476" s="42">
        <v>0</v>
      </c>
      <c r="AG476" s="42">
        <v>0</v>
      </c>
      <c r="AI476" s="42">
        <v>0</v>
      </c>
      <c r="AK476" s="42">
        <v>0</v>
      </c>
      <c r="AL476" s="9" t="s">
        <v>820</v>
      </c>
      <c r="AM476" s="9"/>
      <c r="AN476" s="9" t="s">
        <v>77</v>
      </c>
      <c r="AP476" s="42">
        <v>0</v>
      </c>
      <c r="AR476" s="42">
        <v>0</v>
      </c>
      <c r="AT476" s="42">
        <v>0</v>
      </c>
      <c r="AV476" s="42">
        <v>0</v>
      </c>
      <c r="AX476" s="42">
        <v>0</v>
      </c>
      <c r="AZ476" s="42">
        <v>0</v>
      </c>
      <c r="BB476" s="5">
        <f t="shared" si="63"/>
        <v>0</v>
      </c>
      <c r="BD476" s="42">
        <v>0</v>
      </c>
      <c r="BF476" s="42">
        <v>0</v>
      </c>
      <c r="BH476" s="42">
        <v>0</v>
      </c>
      <c r="BJ476" s="42">
        <v>0</v>
      </c>
      <c r="BL476" s="5">
        <f t="shared" si="61"/>
        <v>0</v>
      </c>
      <c r="BN476" s="5">
        <f>'Gov Fd Rev'!AQ476-'Gov Fd Exp'!BL476</f>
        <v>0</v>
      </c>
      <c r="BP476" s="42">
        <v>0</v>
      </c>
      <c r="BR476" s="42">
        <v>0</v>
      </c>
      <c r="BT476" s="42">
        <v>0</v>
      </c>
      <c r="BV476" s="5">
        <f t="shared" si="62"/>
        <v>0</v>
      </c>
      <c r="BW476" s="5"/>
      <c r="BX476" s="5">
        <f>BV476-'Gov Fd BS'!AI476</f>
        <v>0</v>
      </c>
    </row>
    <row r="477" spans="1:76" hidden="1">
      <c r="A477" s="9" t="s">
        <v>821</v>
      </c>
      <c r="B477" s="9"/>
      <c r="C477" s="9" t="s">
        <v>71</v>
      </c>
      <c r="D477" s="9"/>
      <c r="E477" s="23">
        <v>45591</v>
      </c>
      <c r="G477" s="42">
        <v>0</v>
      </c>
      <c r="I477" s="42">
        <v>0</v>
      </c>
      <c r="K477" s="42">
        <v>0</v>
      </c>
      <c r="M477" s="42">
        <v>0</v>
      </c>
      <c r="O477" s="42">
        <v>0</v>
      </c>
      <c r="Q477" s="42">
        <v>0</v>
      </c>
      <c r="S477" s="42">
        <v>0</v>
      </c>
      <c r="U477" s="42">
        <v>0</v>
      </c>
      <c r="W477" s="42">
        <v>0</v>
      </c>
      <c r="Y477" s="42">
        <v>0</v>
      </c>
      <c r="AA477" s="42">
        <v>0</v>
      </c>
      <c r="AC477" s="42">
        <v>0</v>
      </c>
      <c r="AE477" s="42">
        <v>0</v>
      </c>
      <c r="AG477" s="42">
        <v>0</v>
      </c>
      <c r="AI477" s="42">
        <v>0</v>
      </c>
      <c r="AK477" s="42">
        <v>0</v>
      </c>
      <c r="AL477" s="9" t="s">
        <v>821</v>
      </c>
      <c r="AM477" s="9"/>
      <c r="AN477" s="9" t="s">
        <v>71</v>
      </c>
      <c r="AP477" s="42">
        <v>0</v>
      </c>
      <c r="AR477" s="42">
        <v>0</v>
      </c>
      <c r="AT477" s="42">
        <v>0</v>
      </c>
      <c r="AV477" s="42">
        <v>0</v>
      </c>
      <c r="AX477" s="42">
        <v>0</v>
      </c>
      <c r="AZ477" s="42">
        <v>0</v>
      </c>
      <c r="BB477" s="5">
        <f t="shared" si="63"/>
        <v>0</v>
      </c>
      <c r="BD477" s="42">
        <v>0</v>
      </c>
      <c r="BF477" s="42">
        <v>0</v>
      </c>
      <c r="BH477" s="42">
        <v>0</v>
      </c>
      <c r="BJ477" s="42">
        <v>0</v>
      </c>
      <c r="BL477" s="5">
        <f t="shared" si="61"/>
        <v>0</v>
      </c>
      <c r="BN477" s="5">
        <f>'Gov Fd Rev'!AQ477-'Gov Fd Exp'!BL477</f>
        <v>0</v>
      </c>
      <c r="BP477" s="42">
        <v>0</v>
      </c>
      <c r="BR477" s="42">
        <v>0</v>
      </c>
      <c r="BT477" s="42">
        <v>0</v>
      </c>
      <c r="BV477" s="5">
        <f t="shared" si="62"/>
        <v>0</v>
      </c>
      <c r="BW477" s="5"/>
      <c r="BX477" s="5">
        <f>BV477-'Gov Fd BS'!AI477</f>
        <v>0</v>
      </c>
    </row>
    <row r="478" spans="1:76">
      <c r="A478" s="9" t="s">
        <v>410</v>
      </c>
      <c r="B478" s="9"/>
      <c r="C478" s="9" t="s">
        <v>46</v>
      </c>
      <c r="D478" s="9"/>
      <c r="E478" s="23">
        <v>48447</v>
      </c>
      <c r="G478" s="42">
        <v>8317414</v>
      </c>
      <c r="I478" s="42">
        <v>1568168</v>
      </c>
      <c r="K478" s="42">
        <v>270326</v>
      </c>
      <c r="M478" s="42">
        <v>0</v>
      </c>
      <c r="O478" s="42">
        <v>0</v>
      </c>
      <c r="Q478" s="42">
        <v>469466</v>
      </c>
      <c r="S478" s="42">
        <v>1027322</v>
      </c>
      <c r="U478" s="42">
        <v>26741</v>
      </c>
      <c r="W478" s="42">
        <v>1512214</v>
      </c>
      <c r="Y478" s="42">
        <v>456153</v>
      </c>
      <c r="AA478" s="42">
        <v>87623</v>
      </c>
      <c r="AC478" s="42">
        <v>1644793</v>
      </c>
      <c r="AE478" s="42">
        <v>1075890</v>
      </c>
      <c r="AG478" s="42">
        <v>80307</v>
      </c>
      <c r="AI478" s="42">
        <v>0</v>
      </c>
      <c r="AK478" s="42">
        <v>0</v>
      </c>
      <c r="AL478" s="9" t="s">
        <v>410</v>
      </c>
      <c r="AM478" s="9"/>
      <c r="AN478" s="9" t="s">
        <v>46</v>
      </c>
      <c r="AP478" s="42">
        <v>386970</v>
      </c>
      <c r="AR478" s="42">
        <v>178056</v>
      </c>
      <c r="AT478" s="42">
        <v>0</v>
      </c>
      <c r="AV478" s="42">
        <v>978844</v>
      </c>
      <c r="AX478" s="42">
        <v>533195</v>
      </c>
      <c r="AZ478" s="42">
        <v>0</v>
      </c>
      <c r="BB478" s="5">
        <f t="shared" si="63"/>
        <v>18613482</v>
      </c>
      <c r="BD478" s="42">
        <v>45873</v>
      </c>
      <c r="BF478" s="42">
        <v>0</v>
      </c>
      <c r="BH478" s="42">
        <v>0</v>
      </c>
      <c r="BJ478" s="42">
        <v>0</v>
      </c>
      <c r="BL478" s="5">
        <f t="shared" si="61"/>
        <v>18659355</v>
      </c>
      <c r="BN478" s="5">
        <f>'Gov Fd Rev'!AQ478-'Gov Fd Exp'!BL478</f>
        <v>-887721</v>
      </c>
      <c r="BP478" s="42">
        <v>5364611</v>
      </c>
      <c r="BR478" s="42">
        <v>0</v>
      </c>
      <c r="BT478" s="42">
        <v>0</v>
      </c>
      <c r="BV478" s="5">
        <f t="shared" si="62"/>
        <v>4476890</v>
      </c>
      <c r="BW478" s="5"/>
      <c r="BX478" s="5">
        <f>BV478-'Gov Fd BS'!AI478</f>
        <v>0</v>
      </c>
    </row>
    <row r="479" spans="1:76">
      <c r="A479" s="9" t="s">
        <v>253</v>
      </c>
      <c r="B479" s="9"/>
      <c r="C479" s="9" t="s">
        <v>19</v>
      </c>
      <c r="D479" s="9"/>
      <c r="E479" s="23">
        <v>46482</v>
      </c>
      <c r="G479" s="42">
        <v>9636410</v>
      </c>
      <c r="I479" s="42">
        <v>2598268</v>
      </c>
      <c r="K479" s="42">
        <v>390019</v>
      </c>
      <c r="M479" s="42">
        <v>0</v>
      </c>
      <c r="O479" s="42">
        <v>0</v>
      </c>
      <c r="Q479" s="42">
        <v>878328</v>
      </c>
      <c r="S479" s="42">
        <v>1787765</v>
      </c>
      <c r="U479" s="42">
        <v>148388</v>
      </c>
      <c r="W479" s="42">
        <v>1578891</v>
      </c>
      <c r="Y479" s="42">
        <v>608813</v>
      </c>
      <c r="AA479" s="42">
        <v>0</v>
      </c>
      <c r="AC479" s="42">
        <v>2185204</v>
      </c>
      <c r="AE479" s="42">
        <v>1983721</v>
      </c>
      <c r="AG479" s="42">
        <v>405405</v>
      </c>
      <c r="AI479" s="42">
        <v>943828</v>
      </c>
      <c r="AK479" s="42">
        <v>40804</v>
      </c>
      <c r="AL479" s="9" t="s">
        <v>253</v>
      </c>
      <c r="AM479" s="9"/>
      <c r="AN479" s="9" t="s">
        <v>19</v>
      </c>
      <c r="AP479" s="42">
        <v>408438</v>
      </c>
      <c r="AR479" s="42">
        <v>0</v>
      </c>
      <c r="AT479" s="42">
        <v>0</v>
      </c>
      <c r="AV479" s="42">
        <v>169674</v>
      </c>
      <c r="AX479" s="42">
        <v>52240</v>
      </c>
      <c r="AZ479" s="42">
        <v>0</v>
      </c>
      <c r="BB479" s="5">
        <f t="shared" si="63"/>
        <v>23816196</v>
      </c>
      <c r="BD479" s="42">
        <v>7015</v>
      </c>
      <c r="BF479" s="42">
        <v>0</v>
      </c>
      <c r="BH479" s="42">
        <v>0</v>
      </c>
      <c r="BJ479" s="42">
        <v>0</v>
      </c>
      <c r="BL479" s="5">
        <f t="shared" si="61"/>
        <v>23823211</v>
      </c>
      <c r="BN479" s="5">
        <f>'Gov Fd Rev'!AQ479-'Gov Fd Exp'!BL479</f>
        <v>-399988</v>
      </c>
      <c r="BP479" s="42">
        <v>6888033</v>
      </c>
      <c r="BR479" s="42">
        <v>0</v>
      </c>
      <c r="BT479" s="42">
        <v>0</v>
      </c>
      <c r="BV479" s="5">
        <f t="shared" si="62"/>
        <v>6488045</v>
      </c>
      <c r="BW479" s="5"/>
      <c r="BX479" s="5">
        <f>BV479-'Gov Fd BS'!AI479</f>
        <v>0</v>
      </c>
    </row>
    <row r="480" spans="1:76" hidden="1">
      <c r="A480" s="9" t="s">
        <v>822</v>
      </c>
      <c r="B480" s="9"/>
      <c r="C480" s="9" t="s">
        <v>337</v>
      </c>
      <c r="D480" s="9"/>
      <c r="E480" s="23">
        <v>47514</v>
      </c>
      <c r="G480" s="42">
        <v>0</v>
      </c>
      <c r="I480" s="42">
        <v>0</v>
      </c>
      <c r="K480" s="42">
        <v>0</v>
      </c>
      <c r="M480" s="42">
        <v>0</v>
      </c>
      <c r="O480" s="42">
        <v>0</v>
      </c>
      <c r="Q480" s="42">
        <v>0</v>
      </c>
      <c r="S480" s="42">
        <v>0</v>
      </c>
      <c r="U480" s="42">
        <v>0</v>
      </c>
      <c r="W480" s="42">
        <v>0</v>
      </c>
      <c r="Y480" s="42">
        <v>0</v>
      </c>
      <c r="AA480" s="42">
        <v>0</v>
      </c>
      <c r="AC480" s="42">
        <v>0</v>
      </c>
      <c r="AE480" s="42">
        <v>0</v>
      </c>
      <c r="AG480" s="42">
        <v>0</v>
      </c>
      <c r="AI480" s="42">
        <v>0</v>
      </c>
      <c r="AK480" s="42">
        <v>0</v>
      </c>
      <c r="AL480" s="9" t="s">
        <v>822</v>
      </c>
      <c r="AM480" s="9"/>
      <c r="AN480" s="9" t="s">
        <v>337</v>
      </c>
      <c r="AP480" s="42">
        <v>0</v>
      </c>
      <c r="AR480" s="42">
        <v>0</v>
      </c>
      <c r="AT480" s="42">
        <v>0</v>
      </c>
      <c r="AV480" s="42">
        <v>0</v>
      </c>
      <c r="AX480" s="42">
        <v>0</v>
      </c>
      <c r="AZ480" s="42">
        <v>0</v>
      </c>
      <c r="BB480" s="5">
        <f t="shared" si="63"/>
        <v>0</v>
      </c>
      <c r="BD480" s="42">
        <v>0</v>
      </c>
      <c r="BF480" s="42">
        <v>0</v>
      </c>
      <c r="BH480" s="42">
        <v>0</v>
      </c>
      <c r="BJ480" s="42">
        <v>0</v>
      </c>
      <c r="BL480" s="5">
        <f t="shared" si="61"/>
        <v>0</v>
      </c>
      <c r="BN480" s="5">
        <f>'Gov Fd Rev'!AQ480-'Gov Fd Exp'!BL480</f>
        <v>0</v>
      </c>
      <c r="BP480" s="42">
        <v>0</v>
      </c>
      <c r="BR480" s="42">
        <v>0</v>
      </c>
      <c r="BT480" s="42">
        <v>0</v>
      </c>
      <c r="BV480" s="5">
        <f t="shared" si="62"/>
        <v>0</v>
      </c>
      <c r="BW480" s="5"/>
      <c r="BX480" s="5">
        <f>BV480-'Gov Fd BS'!AI480</f>
        <v>0</v>
      </c>
    </row>
    <row r="481" spans="1:76">
      <c r="A481" s="9" t="s">
        <v>377</v>
      </c>
      <c r="B481" s="9"/>
      <c r="C481" s="9" t="s">
        <v>41</v>
      </c>
      <c r="D481" s="9"/>
      <c r="E481" s="23">
        <v>47894</v>
      </c>
      <c r="G481" s="42">
        <v>19616858</v>
      </c>
      <c r="I481" s="42">
        <v>4106838</v>
      </c>
      <c r="K481" s="42">
        <v>0</v>
      </c>
      <c r="M481" s="42">
        <v>0</v>
      </c>
      <c r="O481" s="42">
        <v>5937</v>
      </c>
      <c r="Q481" s="42">
        <v>1978956</v>
      </c>
      <c r="S481" s="42">
        <v>1368267</v>
      </c>
      <c r="U481" s="42">
        <v>36483</v>
      </c>
      <c r="W481" s="42">
        <v>4215832</v>
      </c>
      <c r="Y481" s="42">
        <v>1092686</v>
      </c>
      <c r="AA481" s="42">
        <v>0</v>
      </c>
      <c r="AC481" s="42">
        <v>2968936</v>
      </c>
      <c r="AE481" s="42">
        <v>3206371</v>
      </c>
      <c r="AG481" s="42">
        <v>61762</v>
      </c>
      <c r="AI481" s="42">
        <v>40807</v>
      </c>
      <c r="AK481" s="42">
        <v>33507</v>
      </c>
      <c r="AL481" s="9" t="s">
        <v>377</v>
      </c>
      <c r="AM481" s="9"/>
      <c r="AN481" s="9" t="s">
        <v>41</v>
      </c>
      <c r="AP481" s="42">
        <v>654611</v>
      </c>
      <c r="AR481" s="42">
        <v>4009765</v>
      </c>
      <c r="AT481" s="42">
        <v>0</v>
      </c>
      <c r="AV481" s="42">
        <v>1242098</v>
      </c>
      <c r="AX481" s="42">
        <v>166510</v>
      </c>
      <c r="AZ481" s="42">
        <v>0</v>
      </c>
      <c r="BB481" s="5">
        <f t="shared" si="63"/>
        <v>44806224</v>
      </c>
      <c r="BD481" s="42">
        <v>62180</v>
      </c>
      <c r="BF481" s="42">
        <v>0</v>
      </c>
      <c r="BH481" s="42">
        <v>0</v>
      </c>
      <c r="BJ481" s="42">
        <v>0</v>
      </c>
      <c r="BL481" s="5">
        <f t="shared" si="61"/>
        <v>44868404</v>
      </c>
      <c r="BN481" s="5">
        <f>'Gov Fd Rev'!AQ481-'Gov Fd Exp'!BL481</f>
        <v>-1404529</v>
      </c>
      <c r="BP481" s="42">
        <v>3092854</v>
      </c>
      <c r="BR481" s="42">
        <v>0</v>
      </c>
      <c r="BT481" s="42">
        <v>0</v>
      </c>
      <c r="BV481" s="5">
        <f t="shared" si="62"/>
        <v>1688325</v>
      </c>
      <c r="BW481" s="5"/>
      <c r="BX481" s="5">
        <f>BV481-'Gov Fd BS'!AI481</f>
        <v>0</v>
      </c>
    </row>
    <row r="482" spans="1:76">
      <c r="A482" s="9" t="s">
        <v>377</v>
      </c>
      <c r="B482" s="9"/>
      <c r="C482" s="9" t="s">
        <v>43</v>
      </c>
      <c r="D482" s="9"/>
      <c r="E482" s="23">
        <v>48090</v>
      </c>
      <c r="G482" s="42">
        <v>3348945</v>
      </c>
      <c r="I482" s="42">
        <v>1129192</v>
      </c>
      <c r="K482" s="42">
        <v>137769</v>
      </c>
      <c r="M482" s="42">
        <v>0</v>
      </c>
      <c r="O482" s="42">
        <v>0</v>
      </c>
      <c r="Q482" s="42">
        <v>192094</v>
      </c>
      <c r="S482" s="42">
        <v>194426</v>
      </c>
      <c r="U482" s="42">
        <v>14311</v>
      </c>
      <c r="W482" s="42">
        <v>427036</v>
      </c>
      <c r="Y482" s="42">
        <v>280112</v>
      </c>
      <c r="AA482" s="42">
        <v>1280</v>
      </c>
      <c r="AC482" s="42">
        <v>771972</v>
      </c>
      <c r="AE482" s="42">
        <v>420461</v>
      </c>
      <c r="AG482" s="42">
        <v>0</v>
      </c>
      <c r="AI482" s="42">
        <v>355397</v>
      </c>
      <c r="AK482" s="42">
        <v>500</v>
      </c>
      <c r="AL482" s="9" t="s">
        <v>377</v>
      </c>
      <c r="AM482" s="9"/>
      <c r="AN482" s="9" t="s">
        <v>43</v>
      </c>
      <c r="AP482" s="42">
        <v>203662</v>
      </c>
      <c r="AR482" s="42">
        <v>158707</v>
      </c>
      <c r="AT482" s="42">
        <v>0</v>
      </c>
      <c r="AV482" s="42">
        <v>189393</v>
      </c>
      <c r="AX482" s="42">
        <v>60360</v>
      </c>
      <c r="AZ482" s="42">
        <v>0</v>
      </c>
      <c r="BB482" s="5">
        <f t="shared" si="63"/>
        <v>7885617</v>
      </c>
      <c r="BD482" s="42">
        <v>3</v>
      </c>
      <c r="BF482" s="42">
        <v>0</v>
      </c>
      <c r="BH482" s="42">
        <v>0</v>
      </c>
      <c r="BJ482" s="42">
        <v>0</v>
      </c>
      <c r="BL482" s="5">
        <f t="shared" si="61"/>
        <v>7885620</v>
      </c>
      <c r="BN482" s="5">
        <f>'Gov Fd Rev'!AQ482-'Gov Fd Exp'!BL482</f>
        <v>838572</v>
      </c>
      <c r="BP482" s="42">
        <v>1033005</v>
      </c>
      <c r="BR482" s="42">
        <v>0</v>
      </c>
      <c r="BT482" s="42">
        <v>0</v>
      </c>
      <c r="BV482" s="5">
        <f t="shared" si="62"/>
        <v>1871577</v>
      </c>
      <c r="BW482" s="5"/>
      <c r="BX482" s="5">
        <f>BV482-'Gov Fd BS'!AI482</f>
        <v>0</v>
      </c>
    </row>
    <row r="483" spans="1:76">
      <c r="A483" s="9" t="s">
        <v>368</v>
      </c>
      <c r="B483" s="9"/>
      <c r="C483" s="9" t="s">
        <v>364</v>
      </c>
      <c r="D483" s="9"/>
      <c r="E483" s="23">
        <v>47944</v>
      </c>
      <c r="G483" s="42">
        <v>6724938</v>
      </c>
      <c r="I483" s="42">
        <v>2416587</v>
      </c>
      <c r="K483" s="42">
        <v>218106</v>
      </c>
      <c r="M483" s="42">
        <v>0</v>
      </c>
      <c r="O483" s="42">
        <v>1846296</v>
      </c>
      <c r="Q483" s="42">
        <v>824197</v>
      </c>
      <c r="S483" s="42">
        <v>423581</v>
      </c>
      <c r="U483" s="42">
        <v>358646</v>
      </c>
      <c r="W483" s="42">
        <v>1211523</v>
      </c>
      <c r="Y483" s="42">
        <v>351787</v>
      </c>
      <c r="AA483" s="42">
        <v>0</v>
      </c>
      <c r="AC483" s="42">
        <v>2375602</v>
      </c>
      <c r="AE483" s="42">
        <v>1144875</v>
      </c>
      <c r="AG483" s="42">
        <v>132690</v>
      </c>
      <c r="AI483" s="42">
        <v>0</v>
      </c>
      <c r="AK483" s="42">
        <v>845426</v>
      </c>
      <c r="AL483" s="9" t="s">
        <v>368</v>
      </c>
      <c r="AM483" s="9"/>
      <c r="AN483" s="9" t="s">
        <v>364</v>
      </c>
      <c r="AP483" s="42">
        <v>338337</v>
      </c>
      <c r="AR483" s="42">
        <v>2696456</v>
      </c>
      <c r="AT483" s="42">
        <v>0</v>
      </c>
      <c r="AV483" s="42">
        <v>295000</v>
      </c>
      <c r="AX483" s="42">
        <v>74646</v>
      </c>
      <c r="AZ483" s="42">
        <v>0</v>
      </c>
      <c r="BB483" s="5">
        <f t="shared" si="63"/>
        <v>22278693</v>
      </c>
      <c r="BD483" s="42">
        <v>170000</v>
      </c>
      <c r="BF483" s="42">
        <v>0</v>
      </c>
      <c r="BH483" s="42">
        <v>0</v>
      </c>
      <c r="BJ483" s="42">
        <v>0</v>
      </c>
      <c r="BL483" s="5">
        <f t="shared" si="61"/>
        <v>22448693</v>
      </c>
      <c r="BN483" s="5">
        <f>'Gov Fd Rev'!AQ483-'Gov Fd Exp'!BL483</f>
        <v>-1536157</v>
      </c>
      <c r="BP483" s="42">
        <v>7737837</v>
      </c>
      <c r="BR483" s="42">
        <v>0</v>
      </c>
      <c r="BT483" s="42">
        <v>0</v>
      </c>
      <c r="BV483" s="5">
        <f t="shared" si="62"/>
        <v>6201680</v>
      </c>
      <c r="BW483" s="5"/>
      <c r="BX483" s="5">
        <f>BV483-'Gov Fd BS'!AI483</f>
        <v>0</v>
      </c>
    </row>
    <row r="484" spans="1:76">
      <c r="A484" s="9" t="s">
        <v>707</v>
      </c>
      <c r="B484" s="9"/>
      <c r="C484" s="9" t="s">
        <v>20</v>
      </c>
      <c r="D484" s="9"/>
      <c r="E484" s="23">
        <v>44701</v>
      </c>
      <c r="G484" s="42">
        <v>15372846</v>
      </c>
      <c r="I484" s="42">
        <v>4334903</v>
      </c>
      <c r="K484" s="42">
        <v>509236</v>
      </c>
      <c r="M484" s="42">
        <v>0</v>
      </c>
      <c r="O484" s="42">
        <v>39439</v>
      </c>
      <c r="Q484" s="42">
        <v>2194626</v>
      </c>
      <c r="S484" s="42">
        <v>1419784</v>
      </c>
      <c r="U484" s="42">
        <v>32012</v>
      </c>
      <c r="W484" s="42">
        <v>1879234</v>
      </c>
      <c r="Y484" s="42">
        <v>974167</v>
      </c>
      <c r="AA484" s="42">
        <v>597525</v>
      </c>
      <c r="AC484" s="42">
        <v>3649831</v>
      </c>
      <c r="AE484" s="42">
        <v>1635614</v>
      </c>
      <c r="AG484" s="42">
        <v>766496</v>
      </c>
      <c r="AI484" s="42">
        <v>419234</v>
      </c>
      <c r="AK484" s="42">
        <v>1627731</v>
      </c>
      <c r="AL484" s="9" t="s">
        <v>707</v>
      </c>
      <c r="AM484" s="9"/>
      <c r="AN484" s="9" t="s">
        <v>20</v>
      </c>
      <c r="AP484" s="42">
        <v>1496981</v>
      </c>
      <c r="AR484" s="42">
        <v>14273590</v>
      </c>
      <c r="AT484" s="42">
        <v>0</v>
      </c>
      <c r="AV484" s="42">
        <v>1758871</v>
      </c>
      <c r="AX484" s="42">
        <v>2921922</v>
      </c>
      <c r="AZ484" s="42">
        <v>0</v>
      </c>
      <c r="BB484" s="5">
        <f t="shared" si="63"/>
        <v>55904042</v>
      </c>
      <c r="BD484" s="42">
        <v>60000</v>
      </c>
      <c r="BF484" s="42">
        <v>0</v>
      </c>
      <c r="BH484" s="42">
        <v>0</v>
      </c>
      <c r="BJ484" s="42">
        <v>0</v>
      </c>
      <c r="BL484" s="5">
        <f t="shared" si="61"/>
        <v>55964042</v>
      </c>
      <c r="BN484" s="5">
        <f>'Gov Fd Rev'!AQ484-'Gov Fd Exp'!BL484</f>
        <v>-12968403</v>
      </c>
      <c r="BP484" s="42">
        <v>25015926</v>
      </c>
      <c r="BR484" s="42">
        <v>0</v>
      </c>
      <c r="BT484" s="42">
        <v>0</v>
      </c>
      <c r="BV484" s="5">
        <f t="shared" si="62"/>
        <v>12047523</v>
      </c>
      <c r="BW484" s="5"/>
      <c r="BX484" s="5">
        <f>BV484-'Gov Fd BS'!AI484</f>
        <v>0</v>
      </c>
    </row>
    <row r="485" spans="1:76">
      <c r="A485" s="9" t="s">
        <v>319</v>
      </c>
      <c r="B485" s="9"/>
      <c r="C485" s="9" t="s">
        <v>31</v>
      </c>
      <c r="D485" s="9"/>
      <c r="E485" s="23">
        <v>47308</v>
      </c>
      <c r="G485" s="42">
        <v>7870521</v>
      </c>
      <c r="I485" s="42">
        <v>2335330</v>
      </c>
      <c r="K485" s="42">
        <v>219235</v>
      </c>
      <c r="M485" s="42">
        <v>0</v>
      </c>
      <c r="O485" s="42">
        <v>1461856</v>
      </c>
      <c r="Q485" s="42">
        <v>549195</v>
      </c>
      <c r="S485" s="42">
        <v>1163377</v>
      </c>
      <c r="U485" s="42">
        <v>27683</v>
      </c>
      <c r="W485" s="42">
        <v>1505146</v>
      </c>
      <c r="Y485" s="42">
        <v>641126</v>
      </c>
      <c r="AA485" s="42">
        <v>0</v>
      </c>
      <c r="AC485" s="42">
        <v>1481276</v>
      </c>
      <c r="AE485" s="42">
        <v>870427</v>
      </c>
      <c r="AG485" s="42">
        <v>88420</v>
      </c>
      <c r="AI485" s="42">
        <v>962715</v>
      </c>
      <c r="AK485" s="42">
        <v>25715</v>
      </c>
      <c r="AL485" s="9" t="s">
        <v>319</v>
      </c>
      <c r="AM485" s="9"/>
      <c r="AN485" s="9" t="s">
        <v>31</v>
      </c>
      <c r="AP485" s="42">
        <v>353059</v>
      </c>
      <c r="AR485" s="42">
        <v>140632</v>
      </c>
      <c r="AT485" s="42">
        <v>0</v>
      </c>
      <c r="AV485" s="42">
        <v>45000</v>
      </c>
      <c r="AX485" s="42">
        <v>19540</v>
      </c>
      <c r="AZ485" s="42">
        <v>0</v>
      </c>
      <c r="BB485" s="5">
        <f t="shared" si="63"/>
        <v>19760253</v>
      </c>
      <c r="BD485" s="42">
        <v>183967</v>
      </c>
      <c r="BF485" s="42">
        <v>0</v>
      </c>
      <c r="BH485" s="42">
        <v>0</v>
      </c>
      <c r="BJ485" s="42">
        <v>0</v>
      </c>
      <c r="BL485" s="5">
        <f t="shared" si="61"/>
        <v>19944220</v>
      </c>
      <c r="BN485" s="5">
        <f>'Gov Fd Rev'!AQ485-'Gov Fd Exp'!BL485</f>
        <v>340611</v>
      </c>
      <c r="BP485" s="42">
        <v>3982701</v>
      </c>
      <c r="BR485" s="42">
        <v>0</v>
      </c>
      <c r="BT485" s="42">
        <v>0</v>
      </c>
      <c r="BV485" s="5">
        <f t="shared" si="62"/>
        <v>4323312</v>
      </c>
      <c r="BW485" s="5"/>
      <c r="BX485" s="5">
        <f>BV485-'Gov Fd BS'!AI485</f>
        <v>0</v>
      </c>
    </row>
    <row r="486" spans="1:76">
      <c r="A486" s="9" t="s">
        <v>459</v>
      </c>
      <c r="B486" s="9"/>
      <c r="C486" s="9" t="s">
        <v>56</v>
      </c>
      <c r="D486" s="9"/>
      <c r="E486" s="23">
        <v>49213</v>
      </c>
      <c r="G486" s="42">
        <v>4886903</v>
      </c>
      <c r="I486" s="42">
        <v>1284854</v>
      </c>
      <c r="K486" s="42">
        <v>190991</v>
      </c>
      <c r="M486" s="42">
        <v>0</v>
      </c>
      <c r="O486" s="42">
        <f>219+811301</f>
        <v>811520</v>
      </c>
      <c r="Q486" s="42">
        <v>578161</v>
      </c>
      <c r="S486" s="42">
        <v>435564</v>
      </c>
      <c r="U486" s="42">
        <v>25569</v>
      </c>
      <c r="W486" s="42">
        <v>861457</v>
      </c>
      <c r="Y486" s="42">
        <v>416348</v>
      </c>
      <c r="AA486" s="42">
        <v>8650</v>
      </c>
      <c r="AC486" s="42">
        <v>1003475</v>
      </c>
      <c r="AE486" s="42">
        <v>748442</v>
      </c>
      <c r="AG486" s="42">
        <v>4762</v>
      </c>
      <c r="AI486" s="42">
        <v>327770</v>
      </c>
      <c r="AK486" s="42">
        <v>10739</v>
      </c>
      <c r="AL486" s="9" t="s">
        <v>459</v>
      </c>
      <c r="AM486" s="9"/>
      <c r="AN486" s="9" t="s">
        <v>56</v>
      </c>
      <c r="AP486" s="42">
        <v>352495</v>
      </c>
      <c r="AR486" s="42">
        <v>87178</v>
      </c>
      <c r="AT486" s="42">
        <v>0</v>
      </c>
      <c r="AV486" s="42">
        <v>50000</v>
      </c>
      <c r="AX486" s="42">
        <v>6235</v>
      </c>
      <c r="AZ486" s="42">
        <v>0</v>
      </c>
      <c r="BB486" s="5">
        <f t="shared" si="63"/>
        <v>12091113</v>
      </c>
      <c r="BD486" s="42">
        <v>0</v>
      </c>
      <c r="BF486" s="42">
        <v>0</v>
      </c>
      <c r="BH486" s="42">
        <v>0</v>
      </c>
      <c r="BJ486" s="42">
        <v>0</v>
      </c>
      <c r="BL486" s="5">
        <f t="shared" si="61"/>
        <v>12091113</v>
      </c>
      <c r="BN486" s="5">
        <f>'Gov Fd Rev'!AQ486-'Gov Fd Exp'!BL486</f>
        <v>331852</v>
      </c>
      <c r="BP486" s="42">
        <v>1545490</v>
      </c>
      <c r="BR486" s="42">
        <v>0</v>
      </c>
      <c r="BT486" s="42">
        <v>0</v>
      </c>
      <c r="BV486" s="5">
        <f t="shared" si="62"/>
        <v>1877342</v>
      </c>
      <c r="BW486" s="5"/>
      <c r="BX486" s="5">
        <f>BV486-'Gov Fd BS'!AI486</f>
        <v>0</v>
      </c>
    </row>
    <row r="487" spans="1:76">
      <c r="A487" s="9" t="s">
        <v>708</v>
      </c>
      <c r="B487" s="9"/>
      <c r="C487" s="9" t="s">
        <v>220</v>
      </c>
      <c r="D487" s="9"/>
      <c r="E487" s="23">
        <v>46144</v>
      </c>
      <c r="G487" s="42">
        <v>11164838</v>
      </c>
      <c r="I487" s="42">
        <v>1596697</v>
      </c>
      <c r="K487" s="42">
        <v>0</v>
      </c>
      <c r="M487" s="42">
        <v>0</v>
      </c>
      <c r="O487" s="42">
        <v>873337</v>
      </c>
      <c r="Q487" s="42">
        <v>815353</v>
      </c>
      <c r="S487" s="42">
        <v>1471784</v>
      </c>
      <c r="U487" s="42">
        <v>30201</v>
      </c>
      <c r="W487" s="42">
        <v>2006602</v>
      </c>
      <c r="Y487" s="42">
        <v>651722</v>
      </c>
      <c r="AA487" s="42">
        <v>0</v>
      </c>
      <c r="AC487" s="42">
        <v>2001108</v>
      </c>
      <c r="AE487" s="42">
        <v>1545723</v>
      </c>
      <c r="AG487" s="42">
        <v>7482</v>
      </c>
      <c r="AI487" s="42">
        <v>1125268</v>
      </c>
      <c r="AK487" s="42">
        <v>154958</v>
      </c>
      <c r="AL487" s="9" t="s">
        <v>708</v>
      </c>
      <c r="AM487" s="9"/>
      <c r="AN487" s="9" t="s">
        <v>220</v>
      </c>
      <c r="AP487" s="42">
        <v>916799</v>
      </c>
      <c r="AR487" s="42">
        <v>1487224</v>
      </c>
      <c r="AT487" s="42">
        <v>0</v>
      </c>
      <c r="AV487" s="42">
        <v>1313301</v>
      </c>
      <c r="AX487" s="42">
        <v>616036</v>
      </c>
      <c r="AZ487" s="42">
        <v>0</v>
      </c>
      <c r="BB487" s="5">
        <f t="shared" si="63"/>
        <v>27778433</v>
      </c>
      <c r="BD487" s="42">
        <v>3000000</v>
      </c>
      <c r="BF487" s="42">
        <v>0</v>
      </c>
      <c r="BH487" s="42">
        <v>0</v>
      </c>
      <c r="BJ487" s="42">
        <v>0</v>
      </c>
      <c r="BL487" s="5">
        <f t="shared" si="61"/>
        <v>30778433</v>
      </c>
      <c r="BN487" s="5">
        <f>'Gov Fd Rev'!AQ487-'Gov Fd Exp'!BL487</f>
        <v>1874689</v>
      </c>
      <c r="BP487" s="42">
        <v>13389046</v>
      </c>
      <c r="BR487" s="42">
        <v>0</v>
      </c>
      <c r="BT487" s="42">
        <v>0</v>
      </c>
      <c r="BV487" s="5">
        <f t="shared" si="62"/>
        <v>15263735</v>
      </c>
      <c r="BW487" s="5"/>
      <c r="BX487" s="5">
        <f>BV487-'Gov Fd BS'!AI487</f>
        <v>0</v>
      </c>
    </row>
    <row r="488" spans="1:76" ht="12" customHeight="1">
      <c r="A488" s="9" t="s">
        <v>771</v>
      </c>
      <c r="B488" s="9"/>
      <c r="C488" s="9" t="s">
        <v>72</v>
      </c>
      <c r="D488" s="9"/>
      <c r="E488" s="23">
        <v>45609</v>
      </c>
      <c r="G488" s="42">
        <v>11246359</v>
      </c>
      <c r="I488" s="42">
        <v>2192117</v>
      </c>
      <c r="K488" s="42">
        <v>212442</v>
      </c>
      <c r="M488" s="42">
        <v>21908</v>
      </c>
      <c r="O488" s="42">
        <v>0</v>
      </c>
      <c r="Q488" s="42">
        <v>1928836</v>
      </c>
      <c r="S488" s="42">
        <v>1512261</v>
      </c>
      <c r="U488" s="42">
        <v>220915</v>
      </c>
      <c r="W488" s="42">
        <v>2040389</v>
      </c>
      <c r="Y488" s="42">
        <v>455203</v>
      </c>
      <c r="AA488" s="42">
        <v>125041</v>
      </c>
      <c r="AC488" s="42">
        <v>2306329</v>
      </c>
      <c r="AE488" s="42">
        <v>960786</v>
      </c>
      <c r="AG488" s="42">
        <v>538491</v>
      </c>
      <c r="AI488" s="42">
        <v>0</v>
      </c>
      <c r="AK488" s="42">
        <v>983059</v>
      </c>
      <c r="AL488" s="9" t="s">
        <v>771</v>
      </c>
      <c r="AM488" s="9"/>
      <c r="AN488" s="9" t="s">
        <v>72</v>
      </c>
      <c r="AP488" s="42">
        <v>712236</v>
      </c>
      <c r="AR488" s="42">
        <v>32320</v>
      </c>
      <c r="AT488" s="42">
        <v>0</v>
      </c>
      <c r="AV488" s="42">
        <v>0</v>
      </c>
      <c r="AX488" s="42">
        <v>0</v>
      </c>
      <c r="AZ488" s="42">
        <v>0</v>
      </c>
      <c r="BB488" s="5">
        <f t="shared" si="63"/>
        <v>25488692</v>
      </c>
      <c r="BD488" s="42">
        <v>77000</v>
      </c>
      <c r="BF488" s="42">
        <v>0</v>
      </c>
      <c r="BH488" s="42">
        <v>0</v>
      </c>
      <c r="BJ488" s="42">
        <v>0</v>
      </c>
      <c r="BL488" s="5">
        <f t="shared" si="61"/>
        <v>25565692</v>
      </c>
      <c r="BN488" s="5">
        <f>'Gov Fd Rev'!AQ488-'Gov Fd Exp'!BL488</f>
        <v>209070</v>
      </c>
      <c r="BP488" s="42">
        <v>8389119</v>
      </c>
      <c r="BR488" s="42">
        <v>0</v>
      </c>
      <c r="BT488" s="42">
        <v>0</v>
      </c>
      <c r="BV488" s="5">
        <f t="shared" si="62"/>
        <v>8598189</v>
      </c>
      <c r="BW488" s="5"/>
      <c r="BX488" s="5">
        <f>BV488-'Gov Fd BS'!AI488</f>
        <v>0</v>
      </c>
    </row>
    <row r="489" spans="1:76">
      <c r="A489" s="9" t="s">
        <v>488</v>
      </c>
      <c r="B489" s="9"/>
      <c r="C489" s="9" t="s">
        <v>61</v>
      </c>
      <c r="D489" s="9"/>
      <c r="E489" s="23">
        <v>49817</v>
      </c>
      <c r="G489" s="42">
        <v>2146992</v>
      </c>
      <c r="I489" s="42">
        <v>414930</v>
      </c>
      <c r="K489" s="42">
        <v>0</v>
      </c>
      <c r="M489" s="42">
        <v>0</v>
      </c>
      <c r="O489" s="42">
        <v>5712</v>
      </c>
      <c r="Q489" s="42">
        <v>73675</v>
      </c>
      <c r="S489" s="42">
        <v>72874</v>
      </c>
      <c r="U489" s="42">
        <v>6493</v>
      </c>
      <c r="W489" s="42">
        <v>350278</v>
      </c>
      <c r="Y489" s="42">
        <v>171758</v>
      </c>
      <c r="AA489" s="42">
        <v>473</v>
      </c>
      <c r="AC489" s="42">
        <v>352701</v>
      </c>
      <c r="AE489" s="42">
        <v>161784</v>
      </c>
      <c r="AG489" s="42">
        <v>121307</v>
      </c>
      <c r="AI489" s="42">
        <v>0</v>
      </c>
      <c r="AK489" s="42">
        <v>168461</v>
      </c>
      <c r="AL489" s="9" t="s">
        <v>488</v>
      </c>
      <c r="AM489" s="9"/>
      <c r="AN489" s="9" t="s">
        <v>61</v>
      </c>
      <c r="AP489" s="42">
        <v>175584</v>
      </c>
      <c r="AR489" s="42">
        <v>12089</v>
      </c>
      <c r="AT489" s="42">
        <v>0</v>
      </c>
      <c r="AV489" s="42">
        <v>210000</v>
      </c>
      <c r="AX489" s="42">
        <v>202698</v>
      </c>
      <c r="AZ489" s="42">
        <v>0</v>
      </c>
      <c r="BB489" s="5">
        <f t="shared" si="63"/>
        <v>4647809</v>
      </c>
      <c r="BD489" s="42">
        <v>0</v>
      </c>
      <c r="BF489" s="42">
        <v>0</v>
      </c>
      <c r="BH489" s="42">
        <v>0</v>
      </c>
      <c r="BJ489" s="42">
        <v>0</v>
      </c>
      <c r="BL489" s="5">
        <f t="shared" si="61"/>
        <v>4647809</v>
      </c>
      <c r="BN489" s="5">
        <f>'Gov Fd Rev'!AQ489-'Gov Fd Exp'!BL489</f>
        <v>367043</v>
      </c>
      <c r="BP489" s="42">
        <v>2430870</v>
      </c>
      <c r="BR489" s="42">
        <v>0</v>
      </c>
      <c r="BT489" s="42">
        <v>0</v>
      </c>
      <c r="BV489" s="5">
        <f t="shared" si="62"/>
        <v>2797913</v>
      </c>
      <c r="BW489" s="5"/>
      <c r="BX489" s="5">
        <f>BV489-'Gov Fd BS'!AI489</f>
        <v>0</v>
      </c>
    </row>
    <row r="490" spans="1:76">
      <c r="A490" s="9" t="s">
        <v>602</v>
      </c>
      <c r="B490" s="9"/>
      <c r="C490" s="9" t="s">
        <v>111</v>
      </c>
      <c r="D490" s="9"/>
      <c r="E490" s="23">
        <v>44735</v>
      </c>
      <c r="G490" s="42">
        <v>7981040</v>
      </c>
      <c r="I490" s="42">
        <v>2918691</v>
      </c>
      <c r="K490" s="42">
        <v>221744</v>
      </c>
      <c r="M490" s="42">
        <v>627281</v>
      </c>
      <c r="O490" s="42">
        <v>1657193</v>
      </c>
      <c r="Q490" s="42">
        <v>990959</v>
      </c>
      <c r="S490" s="42">
        <v>555272</v>
      </c>
      <c r="U490" s="42">
        <v>29811</v>
      </c>
      <c r="W490" s="42">
        <v>1801944</v>
      </c>
      <c r="Y490" s="42">
        <v>598291</v>
      </c>
      <c r="AA490" s="42">
        <v>7409</v>
      </c>
      <c r="AC490" s="42">
        <v>1641125</v>
      </c>
      <c r="AE490" s="42">
        <v>779479</v>
      </c>
      <c r="AG490" s="42">
        <v>150896</v>
      </c>
      <c r="AI490" s="42">
        <v>665795</v>
      </c>
      <c r="AK490" s="42">
        <v>128788</v>
      </c>
      <c r="AL490" s="9" t="s">
        <v>602</v>
      </c>
      <c r="AM490" s="9"/>
      <c r="AN490" s="9" t="s">
        <v>111</v>
      </c>
      <c r="AP490" s="42">
        <v>751806</v>
      </c>
      <c r="AR490" s="42">
        <v>329645</v>
      </c>
      <c r="AT490" s="42">
        <v>0</v>
      </c>
      <c r="AV490" s="42">
        <v>172141</v>
      </c>
      <c r="AX490" s="42">
        <v>93317</v>
      </c>
      <c r="AZ490" s="42">
        <v>0</v>
      </c>
      <c r="BB490" s="5">
        <f t="shared" ref="BB490:BB539" si="66">SUM(G490:AZ490)</f>
        <v>22102627</v>
      </c>
      <c r="BD490" s="42">
        <v>0</v>
      </c>
      <c r="BF490" s="42">
        <v>0</v>
      </c>
      <c r="BH490" s="42">
        <v>0</v>
      </c>
      <c r="BJ490" s="42">
        <v>0</v>
      </c>
      <c r="BL490" s="5">
        <f t="shared" ref="BL490:BL539" si="67">BB490+BD490+BJ490</f>
        <v>22102627</v>
      </c>
      <c r="BN490" s="5">
        <f>'Gov Fd Rev'!AQ490-'Gov Fd Exp'!BL490</f>
        <v>641670</v>
      </c>
      <c r="BP490" s="42">
        <v>1501076</v>
      </c>
      <c r="BR490" s="42">
        <v>-7445</v>
      </c>
      <c r="BT490" s="42">
        <v>0</v>
      </c>
      <c r="BV490" s="5">
        <f t="shared" ref="BV490:BV539" si="68">BN490+BP490+BR490+BT490</f>
        <v>2135301</v>
      </c>
      <c r="BW490" s="5"/>
      <c r="BX490" s="5">
        <f>BV490-'Gov Fd BS'!AI490</f>
        <v>0</v>
      </c>
    </row>
    <row r="491" spans="1:76">
      <c r="A491" s="9" t="s">
        <v>288</v>
      </c>
      <c r="B491" s="9"/>
      <c r="C491" s="9" t="s">
        <v>24</v>
      </c>
      <c r="D491" s="9"/>
      <c r="E491" s="23">
        <v>44743</v>
      </c>
      <c r="G491" s="42">
        <v>19938280</v>
      </c>
      <c r="I491" s="42">
        <v>7052656</v>
      </c>
      <c r="K491" s="42">
        <v>1351925</v>
      </c>
      <c r="M491" s="42">
        <v>972384</v>
      </c>
      <c r="O491" s="42">
        <v>361105</v>
      </c>
      <c r="Q491" s="42">
        <v>1922813</v>
      </c>
      <c r="S491" s="42">
        <v>2839513</v>
      </c>
      <c r="U491" s="42">
        <v>0</v>
      </c>
      <c r="W491" s="42">
        <f>162727+2717723</f>
        <v>2880450</v>
      </c>
      <c r="Y491" s="42">
        <v>762283</v>
      </c>
      <c r="AA491" s="42">
        <v>131178</v>
      </c>
      <c r="AC491" s="42">
        <v>2927716</v>
      </c>
      <c r="AE491" s="42">
        <v>1578101</v>
      </c>
      <c r="AG491" s="42">
        <v>1581951</v>
      </c>
      <c r="AI491" s="42">
        <v>0</v>
      </c>
      <c r="AK491" s="42">
        <v>2812178</v>
      </c>
      <c r="AL491" s="9" t="s">
        <v>288</v>
      </c>
      <c r="AM491" s="9"/>
      <c r="AN491" s="9" t="s">
        <v>24</v>
      </c>
      <c r="AP491" s="42">
        <v>1141822</v>
      </c>
      <c r="AR491" s="42">
        <v>273498</v>
      </c>
      <c r="AT491" s="42">
        <v>0</v>
      </c>
      <c r="AV491" s="42">
        <v>284554</v>
      </c>
      <c r="AX491" s="42">
        <v>69213</v>
      </c>
      <c r="AZ491" s="42">
        <v>0</v>
      </c>
      <c r="BB491" s="5">
        <f t="shared" si="66"/>
        <v>48881620</v>
      </c>
      <c r="BD491" s="42">
        <v>40719</v>
      </c>
      <c r="BF491" s="42">
        <v>0</v>
      </c>
      <c r="BH491" s="42">
        <v>0</v>
      </c>
      <c r="BJ491" s="42">
        <v>0</v>
      </c>
      <c r="BL491" s="5">
        <f t="shared" si="67"/>
        <v>48922339</v>
      </c>
      <c r="BN491" s="5">
        <f>'Gov Fd Rev'!AQ491-'Gov Fd Exp'!BL491</f>
        <v>-239594</v>
      </c>
      <c r="BP491" s="42">
        <v>610439</v>
      </c>
      <c r="BR491" s="42">
        <v>0</v>
      </c>
      <c r="BT491" s="42">
        <v>0</v>
      </c>
      <c r="BV491" s="5">
        <f t="shared" si="68"/>
        <v>370845</v>
      </c>
      <c r="BW491" s="5"/>
      <c r="BX491" s="5">
        <f>BV491-'Gov Fd BS'!AI491</f>
        <v>0</v>
      </c>
    </row>
    <row r="492" spans="1:76">
      <c r="A492" s="9" t="s">
        <v>500</v>
      </c>
      <c r="B492" s="9"/>
      <c r="C492" s="9" t="s">
        <v>62</v>
      </c>
      <c r="D492" s="9"/>
      <c r="E492" s="23">
        <v>49940</v>
      </c>
      <c r="G492" s="42">
        <v>5145168</v>
      </c>
      <c r="I492" s="42">
        <v>2072049</v>
      </c>
      <c r="K492" s="42">
        <v>588385</v>
      </c>
      <c r="M492" s="42">
        <v>0</v>
      </c>
      <c r="O492" s="42">
        <v>607969</v>
      </c>
      <c r="Q492" s="42">
        <v>1008403</v>
      </c>
      <c r="S492" s="42">
        <v>183222</v>
      </c>
      <c r="U492" s="42">
        <v>14678</v>
      </c>
      <c r="W492" s="42">
        <v>1273055</v>
      </c>
      <c r="Y492" s="42">
        <v>396481</v>
      </c>
      <c r="AA492" s="42">
        <v>77817</v>
      </c>
      <c r="AC492" s="42">
        <v>1155179</v>
      </c>
      <c r="AE492" s="42">
        <v>1315035</v>
      </c>
      <c r="AG492" s="42">
        <v>7997</v>
      </c>
      <c r="AI492" s="42">
        <v>725203</v>
      </c>
      <c r="AK492" s="42">
        <v>93720</v>
      </c>
      <c r="AL492" s="9" t="s">
        <v>500</v>
      </c>
      <c r="AM492" s="9"/>
      <c r="AN492" s="9" t="s">
        <v>62</v>
      </c>
      <c r="AP492" s="42">
        <v>480519</v>
      </c>
      <c r="AR492" s="42">
        <v>36441</v>
      </c>
      <c r="AT492" s="42">
        <v>0</v>
      </c>
      <c r="AV492" s="42">
        <v>424200</v>
      </c>
      <c r="AX492" s="42">
        <v>350960</v>
      </c>
      <c r="AZ492" s="42">
        <v>195619</v>
      </c>
      <c r="BB492" s="5">
        <f t="shared" si="66"/>
        <v>16152100</v>
      </c>
      <c r="BD492" s="42">
        <v>0</v>
      </c>
      <c r="BF492" s="42">
        <v>0</v>
      </c>
      <c r="BH492" s="42">
        <v>0</v>
      </c>
      <c r="BJ492" s="42">
        <v>10911035</v>
      </c>
      <c r="BL492" s="5">
        <f t="shared" si="67"/>
        <v>27063135</v>
      </c>
      <c r="BN492" s="5">
        <f>'Gov Fd Rev'!AQ492-'Gov Fd Exp'!BL492</f>
        <v>653550</v>
      </c>
      <c r="BP492" s="42">
        <v>2632009</v>
      </c>
      <c r="BR492" s="42">
        <v>0</v>
      </c>
      <c r="BT492" s="42">
        <v>0</v>
      </c>
      <c r="BV492" s="5">
        <f t="shared" si="68"/>
        <v>3285559</v>
      </c>
      <c r="BW492" s="5"/>
      <c r="BX492" s="5">
        <f>BV492-'Gov Fd BS'!AI492</f>
        <v>0</v>
      </c>
    </row>
    <row r="493" spans="1:76">
      <c r="A493" s="9" t="s">
        <v>453</v>
      </c>
      <c r="B493" s="9"/>
      <c r="C493" s="9" t="s">
        <v>55</v>
      </c>
      <c r="D493" s="9"/>
      <c r="E493" s="23">
        <v>49130</v>
      </c>
      <c r="G493" s="42">
        <v>5861438</v>
      </c>
      <c r="I493" s="42">
        <v>2022255</v>
      </c>
      <c r="K493" s="42">
        <v>0</v>
      </c>
      <c r="M493" s="42">
        <v>0</v>
      </c>
      <c r="O493" s="42">
        <v>16113</v>
      </c>
      <c r="Q493" s="42">
        <v>723423</v>
      </c>
      <c r="S493" s="42">
        <v>824945</v>
      </c>
      <c r="U493" s="42">
        <v>14738</v>
      </c>
      <c r="W493" s="42">
        <v>2008330</v>
      </c>
      <c r="Y493" s="42">
        <v>366846</v>
      </c>
      <c r="AA493" s="42">
        <v>0</v>
      </c>
      <c r="AC493" s="42">
        <v>1520508</v>
      </c>
      <c r="AE493" s="42">
        <v>1031456</v>
      </c>
      <c r="AG493" s="42">
        <v>106606</v>
      </c>
      <c r="AI493" s="42">
        <v>0</v>
      </c>
      <c r="AK493" s="42">
        <v>623533</v>
      </c>
      <c r="AL493" s="9" t="s">
        <v>453</v>
      </c>
      <c r="AM493" s="9"/>
      <c r="AN493" s="9" t="s">
        <v>55</v>
      </c>
      <c r="AP493" s="42">
        <v>355220</v>
      </c>
      <c r="AR493" s="42">
        <v>45936</v>
      </c>
      <c r="AT493" s="42">
        <v>46766</v>
      </c>
      <c r="AV493" s="42">
        <v>118170</v>
      </c>
      <c r="AX493" s="42">
        <v>57807</v>
      </c>
      <c r="AZ493" s="42">
        <v>0</v>
      </c>
      <c r="BB493" s="5">
        <f t="shared" si="66"/>
        <v>15744090</v>
      </c>
      <c r="BD493" s="42">
        <v>252925</v>
      </c>
      <c r="BF493" s="42">
        <v>0</v>
      </c>
      <c r="BH493" s="42">
        <v>0</v>
      </c>
      <c r="BJ493" s="42">
        <v>0</v>
      </c>
      <c r="BL493" s="5">
        <f t="shared" si="67"/>
        <v>15997015</v>
      </c>
      <c r="BN493" s="5">
        <f>'Gov Fd Rev'!AQ493-'Gov Fd Exp'!BL493</f>
        <v>-146828</v>
      </c>
      <c r="BP493" s="42">
        <v>7454515</v>
      </c>
      <c r="BR493" s="42">
        <v>0</v>
      </c>
      <c r="BT493" s="42">
        <v>0</v>
      </c>
      <c r="BV493" s="5">
        <f t="shared" si="68"/>
        <v>7307687</v>
      </c>
      <c r="BW493" s="5"/>
      <c r="BX493" s="5">
        <f>BV493-'Gov Fd BS'!AI493</f>
        <v>0</v>
      </c>
    </row>
    <row r="494" spans="1:76">
      <c r="A494" s="9" t="s">
        <v>402</v>
      </c>
      <c r="B494" s="9"/>
      <c r="C494" s="9" t="s">
        <v>45</v>
      </c>
      <c r="D494" s="9"/>
      <c r="E494" s="23">
        <v>48355</v>
      </c>
      <c r="G494" s="42">
        <v>2456792</v>
      </c>
      <c r="I494" s="42">
        <v>1916413</v>
      </c>
      <c r="K494" s="42">
        <v>4720</v>
      </c>
      <c r="M494" s="42">
        <v>0</v>
      </c>
      <c r="O494" s="42">
        <v>0</v>
      </c>
      <c r="Q494" s="42">
        <v>176380</v>
      </c>
      <c r="S494" s="42">
        <v>281661</v>
      </c>
      <c r="U494" s="42">
        <v>15451</v>
      </c>
      <c r="W494" s="42">
        <v>749517</v>
      </c>
      <c r="Y494" s="42">
        <v>273731</v>
      </c>
      <c r="AA494" s="42">
        <v>0</v>
      </c>
      <c r="AC494" s="42">
        <v>730971</v>
      </c>
      <c r="AE494" s="42">
        <v>188813</v>
      </c>
      <c r="AG494" s="42">
        <v>2215</v>
      </c>
      <c r="AI494" s="42">
        <v>309938</v>
      </c>
      <c r="AK494" s="42">
        <v>0</v>
      </c>
      <c r="AL494" s="9" t="s">
        <v>402</v>
      </c>
      <c r="AM494" s="9"/>
      <c r="AN494" s="9" t="s">
        <v>45</v>
      </c>
      <c r="AP494" s="42">
        <v>232978</v>
      </c>
      <c r="AR494" s="42">
        <v>5799</v>
      </c>
      <c r="AT494" s="42">
        <v>0</v>
      </c>
      <c r="AV494" s="42">
        <v>100000</v>
      </c>
      <c r="AX494" s="42">
        <v>27950</v>
      </c>
      <c r="AZ494" s="42">
        <v>0</v>
      </c>
      <c r="BB494" s="5">
        <f t="shared" si="66"/>
        <v>7473329</v>
      </c>
      <c r="BD494" s="42">
        <v>18281</v>
      </c>
      <c r="BF494" s="42">
        <v>0</v>
      </c>
      <c r="BH494" s="42">
        <v>0</v>
      </c>
      <c r="BJ494" s="42">
        <v>0</v>
      </c>
      <c r="BL494" s="5">
        <f t="shared" si="67"/>
        <v>7491610</v>
      </c>
      <c r="BN494" s="5">
        <f>'Gov Fd Rev'!AQ494-'Gov Fd Exp'!BL494</f>
        <v>-229845</v>
      </c>
      <c r="BP494" s="42">
        <v>860195</v>
      </c>
      <c r="BR494" s="42">
        <v>0</v>
      </c>
      <c r="BT494" s="42">
        <v>0</v>
      </c>
      <c r="BV494" s="5">
        <f t="shared" si="68"/>
        <v>630350</v>
      </c>
      <c r="BW494" s="5"/>
      <c r="BX494" s="5">
        <f>BV494-'Gov Fd BS'!AI494</f>
        <v>0</v>
      </c>
    </row>
    <row r="495" spans="1:76">
      <c r="A495" s="9" t="s">
        <v>484</v>
      </c>
      <c r="B495" s="9"/>
      <c r="C495" s="9" t="s">
        <v>60</v>
      </c>
      <c r="D495" s="9"/>
      <c r="E495" s="23">
        <v>49684</v>
      </c>
      <c r="G495" s="42">
        <v>4472841</v>
      </c>
      <c r="I495" s="42">
        <v>1273097</v>
      </c>
      <c r="K495" s="42">
        <v>193038</v>
      </c>
      <c r="M495" s="42">
        <v>0</v>
      </c>
      <c r="O495" s="42">
        <v>0</v>
      </c>
      <c r="Q495" s="42">
        <v>158667</v>
      </c>
      <c r="S495" s="42">
        <v>472369</v>
      </c>
      <c r="U495" s="42">
        <v>47218</v>
      </c>
      <c r="W495" s="42">
        <v>548447</v>
      </c>
      <c r="Y495" s="42">
        <v>317178</v>
      </c>
      <c r="AA495" s="42">
        <v>2972</v>
      </c>
      <c r="AC495" s="42">
        <v>838992</v>
      </c>
      <c r="AE495" s="42">
        <v>598192</v>
      </c>
      <c r="AG495" s="42">
        <v>30185</v>
      </c>
      <c r="AI495" s="42">
        <v>444705</v>
      </c>
      <c r="AK495" s="42">
        <v>4506</v>
      </c>
      <c r="AL495" s="9" t="s">
        <v>484</v>
      </c>
      <c r="AM495" s="9"/>
      <c r="AN495" s="9" t="s">
        <v>60</v>
      </c>
      <c r="AP495" s="42">
        <v>373987</v>
      </c>
      <c r="AR495" s="42">
        <v>184991</v>
      </c>
      <c r="AT495" s="42">
        <v>0</v>
      </c>
      <c r="AV495" s="42">
        <v>390273</v>
      </c>
      <c r="AX495" s="42">
        <v>445537</v>
      </c>
      <c r="AZ495" s="42">
        <v>154523</v>
      </c>
      <c r="BB495" s="5">
        <f t="shared" si="66"/>
        <v>10951718</v>
      </c>
      <c r="BD495" s="42">
        <v>15000</v>
      </c>
      <c r="BF495" s="42">
        <v>0</v>
      </c>
      <c r="BH495" s="42">
        <v>0</v>
      </c>
      <c r="BJ495" s="42">
        <v>9424792</v>
      </c>
      <c r="BL495" s="5">
        <f t="shared" si="67"/>
        <v>20391510</v>
      </c>
      <c r="BN495" s="5">
        <f>'Gov Fd Rev'!AQ495-'Gov Fd Exp'!BL495</f>
        <v>59884</v>
      </c>
      <c r="BP495" s="42">
        <v>1861482</v>
      </c>
      <c r="BR495" s="42">
        <v>0</v>
      </c>
      <c r="BT495" s="42">
        <v>0</v>
      </c>
      <c r="BV495" s="5">
        <f t="shared" si="68"/>
        <v>1921366</v>
      </c>
      <c r="BW495" s="5"/>
      <c r="BX495" s="5">
        <f>BV495-'Gov Fd BS'!AI495</f>
        <v>0</v>
      </c>
    </row>
    <row r="496" spans="1:76">
      <c r="A496" s="9" t="s">
        <v>216</v>
      </c>
      <c r="B496" s="9"/>
      <c r="C496" s="9" t="s">
        <v>15</v>
      </c>
      <c r="D496" s="9"/>
      <c r="E496" s="23">
        <v>46003</v>
      </c>
      <c r="G496" s="42">
        <v>3520894</v>
      </c>
      <c r="I496" s="42">
        <v>842275</v>
      </c>
      <c r="K496" s="42">
        <v>30236</v>
      </c>
      <c r="M496" s="42">
        <v>0</v>
      </c>
      <c r="O496" s="42">
        <v>0</v>
      </c>
      <c r="Q496" s="42">
        <v>169193</v>
      </c>
      <c r="S496" s="42">
        <v>164307</v>
      </c>
      <c r="U496" s="42">
        <v>22973</v>
      </c>
      <c r="W496" s="42">
        <v>700262</v>
      </c>
      <c r="Y496" s="42">
        <v>282389</v>
      </c>
      <c r="AA496" s="42">
        <v>0</v>
      </c>
      <c r="AC496" s="42">
        <v>761703</v>
      </c>
      <c r="AE496" s="42">
        <v>243301</v>
      </c>
      <c r="AG496" s="42">
        <v>0</v>
      </c>
      <c r="AI496" s="42">
        <v>140747</v>
      </c>
      <c r="AK496" s="42">
        <v>0</v>
      </c>
      <c r="AL496" s="9" t="s">
        <v>216</v>
      </c>
      <c r="AM496" s="9"/>
      <c r="AN496" s="9" t="s">
        <v>15</v>
      </c>
      <c r="AP496" s="42">
        <v>225720</v>
      </c>
      <c r="AR496" s="42">
        <v>844</v>
      </c>
      <c r="AT496" s="42">
        <v>0</v>
      </c>
      <c r="AV496" s="42">
        <v>23142</v>
      </c>
      <c r="AX496" s="42">
        <v>5117</v>
      </c>
      <c r="AZ496" s="42">
        <v>0</v>
      </c>
      <c r="BB496" s="5">
        <f t="shared" si="66"/>
        <v>7133103</v>
      </c>
      <c r="BD496" s="42">
        <v>13182</v>
      </c>
      <c r="BF496" s="42">
        <v>0</v>
      </c>
      <c r="BH496" s="42">
        <v>0</v>
      </c>
      <c r="BJ496" s="42">
        <v>0</v>
      </c>
      <c r="BL496" s="5">
        <f t="shared" si="67"/>
        <v>7146285</v>
      </c>
      <c r="BN496" s="5">
        <f>'Gov Fd Rev'!AQ496-'Gov Fd Exp'!BL496</f>
        <v>-73058</v>
      </c>
      <c r="BP496" s="42">
        <v>2464440</v>
      </c>
      <c r="BR496" s="42">
        <v>0</v>
      </c>
      <c r="BT496" s="42">
        <v>0</v>
      </c>
      <c r="BV496" s="5">
        <f t="shared" si="68"/>
        <v>2391382</v>
      </c>
      <c r="BW496" s="5"/>
      <c r="BX496" s="5">
        <f>BV496-'Gov Fd BS'!AI496</f>
        <v>0</v>
      </c>
    </row>
    <row r="497" spans="1:76">
      <c r="A497" s="9" t="s">
        <v>709</v>
      </c>
      <c r="B497" s="9"/>
      <c r="C497" s="9" t="s">
        <v>20</v>
      </c>
      <c r="D497" s="9"/>
      <c r="E497" s="23">
        <v>44750</v>
      </c>
      <c r="G497" s="42">
        <v>35880612</v>
      </c>
      <c r="I497" s="42">
        <v>12717540</v>
      </c>
      <c r="K497" s="42">
        <v>73704</v>
      </c>
      <c r="M497" s="42">
        <v>0</v>
      </c>
      <c r="O497" s="42">
        <f>33577+94</f>
        <v>33671</v>
      </c>
      <c r="Q497" s="42">
        <v>5755271</v>
      </c>
      <c r="S497" s="42">
        <v>8451594</v>
      </c>
      <c r="U497" s="42">
        <v>65876</v>
      </c>
      <c r="W497" s="42">
        <v>5911936</v>
      </c>
      <c r="Y497" s="42">
        <v>2425772</v>
      </c>
      <c r="AA497" s="42">
        <v>1060924</v>
      </c>
      <c r="AC497" s="42">
        <v>12308686</v>
      </c>
      <c r="AE497" s="42">
        <v>4780780</v>
      </c>
      <c r="AG497" s="42">
        <v>1684587</v>
      </c>
      <c r="AI497" s="42">
        <v>3362141</v>
      </c>
      <c r="AK497" s="42">
        <v>46925</v>
      </c>
      <c r="AL497" s="9" t="s">
        <v>709</v>
      </c>
      <c r="AM497" s="9"/>
      <c r="AN497" s="9" t="s">
        <v>20</v>
      </c>
      <c r="AP497" s="42">
        <v>1333436</v>
      </c>
      <c r="AR497" s="42">
        <v>4094660</v>
      </c>
      <c r="AT497" s="42">
        <v>0</v>
      </c>
      <c r="AV497" s="42">
        <v>1780000</v>
      </c>
      <c r="AX497" s="42">
        <v>796253</v>
      </c>
      <c r="AZ497" s="42">
        <v>185218</v>
      </c>
      <c r="BB497" s="5">
        <f t="shared" si="66"/>
        <v>102749586</v>
      </c>
      <c r="BD497" s="42">
        <v>3420000</v>
      </c>
      <c r="BF497" s="42">
        <v>0</v>
      </c>
      <c r="BH497" s="42">
        <v>0</v>
      </c>
      <c r="BJ497" s="42">
        <v>5503241</v>
      </c>
      <c r="BL497" s="5">
        <f t="shared" si="67"/>
        <v>111672827</v>
      </c>
      <c r="BN497" s="5">
        <f>'Gov Fd Rev'!AQ497-'Gov Fd Exp'!BL497</f>
        <v>-286671</v>
      </c>
      <c r="BP497" s="42">
        <v>28233760</v>
      </c>
      <c r="BR497" s="42">
        <v>0</v>
      </c>
      <c r="BT497" s="42">
        <v>0</v>
      </c>
      <c r="BV497" s="5">
        <f>BN497+BP497+BR497+BT497</f>
        <v>27947089</v>
      </c>
      <c r="BW497" s="5"/>
      <c r="BX497" s="5">
        <f>BV497-'Gov Fd BS'!AI497</f>
        <v>0</v>
      </c>
    </row>
    <row r="498" spans="1:76" hidden="1">
      <c r="A498" s="9" t="s">
        <v>694</v>
      </c>
      <c r="B498" s="9"/>
      <c r="C498" s="9" t="s">
        <v>10</v>
      </c>
      <c r="D498" s="9"/>
      <c r="E498" s="23">
        <v>45779</v>
      </c>
      <c r="G498" s="42">
        <v>0</v>
      </c>
      <c r="I498" s="42">
        <v>0</v>
      </c>
      <c r="K498" s="42">
        <v>0</v>
      </c>
      <c r="M498" s="42">
        <v>0</v>
      </c>
      <c r="O498" s="42">
        <v>0</v>
      </c>
      <c r="Q498" s="42">
        <v>0</v>
      </c>
      <c r="S498" s="42">
        <v>0</v>
      </c>
      <c r="U498" s="42">
        <v>0</v>
      </c>
      <c r="W498" s="42">
        <v>0</v>
      </c>
      <c r="Y498" s="42">
        <v>0</v>
      </c>
      <c r="AA498" s="42">
        <v>0</v>
      </c>
      <c r="AC498" s="42">
        <v>0</v>
      </c>
      <c r="AE498" s="42">
        <v>0</v>
      </c>
      <c r="AG498" s="42">
        <v>0</v>
      </c>
      <c r="AI498" s="42">
        <v>0</v>
      </c>
      <c r="AK498" s="42">
        <v>0</v>
      </c>
      <c r="AL498" s="9" t="s">
        <v>694</v>
      </c>
      <c r="AM498" s="9"/>
      <c r="AN498" s="9" t="s">
        <v>10</v>
      </c>
      <c r="AP498" s="42">
        <v>0</v>
      </c>
      <c r="AR498" s="42">
        <v>0</v>
      </c>
      <c r="AT498" s="42">
        <v>0</v>
      </c>
      <c r="AV498" s="42">
        <v>0</v>
      </c>
      <c r="AX498" s="42">
        <v>0</v>
      </c>
      <c r="AZ498" s="42">
        <v>0</v>
      </c>
      <c r="BB498" s="5">
        <f t="shared" si="66"/>
        <v>0</v>
      </c>
      <c r="BD498" s="42">
        <v>0</v>
      </c>
      <c r="BF498" s="42">
        <v>0</v>
      </c>
      <c r="BH498" s="42">
        <v>0</v>
      </c>
      <c r="BJ498" s="42">
        <v>0</v>
      </c>
      <c r="BL498" s="5">
        <f t="shared" si="67"/>
        <v>0</v>
      </c>
      <c r="BN498" s="5">
        <f>'Gov Fd Rev'!AQ498-'Gov Fd Exp'!BL498</f>
        <v>0</v>
      </c>
      <c r="BP498" s="42">
        <v>0</v>
      </c>
      <c r="BR498" s="42">
        <v>0</v>
      </c>
      <c r="BT498" s="42">
        <v>0</v>
      </c>
      <c r="BV498" s="5">
        <f>BN498+BP498+BR498+BT498</f>
        <v>0</v>
      </c>
      <c r="BW498" s="5"/>
      <c r="BX498" s="5">
        <f>BV498-'Gov Fd BS'!AI498</f>
        <v>0</v>
      </c>
    </row>
    <row r="499" spans="1:76">
      <c r="A499" s="9" t="s">
        <v>783</v>
      </c>
      <c r="B499" s="9"/>
      <c r="C499" s="9" t="s">
        <v>44</v>
      </c>
      <c r="D499" s="9"/>
      <c r="E499" s="23">
        <v>44768</v>
      </c>
      <c r="G499" s="42">
        <v>9212729</v>
      </c>
      <c r="I499" s="42">
        <v>2823685</v>
      </c>
      <c r="K499" s="42">
        <v>147660</v>
      </c>
      <c r="M499" s="42">
        <v>0</v>
      </c>
      <c r="O499" s="42">
        <v>40669</v>
      </c>
      <c r="Q499" s="42">
        <v>1252556</v>
      </c>
      <c r="S499" s="42">
        <v>858240</v>
      </c>
      <c r="U499" s="42">
        <v>42348</v>
      </c>
      <c r="W499" s="42">
        <v>1633125</v>
      </c>
      <c r="Y499" s="42">
        <v>653085</v>
      </c>
      <c r="AA499" s="42">
        <v>266157</v>
      </c>
      <c r="AC499" s="42">
        <v>1636795</v>
      </c>
      <c r="AE499" s="42">
        <v>1035082</v>
      </c>
      <c r="AG499" s="42">
        <v>305029</v>
      </c>
      <c r="AI499" s="42">
        <v>647035</v>
      </c>
      <c r="AK499" s="42">
        <v>0</v>
      </c>
      <c r="AL499" s="9" t="s">
        <v>783</v>
      </c>
      <c r="AM499" s="9"/>
      <c r="AN499" s="9" t="s">
        <v>44</v>
      </c>
      <c r="AP499" s="42">
        <v>644935</v>
      </c>
      <c r="AR499" s="42">
        <v>2209467</v>
      </c>
      <c r="AT499" s="42">
        <v>0</v>
      </c>
      <c r="AV499" s="42">
        <v>274928</v>
      </c>
      <c r="AX499" s="42">
        <v>1344405</v>
      </c>
      <c r="AZ499" s="42">
        <v>0</v>
      </c>
      <c r="BB499" s="5">
        <f t="shared" si="66"/>
        <v>25027930</v>
      </c>
      <c r="BD499" s="42">
        <v>1100000</v>
      </c>
      <c r="BF499" s="42">
        <v>0</v>
      </c>
      <c r="BH499" s="42">
        <v>0</v>
      </c>
      <c r="BJ499" s="42">
        <v>0</v>
      </c>
      <c r="BL499" s="5">
        <f t="shared" si="67"/>
        <v>26127930</v>
      </c>
      <c r="BN499" s="5">
        <f>'Gov Fd Rev'!AQ499-'Gov Fd Exp'!BL499</f>
        <v>-3318163</v>
      </c>
      <c r="BP499" s="42">
        <v>40050889</v>
      </c>
      <c r="BR499" s="42">
        <v>0</v>
      </c>
      <c r="BT499" s="42">
        <v>0</v>
      </c>
      <c r="BV499" s="5">
        <f t="shared" si="68"/>
        <v>36732726</v>
      </c>
      <c r="BW499" s="5"/>
      <c r="BX499" s="5">
        <f>BV499-'Gov Fd BS'!AI499</f>
        <v>0</v>
      </c>
    </row>
    <row r="500" spans="1:76">
      <c r="A500" s="9" t="s">
        <v>469</v>
      </c>
      <c r="B500" s="9"/>
      <c r="C500" s="9" t="s">
        <v>109</v>
      </c>
      <c r="D500" s="9"/>
      <c r="E500" s="23">
        <v>44776</v>
      </c>
      <c r="G500" s="42">
        <v>8994141</v>
      </c>
      <c r="I500" s="42">
        <v>2284429</v>
      </c>
      <c r="K500" s="42">
        <v>159188</v>
      </c>
      <c r="M500" s="42">
        <v>0</v>
      </c>
      <c r="O500" s="42">
        <v>0</v>
      </c>
      <c r="Q500" s="42">
        <v>825800</v>
      </c>
      <c r="S500" s="42">
        <v>1320516</v>
      </c>
      <c r="U500" s="42">
        <v>89259</v>
      </c>
      <c r="W500" s="42">
        <v>1312672</v>
      </c>
      <c r="Y500" s="42">
        <v>708222</v>
      </c>
      <c r="AA500" s="42">
        <v>0</v>
      </c>
      <c r="AC500" s="42">
        <v>1827179</v>
      </c>
      <c r="AE500" s="42">
        <v>899159</v>
      </c>
      <c r="AG500" s="42">
        <v>107370</v>
      </c>
      <c r="AI500" s="42">
        <v>1024557</v>
      </c>
      <c r="AK500" s="42">
        <v>171821</v>
      </c>
      <c r="AL500" s="9" t="s">
        <v>469</v>
      </c>
      <c r="AM500" s="9"/>
      <c r="AN500" s="9" t="s">
        <v>109</v>
      </c>
      <c r="AP500" s="42">
        <v>581599</v>
      </c>
      <c r="AR500" s="42">
        <v>15345341</v>
      </c>
      <c r="AT500" s="42">
        <v>0</v>
      </c>
      <c r="AV500" s="42">
        <v>336940</v>
      </c>
      <c r="AX500" s="42">
        <v>1026288</v>
      </c>
      <c r="AZ500" s="42">
        <v>0</v>
      </c>
      <c r="BB500" s="5">
        <f t="shared" si="66"/>
        <v>37014481</v>
      </c>
      <c r="BD500" s="42">
        <v>81197</v>
      </c>
      <c r="BF500" s="42">
        <v>0</v>
      </c>
      <c r="BH500" s="42">
        <v>0</v>
      </c>
      <c r="BJ500" s="42">
        <v>0</v>
      </c>
      <c r="BL500" s="5">
        <f t="shared" si="67"/>
        <v>37095678</v>
      </c>
      <c r="BN500" s="5">
        <f>'Gov Fd Rev'!AQ500-'Gov Fd Exp'!BL500</f>
        <v>-11643130</v>
      </c>
      <c r="BP500" s="42">
        <v>23301505</v>
      </c>
      <c r="BR500" s="42">
        <v>0</v>
      </c>
      <c r="BT500" s="42">
        <v>0</v>
      </c>
      <c r="BV500" s="5">
        <f t="shared" si="68"/>
        <v>11658375</v>
      </c>
      <c r="BW500" s="5"/>
      <c r="BX500" s="5">
        <f>BV500-'Gov Fd BS'!AI500</f>
        <v>0</v>
      </c>
    </row>
    <row r="501" spans="1:76" hidden="1">
      <c r="A501" s="9" t="s">
        <v>827</v>
      </c>
      <c r="B501" s="9"/>
      <c r="C501" s="9" t="s">
        <v>61</v>
      </c>
      <c r="D501" s="9"/>
      <c r="E501" s="23">
        <v>44784</v>
      </c>
      <c r="G501" s="42">
        <v>0</v>
      </c>
      <c r="I501" s="42">
        <v>0</v>
      </c>
      <c r="K501" s="42">
        <v>0</v>
      </c>
      <c r="M501" s="42">
        <v>0</v>
      </c>
      <c r="O501" s="42">
        <v>0</v>
      </c>
      <c r="Q501" s="42">
        <v>0</v>
      </c>
      <c r="S501" s="42">
        <v>0</v>
      </c>
      <c r="U501" s="42">
        <v>0</v>
      </c>
      <c r="W501" s="42">
        <v>0</v>
      </c>
      <c r="Y501" s="42">
        <v>0</v>
      </c>
      <c r="AA501" s="42">
        <v>0</v>
      </c>
      <c r="AC501" s="42">
        <v>0</v>
      </c>
      <c r="AE501" s="42">
        <v>0</v>
      </c>
      <c r="AG501" s="42">
        <v>0</v>
      </c>
      <c r="AI501" s="42">
        <v>0</v>
      </c>
      <c r="AK501" s="42">
        <v>0</v>
      </c>
      <c r="AL501" s="9" t="s">
        <v>827</v>
      </c>
      <c r="AM501" s="9"/>
      <c r="AN501" s="9" t="s">
        <v>61</v>
      </c>
      <c r="AP501" s="42">
        <v>0</v>
      </c>
      <c r="AR501" s="42">
        <v>0</v>
      </c>
      <c r="AT501" s="42">
        <v>0</v>
      </c>
      <c r="AV501" s="42">
        <v>0</v>
      </c>
      <c r="AX501" s="42">
        <v>0</v>
      </c>
      <c r="AZ501" s="42">
        <v>0</v>
      </c>
      <c r="BB501" s="5">
        <f t="shared" si="66"/>
        <v>0</v>
      </c>
      <c r="BD501" s="42">
        <v>0</v>
      </c>
      <c r="BF501" s="42">
        <v>0</v>
      </c>
      <c r="BH501" s="42">
        <v>0</v>
      </c>
      <c r="BJ501" s="42">
        <v>0</v>
      </c>
      <c r="BL501" s="5">
        <f t="shared" si="67"/>
        <v>0</v>
      </c>
      <c r="BN501" s="5">
        <f>'Gov Fd Rev'!AQ501-'Gov Fd Exp'!BL501</f>
        <v>0</v>
      </c>
      <c r="BP501" s="42">
        <v>0</v>
      </c>
      <c r="BR501" s="42">
        <v>0</v>
      </c>
      <c r="BT501" s="42">
        <v>0</v>
      </c>
      <c r="BV501" s="5">
        <f t="shared" si="68"/>
        <v>0</v>
      </c>
      <c r="BW501" s="5"/>
      <c r="BX501" s="5">
        <f>BV501-'Gov Fd BS'!AI501</f>
        <v>0</v>
      </c>
    </row>
    <row r="502" spans="1:76">
      <c r="A502" s="9" t="s">
        <v>275</v>
      </c>
      <c r="B502" s="9"/>
      <c r="C502" s="9" t="s">
        <v>20</v>
      </c>
      <c r="D502" s="9"/>
      <c r="E502" s="23">
        <v>46607</v>
      </c>
      <c r="G502" s="42">
        <v>31989697</v>
      </c>
      <c r="I502" s="42">
        <v>7130655</v>
      </c>
      <c r="K502" s="42">
        <v>532301</v>
      </c>
      <c r="M502" s="42">
        <v>0</v>
      </c>
      <c r="O502" s="42">
        <v>834883</v>
      </c>
      <c r="Q502" s="42">
        <v>3924766</v>
      </c>
      <c r="S502" s="42">
        <v>1588761</v>
      </c>
      <c r="U502" s="42">
        <v>42111</v>
      </c>
      <c r="W502" s="42">
        <v>3420689</v>
      </c>
      <c r="Y502" s="42">
        <v>1750404</v>
      </c>
      <c r="AA502" s="42">
        <v>1181648</v>
      </c>
      <c r="AC502" s="42">
        <v>6562068</v>
      </c>
      <c r="AE502" s="42">
        <v>3228095</v>
      </c>
      <c r="AG502" s="42">
        <v>1054347</v>
      </c>
      <c r="AI502" s="42">
        <v>1808513</v>
      </c>
      <c r="AK502" s="42">
        <v>552014</v>
      </c>
      <c r="AL502" s="9" t="s">
        <v>275</v>
      </c>
      <c r="AM502" s="9"/>
      <c r="AN502" s="9" t="s">
        <v>20</v>
      </c>
      <c r="AP502" s="42">
        <v>1677755</v>
      </c>
      <c r="AR502" s="42">
        <f>2429227+90570</f>
        <v>2519797</v>
      </c>
      <c r="AT502" s="42">
        <v>0</v>
      </c>
      <c r="AV502" s="42">
        <v>2426288</v>
      </c>
      <c r="AX502" s="42">
        <v>583818</v>
      </c>
      <c r="AZ502" s="42">
        <v>109373</v>
      </c>
      <c r="BB502" s="5">
        <f t="shared" si="66"/>
        <v>72917983</v>
      </c>
      <c r="BD502" s="42">
        <v>150000</v>
      </c>
      <c r="BF502" s="42">
        <v>0</v>
      </c>
      <c r="BH502" s="42">
        <v>0</v>
      </c>
      <c r="BJ502" s="42">
        <v>3792276</v>
      </c>
      <c r="BL502" s="5">
        <f t="shared" si="67"/>
        <v>76860259</v>
      </c>
      <c r="BN502" s="5">
        <f>'Gov Fd Rev'!AQ502-'Gov Fd Exp'!BL502</f>
        <v>3436759</v>
      </c>
      <c r="BP502" s="42">
        <v>31807918</v>
      </c>
      <c r="BR502" s="42">
        <v>0</v>
      </c>
      <c r="BT502" s="42">
        <v>0</v>
      </c>
      <c r="BV502" s="5">
        <f t="shared" si="68"/>
        <v>35244677</v>
      </c>
      <c r="BW502" s="5"/>
      <c r="BX502" s="5">
        <f>BV502-'Gov Fd BS'!AI502</f>
        <v>0</v>
      </c>
    </row>
    <row r="503" spans="1:76">
      <c r="A503" s="9" t="s">
        <v>628</v>
      </c>
      <c r="B503" s="9"/>
      <c r="C503" s="9" t="s">
        <v>37</v>
      </c>
      <c r="D503" s="9"/>
      <c r="E503" s="23">
        <v>47738</v>
      </c>
      <c r="G503" s="42">
        <v>3927305</v>
      </c>
      <c r="I503" s="42">
        <v>545985</v>
      </c>
      <c r="K503" s="42">
        <v>176259</v>
      </c>
      <c r="M503" s="42">
        <v>0</v>
      </c>
      <c r="O503" s="42">
        <v>931711</v>
      </c>
      <c r="Q503" s="42">
        <v>375420</v>
      </c>
      <c r="S503" s="42">
        <v>604107</v>
      </c>
      <c r="U503" s="42">
        <v>33422</v>
      </c>
      <c r="W503" s="42">
        <v>704569</v>
      </c>
      <c r="Y503" s="42">
        <v>228096</v>
      </c>
      <c r="AA503" s="42">
        <v>0</v>
      </c>
      <c r="AC503" s="42">
        <v>764034</v>
      </c>
      <c r="AE503" s="42">
        <v>624040</v>
      </c>
      <c r="AG503" s="42">
        <v>1729</v>
      </c>
      <c r="AI503" s="42">
        <v>389039</v>
      </c>
      <c r="AK503" s="42">
        <v>8700</v>
      </c>
      <c r="AL503" s="9" t="s">
        <v>628</v>
      </c>
      <c r="AM503" s="9"/>
      <c r="AN503" s="9" t="s">
        <v>37</v>
      </c>
      <c r="AP503" s="42">
        <v>314892</v>
      </c>
      <c r="AR503" s="42">
        <v>120007</v>
      </c>
      <c r="AT503" s="42">
        <v>0</v>
      </c>
      <c r="AV503" s="42">
        <v>158490</v>
      </c>
      <c r="AX503" s="42">
        <v>26506</v>
      </c>
      <c r="AZ503" s="42">
        <v>0</v>
      </c>
      <c r="BB503" s="5">
        <f t="shared" si="66"/>
        <v>9934311</v>
      </c>
      <c r="BD503" s="42">
        <v>11293</v>
      </c>
      <c r="BF503" s="42">
        <v>0</v>
      </c>
      <c r="BH503" s="42">
        <v>0</v>
      </c>
      <c r="BJ503" s="42">
        <v>0</v>
      </c>
      <c r="BL503" s="5">
        <f t="shared" si="67"/>
        <v>9945604</v>
      </c>
      <c r="BN503" s="5">
        <f>'Gov Fd Rev'!AQ503-'Gov Fd Exp'!BL503</f>
        <v>-672309</v>
      </c>
      <c r="BP503" s="42">
        <v>2876229</v>
      </c>
      <c r="BR503" s="42">
        <v>0</v>
      </c>
      <c r="BT503" s="42">
        <v>0</v>
      </c>
      <c r="BV503" s="5">
        <f t="shared" si="68"/>
        <v>2203920</v>
      </c>
      <c r="BW503" s="5"/>
      <c r="BX503" s="5">
        <f>BV503-'Gov Fd BS'!AI503</f>
        <v>0</v>
      </c>
    </row>
    <row r="504" spans="1:76">
      <c r="A504" s="9" t="s">
        <v>276</v>
      </c>
      <c r="B504" s="9"/>
      <c r="C504" s="9" t="s">
        <v>20</v>
      </c>
      <c r="D504" s="9"/>
      <c r="E504" s="23">
        <v>44792</v>
      </c>
      <c r="G504" s="42">
        <v>22478663</v>
      </c>
      <c r="I504" s="42">
        <v>9082555</v>
      </c>
      <c r="K504" s="42">
        <v>1907984</v>
      </c>
      <c r="M504" s="42">
        <v>0</v>
      </c>
      <c r="O504" s="42">
        <v>0</v>
      </c>
      <c r="Q504" s="42">
        <v>3930673</v>
      </c>
      <c r="S504" s="42">
        <v>1402489</v>
      </c>
      <c r="U504" s="42">
        <v>300257</v>
      </c>
      <c r="W504" s="42">
        <v>3567396</v>
      </c>
      <c r="Y504" s="42">
        <v>2177389</v>
      </c>
      <c r="AA504" s="42">
        <v>367012</v>
      </c>
      <c r="AC504" s="42">
        <v>6441516</v>
      </c>
      <c r="AE504" s="42">
        <v>3097832</v>
      </c>
      <c r="AG504" s="42">
        <v>1006185</v>
      </c>
      <c r="AI504" s="42">
        <v>1752054</v>
      </c>
      <c r="AK504" s="42">
        <v>1009166</v>
      </c>
      <c r="AL504" s="9" t="s">
        <v>276</v>
      </c>
      <c r="AM504" s="9"/>
      <c r="AN504" s="9" t="s">
        <v>20</v>
      </c>
      <c r="AP504" s="42">
        <v>1127450</v>
      </c>
      <c r="AR504" s="42">
        <v>1553452</v>
      </c>
      <c r="AT504" s="42">
        <v>0</v>
      </c>
      <c r="AV504" s="42">
        <v>745000</v>
      </c>
      <c r="AX504" s="42">
        <v>473893</v>
      </c>
      <c r="AZ504" s="42">
        <v>0</v>
      </c>
      <c r="BB504" s="5">
        <f t="shared" si="66"/>
        <v>62420966</v>
      </c>
      <c r="BD504" s="42">
        <v>332500</v>
      </c>
      <c r="BF504" s="42">
        <v>0</v>
      </c>
      <c r="BH504" s="42">
        <v>0</v>
      </c>
      <c r="BJ504" s="42">
        <v>0</v>
      </c>
      <c r="BL504" s="5">
        <f t="shared" si="67"/>
        <v>62753466</v>
      </c>
      <c r="BN504" s="5">
        <f>'Gov Fd Rev'!AQ504-'Gov Fd Exp'!BL504</f>
        <v>7140183</v>
      </c>
      <c r="BP504" s="42">
        <v>4592745</v>
      </c>
      <c r="BR504" s="42">
        <v>0</v>
      </c>
      <c r="BT504" s="42">
        <v>0</v>
      </c>
      <c r="BV504" s="5">
        <f t="shared" si="68"/>
        <v>11732928</v>
      </c>
      <c r="BW504" s="5"/>
      <c r="BX504" s="5">
        <f>BV504-'Gov Fd BS'!AI504</f>
        <v>0</v>
      </c>
    </row>
    <row r="505" spans="1:76">
      <c r="A505" s="9" t="s">
        <v>369</v>
      </c>
      <c r="B505" s="9"/>
      <c r="C505" s="9" t="s">
        <v>364</v>
      </c>
      <c r="D505" s="9"/>
      <c r="E505" s="23">
        <v>47951</v>
      </c>
      <c r="G505" s="42">
        <v>7946590</v>
      </c>
      <c r="I505" s="42">
        <v>2269487</v>
      </c>
      <c r="K505" s="42">
        <v>234570</v>
      </c>
      <c r="M505" s="42">
        <v>0</v>
      </c>
      <c r="O505" s="42">
        <f>34297+4368</f>
        <v>38665</v>
      </c>
      <c r="Q505" s="42">
        <v>560286</v>
      </c>
      <c r="S505" s="42">
        <v>1051363</v>
      </c>
      <c r="U505" s="42">
        <v>87031</v>
      </c>
      <c r="W505" s="42">
        <v>1025343</v>
      </c>
      <c r="Y505" s="42">
        <v>402978</v>
      </c>
      <c r="AA505" s="42">
        <v>0</v>
      </c>
      <c r="AC505" s="42">
        <v>1876969</v>
      </c>
      <c r="AE505" s="42">
        <v>1037718</v>
      </c>
      <c r="AG505" s="42">
        <v>72542</v>
      </c>
      <c r="AI505" s="42">
        <v>777781</v>
      </c>
      <c r="AK505" s="42">
        <v>1060</v>
      </c>
      <c r="AL505" s="9" t="s">
        <v>369</v>
      </c>
      <c r="AM505" s="9"/>
      <c r="AN505" s="9" t="s">
        <v>364</v>
      </c>
      <c r="AP505" s="42">
        <f>312917+1700</f>
        <v>314617</v>
      </c>
      <c r="AR505" s="42">
        <v>190149</v>
      </c>
      <c r="AT505" s="42">
        <v>0</v>
      </c>
      <c r="AV505" s="42">
        <v>786069</v>
      </c>
      <c r="AX505" s="42">
        <v>221564</v>
      </c>
      <c r="AZ505" s="42">
        <v>138164</v>
      </c>
      <c r="BB505" s="5">
        <f t="shared" si="66"/>
        <v>19032946</v>
      </c>
      <c r="BD505" s="42">
        <v>189500</v>
      </c>
      <c r="BF505" s="42">
        <v>0</v>
      </c>
      <c r="BH505" s="42">
        <v>0</v>
      </c>
      <c r="BJ505" s="42">
        <v>8641670</v>
      </c>
      <c r="BL505" s="5">
        <f t="shared" si="67"/>
        <v>27864116</v>
      </c>
      <c r="BN505" s="5">
        <f>'Gov Fd Rev'!AQ505-'Gov Fd Exp'!BL505</f>
        <v>410653</v>
      </c>
      <c r="BP505" s="42">
        <v>9225251</v>
      </c>
      <c r="BR505" s="42">
        <v>0</v>
      </c>
      <c r="BT505" s="42">
        <v>0</v>
      </c>
      <c r="BV505" s="5">
        <f t="shared" si="68"/>
        <v>9635904</v>
      </c>
      <c r="BW505" s="5"/>
      <c r="BX505" s="5">
        <f>BV505-'Gov Fd BS'!AI505</f>
        <v>0</v>
      </c>
    </row>
    <row r="506" spans="1:76">
      <c r="A506" s="9" t="s">
        <v>403</v>
      </c>
      <c r="B506" s="9"/>
      <c r="C506" s="9" t="s">
        <v>45</v>
      </c>
      <c r="D506" s="9"/>
      <c r="E506" s="23">
        <v>48363</v>
      </c>
      <c r="G506" s="42">
        <v>5246879</v>
      </c>
      <c r="I506" s="42">
        <v>1396150</v>
      </c>
      <c r="K506" s="42">
        <v>163592</v>
      </c>
      <c r="M506" s="42">
        <v>0</v>
      </c>
      <c r="O506" s="42">
        <v>373264</v>
      </c>
      <c r="Q506" s="42">
        <v>311880</v>
      </c>
      <c r="S506" s="42">
        <v>552409</v>
      </c>
      <c r="U506" s="42">
        <v>27926</v>
      </c>
      <c r="W506" s="42">
        <v>884365</v>
      </c>
      <c r="Y506" s="42">
        <v>403029</v>
      </c>
      <c r="AA506" s="42">
        <v>0</v>
      </c>
      <c r="AC506" s="42">
        <v>1175545</v>
      </c>
      <c r="AE506" s="42">
        <v>1077125</v>
      </c>
      <c r="AG506" s="42">
        <v>82287</v>
      </c>
      <c r="AI506" s="42">
        <v>352081</v>
      </c>
      <c r="AK506" s="42">
        <v>2624</v>
      </c>
      <c r="AL506" s="9" t="s">
        <v>403</v>
      </c>
      <c r="AM506" s="9"/>
      <c r="AN506" s="9" t="s">
        <v>45</v>
      </c>
      <c r="AP506" s="42">
        <v>509837</v>
      </c>
      <c r="AR506" s="42">
        <v>342821</v>
      </c>
      <c r="AT506" s="42">
        <v>0</v>
      </c>
      <c r="AV506" s="42">
        <v>531731</v>
      </c>
      <c r="AX506" s="42">
        <v>772461</v>
      </c>
      <c r="AZ506" s="42">
        <v>0</v>
      </c>
      <c r="BB506" s="5">
        <f t="shared" si="66"/>
        <v>14206006</v>
      </c>
      <c r="BD506" s="42">
        <v>76441</v>
      </c>
      <c r="BF506" s="42">
        <v>0</v>
      </c>
      <c r="BH506" s="42">
        <v>0</v>
      </c>
      <c r="BJ506" s="42">
        <v>0</v>
      </c>
      <c r="BL506" s="5">
        <f t="shared" si="67"/>
        <v>14282447</v>
      </c>
      <c r="BN506" s="5">
        <f>'Gov Fd Rev'!AQ506-'Gov Fd Exp'!BL506</f>
        <v>-1245213</v>
      </c>
      <c r="BP506" s="42">
        <v>1863509</v>
      </c>
      <c r="BR506" s="42">
        <v>0</v>
      </c>
      <c r="BT506" s="42">
        <v>0</v>
      </c>
      <c r="BV506" s="5">
        <f t="shared" si="68"/>
        <v>618296</v>
      </c>
      <c r="BW506" s="5"/>
      <c r="BX506" s="5">
        <f>BV506-'Gov Fd BS'!AI506</f>
        <v>0</v>
      </c>
    </row>
    <row r="507" spans="1:76">
      <c r="A507" s="9" t="s">
        <v>460</v>
      </c>
      <c r="B507" s="9"/>
      <c r="C507" s="9" t="s">
        <v>56</v>
      </c>
      <c r="D507" s="9"/>
      <c r="E507" s="23">
        <v>49221</v>
      </c>
      <c r="G507" s="42">
        <v>6950436</v>
      </c>
      <c r="I507" s="42">
        <v>2735443</v>
      </c>
      <c r="K507" s="42">
        <v>118274</v>
      </c>
      <c r="M507" s="42">
        <v>0</v>
      </c>
      <c r="O507" s="42">
        <f>33415+1010715</f>
        <v>1044130</v>
      </c>
      <c r="Q507" s="42">
        <v>957558</v>
      </c>
      <c r="S507" s="42">
        <v>295044</v>
      </c>
      <c r="U507" s="42">
        <v>32337</v>
      </c>
      <c r="W507" s="42">
        <v>1348214</v>
      </c>
      <c r="Y507" s="42">
        <v>462916</v>
      </c>
      <c r="AA507" s="42">
        <v>95504</v>
      </c>
      <c r="AC507" s="42">
        <v>1683394</v>
      </c>
      <c r="AE507" s="42">
        <v>1583312</v>
      </c>
      <c r="AG507" s="42">
        <v>82697</v>
      </c>
      <c r="AI507" s="42">
        <v>708988</v>
      </c>
      <c r="AK507" s="42">
        <v>0</v>
      </c>
      <c r="AL507" s="9" t="s">
        <v>460</v>
      </c>
      <c r="AM507" s="9"/>
      <c r="AN507" s="9" t="s">
        <v>56</v>
      </c>
      <c r="AP507" s="42">
        <v>558073</v>
      </c>
      <c r="AR507" s="42">
        <v>2935252</v>
      </c>
      <c r="AT507" s="42">
        <v>0</v>
      </c>
      <c r="AV507" s="42">
        <v>368595</v>
      </c>
      <c r="AX507" s="42">
        <v>142544</v>
      </c>
      <c r="AZ507" s="42">
        <v>0</v>
      </c>
      <c r="BB507" s="5">
        <f t="shared" si="66"/>
        <v>22102711</v>
      </c>
      <c r="BD507" s="42">
        <v>0</v>
      </c>
      <c r="BF507" s="42">
        <v>0</v>
      </c>
      <c r="BH507" s="42">
        <v>0</v>
      </c>
      <c r="BJ507" s="42">
        <v>0</v>
      </c>
      <c r="BL507" s="5">
        <f t="shared" si="67"/>
        <v>22102711</v>
      </c>
      <c r="BN507" s="5">
        <f>'Gov Fd Rev'!AQ507-'Gov Fd Exp'!BL507</f>
        <v>-652513</v>
      </c>
      <c r="BP507" s="42">
        <v>13469241</v>
      </c>
      <c r="BR507" s="42">
        <v>0</v>
      </c>
      <c r="BT507" s="42">
        <v>0</v>
      </c>
      <c r="BV507" s="5">
        <f t="shared" si="68"/>
        <v>12816728</v>
      </c>
      <c r="BW507" s="5"/>
      <c r="BX507" s="5">
        <f>BV507-'Gov Fd BS'!AI507</f>
        <v>0</v>
      </c>
    </row>
    <row r="508" spans="1:76">
      <c r="A508" s="9" t="s">
        <v>460</v>
      </c>
      <c r="B508" s="9"/>
      <c r="C508" s="9" t="s">
        <v>71</v>
      </c>
      <c r="D508" s="9"/>
      <c r="E508" s="23">
        <v>50583</v>
      </c>
      <c r="G508" s="42">
        <v>6562566</v>
      </c>
      <c r="I508" s="42">
        <v>1984886</v>
      </c>
      <c r="K508" s="42">
        <v>159970</v>
      </c>
      <c r="M508" s="42">
        <v>0</v>
      </c>
      <c r="O508" s="42">
        <v>961761</v>
      </c>
      <c r="Q508" s="42">
        <v>683810</v>
      </c>
      <c r="S508" s="42">
        <v>824823</v>
      </c>
      <c r="U508" s="42">
        <v>35829</v>
      </c>
      <c r="W508" s="42">
        <v>1572642</v>
      </c>
      <c r="Y508" s="42">
        <v>400253</v>
      </c>
      <c r="AA508" s="42">
        <v>0</v>
      </c>
      <c r="AC508" s="42">
        <v>1005671</v>
      </c>
      <c r="AE508" s="42">
        <v>1143611</v>
      </c>
      <c r="AG508" s="42">
        <v>208870</v>
      </c>
      <c r="AI508" s="42">
        <v>0</v>
      </c>
      <c r="AK508" s="42">
        <v>891440</v>
      </c>
      <c r="AL508" s="9" t="s">
        <v>460</v>
      </c>
      <c r="AM508" s="9"/>
      <c r="AN508" s="9" t="s">
        <v>71</v>
      </c>
      <c r="AP508" s="42">
        <v>578315</v>
      </c>
      <c r="AR508" s="42">
        <v>210307</v>
      </c>
      <c r="AT508" s="42">
        <v>0</v>
      </c>
      <c r="AV508" s="42">
        <v>44810</v>
      </c>
      <c r="AX508" s="42">
        <v>1206</v>
      </c>
      <c r="AZ508" s="42">
        <v>0</v>
      </c>
      <c r="BB508" s="5">
        <f t="shared" si="66"/>
        <v>17270770</v>
      </c>
      <c r="BD508" s="42">
        <v>3783559</v>
      </c>
      <c r="BF508" s="42">
        <v>0</v>
      </c>
      <c r="BH508" s="42">
        <v>0</v>
      </c>
      <c r="BJ508" s="42">
        <v>0</v>
      </c>
      <c r="BL508" s="5">
        <f t="shared" si="67"/>
        <v>21054329</v>
      </c>
      <c r="BN508" s="5">
        <f>'Gov Fd Rev'!AQ508-'Gov Fd Exp'!BL508</f>
        <v>725795</v>
      </c>
      <c r="BP508" s="42">
        <v>1397490</v>
      </c>
      <c r="BR508" s="42">
        <v>0</v>
      </c>
      <c r="BT508" s="42">
        <v>0</v>
      </c>
      <c r="BV508" s="5">
        <f t="shared" si="68"/>
        <v>2123285</v>
      </c>
      <c r="BW508" s="5"/>
      <c r="BX508" s="5">
        <f>BV508-'Gov Fd BS'!AI508</f>
        <v>0</v>
      </c>
    </row>
    <row r="509" spans="1:76">
      <c r="A509" s="9" t="s">
        <v>233</v>
      </c>
      <c r="B509" s="9"/>
      <c r="C509" s="9" t="s">
        <v>17</v>
      </c>
      <c r="D509" s="9"/>
      <c r="E509" s="23">
        <v>46276</v>
      </c>
      <c r="G509" s="42">
        <v>3952279</v>
      </c>
      <c r="I509" s="42">
        <v>1173704</v>
      </c>
      <c r="K509" s="42">
        <v>194844</v>
      </c>
      <c r="M509" s="42">
        <v>0</v>
      </c>
      <c r="O509" s="42">
        <v>14605</v>
      </c>
      <c r="Q509" s="42">
        <v>426514</v>
      </c>
      <c r="S509" s="42">
        <v>271415</v>
      </c>
      <c r="U509" s="42">
        <v>21353</v>
      </c>
      <c r="W509" s="42">
        <v>519057</v>
      </c>
      <c r="Y509" s="42">
        <v>267974</v>
      </c>
      <c r="AA509" s="42">
        <v>0</v>
      </c>
      <c r="AC509" s="42">
        <v>517628</v>
      </c>
      <c r="AE509" s="42">
        <v>445835</v>
      </c>
      <c r="AG509" s="42">
        <v>38522</v>
      </c>
      <c r="AI509" s="42">
        <v>0</v>
      </c>
      <c r="AK509" s="42">
        <v>227781</v>
      </c>
      <c r="AL509" s="9" t="s">
        <v>233</v>
      </c>
      <c r="AM509" s="9"/>
      <c r="AN509" s="9" t="s">
        <v>17</v>
      </c>
      <c r="AP509" s="42">
        <v>323966</v>
      </c>
      <c r="AR509" s="42">
        <v>104280</v>
      </c>
      <c r="AT509" s="42">
        <v>0</v>
      </c>
      <c r="AV509" s="42">
        <v>143110</v>
      </c>
      <c r="AX509" s="42">
        <v>64021</v>
      </c>
      <c r="AZ509" s="42">
        <v>0</v>
      </c>
      <c r="BB509" s="5">
        <f t="shared" si="66"/>
        <v>8706888</v>
      </c>
      <c r="BD509" s="42">
        <v>0</v>
      </c>
      <c r="BF509" s="42">
        <v>0</v>
      </c>
      <c r="BH509" s="42">
        <v>0</v>
      </c>
      <c r="BJ509" s="42">
        <v>0</v>
      </c>
      <c r="BL509" s="5">
        <f t="shared" si="67"/>
        <v>8706888</v>
      </c>
      <c r="BN509" s="5">
        <f>'Gov Fd Rev'!AQ509-'Gov Fd Exp'!BL509</f>
        <v>-466662</v>
      </c>
      <c r="BP509" s="42">
        <v>6713893</v>
      </c>
      <c r="BR509" s="42">
        <v>0</v>
      </c>
      <c r="BT509" s="42">
        <v>0</v>
      </c>
      <c r="BV509" s="5">
        <f t="shared" si="68"/>
        <v>6247231</v>
      </c>
      <c r="BW509" s="5"/>
      <c r="BX509" s="5">
        <f>BV509-'Gov Fd BS'!AI509</f>
        <v>0</v>
      </c>
    </row>
    <row r="510" spans="1:76">
      <c r="A510" s="9" t="s">
        <v>233</v>
      </c>
      <c r="B510" s="9"/>
      <c r="C510" s="9" t="s">
        <v>58</v>
      </c>
      <c r="D510" s="9"/>
      <c r="E510" s="23">
        <v>49528</v>
      </c>
      <c r="G510" s="42">
        <v>5057186</v>
      </c>
      <c r="I510" s="42">
        <v>1615985</v>
      </c>
      <c r="K510" s="42">
        <v>0</v>
      </c>
      <c r="M510" s="42">
        <v>0</v>
      </c>
      <c r="O510" s="42">
        <v>0</v>
      </c>
      <c r="Q510" s="42">
        <v>541530</v>
      </c>
      <c r="S510" s="42">
        <v>337618</v>
      </c>
      <c r="U510" s="42">
        <v>0</v>
      </c>
      <c r="W510" s="42">
        <v>689846</v>
      </c>
      <c r="Y510" s="42">
        <v>232018</v>
      </c>
      <c r="AA510" s="42">
        <v>249026</v>
      </c>
      <c r="AC510" s="42">
        <v>1096397</v>
      </c>
      <c r="AE510" s="42">
        <v>903226</v>
      </c>
      <c r="AG510" s="42">
        <v>111783</v>
      </c>
      <c r="AI510" s="42">
        <v>0</v>
      </c>
      <c r="AK510" s="42">
        <v>452866</v>
      </c>
      <c r="AL510" s="9" t="s">
        <v>233</v>
      </c>
      <c r="AM510" s="9"/>
      <c r="AN510" s="9" t="s">
        <v>58</v>
      </c>
      <c r="AP510" s="42">
        <v>430974</v>
      </c>
      <c r="AR510" s="42">
        <v>8500</v>
      </c>
      <c r="AT510" s="42">
        <v>0</v>
      </c>
      <c r="AV510" s="42">
        <v>259000</v>
      </c>
      <c r="AX510" s="42">
        <v>164476</v>
      </c>
      <c r="AZ510" s="42">
        <v>0</v>
      </c>
      <c r="BB510" s="5">
        <f t="shared" si="66"/>
        <v>12150431</v>
      </c>
      <c r="BD510" s="42">
        <v>22500</v>
      </c>
      <c r="BF510" s="42">
        <v>0</v>
      </c>
      <c r="BH510" s="42">
        <v>0</v>
      </c>
      <c r="BJ510" s="42">
        <v>0</v>
      </c>
      <c r="BL510" s="5">
        <f t="shared" si="67"/>
        <v>12172931</v>
      </c>
      <c r="BN510" s="5">
        <f>'Gov Fd Rev'!AQ510-'Gov Fd Exp'!BL510</f>
        <v>197424</v>
      </c>
      <c r="BP510" s="42">
        <v>7867084</v>
      </c>
      <c r="BR510" s="42">
        <v>0</v>
      </c>
      <c r="BT510" s="42">
        <v>0</v>
      </c>
      <c r="BV510" s="5">
        <f t="shared" si="68"/>
        <v>8064508</v>
      </c>
      <c r="BW510" s="5"/>
      <c r="BX510" s="5">
        <f>BV510-'Gov Fd BS'!AI510</f>
        <v>0</v>
      </c>
    </row>
    <row r="511" spans="1:76">
      <c r="A511" s="9" t="s">
        <v>640</v>
      </c>
      <c r="B511" s="9"/>
      <c r="C511" s="9" t="s">
        <v>111</v>
      </c>
      <c r="D511" s="9"/>
      <c r="E511" s="23">
        <v>46441</v>
      </c>
      <c r="G511" s="42">
        <v>3138032</v>
      </c>
      <c r="I511" s="42">
        <v>1146560</v>
      </c>
      <c r="K511" s="42">
        <v>227733</v>
      </c>
      <c r="M511" s="42">
        <v>0</v>
      </c>
      <c r="O511" s="42">
        <v>266520</v>
      </c>
      <c r="Q511" s="42">
        <v>890068</v>
      </c>
      <c r="S511" s="42">
        <v>702818</v>
      </c>
      <c r="U511" s="42">
        <v>1267077</v>
      </c>
      <c r="W511" s="42">
        <v>717888</v>
      </c>
      <c r="Y511" s="42">
        <v>244081</v>
      </c>
      <c r="AA511" s="42">
        <v>58759</v>
      </c>
      <c r="AC511" s="42">
        <v>1023025</v>
      </c>
      <c r="AE511" s="42">
        <v>789556</v>
      </c>
      <c r="AG511" s="42">
        <v>94415</v>
      </c>
      <c r="AI511" s="42">
        <v>399533</v>
      </c>
      <c r="AK511" s="42">
        <v>19838</v>
      </c>
      <c r="AL511" s="9" t="s">
        <v>640</v>
      </c>
      <c r="AM511" s="9"/>
      <c r="AN511" s="9" t="s">
        <v>111</v>
      </c>
      <c r="AP511" s="42">
        <v>248061</v>
      </c>
      <c r="AR511" s="42">
        <v>0</v>
      </c>
      <c r="AT511" s="42">
        <v>0</v>
      </c>
      <c r="AV511" s="42">
        <v>208500</v>
      </c>
      <c r="AX511" s="42">
        <v>92162</v>
      </c>
      <c r="AZ511" s="42">
        <v>0</v>
      </c>
      <c r="BB511" s="5">
        <f>SUM(G511:AZ511)</f>
        <v>11534626</v>
      </c>
      <c r="BD511" s="42">
        <v>195000</v>
      </c>
      <c r="BF511" s="42">
        <v>0</v>
      </c>
      <c r="BH511" s="42">
        <v>0</v>
      </c>
      <c r="BJ511" s="42">
        <v>0</v>
      </c>
      <c r="BL511" s="5">
        <f>BB511+BD511+BJ511</f>
        <v>11729626</v>
      </c>
      <c r="BN511" s="5">
        <f>'Gov Fd Rev'!AQ511-'Gov Fd Exp'!BL511</f>
        <v>640102</v>
      </c>
      <c r="BP511" s="42">
        <v>467954</v>
      </c>
      <c r="BR511" s="42">
        <v>0</v>
      </c>
      <c r="BT511" s="42">
        <v>0</v>
      </c>
      <c r="BV511" s="5">
        <f>BN511+BP511+BR511+BT511</f>
        <v>1108056</v>
      </c>
      <c r="BW511" s="5"/>
      <c r="BX511" s="5">
        <f>BV511-'Gov Fd BS'!AI511</f>
        <v>0</v>
      </c>
    </row>
    <row r="512" spans="1:76">
      <c r="A512" s="9" t="s">
        <v>248</v>
      </c>
      <c r="B512" s="9"/>
      <c r="C512" s="9" t="s">
        <v>417</v>
      </c>
      <c r="D512" s="9"/>
      <c r="E512" s="23">
        <v>48538</v>
      </c>
      <c r="G512" s="42">
        <v>2665059</v>
      </c>
      <c r="I512" s="42">
        <v>900603</v>
      </c>
      <c r="K512" s="42">
        <v>176006</v>
      </c>
      <c r="M512" s="42">
        <v>0</v>
      </c>
      <c r="O512" s="42">
        <f>122773+785772</f>
        <v>908545</v>
      </c>
      <c r="Q512" s="42">
        <v>542008</v>
      </c>
      <c r="S512" s="42">
        <v>501914</v>
      </c>
      <c r="U512" s="42">
        <v>29166</v>
      </c>
      <c r="W512" s="42">
        <v>440101</v>
      </c>
      <c r="Y512" s="42">
        <v>321562</v>
      </c>
      <c r="AA512" s="42">
        <v>0</v>
      </c>
      <c r="AC512" s="42">
        <v>616937</v>
      </c>
      <c r="AE512" s="42">
        <v>671444</v>
      </c>
      <c r="AG512" s="42">
        <v>214286</v>
      </c>
      <c r="AI512" s="42">
        <v>0</v>
      </c>
      <c r="AK512" s="42">
        <v>439095</v>
      </c>
      <c r="AL512" s="9" t="s">
        <v>248</v>
      </c>
      <c r="AM512" s="9"/>
      <c r="AN512" s="9" t="s">
        <v>417</v>
      </c>
      <c r="AP512" s="42">
        <v>161892</v>
      </c>
      <c r="AR512" s="42">
        <v>8451406</v>
      </c>
      <c r="AT512" s="42">
        <v>0</v>
      </c>
      <c r="AV512" s="42">
        <v>225907</v>
      </c>
      <c r="AX512" s="42">
        <v>332926</v>
      </c>
      <c r="AZ512" s="42">
        <v>0</v>
      </c>
      <c r="BB512" s="5">
        <f t="shared" si="66"/>
        <v>17598857</v>
      </c>
      <c r="BD512" s="42">
        <v>433286</v>
      </c>
      <c r="BF512" s="42">
        <v>0</v>
      </c>
      <c r="BH512" s="42">
        <v>0</v>
      </c>
      <c r="BJ512" s="42">
        <v>0</v>
      </c>
      <c r="BL512" s="5">
        <f t="shared" si="67"/>
        <v>18032143</v>
      </c>
      <c r="BN512" s="5">
        <f>'Gov Fd Rev'!AQ512-'Gov Fd Exp'!BL512</f>
        <v>-5932900</v>
      </c>
      <c r="BP512" s="42">
        <v>12491343</v>
      </c>
      <c r="BR512" s="42">
        <v>0</v>
      </c>
      <c r="BT512" s="42">
        <v>0</v>
      </c>
      <c r="BV512" s="5">
        <f t="shared" si="68"/>
        <v>6558443</v>
      </c>
      <c r="BW512" s="5"/>
      <c r="BX512" s="5">
        <f>BV512-'Gov Fd BS'!AI512</f>
        <v>0</v>
      </c>
    </row>
    <row r="513" spans="1:76" hidden="1">
      <c r="A513" s="9" t="s">
        <v>695</v>
      </c>
      <c r="B513" s="9"/>
      <c r="C513" s="9" t="s">
        <v>448</v>
      </c>
      <c r="D513" s="9"/>
      <c r="E513" s="23">
        <v>49064</v>
      </c>
      <c r="G513" s="42">
        <v>0</v>
      </c>
      <c r="I513" s="42">
        <v>0</v>
      </c>
      <c r="K513" s="42">
        <v>0</v>
      </c>
      <c r="M513" s="42">
        <v>0</v>
      </c>
      <c r="O513" s="42">
        <v>0</v>
      </c>
      <c r="Q513" s="42">
        <v>0</v>
      </c>
      <c r="S513" s="42">
        <v>0</v>
      </c>
      <c r="U513" s="42">
        <v>0</v>
      </c>
      <c r="W513" s="42">
        <v>0</v>
      </c>
      <c r="Y513" s="42">
        <v>0</v>
      </c>
      <c r="AA513" s="42">
        <v>0</v>
      </c>
      <c r="AC513" s="42">
        <v>0</v>
      </c>
      <c r="AE513" s="42">
        <v>0</v>
      </c>
      <c r="AG513" s="42">
        <v>0</v>
      </c>
      <c r="AI513" s="42">
        <v>0</v>
      </c>
      <c r="AK513" s="42">
        <v>0</v>
      </c>
      <c r="AL513" s="9" t="s">
        <v>695</v>
      </c>
      <c r="AM513" s="9"/>
      <c r="AN513" s="9" t="s">
        <v>448</v>
      </c>
      <c r="AP513" s="42">
        <v>0</v>
      </c>
      <c r="AR513" s="42">
        <v>0</v>
      </c>
      <c r="AT513" s="42">
        <v>0</v>
      </c>
      <c r="AV513" s="42">
        <v>0</v>
      </c>
      <c r="AX513" s="42">
        <v>0</v>
      </c>
      <c r="AZ513" s="42">
        <v>0</v>
      </c>
      <c r="BB513" s="5">
        <f t="shared" si="66"/>
        <v>0</v>
      </c>
      <c r="BD513" s="42">
        <v>0</v>
      </c>
      <c r="BF513" s="42">
        <v>0</v>
      </c>
      <c r="BH513" s="42">
        <v>0</v>
      </c>
      <c r="BJ513" s="42">
        <v>0</v>
      </c>
      <c r="BL513" s="5">
        <f t="shared" si="67"/>
        <v>0</v>
      </c>
      <c r="BN513" s="5">
        <f>'Gov Fd Rev'!AQ513-'Gov Fd Exp'!BL513</f>
        <v>0</v>
      </c>
      <c r="BP513" s="42">
        <v>0</v>
      </c>
      <c r="BR513" s="42">
        <v>0</v>
      </c>
      <c r="BT513" s="42">
        <v>0</v>
      </c>
      <c r="BV513" s="5">
        <f t="shared" si="68"/>
        <v>0</v>
      </c>
      <c r="BW513" s="5"/>
      <c r="BX513" s="5">
        <f>BV513-'Gov Fd BS'!AI513</f>
        <v>0</v>
      </c>
    </row>
    <row r="514" spans="1:76">
      <c r="A514" s="9" t="s">
        <v>526</v>
      </c>
      <c r="B514" s="9"/>
      <c r="C514" s="9" t="s">
        <v>64</v>
      </c>
      <c r="D514" s="9"/>
      <c r="E514" s="23">
        <v>50237</v>
      </c>
      <c r="G514" s="42">
        <v>2839022</v>
      </c>
      <c r="I514" s="42">
        <v>468286</v>
      </c>
      <c r="K514" s="42">
        <v>16824</v>
      </c>
      <c r="M514" s="42">
        <v>0</v>
      </c>
      <c r="O514" s="42">
        <v>0</v>
      </c>
      <c r="Q514" s="42">
        <v>226691</v>
      </c>
      <c r="S514" s="42">
        <v>35539</v>
      </c>
      <c r="U514" s="42">
        <v>51436</v>
      </c>
      <c r="W514" s="42">
        <v>363927</v>
      </c>
      <c r="Y514" s="42">
        <v>262355</v>
      </c>
      <c r="AA514" s="42">
        <v>26533</v>
      </c>
      <c r="AC514" s="42">
        <v>468705</v>
      </c>
      <c r="AE514" s="42">
        <v>318395</v>
      </c>
      <c r="AG514" s="42">
        <v>18200</v>
      </c>
      <c r="AI514" s="42">
        <v>211661</v>
      </c>
      <c r="AK514" s="42">
        <v>31884</v>
      </c>
      <c r="AL514" s="9" t="s">
        <v>526</v>
      </c>
      <c r="AM514" s="9"/>
      <c r="AN514" s="9" t="s">
        <v>64</v>
      </c>
      <c r="AP514" s="42">
        <v>246032</v>
      </c>
      <c r="AR514" s="42">
        <v>1173162</v>
      </c>
      <c r="AT514" s="42">
        <v>0</v>
      </c>
      <c r="AV514" s="42">
        <v>200000</v>
      </c>
      <c r="AX514" s="42">
        <v>320250</v>
      </c>
      <c r="AZ514" s="42">
        <v>0</v>
      </c>
      <c r="BB514" s="5">
        <f t="shared" si="66"/>
        <v>7278902</v>
      </c>
      <c r="BD514" s="42">
        <v>48545</v>
      </c>
      <c r="BF514" s="42">
        <v>0</v>
      </c>
      <c r="BH514" s="42">
        <v>0</v>
      </c>
      <c r="BJ514" s="42">
        <v>0</v>
      </c>
      <c r="BL514" s="5">
        <f t="shared" si="67"/>
        <v>7327447</v>
      </c>
      <c r="BN514" s="5">
        <f>'Gov Fd Rev'!AQ514-'Gov Fd Exp'!BL514</f>
        <v>-840751</v>
      </c>
      <c r="BP514" s="42">
        <v>4412495</v>
      </c>
      <c r="BR514" s="42">
        <v>0</v>
      </c>
      <c r="BT514" s="42">
        <v>0</v>
      </c>
      <c r="BV514" s="5">
        <f t="shared" si="68"/>
        <v>3571744</v>
      </c>
      <c r="BW514" s="5"/>
      <c r="BX514" s="5">
        <f>BV514-'Gov Fd BS'!AI514</f>
        <v>0</v>
      </c>
    </row>
    <row r="515" spans="1:76" hidden="1">
      <c r="A515" s="9" t="s">
        <v>823</v>
      </c>
      <c r="B515" s="9"/>
      <c r="C515" s="9" t="s">
        <v>42</v>
      </c>
      <c r="D515" s="9"/>
      <c r="E515" s="23">
        <v>48041</v>
      </c>
      <c r="G515" s="42">
        <v>0</v>
      </c>
      <c r="I515" s="42">
        <v>0</v>
      </c>
      <c r="K515" s="42">
        <v>0</v>
      </c>
      <c r="M515" s="42">
        <v>0</v>
      </c>
      <c r="O515" s="42">
        <v>0</v>
      </c>
      <c r="Q515" s="42">
        <v>0</v>
      </c>
      <c r="S515" s="42">
        <v>0</v>
      </c>
      <c r="U515" s="42">
        <v>0</v>
      </c>
      <c r="W515" s="42">
        <v>0</v>
      </c>
      <c r="Y515" s="42">
        <v>0</v>
      </c>
      <c r="AA515" s="42">
        <v>0</v>
      </c>
      <c r="AC515" s="42">
        <v>0</v>
      </c>
      <c r="AE515" s="42">
        <v>0</v>
      </c>
      <c r="AG515" s="42">
        <v>0</v>
      </c>
      <c r="AI515" s="42">
        <v>0</v>
      </c>
      <c r="AK515" s="42">
        <v>0</v>
      </c>
      <c r="AL515" s="9" t="s">
        <v>823</v>
      </c>
      <c r="AM515" s="9"/>
      <c r="AN515" s="9" t="s">
        <v>42</v>
      </c>
      <c r="AP515" s="42">
        <v>0</v>
      </c>
      <c r="AR515" s="42">
        <v>0</v>
      </c>
      <c r="AT515" s="42">
        <v>0</v>
      </c>
      <c r="AV515" s="42">
        <v>0</v>
      </c>
      <c r="AX515" s="42">
        <v>0</v>
      </c>
      <c r="AZ515" s="42">
        <v>0</v>
      </c>
      <c r="BB515" s="5">
        <f t="shared" si="66"/>
        <v>0</v>
      </c>
      <c r="BD515" s="42">
        <v>0</v>
      </c>
      <c r="BF515" s="42">
        <v>0</v>
      </c>
      <c r="BH515" s="42">
        <v>0</v>
      </c>
      <c r="BJ515" s="42">
        <v>0</v>
      </c>
      <c r="BL515" s="5">
        <f t="shared" si="67"/>
        <v>0</v>
      </c>
      <c r="BN515" s="5">
        <f>'Gov Fd Rev'!AQ515-'Gov Fd Exp'!BL515</f>
        <v>0</v>
      </c>
      <c r="BP515" s="42">
        <v>0</v>
      </c>
      <c r="BR515" s="42">
        <v>0</v>
      </c>
      <c r="BT515" s="42">
        <v>0</v>
      </c>
      <c r="BV515" s="5">
        <f t="shared" si="68"/>
        <v>0</v>
      </c>
      <c r="BW515" s="5"/>
      <c r="BX515" s="5">
        <f>BV515-'Gov Fd BS'!AI515</f>
        <v>0</v>
      </c>
    </row>
    <row r="516" spans="1:76">
      <c r="A516" s="9" t="s">
        <v>329</v>
      </c>
      <c r="B516" s="9"/>
      <c r="C516" s="9" t="s">
        <v>32</v>
      </c>
      <c r="D516" s="9"/>
      <c r="E516" s="23">
        <v>47381</v>
      </c>
      <c r="G516" s="42">
        <v>14268421</v>
      </c>
      <c r="I516" s="42">
        <v>4627615</v>
      </c>
      <c r="K516" s="42">
        <v>0</v>
      </c>
      <c r="M516" s="42">
        <v>0</v>
      </c>
      <c r="O516" s="42">
        <v>797162</v>
      </c>
      <c r="Q516" s="42">
        <v>1596112</v>
      </c>
      <c r="S516" s="42">
        <v>328109</v>
      </c>
      <c r="U516" s="42">
        <v>0</v>
      </c>
      <c r="W516" s="42">
        <f>33590+2429958</f>
        <v>2463548</v>
      </c>
      <c r="Y516" s="42">
        <v>923671</v>
      </c>
      <c r="AA516" s="42">
        <v>100</v>
      </c>
      <c r="AC516" s="42">
        <v>3020919</v>
      </c>
      <c r="AE516" s="42">
        <v>1300743</v>
      </c>
      <c r="AG516" s="42">
        <v>106878</v>
      </c>
      <c r="AI516" s="42">
        <v>0</v>
      </c>
      <c r="AK516" s="42">
        <v>1516924</v>
      </c>
      <c r="AL516" s="9" t="s">
        <v>329</v>
      </c>
      <c r="AM516" s="9"/>
      <c r="AN516" s="9" t="s">
        <v>32</v>
      </c>
      <c r="AP516" s="42">
        <v>750869</v>
      </c>
      <c r="AR516" s="42">
        <v>4529</v>
      </c>
      <c r="AT516" s="42">
        <v>0</v>
      </c>
      <c r="AV516" s="42">
        <v>645000</v>
      </c>
      <c r="AX516" s="42">
        <v>602989</v>
      </c>
      <c r="AZ516" s="42">
        <v>0</v>
      </c>
      <c r="BB516" s="5">
        <f t="shared" si="66"/>
        <v>32953589</v>
      </c>
      <c r="BD516" s="42">
        <v>218416</v>
      </c>
      <c r="BF516" s="42">
        <v>0</v>
      </c>
      <c r="BH516" s="42">
        <v>0</v>
      </c>
      <c r="BJ516" s="42">
        <v>0</v>
      </c>
      <c r="BL516" s="5">
        <f t="shared" si="67"/>
        <v>33172005</v>
      </c>
      <c r="BN516" s="5">
        <f>'Gov Fd Rev'!AQ516-'Gov Fd Exp'!BL516</f>
        <v>2201971</v>
      </c>
      <c r="BP516" s="42">
        <v>7035298</v>
      </c>
      <c r="BR516" s="42">
        <v>0</v>
      </c>
      <c r="BT516" s="42">
        <v>0</v>
      </c>
      <c r="BV516" s="5">
        <f t="shared" si="68"/>
        <v>9237269</v>
      </c>
      <c r="BW516" s="5"/>
      <c r="BX516" s="5">
        <f>BV516-'Gov Fd BS'!AI516</f>
        <v>0</v>
      </c>
    </row>
    <row r="517" spans="1:76">
      <c r="A517" s="9" t="s">
        <v>305</v>
      </c>
      <c r="B517" s="9"/>
      <c r="C517" s="9" t="s">
        <v>27</v>
      </c>
      <c r="D517" s="9"/>
      <c r="E517" s="23">
        <v>44800</v>
      </c>
      <c r="G517" s="42">
        <v>98271137</v>
      </c>
      <c r="I517" s="42">
        <v>32808231</v>
      </c>
      <c r="K517" s="42">
        <v>5372204</v>
      </c>
      <c r="M517" s="42">
        <v>0</v>
      </c>
      <c r="O517" s="42">
        <v>988051</v>
      </c>
      <c r="Q517" s="42">
        <v>10595108</v>
      </c>
      <c r="S517" s="42">
        <v>14990657</v>
      </c>
      <c r="U517" s="42">
        <v>38433</v>
      </c>
      <c r="W517" s="42">
        <v>14968530</v>
      </c>
      <c r="Y517" s="42">
        <v>3969374</v>
      </c>
      <c r="AA517" s="42">
        <v>865860</v>
      </c>
      <c r="AC517" s="42">
        <v>14877670</v>
      </c>
      <c r="AE517" s="42">
        <v>11733590</v>
      </c>
      <c r="AG517" s="42">
        <v>3583087</v>
      </c>
      <c r="AI517" s="42">
        <v>8365996</v>
      </c>
      <c r="AK517" s="42">
        <f>1298989+68734</f>
        <v>1367723</v>
      </c>
      <c r="AL517" s="9" t="s">
        <v>305</v>
      </c>
      <c r="AM517" s="9"/>
      <c r="AN517" s="9" t="s">
        <v>27</v>
      </c>
      <c r="AP517" s="42">
        <v>4394019</v>
      </c>
      <c r="AR517" s="42">
        <v>18589048</v>
      </c>
      <c r="AT517" s="42">
        <v>0</v>
      </c>
      <c r="AV517" s="42">
        <v>12256667</v>
      </c>
      <c r="AX517" s="42">
        <v>7205069</v>
      </c>
      <c r="AZ517" s="42">
        <f>367123+593899</f>
        <v>961022</v>
      </c>
      <c r="BB517" s="5">
        <f t="shared" si="66"/>
        <v>266201476</v>
      </c>
      <c r="BD517" s="42">
        <v>1290220</v>
      </c>
      <c r="BF517" s="42">
        <v>0</v>
      </c>
      <c r="BH517" s="42">
        <v>0</v>
      </c>
      <c r="BJ517" s="42">
        <v>0</v>
      </c>
      <c r="BL517" s="5">
        <f t="shared" si="67"/>
        <v>267491696</v>
      </c>
      <c r="BN517" s="5">
        <f>'Gov Fd Rev'!AQ517-'Gov Fd Exp'!BL517</f>
        <v>143955617</v>
      </c>
      <c r="BP517" s="42">
        <v>131573076</v>
      </c>
      <c r="BR517" s="42">
        <v>0</v>
      </c>
      <c r="BT517" s="42">
        <v>0</v>
      </c>
      <c r="BV517" s="5">
        <f t="shared" si="68"/>
        <v>275528693</v>
      </c>
      <c r="BW517" s="5"/>
      <c r="BX517" s="5">
        <f>BV517-'Gov Fd BS'!AI517</f>
        <v>0</v>
      </c>
    </row>
    <row r="518" spans="1:76" hidden="1">
      <c r="A518" s="9" t="s">
        <v>696</v>
      </c>
      <c r="B518" s="9"/>
      <c r="C518" s="9" t="s">
        <v>10</v>
      </c>
      <c r="D518" s="9"/>
      <c r="E518" s="23">
        <v>45807</v>
      </c>
      <c r="G518" s="42">
        <v>0</v>
      </c>
      <c r="I518" s="42">
        <v>0</v>
      </c>
      <c r="K518" s="42">
        <v>0</v>
      </c>
      <c r="M518" s="42">
        <v>0</v>
      </c>
      <c r="O518" s="42">
        <v>0</v>
      </c>
      <c r="Q518" s="42">
        <v>0</v>
      </c>
      <c r="S518" s="42">
        <v>0</v>
      </c>
      <c r="U518" s="42">
        <v>0</v>
      </c>
      <c r="W518" s="42">
        <v>0</v>
      </c>
      <c r="Y518" s="42">
        <v>0</v>
      </c>
      <c r="AA518" s="42">
        <v>0</v>
      </c>
      <c r="AC518" s="42">
        <v>0</v>
      </c>
      <c r="AE518" s="42">
        <v>0</v>
      </c>
      <c r="AG518" s="42">
        <v>0</v>
      </c>
      <c r="AI518" s="42">
        <v>0</v>
      </c>
      <c r="AK518" s="42">
        <v>0</v>
      </c>
      <c r="AL518" s="9" t="s">
        <v>696</v>
      </c>
      <c r="AM518" s="9"/>
      <c r="AN518" s="9" t="s">
        <v>10</v>
      </c>
      <c r="AP518" s="42">
        <v>0</v>
      </c>
      <c r="AR518" s="42">
        <v>0</v>
      </c>
      <c r="AT518" s="42">
        <v>0</v>
      </c>
      <c r="AV518" s="42">
        <v>0</v>
      </c>
      <c r="AX518" s="42">
        <v>0</v>
      </c>
      <c r="AZ518" s="42">
        <v>0</v>
      </c>
      <c r="BB518" s="5">
        <f t="shared" si="66"/>
        <v>0</v>
      </c>
      <c r="BD518" s="42">
        <v>0</v>
      </c>
      <c r="BF518" s="42">
        <v>0</v>
      </c>
      <c r="BH518" s="42">
        <v>0</v>
      </c>
      <c r="BJ518" s="42">
        <v>0</v>
      </c>
      <c r="BL518" s="5">
        <f t="shared" si="67"/>
        <v>0</v>
      </c>
      <c r="BN518" s="5">
        <f>'Gov Fd Rev'!AQ518-'Gov Fd Exp'!BL518</f>
        <v>0</v>
      </c>
      <c r="BP518" s="42">
        <v>0</v>
      </c>
      <c r="BR518" s="42">
        <v>0</v>
      </c>
      <c r="BT518" s="42">
        <v>0</v>
      </c>
      <c r="BV518" s="5">
        <f t="shared" si="68"/>
        <v>0</v>
      </c>
      <c r="BW518" s="5"/>
      <c r="BX518" s="5">
        <f>BV518-'Gov Fd BS'!AI518</f>
        <v>0</v>
      </c>
    </row>
    <row r="519" spans="1:76">
      <c r="A519" s="8" t="s">
        <v>838</v>
      </c>
      <c r="B519" s="9"/>
      <c r="C519" s="9" t="s">
        <v>69</v>
      </c>
      <c r="D519" s="9"/>
      <c r="E519" s="23">
        <v>50427</v>
      </c>
      <c r="G519" s="42">
        <v>20686252</v>
      </c>
      <c r="I519" s="42">
        <v>4000024</v>
      </c>
      <c r="K519" s="42">
        <v>0</v>
      </c>
      <c r="M519" s="42">
        <v>0</v>
      </c>
      <c r="O519" s="42">
        <v>582059</v>
      </c>
      <c r="Q519" s="42">
        <v>2310123</v>
      </c>
      <c r="S519" s="42">
        <v>3210616</v>
      </c>
      <c r="U519" s="42">
        <v>238535</v>
      </c>
      <c r="W519" s="42">
        <v>3042503</v>
      </c>
      <c r="Y519" s="42">
        <v>761189</v>
      </c>
      <c r="AA519" s="42">
        <v>227002</v>
      </c>
      <c r="AC519" s="42">
        <v>3241739</v>
      </c>
      <c r="AE519" s="42">
        <v>2895420</v>
      </c>
      <c r="AG519" s="42">
        <v>266802</v>
      </c>
      <c r="AI519" s="42">
        <v>0</v>
      </c>
      <c r="AK519" s="42">
        <v>1217437</v>
      </c>
      <c r="AL519" s="8" t="s">
        <v>838</v>
      </c>
      <c r="AM519" s="9"/>
      <c r="AN519" s="9" t="s">
        <v>69</v>
      </c>
      <c r="AP519" s="42">
        <v>1608151</v>
      </c>
      <c r="AR519" s="42">
        <v>1989475</v>
      </c>
      <c r="AT519" s="42">
        <v>0</v>
      </c>
      <c r="AV519" s="42">
        <v>4240722</v>
      </c>
      <c r="AX519" s="42">
        <f>4166208+24295</f>
        <v>4190503</v>
      </c>
      <c r="AZ519" s="42">
        <v>0</v>
      </c>
      <c r="BB519" s="5">
        <f t="shared" si="66"/>
        <v>54708552</v>
      </c>
      <c r="BD519" s="42">
        <v>123077</v>
      </c>
      <c r="BF519" s="42">
        <v>0</v>
      </c>
      <c r="BH519" s="42">
        <v>0</v>
      </c>
      <c r="BJ519" s="42">
        <v>0</v>
      </c>
      <c r="BL519" s="5">
        <f t="shared" si="67"/>
        <v>54831629</v>
      </c>
      <c r="BN519" s="5">
        <f>'Gov Fd Rev'!AQ519-'Gov Fd Exp'!BL519</f>
        <v>2658547</v>
      </c>
      <c r="BP519" s="42">
        <v>11378686</v>
      </c>
      <c r="BR519" s="42">
        <v>0</v>
      </c>
      <c r="BT519" s="42">
        <v>0</v>
      </c>
      <c r="BV519" s="5">
        <f t="shared" si="68"/>
        <v>14037233</v>
      </c>
      <c r="BW519" s="5"/>
      <c r="BX519" s="5">
        <f>BV519-'Gov Fd BS'!AI519</f>
        <v>0</v>
      </c>
    </row>
    <row r="520" spans="1:76">
      <c r="A520" s="9" t="s">
        <v>624</v>
      </c>
      <c r="B520" s="9"/>
      <c r="C520" s="9" t="s">
        <v>17</v>
      </c>
      <c r="D520" s="9"/>
      <c r="E520" s="23">
        <v>44818</v>
      </c>
      <c r="G520" s="42">
        <v>30151616</v>
      </c>
      <c r="I520" s="42">
        <v>11204253</v>
      </c>
      <c r="K520" s="42">
        <v>235148</v>
      </c>
      <c r="M520" s="42">
        <v>325382</v>
      </c>
      <c r="O520" s="42">
        <v>15068825</v>
      </c>
      <c r="Q520" s="42">
        <v>7350473</v>
      </c>
      <c r="S520" s="42">
        <v>7430268</v>
      </c>
      <c r="U520" s="42">
        <v>264601</v>
      </c>
      <c r="W520" s="42">
        <v>7379785</v>
      </c>
      <c r="Y520" s="42">
        <v>2231442</v>
      </c>
      <c r="AA520" s="42">
        <v>395968</v>
      </c>
      <c r="AC520" s="42">
        <v>7219334</v>
      </c>
      <c r="AE520" s="42">
        <v>2726016</v>
      </c>
      <c r="AG520" s="42">
        <v>1376275</v>
      </c>
      <c r="AI520" s="42">
        <v>0</v>
      </c>
      <c r="AK520" s="42">
        <v>6054537</v>
      </c>
      <c r="AL520" s="9" t="s">
        <v>624</v>
      </c>
      <c r="AM520" s="9"/>
      <c r="AN520" s="9" t="s">
        <v>17</v>
      </c>
      <c r="AP520" s="42">
        <v>987839</v>
      </c>
      <c r="AR520" s="42">
        <v>577685</v>
      </c>
      <c r="AT520" s="42">
        <v>0</v>
      </c>
      <c r="AV520" s="42">
        <v>2709221</v>
      </c>
      <c r="AX520" s="42">
        <v>2313715</v>
      </c>
      <c r="AZ520" s="42">
        <v>0</v>
      </c>
      <c r="BB520" s="5">
        <f t="shared" si="66"/>
        <v>106002383</v>
      </c>
      <c r="BD520" s="42">
        <v>533750</v>
      </c>
      <c r="BF520" s="42">
        <v>0</v>
      </c>
      <c r="BH520" s="42">
        <v>0</v>
      </c>
      <c r="BJ520" s="42">
        <v>0</v>
      </c>
      <c r="BL520" s="5">
        <f t="shared" si="67"/>
        <v>106536133</v>
      </c>
      <c r="BN520" s="5">
        <f>'Gov Fd Rev'!AQ520-'Gov Fd Exp'!BL520</f>
        <v>-2332294</v>
      </c>
      <c r="BP520" s="42">
        <v>37783086</v>
      </c>
      <c r="BR520" s="42">
        <v>0</v>
      </c>
      <c r="BT520" s="42">
        <v>0</v>
      </c>
      <c r="BV520" s="5">
        <f t="shared" si="68"/>
        <v>35450792</v>
      </c>
      <c r="BW520" s="5"/>
      <c r="BX520" s="5">
        <f>BV520-'Gov Fd BS'!AI520</f>
        <v>0</v>
      </c>
    </row>
    <row r="521" spans="1:76">
      <c r="A521" s="9" t="s">
        <v>710</v>
      </c>
      <c r="B521" s="9"/>
      <c r="C521" s="9" t="s">
        <v>114</v>
      </c>
      <c r="D521" s="9"/>
      <c r="E521" s="23">
        <v>48223</v>
      </c>
      <c r="G521" s="42">
        <v>17378341</v>
      </c>
      <c r="I521" s="42">
        <v>4647850</v>
      </c>
      <c r="K521" s="42">
        <v>223638</v>
      </c>
      <c r="M521" s="42">
        <v>0</v>
      </c>
      <c r="O521" s="42">
        <v>3536915</v>
      </c>
      <c r="Q521" s="42">
        <v>1404904</v>
      </c>
      <c r="S521" s="42">
        <v>556703</v>
      </c>
      <c r="U521" s="42">
        <v>100482</v>
      </c>
      <c r="W521" s="42">
        <v>2829322</v>
      </c>
      <c r="Y521" s="42">
        <v>776705</v>
      </c>
      <c r="AA521" s="42">
        <v>0</v>
      </c>
      <c r="AC521" s="42">
        <v>3367494</v>
      </c>
      <c r="AE521" s="42">
        <v>1965393</v>
      </c>
      <c r="AG521" s="42">
        <v>78020</v>
      </c>
      <c r="AI521" s="42">
        <v>1459018</v>
      </c>
      <c r="AK521" s="42">
        <v>1330395</v>
      </c>
      <c r="AL521" s="9" t="s">
        <v>710</v>
      </c>
      <c r="AM521" s="9"/>
      <c r="AN521" s="9" t="s">
        <v>114</v>
      </c>
      <c r="AP521" s="42">
        <v>1097249</v>
      </c>
      <c r="AR521" s="42">
        <v>149880</v>
      </c>
      <c r="AT521" s="42">
        <v>0</v>
      </c>
      <c r="AV521" s="42">
        <v>1720000</v>
      </c>
      <c r="AX521" s="42">
        <v>429040</v>
      </c>
      <c r="AZ521" s="42">
        <v>0</v>
      </c>
      <c r="BB521" s="5">
        <f t="shared" si="66"/>
        <v>43051349</v>
      </c>
      <c r="BD521" s="42">
        <v>11164</v>
      </c>
      <c r="BF521" s="42">
        <v>0</v>
      </c>
      <c r="BH521" s="42">
        <v>0</v>
      </c>
      <c r="BJ521" s="42">
        <v>0</v>
      </c>
      <c r="BL521" s="5">
        <f t="shared" si="67"/>
        <v>43062513</v>
      </c>
      <c r="BN521" s="5">
        <f>'Gov Fd Rev'!AQ521-'Gov Fd Exp'!BL521</f>
        <v>525343</v>
      </c>
      <c r="BP521" s="42">
        <v>3311930</v>
      </c>
      <c r="BR521" s="42">
        <v>0</v>
      </c>
      <c r="BT521" s="42">
        <v>0</v>
      </c>
      <c r="BV521" s="5">
        <f t="shared" si="68"/>
        <v>3837273</v>
      </c>
      <c r="BW521" s="5"/>
      <c r="BX521" s="5">
        <f>BV521-'Gov Fd BS'!AI521</f>
        <v>0</v>
      </c>
    </row>
    <row r="522" spans="1:76">
      <c r="A522" s="9" t="s">
        <v>390</v>
      </c>
      <c r="B522" s="9"/>
      <c r="C522" s="9" t="s">
        <v>45</v>
      </c>
      <c r="D522" s="9"/>
      <c r="E522" s="23">
        <v>48371</v>
      </c>
      <c r="G522" s="42">
        <v>5176222</v>
      </c>
      <c r="I522" s="42">
        <v>1139824</v>
      </c>
      <c r="K522" s="42">
        <v>194997</v>
      </c>
      <c r="M522" s="42">
        <v>0</v>
      </c>
      <c r="O522" s="42">
        <v>109892</v>
      </c>
      <c r="Q522" s="42">
        <v>601717</v>
      </c>
      <c r="S522" s="42">
        <v>419123</v>
      </c>
      <c r="U522" s="42">
        <v>26287</v>
      </c>
      <c r="W522" s="42">
        <v>1369711</v>
      </c>
      <c r="Y522" s="42">
        <v>360430</v>
      </c>
      <c r="AA522" s="42">
        <v>4558</v>
      </c>
      <c r="AC522" s="42">
        <v>846414</v>
      </c>
      <c r="AE522" s="42">
        <v>525809</v>
      </c>
      <c r="AG522" s="42">
        <v>28741</v>
      </c>
      <c r="AI522" s="42">
        <v>559681</v>
      </c>
      <c r="AK522" s="42">
        <v>4503</v>
      </c>
      <c r="AL522" s="9" t="s">
        <v>390</v>
      </c>
      <c r="AM522" s="9"/>
      <c r="AN522" s="9" t="s">
        <v>45</v>
      </c>
      <c r="AP522" s="42">
        <v>486878</v>
      </c>
      <c r="AR522" s="42">
        <v>2844851</v>
      </c>
      <c r="AT522" s="42">
        <v>0</v>
      </c>
      <c r="AV522" s="42">
        <v>502637</v>
      </c>
      <c r="AX522" s="42">
        <v>150088</v>
      </c>
      <c r="AZ522" s="42">
        <v>0</v>
      </c>
      <c r="BB522" s="5">
        <f t="shared" si="66"/>
        <v>15352363</v>
      </c>
      <c r="BD522" s="42">
        <v>314661</v>
      </c>
      <c r="BF522" s="42">
        <v>0</v>
      </c>
      <c r="BH522" s="42">
        <v>0</v>
      </c>
      <c r="BJ522" s="42">
        <v>0</v>
      </c>
      <c r="BL522" s="5">
        <f t="shared" si="67"/>
        <v>15667024</v>
      </c>
      <c r="BN522" s="5">
        <f>'Gov Fd Rev'!AQ522-'Gov Fd Exp'!BL522</f>
        <v>-3098982</v>
      </c>
      <c r="BP522" s="42">
        <v>4995789</v>
      </c>
      <c r="BR522" s="42">
        <v>0</v>
      </c>
      <c r="BT522" s="42">
        <v>0</v>
      </c>
      <c r="BV522" s="5">
        <f t="shared" si="68"/>
        <v>1896807</v>
      </c>
      <c r="BW522" s="5"/>
      <c r="BX522" s="5">
        <f>BV522-'Gov Fd BS'!AI522</f>
        <v>0</v>
      </c>
    </row>
    <row r="523" spans="1:76">
      <c r="A523" s="9" t="s">
        <v>390</v>
      </c>
      <c r="B523" s="9"/>
      <c r="C523" s="9" t="s">
        <v>63</v>
      </c>
      <c r="D523" s="9"/>
      <c r="E523" s="23">
        <v>50062</v>
      </c>
      <c r="G523" s="42">
        <v>11290973</v>
      </c>
      <c r="I523" s="42">
        <v>3594901</v>
      </c>
      <c r="K523" s="42">
        <v>275824</v>
      </c>
      <c r="M523" s="42">
        <v>0</v>
      </c>
      <c r="O523" s="42">
        <v>2304781</v>
      </c>
      <c r="Q523" s="42">
        <v>1336991</v>
      </c>
      <c r="S523" s="42">
        <v>1190921</v>
      </c>
      <c r="U523" s="42">
        <v>37500</v>
      </c>
      <c r="W523" s="42">
        <v>1648736</v>
      </c>
      <c r="Y523" s="42">
        <v>871636</v>
      </c>
      <c r="AA523" s="42">
        <v>138887</v>
      </c>
      <c r="AC523" s="42">
        <v>1863605</v>
      </c>
      <c r="AE523" s="42">
        <v>1457931</v>
      </c>
      <c r="AG523" s="42">
        <v>58436</v>
      </c>
      <c r="AI523" s="42">
        <v>931967</v>
      </c>
      <c r="AK523" s="42">
        <v>19218</v>
      </c>
      <c r="AL523" s="9" t="s">
        <v>390</v>
      </c>
      <c r="AM523" s="9"/>
      <c r="AN523" s="9" t="s">
        <v>63</v>
      </c>
      <c r="AP523" s="42">
        <v>721850</v>
      </c>
      <c r="AR523" s="42">
        <v>20368172</v>
      </c>
      <c r="AT523" s="42">
        <v>0</v>
      </c>
      <c r="AV523" s="42">
        <v>630910</v>
      </c>
      <c r="AX523" s="42">
        <v>2092820</v>
      </c>
      <c r="AZ523" s="42">
        <v>0</v>
      </c>
      <c r="BB523" s="5">
        <f t="shared" si="66"/>
        <v>50836059</v>
      </c>
      <c r="BD523" s="42">
        <v>376780</v>
      </c>
      <c r="BF523" s="42">
        <v>0</v>
      </c>
      <c r="BH523" s="42">
        <v>0</v>
      </c>
      <c r="BJ523" s="42">
        <v>0</v>
      </c>
      <c r="BL523" s="5">
        <f t="shared" si="67"/>
        <v>51212839</v>
      </c>
      <c r="BN523" s="5">
        <f>'Gov Fd Rev'!AQ523-'Gov Fd Exp'!BL523</f>
        <v>-19379355</v>
      </c>
      <c r="BP523" s="42">
        <v>35939825</v>
      </c>
      <c r="BR523" s="42">
        <v>0</v>
      </c>
      <c r="BT523" s="42">
        <v>0</v>
      </c>
      <c r="BV523" s="5">
        <f t="shared" si="68"/>
        <v>16560470</v>
      </c>
      <c r="BW523" s="5"/>
      <c r="BX523" s="5">
        <f>BV523-'Gov Fd BS'!AI523</f>
        <v>0</v>
      </c>
    </row>
    <row r="524" spans="1:76">
      <c r="A524" s="9" t="s">
        <v>780</v>
      </c>
      <c r="B524" s="9"/>
      <c r="C524" s="9" t="s">
        <v>32</v>
      </c>
      <c r="D524" s="9"/>
      <c r="E524" s="23">
        <v>44719</v>
      </c>
      <c r="G524" s="42">
        <v>5867497</v>
      </c>
      <c r="I524" s="42">
        <v>1913328</v>
      </c>
      <c r="K524" s="42">
        <v>0</v>
      </c>
      <c r="M524" s="42">
        <v>0</v>
      </c>
      <c r="O524" s="42">
        <v>0</v>
      </c>
      <c r="Q524" s="42">
        <v>918843</v>
      </c>
      <c r="S524" s="42">
        <v>650229</v>
      </c>
      <c r="U524" s="42">
        <v>16996</v>
      </c>
      <c r="W524" s="42">
        <v>889351</v>
      </c>
      <c r="Y524" s="42">
        <v>439295</v>
      </c>
      <c r="AA524" s="42">
        <v>0</v>
      </c>
      <c r="AC524" s="42">
        <v>1248134</v>
      </c>
      <c r="AE524" s="42">
        <v>658164</v>
      </c>
      <c r="AG524" s="42">
        <v>185094</v>
      </c>
      <c r="AI524" s="42">
        <v>0</v>
      </c>
      <c r="AK524" s="42">
        <v>1041076</v>
      </c>
      <c r="AL524" s="9" t="s">
        <v>780</v>
      </c>
      <c r="AM524" s="9"/>
      <c r="AN524" s="9" t="s">
        <v>32</v>
      </c>
      <c r="AP524" s="42">
        <v>245493</v>
      </c>
      <c r="AR524" s="42">
        <v>0</v>
      </c>
      <c r="AT524" s="42">
        <v>0</v>
      </c>
      <c r="AV524" s="42">
        <v>124000</v>
      </c>
      <c r="AX524" s="42">
        <v>48971</v>
      </c>
      <c r="AZ524" s="42">
        <v>0</v>
      </c>
      <c r="BB524" s="5">
        <f t="shared" si="66"/>
        <v>14246471</v>
      </c>
      <c r="BD524" s="42">
        <v>251265</v>
      </c>
      <c r="BF524" s="42">
        <v>0</v>
      </c>
      <c r="BH524" s="42">
        <v>0</v>
      </c>
      <c r="BJ524" s="42">
        <v>0</v>
      </c>
      <c r="BL524" s="5">
        <f t="shared" si="67"/>
        <v>14497736</v>
      </c>
      <c r="BN524" s="5">
        <f>'Gov Fd Rev'!AQ524-'Gov Fd Exp'!BL524</f>
        <v>81516</v>
      </c>
      <c r="BP524" s="42">
        <v>8081045</v>
      </c>
      <c r="BR524" s="42">
        <v>0</v>
      </c>
      <c r="BT524" s="42">
        <v>0</v>
      </c>
      <c r="BV524" s="5">
        <f t="shared" si="68"/>
        <v>8162561</v>
      </c>
      <c r="BW524" s="5"/>
      <c r="BX524" s="5">
        <f>BV524-'Gov Fd BS'!AI524</f>
        <v>0</v>
      </c>
    </row>
    <row r="525" spans="1:76">
      <c r="A525" s="9" t="s">
        <v>781</v>
      </c>
      <c r="B525" s="9"/>
      <c r="C525" s="9" t="s">
        <v>15</v>
      </c>
      <c r="D525" s="9"/>
      <c r="E525" s="23">
        <v>45997</v>
      </c>
      <c r="G525" s="42">
        <v>7634107</v>
      </c>
      <c r="I525" s="42">
        <v>1615575</v>
      </c>
      <c r="K525" s="42">
        <v>6809</v>
      </c>
      <c r="M525" s="42">
        <v>0</v>
      </c>
      <c r="O525" s="42">
        <v>0</v>
      </c>
      <c r="Q525" s="42">
        <v>746283</v>
      </c>
      <c r="S525" s="42">
        <v>224243</v>
      </c>
      <c r="U525" s="42">
        <v>16936</v>
      </c>
      <c r="W525" s="42">
        <v>824483</v>
      </c>
      <c r="Y525" s="42">
        <v>531739</v>
      </c>
      <c r="AA525" s="42">
        <v>0</v>
      </c>
      <c r="AC525" s="42">
        <v>1146019</v>
      </c>
      <c r="AE525" s="42">
        <v>655270</v>
      </c>
      <c r="AG525" s="42">
        <v>259333</v>
      </c>
      <c r="AI525" s="42">
        <v>264787</v>
      </c>
      <c r="AK525" s="42">
        <v>277806</v>
      </c>
      <c r="AL525" s="9" t="s">
        <v>781</v>
      </c>
      <c r="AM525" s="9"/>
      <c r="AN525" s="9" t="s">
        <v>15</v>
      </c>
      <c r="AP525" s="42">
        <v>767230</v>
      </c>
      <c r="AR525" s="42">
        <v>356176</v>
      </c>
      <c r="AT525" s="42">
        <v>0</v>
      </c>
      <c r="AV525" s="42">
        <v>1002332</v>
      </c>
      <c r="AX525" s="42">
        <v>35139</v>
      </c>
      <c r="AZ525" s="42">
        <v>0</v>
      </c>
      <c r="BB525" s="5">
        <f t="shared" si="66"/>
        <v>16364267</v>
      </c>
      <c r="BD525" s="42">
        <v>1706686</v>
      </c>
      <c r="BF525" s="42">
        <v>0</v>
      </c>
      <c r="BH525" s="42">
        <v>0</v>
      </c>
      <c r="BJ525" s="42">
        <v>0</v>
      </c>
      <c r="BL525" s="5">
        <f t="shared" si="67"/>
        <v>18070953</v>
      </c>
      <c r="BN525" s="5">
        <f>'Gov Fd Rev'!AQ525-'Gov Fd Exp'!BL525</f>
        <v>-379019</v>
      </c>
      <c r="BP525" s="42">
        <v>745882</v>
      </c>
      <c r="BR525" s="42">
        <v>0</v>
      </c>
      <c r="BT525" s="42">
        <v>0</v>
      </c>
      <c r="BV525" s="5">
        <f t="shared" si="68"/>
        <v>366863</v>
      </c>
      <c r="BW525" s="5"/>
      <c r="BX525" s="5">
        <f>BV525-'Gov Fd BS'!AI525</f>
        <v>0</v>
      </c>
    </row>
    <row r="526" spans="1:76" hidden="1">
      <c r="A526" s="9" t="s">
        <v>697</v>
      </c>
      <c r="B526" s="9"/>
      <c r="C526" s="9" t="s">
        <v>419</v>
      </c>
      <c r="D526" s="9"/>
      <c r="E526" s="23">
        <v>48587</v>
      </c>
      <c r="G526" s="42">
        <v>0</v>
      </c>
      <c r="I526" s="42">
        <v>0</v>
      </c>
      <c r="K526" s="42">
        <v>0</v>
      </c>
      <c r="M526" s="42">
        <v>0</v>
      </c>
      <c r="O526" s="42">
        <v>0</v>
      </c>
      <c r="Q526" s="42">
        <v>0</v>
      </c>
      <c r="S526" s="42">
        <v>0</v>
      </c>
      <c r="U526" s="42">
        <v>0</v>
      </c>
      <c r="W526" s="42">
        <v>0</v>
      </c>
      <c r="Y526" s="42">
        <v>0</v>
      </c>
      <c r="AA526" s="42">
        <v>0</v>
      </c>
      <c r="AC526" s="42">
        <v>0</v>
      </c>
      <c r="AE526" s="42">
        <v>0</v>
      </c>
      <c r="AG526" s="42">
        <v>0</v>
      </c>
      <c r="AI526" s="42">
        <v>0</v>
      </c>
      <c r="AK526" s="42">
        <v>0</v>
      </c>
      <c r="AL526" s="9" t="s">
        <v>697</v>
      </c>
      <c r="AM526" s="9"/>
      <c r="AN526" s="9" t="s">
        <v>419</v>
      </c>
      <c r="AP526" s="42">
        <v>0</v>
      </c>
      <c r="AR526" s="42">
        <v>0</v>
      </c>
      <c r="AT526" s="42">
        <v>0</v>
      </c>
      <c r="AV526" s="42">
        <v>0</v>
      </c>
      <c r="AX526" s="42">
        <v>0</v>
      </c>
      <c r="AZ526" s="42">
        <v>0</v>
      </c>
      <c r="BB526" s="5">
        <f t="shared" si="66"/>
        <v>0</v>
      </c>
      <c r="BD526" s="42">
        <v>0</v>
      </c>
      <c r="BF526" s="42">
        <v>0</v>
      </c>
      <c r="BH526" s="42">
        <v>0</v>
      </c>
      <c r="BJ526" s="42">
        <v>0</v>
      </c>
      <c r="BL526" s="5">
        <f t="shared" si="67"/>
        <v>0</v>
      </c>
      <c r="BN526" s="5">
        <f>'Gov Fd Rev'!AQ526-'Gov Fd Exp'!BL526</f>
        <v>0</v>
      </c>
      <c r="BP526" s="42">
        <v>0</v>
      </c>
      <c r="BR526" s="42">
        <v>0</v>
      </c>
      <c r="BT526" s="42">
        <v>0</v>
      </c>
      <c r="BV526" s="5">
        <f t="shared" si="68"/>
        <v>0</v>
      </c>
      <c r="BW526" s="5"/>
      <c r="BX526" s="5">
        <f>BV526-'Gov Fd BS'!AI526</f>
        <v>0</v>
      </c>
    </row>
    <row r="527" spans="1:76" hidden="1">
      <c r="A527" s="9" t="s">
        <v>698</v>
      </c>
      <c r="B527" s="9"/>
      <c r="C527" s="9" t="s">
        <v>14</v>
      </c>
      <c r="D527" s="9"/>
      <c r="E527" s="23">
        <v>44727</v>
      </c>
      <c r="G527" s="42">
        <v>0</v>
      </c>
      <c r="I527" s="42">
        <v>0</v>
      </c>
      <c r="K527" s="42">
        <v>0</v>
      </c>
      <c r="M527" s="42">
        <v>0</v>
      </c>
      <c r="O527" s="42">
        <v>0</v>
      </c>
      <c r="Q527" s="42">
        <v>0</v>
      </c>
      <c r="S527" s="42">
        <v>0</v>
      </c>
      <c r="U527" s="42">
        <v>0</v>
      </c>
      <c r="W527" s="42">
        <v>0</v>
      </c>
      <c r="Y527" s="42">
        <v>0</v>
      </c>
      <c r="AA527" s="42">
        <v>0</v>
      </c>
      <c r="AC527" s="42">
        <v>0</v>
      </c>
      <c r="AE527" s="42">
        <v>0</v>
      </c>
      <c r="AG527" s="42">
        <v>0</v>
      </c>
      <c r="AI527" s="42">
        <v>0</v>
      </c>
      <c r="AK527" s="42">
        <v>0</v>
      </c>
      <c r="AL527" s="9" t="s">
        <v>698</v>
      </c>
      <c r="AM527" s="9"/>
      <c r="AN527" s="9" t="s">
        <v>14</v>
      </c>
      <c r="AP527" s="42">
        <v>0</v>
      </c>
      <c r="AR527" s="42">
        <v>0</v>
      </c>
      <c r="AT527" s="42">
        <v>0</v>
      </c>
      <c r="AV527" s="42">
        <v>0</v>
      </c>
      <c r="AX527" s="42">
        <v>0</v>
      </c>
      <c r="AZ527" s="42">
        <v>0</v>
      </c>
      <c r="BB527" s="5">
        <f t="shared" si="66"/>
        <v>0</v>
      </c>
      <c r="BD527" s="42">
        <v>0</v>
      </c>
      <c r="BF527" s="42">
        <v>0</v>
      </c>
      <c r="BH527" s="42">
        <v>0</v>
      </c>
      <c r="BJ527" s="42">
        <v>0</v>
      </c>
      <c r="BL527" s="5">
        <f t="shared" si="67"/>
        <v>0</v>
      </c>
      <c r="BN527" s="5">
        <f>'Gov Fd Rev'!AQ527-'Gov Fd Exp'!BL527</f>
        <v>0</v>
      </c>
      <c r="BP527" s="42">
        <v>0</v>
      </c>
      <c r="BR527" s="42">
        <v>0</v>
      </c>
      <c r="BT527" s="42">
        <v>0</v>
      </c>
      <c r="BV527" s="5">
        <f t="shared" si="68"/>
        <v>0</v>
      </c>
      <c r="BW527" s="5"/>
      <c r="BX527" s="5">
        <f>BV527-'Gov Fd BS'!AI527</f>
        <v>0</v>
      </c>
    </row>
    <row r="528" spans="1:76">
      <c r="A528" s="9" t="s">
        <v>362</v>
      </c>
      <c r="B528" s="9"/>
      <c r="C528" s="9" t="s">
        <v>39</v>
      </c>
      <c r="D528" s="9"/>
      <c r="E528" s="23">
        <v>44826</v>
      </c>
      <c r="G528" s="42">
        <v>10579621</v>
      </c>
      <c r="I528" s="42">
        <v>3794830</v>
      </c>
      <c r="K528" s="42">
        <v>658269</v>
      </c>
      <c r="M528" s="42">
        <v>0</v>
      </c>
      <c r="O528" s="42">
        <v>81505</v>
      </c>
      <c r="Q528" s="42">
        <v>740925</v>
      </c>
      <c r="S528" s="42">
        <v>863904</v>
      </c>
      <c r="U528" s="42">
        <v>105686</v>
      </c>
      <c r="W528" s="42">
        <v>1718524</v>
      </c>
      <c r="Y528" s="42">
        <v>420714</v>
      </c>
      <c r="AA528" s="42">
        <v>290414</v>
      </c>
      <c r="AC528" s="42">
        <v>2784625</v>
      </c>
      <c r="AE528" s="42">
        <v>419627</v>
      </c>
      <c r="AG528" s="42">
        <v>7941</v>
      </c>
      <c r="AI528" s="42">
        <v>1012883</v>
      </c>
      <c r="AK528" s="42">
        <v>631037</v>
      </c>
      <c r="AL528" s="9" t="s">
        <v>362</v>
      </c>
      <c r="AM528" s="9"/>
      <c r="AN528" s="9" t="s">
        <v>39</v>
      </c>
      <c r="AP528" s="42">
        <v>596426</v>
      </c>
      <c r="AR528" s="42">
        <v>235685</v>
      </c>
      <c r="AT528" s="42">
        <v>0</v>
      </c>
      <c r="AV528" s="42">
        <v>773590</v>
      </c>
      <c r="AX528" s="42">
        <f>205399+96410</f>
        <v>301809</v>
      </c>
      <c r="AZ528" s="42">
        <v>0</v>
      </c>
      <c r="BB528" s="5">
        <f t="shared" si="66"/>
        <v>26018015</v>
      </c>
      <c r="BD528" s="42">
        <v>142742</v>
      </c>
      <c r="BF528" s="42">
        <v>0</v>
      </c>
      <c r="BH528" s="42">
        <v>0</v>
      </c>
      <c r="BJ528" s="42">
        <v>0</v>
      </c>
      <c r="BL528" s="5">
        <f t="shared" si="67"/>
        <v>26160757</v>
      </c>
      <c r="BN528" s="5">
        <f>'Gov Fd Rev'!AQ528-'Gov Fd Exp'!BL528</f>
        <v>-453527</v>
      </c>
      <c r="BP528" s="42">
        <v>11453959</v>
      </c>
      <c r="BR528" s="42">
        <v>0</v>
      </c>
      <c r="BT528" s="42">
        <v>0</v>
      </c>
      <c r="BV528" s="5">
        <f t="shared" si="68"/>
        <v>11000432</v>
      </c>
      <c r="BW528" s="5"/>
      <c r="BX528" s="5">
        <f>BV528-'Gov Fd BS'!AI528</f>
        <v>0</v>
      </c>
    </row>
    <row r="529" spans="1:76">
      <c r="A529" s="9" t="s">
        <v>510</v>
      </c>
      <c r="B529" s="9"/>
      <c r="C529" s="9" t="s">
        <v>63</v>
      </c>
      <c r="D529" s="9"/>
      <c r="E529" s="23">
        <v>44834</v>
      </c>
      <c r="G529" s="42">
        <v>23753724</v>
      </c>
      <c r="I529" s="42">
        <v>5111623</v>
      </c>
      <c r="K529" s="42">
        <v>1917230</v>
      </c>
      <c r="M529" s="42">
        <v>0</v>
      </c>
      <c r="O529" s="42">
        <v>191042</v>
      </c>
      <c r="Q529" s="42">
        <v>3197697</v>
      </c>
      <c r="S529" s="42">
        <v>2652464</v>
      </c>
      <c r="U529" s="42">
        <v>748634</v>
      </c>
      <c r="W529" s="42">
        <v>3090196</v>
      </c>
      <c r="Y529" s="42">
        <v>1346412</v>
      </c>
      <c r="AA529" s="42">
        <v>66133</v>
      </c>
      <c r="AC529" s="42">
        <v>4856702</v>
      </c>
      <c r="AE529" s="42">
        <v>3320935</v>
      </c>
      <c r="AG529" s="42">
        <v>491715</v>
      </c>
      <c r="AI529" s="42">
        <v>1364083</v>
      </c>
      <c r="AK529" s="42">
        <v>476630</v>
      </c>
      <c r="AL529" s="9" t="s">
        <v>510</v>
      </c>
      <c r="AM529" s="9"/>
      <c r="AN529" s="9" t="s">
        <v>63</v>
      </c>
      <c r="AP529" s="42">
        <v>1150662</v>
      </c>
      <c r="AR529" s="42">
        <v>629977</v>
      </c>
      <c r="AT529" s="42">
        <v>0</v>
      </c>
      <c r="AV529" s="42">
        <v>260000</v>
      </c>
      <c r="AX529" s="42">
        <v>112200</v>
      </c>
      <c r="AZ529" s="42">
        <v>0</v>
      </c>
      <c r="BB529" s="5">
        <f t="shared" si="66"/>
        <v>54738059</v>
      </c>
      <c r="BD529" s="42">
        <v>42988</v>
      </c>
      <c r="BF529" s="42">
        <v>0</v>
      </c>
      <c r="BH529" s="42">
        <v>0</v>
      </c>
      <c r="BJ529" s="42">
        <v>0</v>
      </c>
      <c r="BL529" s="5">
        <f t="shared" si="67"/>
        <v>54781047</v>
      </c>
      <c r="BN529" s="5">
        <f>'Gov Fd Rev'!AQ529-'Gov Fd Exp'!BL529</f>
        <v>2648316</v>
      </c>
      <c r="BP529" s="42">
        <v>15186337</v>
      </c>
      <c r="BR529" s="42">
        <v>0</v>
      </c>
      <c r="BT529" s="42">
        <v>0</v>
      </c>
      <c r="BV529" s="5">
        <f t="shared" si="68"/>
        <v>17834653</v>
      </c>
      <c r="BW529" s="5"/>
      <c r="BX529" s="5">
        <f>BV529-'Gov Fd BS'!AI529</f>
        <v>0</v>
      </c>
    </row>
    <row r="530" spans="1:76" hidden="1">
      <c r="A530" s="9" t="s">
        <v>699</v>
      </c>
      <c r="B530" s="9"/>
      <c r="C530" s="9" t="s">
        <v>65</v>
      </c>
      <c r="D530" s="9"/>
      <c r="E530" s="23">
        <v>50294</v>
      </c>
      <c r="G530" s="42">
        <v>0</v>
      </c>
      <c r="I530" s="42">
        <v>0</v>
      </c>
      <c r="K530" s="42">
        <v>0</v>
      </c>
      <c r="M530" s="42">
        <v>0</v>
      </c>
      <c r="O530" s="42">
        <v>0</v>
      </c>
      <c r="Q530" s="42">
        <v>0</v>
      </c>
      <c r="S530" s="42">
        <v>0</v>
      </c>
      <c r="U530" s="42">
        <v>0</v>
      </c>
      <c r="W530" s="42">
        <v>0</v>
      </c>
      <c r="Y530" s="42">
        <v>0</v>
      </c>
      <c r="AA530" s="42">
        <v>0</v>
      </c>
      <c r="AC530" s="42">
        <v>0</v>
      </c>
      <c r="AE530" s="42">
        <v>0</v>
      </c>
      <c r="AG530" s="42">
        <v>0</v>
      </c>
      <c r="AI530" s="42">
        <v>0</v>
      </c>
      <c r="AK530" s="42">
        <v>0</v>
      </c>
      <c r="AL530" s="9" t="s">
        <v>699</v>
      </c>
      <c r="AM530" s="9"/>
      <c r="AN530" s="9" t="s">
        <v>65</v>
      </c>
      <c r="AP530" s="42">
        <v>0</v>
      </c>
      <c r="AR530" s="42">
        <v>0</v>
      </c>
      <c r="AT530" s="42">
        <v>0</v>
      </c>
      <c r="AV530" s="42">
        <v>0</v>
      </c>
      <c r="AX530" s="42">
        <v>0</v>
      </c>
      <c r="AZ530" s="42">
        <v>0</v>
      </c>
      <c r="BB530" s="5">
        <f t="shared" si="66"/>
        <v>0</v>
      </c>
      <c r="BD530" s="42">
        <v>0</v>
      </c>
      <c r="BF530" s="42">
        <v>0</v>
      </c>
      <c r="BH530" s="42">
        <v>0</v>
      </c>
      <c r="BJ530" s="42">
        <v>0</v>
      </c>
      <c r="BL530" s="5">
        <f t="shared" si="67"/>
        <v>0</v>
      </c>
      <c r="BN530" s="5">
        <f>'Gov Fd Rev'!AQ530-'Gov Fd Exp'!BL530</f>
        <v>0</v>
      </c>
      <c r="BP530" s="42">
        <v>0</v>
      </c>
      <c r="BR530" s="42">
        <v>0</v>
      </c>
      <c r="BT530" s="42">
        <v>0</v>
      </c>
      <c r="BV530" s="5">
        <f t="shared" si="68"/>
        <v>0</v>
      </c>
      <c r="BW530" s="5"/>
      <c r="BX530" s="5">
        <f>BV530-'Gov Fd BS'!AI530</f>
        <v>0</v>
      </c>
    </row>
    <row r="531" spans="1:76">
      <c r="A531" s="9" t="s">
        <v>461</v>
      </c>
      <c r="B531" s="9"/>
      <c r="C531" s="9" t="s">
        <v>56</v>
      </c>
      <c r="D531" s="9"/>
      <c r="E531" s="23">
        <v>49239</v>
      </c>
      <c r="G531" s="42">
        <v>9423133</v>
      </c>
      <c r="I531" s="42">
        <v>2396637</v>
      </c>
      <c r="K531" s="42">
        <v>17540</v>
      </c>
      <c r="M531" s="42">
        <v>0</v>
      </c>
      <c r="O531" s="42">
        <f>298584+1035539</f>
        <v>1334123</v>
      </c>
      <c r="Q531" s="42">
        <v>1306897</v>
      </c>
      <c r="S531" s="42">
        <v>908006</v>
      </c>
      <c r="U531" s="42">
        <v>220240</v>
      </c>
      <c r="W531" s="42">
        <v>1823704</v>
      </c>
      <c r="Y531" s="42">
        <v>691246</v>
      </c>
      <c r="AA531" s="42">
        <v>199226</v>
      </c>
      <c r="AC531" s="42">
        <v>1745972</v>
      </c>
      <c r="AE531" s="42">
        <v>1193674</v>
      </c>
      <c r="AG531" s="42">
        <v>6413</v>
      </c>
      <c r="AI531" s="42">
        <v>734404</v>
      </c>
      <c r="AK531" s="42">
        <v>90525</v>
      </c>
      <c r="AL531" s="9" t="s">
        <v>461</v>
      </c>
      <c r="AM531" s="9"/>
      <c r="AN531" s="9" t="s">
        <v>56</v>
      </c>
      <c r="AP531" s="42">
        <v>592491</v>
      </c>
      <c r="AR531" s="42">
        <v>527276</v>
      </c>
      <c r="AT531" s="42">
        <v>0</v>
      </c>
      <c r="AV531" s="42">
        <v>810000</v>
      </c>
      <c r="AX531" s="42">
        <v>460646</v>
      </c>
      <c r="AZ531" s="42">
        <v>0</v>
      </c>
      <c r="BB531" s="5">
        <f t="shared" si="66"/>
        <v>24482153</v>
      </c>
      <c r="BD531" s="42">
        <v>23493</v>
      </c>
      <c r="BF531" s="42">
        <v>0</v>
      </c>
      <c r="BH531" s="42">
        <v>0</v>
      </c>
      <c r="BJ531" s="42">
        <v>0</v>
      </c>
      <c r="BL531" s="5">
        <f t="shared" si="67"/>
        <v>24505646</v>
      </c>
      <c r="BN531" s="5">
        <f>'Gov Fd Rev'!AQ531-'Gov Fd Exp'!BL531</f>
        <v>805502</v>
      </c>
      <c r="BP531" s="42">
        <v>3683767</v>
      </c>
      <c r="BR531" s="42">
        <v>0</v>
      </c>
      <c r="BT531" s="42">
        <v>0</v>
      </c>
      <c r="BV531" s="5">
        <f t="shared" si="68"/>
        <v>4489269</v>
      </c>
      <c r="BW531" s="5"/>
      <c r="BX531" s="5">
        <f>BV531-'Gov Fd BS'!AI531</f>
        <v>0</v>
      </c>
    </row>
    <row r="532" spans="1:76">
      <c r="A532" s="9" t="s">
        <v>277</v>
      </c>
      <c r="B532" s="9"/>
      <c r="C532" s="9" t="s">
        <v>20</v>
      </c>
      <c r="D532" s="9"/>
      <c r="E532" s="23">
        <v>44842</v>
      </c>
      <c r="G532" s="42">
        <v>32847401</v>
      </c>
      <c r="I532" s="42">
        <v>4962959</v>
      </c>
      <c r="K532" s="42">
        <v>586515</v>
      </c>
      <c r="M532" s="42">
        <v>0</v>
      </c>
      <c r="O532" s="42">
        <v>32501</v>
      </c>
      <c r="Q532" s="42">
        <v>2754673</v>
      </c>
      <c r="S532" s="42">
        <v>3620194</v>
      </c>
      <c r="U532" s="42">
        <v>35890</v>
      </c>
      <c r="W532" s="42">
        <v>3119793</v>
      </c>
      <c r="Y532" s="42">
        <v>4678012</v>
      </c>
      <c r="AA532" s="42">
        <v>1027367</v>
      </c>
      <c r="AC532" s="42">
        <v>9446872</v>
      </c>
      <c r="AE532" s="42">
        <v>3695209</v>
      </c>
      <c r="AG532" s="42">
        <v>1563117</v>
      </c>
      <c r="AI532" s="42">
        <v>1671743</v>
      </c>
      <c r="AK532" s="42">
        <v>541122</v>
      </c>
      <c r="AL532" s="9" t="s">
        <v>277</v>
      </c>
      <c r="AM532" s="9"/>
      <c r="AN532" s="9" t="s">
        <v>20</v>
      </c>
      <c r="AP532" s="42">
        <v>684369</v>
      </c>
      <c r="AR532" s="42">
        <v>740527</v>
      </c>
      <c r="AT532" s="42">
        <v>0</v>
      </c>
      <c r="AV532" s="42">
        <v>3506148</v>
      </c>
      <c r="AX532" s="42">
        <v>1103114</v>
      </c>
      <c r="AZ532" s="42">
        <v>0</v>
      </c>
      <c r="BB532" s="5">
        <f t="shared" si="66"/>
        <v>76617526</v>
      </c>
      <c r="BD532" s="42">
        <v>422250</v>
      </c>
      <c r="BF532" s="42">
        <v>0</v>
      </c>
      <c r="BH532" s="42">
        <v>0</v>
      </c>
      <c r="BJ532" s="42">
        <v>0</v>
      </c>
      <c r="BL532" s="5">
        <f t="shared" si="67"/>
        <v>77039776</v>
      </c>
      <c r="BN532" s="5">
        <f>'Gov Fd Rev'!AQ532-'Gov Fd Exp'!BL532</f>
        <v>86046813</v>
      </c>
      <c r="BP532" s="42">
        <v>8768173</v>
      </c>
      <c r="BR532" s="42">
        <v>0</v>
      </c>
      <c r="BT532" s="42">
        <v>0</v>
      </c>
      <c r="BV532" s="5">
        <f t="shared" si="68"/>
        <v>94814986</v>
      </c>
      <c r="BW532" s="5"/>
      <c r="BX532" s="5">
        <f>BV532-'Gov Fd BS'!AI532</f>
        <v>0</v>
      </c>
    </row>
    <row r="533" spans="1:76">
      <c r="A533" s="9" t="s">
        <v>404</v>
      </c>
      <c r="B533" s="9"/>
      <c r="C533" s="9" t="s">
        <v>45</v>
      </c>
      <c r="D533" s="9"/>
      <c r="E533" s="23">
        <v>44859</v>
      </c>
      <c r="G533" s="42">
        <v>7897124</v>
      </c>
      <c r="I533" s="42">
        <v>3152455</v>
      </c>
      <c r="K533" s="42">
        <v>255618</v>
      </c>
      <c r="M533" s="42">
        <v>0</v>
      </c>
      <c r="O533" s="42">
        <v>1331786</v>
      </c>
      <c r="Q533" s="42">
        <v>671729</v>
      </c>
      <c r="S533" s="42">
        <v>478615</v>
      </c>
      <c r="U533" s="42">
        <v>134184</v>
      </c>
      <c r="W533" s="42">
        <v>1323694</v>
      </c>
      <c r="Y533" s="42">
        <v>382418</v>
      </c>
      <c r="AA533" s="42">
        <v>73046</v>
      </c>
      <c r="AC533" s="42">
        <v>1679027</v>
      </c>
      <c r="AE533" s="42">
        <v>412709</v>
      </c>
      <c r="AG533" s="42">
        <v>183217</v>
      </c>
      <c r="AI533" s="42">
        <v>762991</v>
      </c>
      <c r="AK533" s="42">
        <v>132699</v>
      </c>
      <c r="AL533" s="9" t="s">
        <v>404</v>
      </c>
      <c r="AM533" s="9"/>
      <c r="AN533" s="9" t="s">
        <v>45</v>
      </c>
      <c r="AP533" s="42">
        <v>633670</v>
      </c>
      <c r="AR533" s="42">
        <v>53705</v>
      </c>
      <c r="AT533" s="42">
        <v>0</v>
      </c>
      <c r="AV533" s="42">
        <v>488600</v>
      </c>
      <c r="AX533" s="42">
        <v>92719</v>
      </c>
      <c r="AZ533" s="42">
        <v>0</v>
      </c>
      <c r="BB533" s="5">
        <f t="shared" si="66"/>
        <v>20140006</v>
      </c>
      <c r="BD533" s="42">
        <v>77912</v>
      </c>
      <c r="BF533" s="42">
        <v>0</v>
      </c>
      <c r="BH533" s="42">
        <v>0</v>
      </c>
      <c r="BJ533" s="42">
        <v>0</v>
      </c>
      <c r="BL533" s="5">
        <f t="shared" si="67"/>
        <v>20217918</v>
      </c>
      <c r="BN533" s="5">
        <f>'Gov Fd Rev'!AQ533-'Gov Fd Exp'!BL533</f>
        <v>107833</v>
      </c>
      <c r="BP533" s="42">
        <v>7333919</v>
      </c>
      <c r="BR533" s="42">
        <v>0</v>
      </c>
      <c r="BT533" s="42">
        <v>0</v>
      </c>
      <c r="BV533" s="5">
        <f t="shared" si="68"/>
        <v>7441752</v>
      </c>
      <c r="BW533" s="5"/>
      <c r="BX533" s="5">
        <f>BV533-'Gov Fd BS'!AI533</f>
        <v>0</v>
      </c>
    </row>
    <row r="534" spans="1:76" hidden="1">
      <c r="A534" s="9" t="s">
        <v>906</v>
      </c>
      <c r="B534" s="9"/>
      <c r="C534" s="9" t="s">
        <v>548</v>
      </c>
      <c r="D534" s="9"/>
      <c r="E534" s="23">
        <v>50658</v>
      </c>
      <c r="G534" s="42">
        <v>0</v>
      </c>
      <c r="I534" s="42">
        <v>0</v>
      </c>
      <c r="K534" s="42">
        <v>0</v>
      </c>
      <c r="M534" s="42">
        <v>0</v>
      </c>
      <c r="O534" s="42">
        <v>0</v>
      </c>
      <c r="Q534" s="42">
        <v>0</v>
      </c>
      <c r="S534" s="42">
        <v>0</v>
      </c>
      <c r="U534" s="42">
        <v>0</v>
      </c>
      <c r="W534" s="42">
        <v>0</v>
      </c>
      <c r="Y534" s="42">
        <v>0</v>
      </c>
      <c r="AA534" s="42">
        <v>0</v>
      </c>
      <c r="AC534" s="42">
        <v>0</v>
      </c>
      <c r="AE534" s="42">
        <v>0</v>
      </c>
      <c r="AG534" s="42">
        <v>0</v>
      </c>
      <c r="AI534" s="42">
        <v>0</v>
      </c>
      <c r="AK534" s="42">
        <v>0</v>
      </c>
      <c r="AL534" s="9" t="s">
        <v>906</v>
      </c>
      <c r="AM534" s="9"/>
      <c r="AN534" s="9" t="s">
        <v>548</v>
      </c>
      <c r="AP534" s="42">
        <v>0</v>
      </c>
      <c r="AR534" s="42">
        <v>0</v>
      </c>
      <c r="AT534" s="42">
        <v>0</v>
      </c>
      <c r="AV534" s="42">
        <v>0</v>
      </c>
      <c r="AX534" s="42">
        <v>0</v>
      </c>
      <c r="AZ534" s="42">
        <v>0</v>
      </c>
      <c r="BB534" s="5">
        <f t="shared" si="66"/>
        <v>0</v>
      </c>
      <c r="BD534" s="42">
        <v>0</v>
      </c>
      <c r="BF534" s="42">
        <v>0</v>
      </c>
      <c r="BH534" s="42">
        <v>0</v>
      </c>
      <c r="BJ534" s="42">
        <v>0</v>
      </c>
      <c r="BL534" s="5">
        <f t="shared" si="67"/>
        <v>0</v>
      </c>
      <c r="BN534" s="5">
        <f>'Gov Fd Rev'!AQ534-'Gov Fd Exp'!BL534</f>
        <v>0</v>
      </c>
      <c r="BP534" s="42">
        <v>0</v>
      </c>
      <c r="BR534" s="42">
        <v>0</v>
      </c>
      <c r="BT534" s="42">
        <v>0</v>
      </c>
      <c r="BV534" s="5">
        <f t="shared" si="68"/>
        <v>0</v>
      </c>
      <c r="BW534" s="5"/>
      <c r="BX534" s="5">
        <f>BV534-'Gov Fd BS'!AI534</f>
        <v>0</v>
      </c>
    </row>
    <row r="535" spans="1:76">
      <c r="A535" s="9" t="s">
        <v>310</v>
      </c>
      <c r="B535" s="9"/>
      <c r="C535" s="9" t="s">
        <v>28</v>
      </c>
      <c r="D535" s="9"/>
      <c r="E535" s="23">
        <v>47092</v>
      </c>
      <c r="G535" s="42">
        <v>5732110</v>
      </c>
      <c r="I535" s="42">
        <v>1985416</v>
      </c>
      <c r="K535" s="42">
        <v>240</v>
      </c>
      <c r="M535" s="42">
        <v>0</v>
      </c>
      <c r="O535" s="42">
        <v>0</v>
      </c>
      <c r="Q535" s="42">
        <v>724745</v>
      </c>
      <c r="S535" s="42">
        <v>619837</v>
      </c>
      <c r="U535" s="42">
        <v>55465</v>
      </c>
      <c r="W535" s="42">
        <v>1335550</v>
      </c>
      <c r="Y535" s="42">
        <v>467417</v>
      </c>
      <c r="AA535" s="42">
        <v>6148</v>
      </c>
      <c r="AC535" s="42">
        <v>1334578</v>
      </c>
      <c r="AE535" s="42">
        <v>801695</v>
      </c>
      <c r="AG535" s="42">
        <v>100094</v>
      </c>
      <c r="AI535" s="42">
        <v>0</v>
      </c>
      <c r="AK535" s="42">
        <v>620994</v>
      </c>
      <c r="AL535" s="9" t="s">
        <v>310</v>
      </c>
      <c r="AM535" s="9"/>
      <c r="AN535" s="9" t="s">
        <v>28</v>
      </c>
      <c r="AP535" s="42">
        <v>482972</v>
      </c>
      <c r="AR535" s="42">
        <v>120083</v>
      </c>
      <c r="AT535" s="42">
        <v>0</v>
      </c>
      <c r="AV535" s="42">
        <v>1671446</v>
      </c>
      <c r="AX535" s="42">
        <f>416501+483554</f>
        <v>900055</v>
      </c>
      <c r="AZ535" s="42">
        <v>0</v>
      </c>
      <c r="BB535" s="5">
        <f t="shared" si="66"/>
        <v>16958845</v>
      </c>
      <c r="BD535" s="42">
        <v>22000</v>
      </c>
      <c r="BF535" s="42">
        <v>0</v>
      </c>
      <c r="BH535" s="42">
        <v>0</v>
      </c>
      <c r="BJ535" s="42">
        <v>0</v>
      </c>
      <c r="BL535" s="5">
        <f t="shared" si="67"/>
        <v>16980845</v>
      </c>
      <c r="BN535" s="5">
        <f>'Gov Fd Rev'!AQ535-'Gov Fd Exp'!BL535</f>
        <v>-949717</v>
      </c>
      <c r="BP535" s="42">
        <v>10336003</v>
      </c>
      <c r="BR535" s="42">
        <v>0</v>
      </c>
      <c r="BT535" s="42">
        <v>0</v>
      </c>
      <c r="BV535" s="5">
        <f t="shared" si="68"/>
        <v>9386286</v>
      </c>
      <c r="BW535" s="5"/>
      <c r="BX535" s="5">
        <f>BV535-'Gov Fd BS'!AI535</f>
        <v>0</v>
      </c>
    </row>
    <row r="536" spans="1:76">
      <c r="A536" s="9" t="s">
        <v>623</v>
      </c>
      <c r="B536" s="9"/>
      <c r="C536" s="9" t="s">
        <v>49</v>
      </c>
      <c r="D536" s="9"/>
      <c r="E536" s="23">
        <v>48652</v>
      </c>
      <c r="G536" s="42">
        <v>10751394</v>
      </c>
      <c r="I536" s="42">
        <v>3479579</v>
      </c>
      <c r="K536" s="42">
        <v>2183480</v>
      </c>
      <c r="M536" s="42">
        <v>0</v>
      </c>
      <c r="O536" s="42">
        <v>3938</v>
      </c>
      <c r="Q536" s="42">
        <v>859457</v>
      </c>
      <c r="S536" s="42">
        <v>688309</v>
      </c>
      <c r="U536" s="42">
        <v>34035</v>
      </c>
      <c r="W536" s="42">
        <v>2182641</v>
      </c>
      <c r="Y536" s="42">
        <v>940714</v>
      </c>
      <c r="AA536" s="42">
        <v>8600</v>
      </c>
      <c r="AC536" s="42">
        <v>2620023</v>
      </c>
      <c r="AE536" s="42">
        <v>2702273</v>
      </c>
      <c r="AG536" s="42">
        <v>139069</v>
      </c>
      <c r="AI536" s="42">
        <v>1639212</v>
      </c>
      <c r="AK536" s="42">
        <v>63465</v>
      </c>
      <c r="AL536" s="9" t="s">
        <v>623</v>
      </c>
      <c r="AM536" s="9"/>
      <c r="AN536" s="9" t="s">
        <v>49</v>
      </c>
      <c r="AP536" s="42">
        <v>589112</v>
      </c>
      <c r="AR536" s="42">
        <v>30184109</v>
      </c>
      <c r="AT536" s="42">
        <v>0</v>
      </c>
      <c r="AV536" s="42">
        <f>680801+24500000</f>
        <v>25180801</v>
      </c>
      <c r="AX536" s="42">
        <f>2006093+364129</f>
        <v>2370222</v>
      </c>
      <c r="AZ536" s="42">
        <v>0</v>
      </c>
      <c r="BB536" s="5">
        <f t="shared" si="66"/>
        <v>86620433</v>
      </c>
      <c r="BD536" s="42">
        <v>63</v>
      </c>
      <c r="BF536" s="42">
        <v>0</v>
      </c>
      <c r="BH536" s="42">
        <v>0</v>
      </c>
      <c r="BJ536" s="42">
        <v>0</v>
      </c>
      <c r="BL536" s="5">
        <f t="shared" si="67"/>
        <v>86620496</v>
      </c>
      <c r="BN536" s="5">
        <f>'Gov Fd Rev'!AQ536-'Gov Fd Exp'!BL536</f>
        <v>-26767025</v>
      </c>
      <c r="BP536" s="42">
        <v>38890133</v>
      </c>
      <c r="BR536" s="42">
        <v>0</v>
      </c>
      <c r="BT536" s="42">
        <v>0</v>
      </c>
      <c r="BV536" s="5">
        <f t="shared" si="68"/>
        <v>12123108</v>
      </c>
      <c r="BW536" s="5"/>
      <c r="BX536" s="5">
        <f>BV536-'Gov Fd BS'!AI536</f>
        <v>0</v>
      </c>
    </row>
    <row r="537" spans="1:76">
      <c r="A537" s="8" t="s">
        <v>828</v>
      </c>
      <c r="B537" s="9"/>
      <c r="C537" s="9" t="s">
        <v>32</v>
      </c>
      <c r="D537" s="9"/>
      <c r="E537" s="23">
        <v>44867</v>
      </c>
      <c r="G537" s="42">
        <v>33039673</v>
      </c>
      <c r="I537" s="42">
        <v>10682226</v>
      </c>
      <c r="K537" s="42">
        <v>0</v>
      </c>
      <c r="M537" s="42">
        <v>0</v>
      </c>
      <c r="O537" s="42">
        <v>734569</v>
      </c>
      <c r="Q537" s="42">
        <v>4978811</v>
      </c>
      <c r="S537" s="42">
        <v>2364177</v>
      </c>
      <c r="U537" s="42">
        <v>36753</v>
      </c>
      <c r="W537" s="42">
        <v>5158826</v>
      </c>
      <c r="Y537" s="42">
        <v>1682202</v>
      </c>
      <c r="AA537" s="42">
        <v>75295</v>
      </c>
      <c r="AC537" s="42">
        <v>6809784</v>
      </c>
      <c r="AE537" s="42">
        <v>4530806</v>
      </c>
      <c r="AG537" s="42">
        <v>799392</v>
      </c>
      <c r="AI537" s="42">
        <v>0</v>
      </c>
      <c r="AK537" s="42">
        <v>4444906</v>
      </c>
      <c r="AL537" s="8" t="s">
        <v>828</v>
      </c>
      <c r="AM537" s="9"/>
      <c r="AN537" s="9" t="s">
        <v>32</v>
      </c>
      <c r="AP537" s="42">
        <v>1641308</v>
      </c>
      <c r="AR537" s="42">
        <v>12002623</v>
      </c>
      <c r="AT537" s="42">
        <v>0</v>
      </c>
      <c r="AV537" s="42">
        <v>6885000</v>
      </c>
      <c r="AX537" s="42">
        <f>3013276+66351</f>
        <v>3079627</v>
      </c>
      <c r="AZ537" s="42">
        <v>0</v>
      </c>
      <c r="BB537" s="5">
        <f t="shared" si="66"/>
        <v>98945978</v>
      </c>
      <c r="BD537" s="42">
        <v>3421334</v>
      </c>
      <c r="BF537" s="42">
        <v>0</v>
      </c>
      <c r="BH537" s="42">
        <v>0</v>
      </c>
      <c r="BJ537" s="42">
        <v>0</v>
      </c>
      <c r="BL537" s="5">
        <f t="shared" si="67"/>
        <v>102367312</v>
      </c>
      <c r="BN537" s="5">
        <f>'Gov Fd Rev'!AQ537-'Gov Fd Exp'!BL537</f>
        <v>-12396124</v>
      </c>
      <c r="BP537" s="42">
        <v>78954501</v>
      </c>
      <c r="BR537" s="42">
        <v>0</v>
      </c>
      <c r="BT537" s="42">
        <v>0</v>
      </c>
      <c r="BV537" s="5">
        <f t="shared" si="68"/>
        <v>66558377</v>
      </c>
      <c r="BW537" s="5"/>
      <c r="BX537" s="5">
        <f>BV537-'Gov Fd BS'!AI537</f>
        <v>0</v>
      </c>
    </row>
    <row r="538" spans="1:76">
      <c r="A538" s="9" t="s">
        <v>391</v>
      </c>
      <c r="B538" s="9"/>
      <c r="C538" s="9" t="s">
        <v>114</v>
      </c>
      <c r="D538" s="9"/>
      <c r="E538" s="23">
        <v>44875</v>
      </c>
      <c r="G538" s="42">
        <v>34296886</v>
      </c>
      <c r="I538" s="42">
        <v>9528072</v>
      </c>
      <c r="K538" s="42">
        <v>1635976</v>
      </c>
      <c r="M538" s="42">
        <v>68943</v>
      </c>
      <c r="O538" s="42">
        <v>2021759</v>
      </c>
      <c r="Q538" s="42">
        <v>5649438</v>
      </c>
      <c r="S538" s="42">
        <v>4473310</v>
      </c>
      <c r="U538" s="42">
        <v>24426</v>
      </c>
      <c r="W538" s="42">
        <v>6132986</v>
      </c>
      <c r="Y538" s="42">
        <v>1792979</v>
      </c>
      <c r="AA538" s="42">
        <v>229131</v>
      </c>
      <c r="AC538" s="42">
        <v>8685570</v>
      </c>
      <c r="AE538" s="42">
        <v>4412722</v>
      </c>
      <c r="AG538" s="42">
        <v>941378</v>
      </c>
      <c r="AI538" s="42">
        <v>1763873</v>
      </c>
      <c r="AK538" s="42">
        <v>1299921</v>
      </c>
      <c r="AL538" s="9" t="s">
        <v>391</v>
      </c>
      <c r="AM538" s="9"/>
      <c r="AN538" s="9" t="s">
        <v>114</v>
      </c>
      <c r="AP538" s="42">
        <v>2199049</v>
      </c>
      <c r="AR538" s="42">
        <v>5781148</v>
      </c>
      <c r="AT538" s="42">
        <v>0</v>
      </c>
      <c r="AV538" s="42">
        <v>3648486</v>
      </c>
      <c r="AX538" s="42">
        <v>4202192</v>
      </c>
      <c r="AZ538" s="42">
        <v>0</v>
      </c>
      <c r="BB538" s="5">
        <f t="shared" si="66"/>
        <v>98788245</v>
      </c>
      <c r="BD538" s="42">
        <v>184934</v>
      </c>
      <c r="BF538" s="42">
        <v>0</v>
      </c>
      <c r="BH538" s="42">
        <v>0</v>
      </c>
      <c r="BJ538" s="42">
        <v>0</v>
      </c>
      <c r="BL538" s="5">
        <f t="shared" si="67"/>
        <v>98973179</v>
      </c>
      <c r="BN538" s="5">
        <f>'Gov Fd Rev'!AQ538-'Gov Fd Exp'!BL538</f>
        <v>-5108075</v>
      </c>
      <c r="BP538" s="42">
        <v>7090374</v>
      </c>
      <c r="BR538" s="42">
        <v>9919</v>
      </c>
      <c r="BT538" s="42">
        <v>0</v>
      </c>
      <c r="BV538" s="5">
        <f t="shared" si="68"/>
        <v>1992218</v>
      </c>
      <c r="BW538" s="5"/>
      <c r="BX538" s="5">
        <f>BV538-'Gov Fd BS'!AI538</f>
        <v>0</v>
      </c>
    </row>
    <row r="539" spans="1:76">
      <c r="A539" s="9" t="s">
        <v>370</v>
      </c>
      <c r="B539" s="9"/>
      <c r="C539" s="9" t="s">
        <v>364</v>
      </c>
      <c r="D539" s="9"/>
      <c r="E539" s="23">
        <v>47969</v>
      </c>
      <c r="G539" s="42">
        <v>3770040</v>
      </c>
      <c r="I539" s="42">
        <v>876718</v>
      </c>
      <c r="K539" s="42">
        <v>151189</v>
      </c>
      <c r="M539" s="42">
        <v>0</v>
      </c>
      <c r="O539" s="42">
        <v>0</v>
      </c>
      <c r="Q539" s="42">
        <v>278126</v>
      </c>
      <c r="S539" s="42">
        <v>296966</v>
      </c>
      <c r="U539" s="42">
        <v>83605</v>
      </c>
      <c r="W539" s="42">
        <v>427935</v>
      </c>
      <c r="Y539" s="42">
        <v>399538</v>
      </c>
      <c r="AA539" s="42">
        <v>0</v>
      </c>
      <c r="AC539" s="42">
        <v>922670</v>
      </c>
      <c r="AE539" s="42">
        <v>954123</v>
      </c>
      <c r="AG539" s="42">
        <v>108836</v>
      </c>
      <c r="AI539" s="42">
        <v>399421</v>
      </c>
      <c r="AK539" s="42">
        <v>273862</v>
      </c>
      <c r="AL539" s="9" t="s">
        <v>370</v>
      </c>
      <c r="AM539" s="9"/>
      <c r="AN539" s="9" t="s">
        <v>364</v>
      </c>
      <c r="AP539" s="42">
        <v>0</v>
      </c>
      <c r="AR539" s="42">
        <v>0</v>
      </c>
      <c r="AT539" s="42">
        <v>0</v>
      </c>
      <c r="AV539" s="42">
        <v>112600</v>
      </c>
      <c r="AX539" s="42">
        <v>52400</v>
      </c>
      <c r="AZ539" s="42">
        <v>0</v>
      </c>
      <c r="BB539" s="5">
        <f t="shared" si="66"/>
        <v>9108029</v>
      </c>
      <c r="BD539" s="42">
        <v>4401</v>
      </c>
      <c r="BF539" s="42">
        <v>0</v>
      </c>
      <c r="BH539" s="42">
        <v>0</v>
      </c>
      <c r="BJ539" s="42">
        <v>0</v>
      </c>
      <c r="BL539" s="5">
        <f t="shared" si="67"/>
        <v>9112430</v>
      </c>
      <c r="BN539" s="5">
        <f>'Gov Fd Rev'!AQ539-'Gov Fd Exp'!BL539</f>
        <v>-29559</v>
      </c>
      <c r="BP539" s="42">
        <v>3540802</v>
      </c>
      <c r="BR539" s="42">
        <v>0</v>
      </c>
      <c r="BT539" s="42">
        <v>0</v>
      </c>
      <c r="BV539" s="5">
        <f t="shared" si="68"/>
        <v>3511243</v>
      </c>
      <c r="BW539" s="5"/>
      <c r="BX539" s="5">
        <f>BV539-'Gov Fd BS'!AI539</f>
        <v>0</v>
      </c>
    </row>
    <row r="540" spans="1:76">
      <c r="A540" s="9" t="s">
        <v>711</v>
      </c>
      <c r="B540" s="9"/>
      <c r="C540" s="9" t="s">
        <v>220</v>
      </c>
      <c r="D540" s="9"/>
      <c r="E540" s="23">
        <v>46151</v>
      </c>
      <c r="G540" s="42">
        <v>14801642</v>
      </c>
      <c r="I540" s="42">
        <v>2931417</v>
      </c>
      <c r="K540" s="42">
        <v>0</v>
      </c>
      <c r="M540" s="42">
        <v>0</v>
      </c>
      <c r="O540" s="42">
        <v>1187686</v>
      </c>
      <c r="Q540" s="42">
        <v>1629546</v>
      </c>
      <c r="S540" s="42">
        <v>2390314</v>
      </c>
      <c r="U540" s="42">
        <v>60014</v>
      </c>
      <c r="W540" s="42">
        <v>2215012</v>
      </c>
      <c r="Y540" s="42">
        <v>1310002</v>
      </c>
      <c r="AA540" s="42">
        <v>802</v>
      </c>
      <c r="AC540" s="42">
        <v>2789862</v>
      </c>
      <c r="AE540" s="42">
        <v>2868060</v>
      </c>
      <c r="AG540" s="42">
        <v>227646</v>
      </c>
      <c r="AI540" s="42">
        <v>1157243</v>
      </c>
      <c r="AK540" s="42">
        <v>111827</v>
      </c>
      <c r="AL540" s="9" t="s">
        <v>711</v>
      </c>
      <c r="AM540" s="9"/>
      <c r="AN540" s="9" t="s">
        <v>220</v>
      </c>
      <c r="AP540" s="42">
        <v>813402</v>
      </c>
      <c r="AR540" s="42">
        <v>2615364</v>
      </c>
      <c r="AT540" s="42">
        <v>0</v>
      </c>
      <c r="AV540" s="42">
        <v>1788000</v>
      </c>
      <c r="AX540" s="42">
        <f>2662291+44458</f>
        <v>2706749</v>
      </c>
      <c r="AZ540" s="42">
        <v>0</v>
      </c>
      <c r="BB540" s="5">
        <f t="shared" ref="BB540:BB567" si="69">SUM(G540:AZ540)</f>
        <v>41604588</v>
      </c>
      <c r="BD540" s="42">
        <v>1558900</v>
      </c>
      <c r="BF540" s="42">
        <v>0</v>
      </c>
      <c r="BH540" s="42">
        <v>0</v>
      </c>
      <c r="BJ540" s="42">
        <v>0</v>
      </c>
      <c r="BL540" s="5">
        <f t="shared" ref="BL540:BL567" si="70">BB540+BD540+BJ540</f>
        <v>43163488</v>
      </c>
      <c r="BN540" s="5">
        <f>'Gov Fd Rev'!AQ540-'Gov Fd Exp'!BL540</f>
        <v>-863239</v>
      </c>
      <c r="BP540" s="42">
        <v>30009020</v>
      </c>
      <c r="BR540" s="42">
        <v>0</v>
      </c>
      <c r="BT540" s="42">
        <v>0</v>
      </c>
      <c r="BV540" s="5">
        <f t="shared" ref="BV540:BV569" si="71">BN540+BP540+BR540+BT540</f>
        <v>29145781</v>
      </c>
      <c r="BW540" s="5"/>
      <c r="BX540" s="5">
        <f>BV540-'Gov Fd BS'!AI540</f>
        <v>0</v>
      </c>
    </row>
    <row r="541" spans="1:76">
      <c r="A541" s="9" t="s">
        <v>511</v>
      </c>
      <c r="B541" s="9"/>
      <c r="C541" s="9" t="s">
        <v>63</v>
      </c>
      <c r="D541" s="9"/>
      <c r="E541" s="23">
        <v>44883</v>
      </c>
      <c r="G541" s="42">
        <v>12628982</v>
      </c>
      <c r="I541" s="42">
        <v>2687616</v>
      </c>
      <c r="K541" s="42">
        <v>650273</v>
      </c>
      <c r="M541" s="42">
        <v>53500</v>
      </c>
      <c r="O541" s="42">
        <v>0</v>
      </c>
      <c r="Q541" s="42">
        <v>1414590</v>
      </c>
      <c r="S541" s="42">
        <v>601839</v>
      </c>
      <c r="U541" s="42">
        <v>41893</v>
      </c>
      <c r="W541" s="42">
        <v>1861453</v>
      </c>
      <c r="Y541" s="42">
        <v>911004</v>
      </c>
      <c r="AA541" s="42">
        <v>129933</v>
      </c>
      <c r="AC541" s="42">
        <v>1984029</v>
      </c>
      <c r="AE541" s="42">
        <v>1784980</v>
      </c>
      <c r="AG541" s="42">
        <v>955206</v>
      </c>
      <c r="AI541" s="42">
        <v>0</v>
      </c>
      <c r="AK541" s="42">
        <v>762776</v>
      </c>
      <c r="AL541" s="9" t="s">
        <v>511</v>
      </c>
      <c r="AM541" s="9"/>
      <c r="AN541" s="9" t="s">
        <v>63</v>
      </c>
      <c r="AP541" s="42">
        <v>935252</v>
      </c>
      <c r="AR541" s="42">
        <v>572162</v>
      </c>
      <c r="AT541" s="42">
        <v>0</v>
      </c>
      <c r="AV541" s="42">
        <v>755000</v>
      </c>
      <c r="AX541" s="42">
        <v>857724</v>
      </c>
      <c r="AZ541" s="42">
        <v>0</v>
      </c>
      <c r="BB541" s="5">
        <f t="shared" si="69"/>
        <v>29588212</v>
      </c>
      <c r="BD541" s="42">
        <v>300000</v>
      </c>
      <c r="BF541" s="42">
        <v>0</v>
      </c>
      <c r="BH541" s="42">
        <v>0</v>
      </c>
      <c r="BJ541" s="42">
        <v>0</v>
      </c>
      <c r="BL541" s="5">
        <f t="shared" si="70"/>
        <v>29888212</v>
      </c>
      <c r="BN541" s="5">
        <f>'Gov Fd Rev'!AQ541-'Gov Fd Exp'!BL541</f>
        <v>398671</v>
      </c>
      <c r="BP541" s="42">
        <v>4833875</v>
      </c>
      <c r="BR541" s="42">
        <v>0</v>
      </c>
      <c r="BT541" s="42">
        <v>0</v>
      </c>
      <c r="BV541" s="5">
        <f t="shared" si="71"/>
        <v>5232546</v>
      </c>
      <c r="BW541" s="5"/>
      <c r="BX541" s="5">
        <f>BV541-'Gov Fd BS'!AI541</f>
        <v>0</v>
      </c>
    </row>
    <row r="542" spans="1:76">
      <c r="A542" s="9" t="s">
        <v>451</v>
      </c>
      <c r="B542" s="9"/>
      <c r="C542" s="9" t="s">
        <v>54</v>
      </c>
      <c r="D542" s="9"/>
      <c r="E542" s="23">
        <v>49098</v>
      </c>
      <c r="G542" s="42">
        <v>14630441</v>
      </c>
      <c r="I542" s="42">
        <v>4161735</v>
      </c>
      <c r="K542" s="42">
        <v>376865</v>
      </c>
      <c r="M542" s="42">
        <v>0</v>
      </c>
      <c r="O542" s="42">
        <v>749028</v>
      </c>
      <c r="Q542" s="42">
        <v>1282498</v>
      </c>
      <c r="S542" s="42">
        <v>434025</v>
      </c>
      <c r="U542" s="42">
        <v>202379</v>
      </c>
      <c r="W542" s="42">
        <v>3012640</v>
      </c>
      <c r="Y542" s="42">
        <v>725374</v>
      </c>
      <c r="AA542" s="42">
        <v>209616</v>
      </c>
      <c r="AC542" s="42">
        <v>3666122</v>
      </c>
      <c r="AE542" s="42">
        <v>2003760</v>
      </c>
      <c r="AG542" s="42">
        <v>572321</v>
      </c>
      <c r="AI542" s="42">
        <v>1310784</v>
      </c>
      <c r="AK542" s="42">
        <v>21998</v>
      </c>
      <c r="AL542" s="9" t="s">
        <v>451</v>
      </c>
      <c r="AM542" s="9"/>
      <c r="AN542" s="9" t="s">
        <v>54</v>
      </c>
      <c r="AP542" s="42">
        <v>799390</v>
      </c>
      <c r="AR542" s="42">
        <v>120674</v>
      </c>
      <c r="AT542" s="42">
        <v>0</v>
      </c>
      <c r="AV542" s="42">
        <v>1581000</v>
      </c>
      <c r="AX542" s="42">
        <v>1525222</v>
      </c>
      <c r="AZ542" s="42">
        <v>0</v>
      </c>
      <c r="BB542" s="5">
        <f t="shared" si="69"/>
        <v>37385872</v>
      </c>
      <c r="BD542" s="42">
        <v>0</v>
      </c>
      <c r="BF542" s="42">
        <v>0</v>
      </c>
      <c r="BH542" s="42">
        <v>0</v>
      </c>
      <c r="BJ542" s="42">
        <v>0</v>
      </c>
      <c r="BL542" s="5">
        <f t="shared" si="70"/>
        <v>37385872</v>
      </c>
      <c r="BN542" s="5">
        <f>'Gov Fd Rev'!AQ542-'Gov Fd Exp'!BL542</f>
        <v>961827</v>
      </c>
      <c r="BP542" s="42">
        <v>8000130</v>
      </c>
      <c r="BR542" s="42">
        <v>-43895</v>
      </c>
      <c r="BT542" s="42">
        <v>0</v>
      </c>
      <c r="BV542" s="5">
        <f t="shared" si="71"/>
        <v>8918062</v>
      </c>
      <c r="BW542" s="5"/>
      <c r="BX542" s="5">
        <f>BV542-'Gov Fd BS'!AI542</f>
        <v>0</v>
      </c>
    </row>
    <row r="543" spans="1:76">
      <c r="A543" s="9" t="s">
        <v>234</v>
      </c>
      <c r="B543" s="9"/>
      <c r="C543" s="9" t="s">
        <v>17</v>
      </c>
      <c r="D543" s="9"/>
      <c r="E543" s="23">
        <v>46243</v>
      </c>
      <c r="G543" s="42">
        <v>11641617</v>
      </c>
      <c r="I543" s="42">
        <v>4094384</v>
      </c>
      <c r="K543" s="42">
        <v>377978</v>
      </c>
      <c r="M543" s="42">
        <v>0</v>
      </c>
      <c r="O543" s="42">
        <f>2268+1137710</f>
        <v>1139978</v>
      </c>
      <c r="Q543" s="42">
        <v>1972019</v>
      </c>
      <c r="S543" s="42">
        <v>1418661</v>
      </c>
      <c r="U543" s="42">
        <v>78942</v>
      </c>
      <c r="W543" s="42">
        <v>2632755</v>
      </c>
      <c r="Y543" s="42">
        <v>624059</v>
      </c>
      <c r="AA543" s="42">
        <v>63585</v>
      </c>
      <c r="AC543" s="42">
        <v>3096825</v>
      </c>
      <c r="AE543" s="42">
        <v>1589215</v>
      </c>
      <c r="AG543" s="42">
        <v>162085</v>
      </c>
      <c r="AI543" s="42">
        <v>0</v>
      </c>
      <c r="AK543" s="42">
        <v>1716992</v>
      </c>
      <c r="AL543" s="9" t="s">
        <v>234</v>
      </c>
      <c r="AM543" s="9"/>
      <c r="AN543" s="9" t="s">
        <v>17</v>
      </c>
      <c r="AP543" s="42">
        <v>608544</v>
      </c>
      <c r="AR543" s="42">
        <v>567760</v>
      </c>
      <c r="AT543" s="42">
        <v>0</v>
      </c>
      <c r="AV543" s="42">
        <v>555000</v>
      </c>
      <c r="AX543" s="42">
        <f>549568+304726</f>
        <v>854294</v>
      </c>
      <c r="AZ543" s="42">
        <v>0</v>
      </c>
      <c r="BB543" s="5">
        <f t="shared" si="69"/>
        <v>33194693</v>
      </c>
      <c r="BD543" s="42">
        <v>0</v>
      </c>
      <c r="BF543" s="42">
        <v>0</v>
      </c>
      <c r="BH543" s="42">
        <v>0</v>
      </c>
      <c r="BJ543" s="42">
        <f>16192392+1596450</f>
        <v>17788842</v>
      </c>
      <c r="BL543" s="5">
        <f t="shared" si="70"/>
        <v>50983535</v>
      </c>
      <c r="BN543" s="5">
        <f>'Gov Fd Rev'!AQ543-'Gov Fd Exp'!BL543</f>
        <v>-633035</v>
      </c>
      <c r="BP543" s="42">
        <v>5964941</v>
      </c>
      <c r="BR543" s="42">
        <v>0</v>
      </c>
      <c r="BT543" s="42">
        <v>0</v>
      </c>
      <c r="BV543" s="5">
        <f t="shared" si="71"/>
        <v>5331906</v>
      </c>
      <c r="BW543" s="5"/>
      <c r="BX543" s="5">
        <f>BV543-'Gov Fd BS'!AI543</f>
        <v>0</v>
      </c>
    </row>
    <row r="544" spans="1:76">
      <c r="A544" s="9" t="s">
        <v>719</v>
      </c>
      <c r="B544" s="9"/>
      <c r="C544" s="9" t="s">
        <v>32</v>
      </c>
      <c r="D544" s="9"/>
      <c r="E544" s="23">
        <v>47399</v>
      </c>
      <c r="G544" s="42">
        <v>8706738</v>
      </c>
      <c r="I544" s="42">
        <v>3558232</v>
      </c>
      <c r="K544" s="42">
        <v>3735</v>
      </c>
      <c r="M544" s="42">
        <v>0</v>
      </c>
      <c r="O544" s="42">
        <v>528493</v>
      </c>
      <c r="Q544" s="42">
        <v>1243958</v>
      </c>
      <c r="S544" s="42">
        <v>682003</v>
      </c>
      <c r="U544" s="42">
        <v>49047</v>
      </c>
      <c r="W544" s="42">
        <v>1667566</v>
      </c>
      <c r="Y544" s="42">
        <v>634600</v>
      </c>
      <c r="AA544" s="42">
        <v>0</v>
      </c>
      <c r="AC544" s="42">
        <v>1302924</v>
      </c>
      <c r="AE544" s="42">
        <v>1482850</v>
      </c>
      <c r="AG544" s="42">
        <v>120587</v>
      </c>
      <c r="AI544" s="42">
        <v>0</v>
      </c>
      <c r="AK544" s="42">
        <v>939846</v>
      </c>
      <c r="AL544" s="9" t="s">
        <v>719</v>
      </c>
      <c r="AM544" s="9"/>
      <c r="AN544" s="9" t="s">
        <v>32</v>
      </c>
      <c r="AP544" s="42">
        <v>557949</v>
      </c>
      <c r="AR544" s="42">
        <v>36176707</v>
      </c>
      <c r="AT544" s="42">
        <v>0</v>
      </c>
      <c r="AV544" s="42">
        <v>740000</v>
      </c>
      <c r="AX544" s="42">
        <v>2060162</v>
      </c>
      <c r="AZ544" s="42">
        <v>0</v>
      </c>
      <c r="BB544" s="5">
        <f t="shared" si="69"/>
        <v>60455397</v>
      </c>
      <c r="BD544" s="42">
        <v>253327</v>
      </c>
      <c r="BF544" s="42">
        <v>0</v>
      </c>
      <c r="BH544" s="42">
        <v>0</v>
      </c>
      <c r="BJ544" s="42">
        <v>0</v>
      </c>
      <c r="BL544" s="5">
        <f t="shared" si="70"/>
        <v>60708724</v>
      </c>
      <c r="BN544" s="5">
        <f>'Gov Fd Rev'!AQ544-'Gov Fd Exp'!BL544</f>
        <v>-31783543</v>
      </c>
      <c r="BP544" s="42">
        <v>57670257</v>
      </c>
      <c r="BR544" s="42">
        <v>0</v>
      </c>
      <c r="BT544" s="42">
        <v>0</v>
      </c>
      <c r="BV544" s="5">
        <f t="shared" si="71"/>
        <v>25886714</v>
      </c>
      <c r="BW544" s="5"/>
      <c r="BX544" s="5">
        <f>BV544-'Gov Fd BS'!AI544</f>
        <v>0</v>
      </c>
    </row>
    <row r="545" spans="1:76">
      <c r="A545" s="9" t="s">
        <v>485</v>
      </c>
      <c r="B545" s="9"/>
      <c r="C545" s="9" t="s">
        <v>60</v>
      </c>
      <c r="D545" s="9"/>
      <c r="E545" s="23">
        <v>44891</v>
      </c>
      <c r="G545" s="42">
        <v>10806910</v>
      </c>
      <c r="I545" s="42">
        <v>3587372</v>
      </c>
      <c r="K545" s="42">
        <v>140796</v>
      </c>
      <c r="M545" s="42">
        <v>0</v>
      </c>
      <c r="O545" s="42">
        <v>38295</v>
      </c>
      <c r="Q545" s="42">
        <v>1253749</v>
      </c>
      <c r="S545" s="42">
        <v>1322047</v>
      </c>
      <c r="U545" s="42">
        <v>32549</v>
      </c>
      <c r="W545" s="42">
        <v>1768171</v>
      </c>
      <c r="Y545" s="42">
        <v>639067</v>
      </c>
      <c r="AA545" s="42">
        <v>19958</v>
      </c>
      <c r="AC545" s="42">
        <v>1982898</v>
      </c>
      <c r="AE545" s="42">
        <v>1032179</v>
      </c>
      <c r="AG545" s="42">
        <v>5071</v>
      </c>
      <c r="AI545" s="42">
        <v>755245</v>
      </c>
      <c r="AK545" s="42">
        <v>295358</v>
      </c>
      <c r="AL545" s="9" t="s">
        <v>485</v>
      </c>
      <c r="AM545" s="9"/>
      <c r="AN545" s="9" t="s">
        <v>60</v>
      </c>
      <c r="AP545" s="42">
        <v>649330</v>
      </c>
      <c r="AR545" s="42">
        <v>267424</v>
      </c>
      <c r="AT545" s="42">
        <v>0</v>
      </c>
      <c r="AV545" s="42">
        <v>611498</v>
      </c>
      <c r="AX545" s="42">
        <v>259564</v>
      </c>
      <c r="AZ545" s="42">
        <v>0</v>
      </c>
      <c r="BB545" s="5">
        <f t="shared" si="69"/>
        <v>25467481</v>
      </c>
      <c r="BD545" s="42">
        <v>0</v>
      </c>
      <c r="BF545" s="42">
        <v>0</v>
      </c>
      <c r="BH545" s="42">
        <v>0</v>
      </c>
      <c r="BJ545" s="42">
        <v>0</v>
      </c>
      <c r="BL545" s="5">
        <f t="shared" si="70"/>
        <v>25467481</v>
      </c>
      <c r="BN545" s="5">
        <f>'Gov Fd Rev'!AQ545-'Gov Fd Exp'!BL545</f>
        <v>-1128317</v>
      </c>
      <c r="BP545" s="42">
        <v>6327411</v>
      </c>
      <c r="BR545" s="42">
        <v>0</v>
      </c>
      <c r="BT545" s="42">
        <v>0</v>
      </c>
      <c r="BV545" s="5">
        <f t="shared" si="71"/>
        <v>5199094</v>
      </c>
      <c r="BW545" s="5"/>
      <c r="BX545" s="5">
        <f>BV545-'Gov Fd BS'!AI545</f>
        <v>0</v>
      </c>
    </row>
    <row r="546" spans="1:76">
      <c r="A546" s="9" t="s">
        <v>772</v>
      </c>
      <c r="B546" s="9"/>
      <c r="C546" s="9" t="s">
        <v>48</v>
      </c>
      <c r="D546" s="9"/>
      <c r="E546" s="23">
        <v>45617</v>
      </c>
      <c r="G546" s="42">
        <v>13188943</v>
      </c>
      <c r="I546" s="42">
        <v>0</v>
      </c>
      <c r="K546" s="42">
        <v>0</v>
      </c>
      <c r="M546" s="42">
        <v>0</v>
      </c>
      <c r="O546" s="42">
        <v>0</v>
      </c>
      <c r="Q546" s="42">
        <v>849868</v>
      </c>
      <c r="S546" s="42">
        <v>1031844</v>
      </c>
      <c r="U546" s="42">
        <v>22704</v>
      </c>
      <c r="W546" s="42">
        <v>1627801</v>
      </c>
      <c r="Y546" s="42">
        <v>582301</v>
      </c>
      <c r="AA546" s="42">
        <v>142288</v>
      </c>
      <c r="AC546" s="42">
        <v>1924742</v>
      </c>
      <c r="AE546" s="42">
        <v>1019540</v>
      </c>
      <c r="AG546" s="42">
        <v>304258</v>
      </c>
      <c r="AI546" s="42">
        <v>0</v>
      </c>
      <c r="AK546" s="42">
        <f>9770+727295</f>
        <v>737065</v>
      </c>
      <c r="AL546" s="9" t="s">
        <v>772</v>
      </c>
      <c r="AM546" s="9"/>
      <c r="AN546" s="9" t="s">
        <v>48</v>
      </c>
      <c r="AP546" s="42">
        <v>1057877</v>
      </c>
      <c r="AR546" s="42">
        <v>1285610</v>
      </c>
      <c r="AT546" s="42">
        <v>0</v>
      </c>
      <c r="AV546" s="42">
        <v>1232157</v>
      </c>
      <c r="AX546" s="42">
        <v>673374</v>
      </c>
      <c r="AZ546" s="42">
        <v>0</v>
      </c>
      <c r="BB546" s="5">
        <f t="shared" si="69"/>
        <v>25680372</v>
      </c>
      <c r="BD546" s="42">
        <v>49</v>
      </c>
      <c r="BF546" s="42">
        <v>0</v>
      </c>
      <c r="BH546" s="42">
        <v>0</v>
      </c>
      <c r="BJ546" s="42">
        <v>0</v>
      </c>
      <c r="BL546" s="5">
        <f t="shared" si="70"/>
        <v>25680421</v>
      </c>
      <c r="BN546" s="5">
        <f>'Gov Fd Rev'!AQ546-'Gov Fd Exp'!BL546</f>
        <v>912651</v>
      </c>
      <c r="BP546" s="42">
        <v>2220792</v>
      </c>
      <c r="BR546" s="42">
        <v>13600</v>
      </c>
      <c r="BT546" s="42">
        <v>0</v>
      </c>
      <c r="BV546" s="5">
        <f t="shared" si="71"/>
        <v>3147043</v>
      </c>
      <c r="BW546" s="5"/>
      <c r="BX546" s="5">
        <f>BV546-'Gov Fd BS'!AI546</f>
        <v>0</v>
      </c>
    </row>
    <row r="547" spans="1:76">
      <c r="A547" s="9" t="s">
        <v>392</v>
      </c>
      <c r="B547" s="9"/>
      <c r="C547" s="9" t="s">
        <v>114</v>
      </c>
      <c r="D547" s="9"/>
      <c r="E547" s="23">
        <v>44909</v>
      </c>
      <c r="G547" s="42">
        <v>221802330</v>
      </c>
      <c r="I547" s="42">
        <v>0</v>
      </c>
      <c r="K547" s="42">
        <v>0</v>
      </c>
      <c r="M547" s="42">
        <v>0</v>
      </c>
      <c r="O547" s="42">
        <v>0</v>
      </c>
      <c r="Q547" s="42">
        <v>116699988</v>
      </c>
      <c r="S547" s="42">
        <v>0</v>
      </c>
      <c r="U547" s="42">
        <v>0</v>
      </c>
      <c r="W547" s="42">
        <v>0</v>
      </c>
      <c r="Y547" s="42">
        <v>0</v>
      </c>
      <c r="AA547" s="42">
        <v>0</v>
      </c>
      <c r="AC547" s="42">
        <v>0</v>
      </c>
      <c r="AE547" s="42">
        <v>0</v>
      </c>
      <c r="AG547" s="42">
        <v>0</v>
      </c>
      <c r="AI547" s="42">
        <v>0</v>
      </c>
      <c r="AK547" s="42">
        <v>20478826</v>
      </c>
      <c r="AL547" s="9" t="s">
        <v>392</v>
      </c>
      <c r="AM547" s="9"/>
      <c r="AN547" s="9" t="s">
        <v>114</v>
      </c>
      <c r="AP547" s="42">
        <v>2805110</v>
      </c>
      <c r="AR547" s="42">
        <v>38640728</v>
      </c>
      <c r="AT547" s="42">
        <v>0</v>
      </c>
      <c r="AV547" s="42">
        <v>4760000</v>
      </c>
      <c r="AX547" s="42">
        <v>6388271</v>
      </c>
      <c r="AZ547" s="42">
        <v>0</v>
      </c>
      <c r="BB547" s="5">
        <f t="shared" si="69"/>
        <v>411575253</v>
      </c>
      <c r="BD547" s="42">
        <v>1250851</v>
      </c>
      <c r="BF547" s="42">
        <v>0</v>
      </c>
      <c r="BH547" s="42">
        <v>0</v>
      </c>
      <c r="BJ547" s="42">
        <v>39717581</v>
      </c>
      <c r="BL547" s="5">
        <f t="shared" si="70"/>
        <v>452543685</v>
      </c>
      <c r="BN547" s="5">
        <f>'Gov Fd Rev'!AQ547-'Gov Fd Exp'!BL547</f>
        <v>-35812856</v>
      </c>
      <c r="BP547" s="42">
        <v>85296857</v>
      </c>
      <c r="BR547" s="42">
        <v>0</v>
      </c>
      <c r="BT547" s="42">
        <v>0</v>
      </c>
      <c r="BV547" s="5">
        <f t="shared" si="71"/>
        <v>49484001</v>
      </c>
      <c r="BW547" s="5"/>
      <c r="BX547" s="5">
        <f>BV547-'Gov Fd BS'!AI547</f>
        <v>0</v>
      </c>
    </row>
    <row r="548" spans="1:76" hidden="1">
      <c r="A548" s="9" t="s">
        <v>882</v>
      </c>
      <c r="B548" s="9"/>
      <c r="C548" s="9" t="s">
        <v>114</v>
      </c>
      <c r="D548" s="9"/>
      <c r="E548" s="23"/>
      <c r="G548" s="42">
        <v>0</v>
      </c>
      <c r="I548" s="42">
        <v>0</v>
      </c>
      <c r="K548" s="42">
        <v>0</v>
      </c>
      <c r="M548" s="42">
        <v>0</v>
      </c>
      <c r="O548" s="42">
        <v>0</v>
      </c>
      <c r="Q548" s="42">
        <v>0</v>
      </c>
      <c r="S548" s="42">
        <v>0</v>
      </c>
      <c r="U548" s="42">
        <v>0</v>
      </c>
      <c r="W548" s="42">
        <v>0</v>
      </c>
      <c r="Y548" s="42">
        <v>0</v>
      </c>
      <c r="AA548" s="42">
        <v>0</v>
      </c>
      <c r="AC548" s="42">
        <v>0</v>
      </c>
      <c r="AE548" s="42">
        <v>0</v>
      </c>
      <c r="AG548" s="42">
        <v>0</v>
      </c>
      <c r="AI548" s="42">
        <v>0</v>
      </c>
      <c r="AK548" s="42">
        <v>0</v>
      </c>
      <c r="AL548" s="9" t="s">
        <v>882</v>
      </c>
      <c r="AM548" s="9"/>
      <c r="AN548" s="9" t="s">
        <v>114</v>
      </c>
      <c r="AP548" s="42">
        <v>0</v>
      </c>
      <c r="AR548" s="42">
        <v>0</v>
      </c>
      <c r="AT548" s="42">
        <v>0</v>
      </c>
      <c r="AV548" s="42">
        <v>0</v>
      </c>
      <c r="AX548" s="42">
        <v>0</v>
      </c>
      <c r="AZ548" s="42">
        <v>0</v>
      </c>
      <c r="BB548" s="5">
        <f t="shared" si="69"/>
        <v>0</v>
      </c>
      <c r="BD548" s="42">
        <v>0</v>
      </c>
      <c r="BF548" s="42">
        <v>0</v>
      </c>
      <c r="BH548" s="42">
        <v>0</v>
      </c>
      <c r="BJ548" s="42">
        <v>0</v>
      </c>
      <c r="BL548" s="5">
        <f t="shared" si="70"/>
        <v>0</v>
      </c>
      <c r="BN548" s="5">
        <f>'Gov Fd Rev'!AQ548-'Gov Fd Exp'!BL548</f>
        <v>0</v>
      </c>
      <c r="BP548" s="42">
        <v>0</v>
      </c>
      <c r="BR548" s="42">
        <v>0</v>
      </c>
      <c r="BT548" s="42">
        <v>0</v>
      </c>
      <c r="BV548" s="5">
        <f t="shared" si="71"/>
        <v>0</v>
      </c>
      <c r="BW548" s="5"/>
      <c r="BX548" s="5">
        <f>BV548-'Gov Fd BS'!AI548</f>
        <v>0</v>
      </c>
    </row>
    <row r="549" spans="1:76">
      <c r="A549" s="9" t="s">
        <v>720</v>
      </c>
      <c r="B549" s="9"/>
      <c r="C549" s="9" t="s">
        <v>39</v>
      </c>
      <c r="D549" s="9"/>
      <c r="E549" s="23">
        <v>44917</v>
      </c>
      <c r="G549" s="42">
        <v>3036766</v>
      </c>
      <c r="I549" s="42">
        <v>1007786</v>
      </c>
      <c r="K549" s="42">
        <v>103825</v>
      </c>
      <c r="M549" s="42">
        <v>0</v>
      </c>
      <c r="O549" s="42">
        <f>45079+594087</f>
        <v>639166</v>
      </c>
      <c r="Q549" s="42">
        <v>262419</v>
      </c>
      <c r="S549" s="42">
        <v>260882</v>
      </c>
      <c r="U549" s="42">
        <v>11976</v>
      </c>
      <c r="W549" s="42">
        <v>850480</v>
      </c>
      <c r="Y549" s="42">
        <v>317920</v>
      </c>
      <c r="AA549" s="42">
        <v>79200</v>
      </c>
      <c r="AC549" s="42">
        <v>739787</v>
      </c>
      <c r="AE549" s="42">
        <v>136391</v>
      </c>
      <c r="AG549" s="42">
        <v>0</v>
      </c>
      <c r="AI549" s="42">
        <v>0</v>
      </c>
      <c r="AK549" s="42">
        <v>399829</v>
      </c>
      <c r="AL549" s="9" t="s">
        <v>720</v>
      </c>
      <c r="AM549" s="9"/>
      <c r="AN549" s="9" t="s">
        <v>39</v>
      </c>
      <c r="AP549" s="42">
        <v>290107</v>
      </c>
      <c r="AR549" s="42">
        <v>12035926</v>
      </c>
      <c r="AT549" s="42">
        <v>0</v>
      </c>
      <c r="AV549" s="42">
        <v>71371</v>
      </c>
      <c r="AX549" s="42">
        <v>662481</v>
      </c>
      <c r="AZ549" s="42">
        <v>0</v>
      </c>
      <c r="BB549" s="5">
        <f t="shared" si="69"/>
        <v>20906312</v>
      </c>
      <c r="BD549" s="42">
        <v>26000</v>
      </c>
      <c r="BF549" s="42">
        <v>0</v>
      </c>
      <c r="BH549" s="42">
        <v>0</v>
      </c>
      <c r="BJ549" s="42">
        <v>0</v>
      </c>
      <c r="BL549" s="5">
        <f t="shared" si="70"/>
        <v>20932312</v>
      </c>
      <c r="BN549" s="5">
        <f>'Gov Fd Rev'!AQ549-'Gov Fd Exp'!BL549</f>
        <v>-10038697</v>
      </c>
      <c r="BP549" s="42">
        <v>15411601</v>
      </c>
      <c r="BR549" s="42">
        <v>0</v>
      </c>
      <c r="BT549" s="42">
        <v>0</v>
      </c>
      <c r="BV549" s="5">
        <f t="shared" si="71"/>
        <v>5372904</v>
      </c>
      <c r="BW549" s="5"/>
      <c r="BX549" s="5">
        <f>BV549-'Gov Fd BS'!AI549</f>
        <v>0</v>
      </c>
    </row>
    <row r="550" spans="1:76">
      <c r="A550" s="9" t="s">
        <v>228</v>
      </c>
      <c r="B550" s="9"/>
      <c r="C550" s="9" t="s">
        <v>227</v>
      </c>
      <c r="D550" s="9"/>
      <c r="E550" s="23">
        <v>46201</v>
      </c>
      <c r="G550" s="42">
        <v>4760835</v>
      </c>
      <c r="I550" s="42">
        <v>1227496</v>
      </c>
      <c r="K550" s="42">
        <v>150005</v>
      </c>
      <c r="M550" s="42">
        <v>0</v>
      </c>
      <c r="O550" s="42">
        <v>0</v>
      </c>
      <c r="Q550" s="42">
        <v>448578</v>
      </c>
      <c r="S550" s="42">
        <v>217840</v>
      </c>
      <c r="U550" s="42">
        <v>49568</v>
      </c>
      <c r="W550" s="42">
        <v>843741</v>
      </c>
      <c r="Y550" s="42">
        <v>300891</v>
      </c>
      <c r="AA550" s="42">
        <v>7288</v>
      </c>
      <c r="AC550" s="42">
        <v>931852</v>
      </c>
      <c r="AE550" s="42">
        <v>675152</v>
      </c>
      <c r="AG550" s="42">
        <v>222498</v>
      </c>
      <c r="AI550" s="42">
        <v>438038</v>
      </c>
      <c r="AK550" s="42">
        <v>0</v>
      </c>
      <c r="AL550" s="9" t="s">
        <v>228</v>
      </c>
      <c r="AM550" s="9"/>
      <c r="AN550" s="9" t="s">
        <v>227</v>
      </c>
      <c r="AP550" s="42">
        <v>382039</v>
      </c>
      <c r="AR550" s="42">
        <v>0</v>
      </c>
      <c r="AT550" s="42">
        <v>0</v>
      </c>
      <c r="AV550" s="42">
        <v>316046</v>
      </c>
      <c r="AX550" s="42">
        <v>235575</v>
      </c>
      <c r="AZ550" s="42">
        <v>0</v>
      </c>
      <c r="BB550" s="5">
        <f t="shared" si="69"/>
        <v>11207442</v>
      </c>
      <c r="BD550" s="42">
        <v>218067</v>
      </c>
      <c r="BF550" s="42">
        <v>0</v>
      </c>
      <c r="BH550" s="42">
        <v>0</v>
      </c>
      <c r="BJ550" s="42">
        <v>0</v>
      </c>
      <c r="BL550" s="5">
        <f t="shared" si="70"/>
        <v>11425509</v>
      </c>
      <c r="BN550" s="5">
        <f>'Gov Fd Rev'!AQ550-'Gov Fd Exp'!BL550</f>
        <v>25471</v>
      </c>
      <c r="BP550" s="42">
        <v>900508</v>
      </c>
      <c r="BR550" s="42">
        <v>0</v>
      </c>
      <c r="BT550" s="42">
        <v>0</v>
      </c>
      <c r="BV550" s="5">
        <f t="shared" si="71"/>
        <v>925979</v>
      </c>
      <c r="BW550" s="5"/>
      <c r="BX550" s="5">
        <f>BV550-'Gov Fd BS'!AI550</f>
        <v>0</v>
      </c>
    </row>
    <row r="551" spans="1:76" s="24" customFormat="1">
      <c r="A551" s="51" t="s">
        <v>463</v>
      </c>
      <c r="B551" s="51"/>
      <c r="C551" s="51" t="s">
        <v>57</v>
      </c>
      <c r="D551" s="51"/>
      <c r="E551" s="23">
        <v>91397</v>
      </c>
      <c r="G551" s="42">
        <v>4848041</v>
      </c>
      <c r="H551" s="42"/>
      <c r="I551" s="42">
        <v>976828</v>
      </c>
      <c r="J551" s="42"/>
      <c r="K551" s="42">
        <v>57949</v>
      </c>
      <c r="L551" s="42"/>
      <c r="M551" s="42">
        <v>0</v>
      </c>
      <c r="N551" s="42"/>
      <c r="O551" s="42">
        <v>0</v>
      </c>
      <c r="P551" s="42"/>
      <c r="Q551" s="42">
        <v>571237</v>
      </c>
      <c r="R551" s="42"/>
      <c r="S551" s="42">
        <v>567441</v>
      </c>
      <c r="T551" s="42"/>
      <c r="U551" s="42">
        <v>18795</v>
      </c>
      <c r="V551" s="42"/>
      <c r="W551" s="42">
        <v>962086</v>
      </c>
      <c r="X551" s="42"/>
      <c r="Y551" s="42">
        <v>184919</v>
      </c>
      <c r="Z551" s="42"/>
      <c r="AA551" s="42">
        <v>0</v>
      </c>
      <c r="AB551" s="42"/>
      <c r="AC551" s="42">
        <v>817168</v>
      </c>
      <c r="AD551" s="42"/>
      <c r="AE551" s="42">
        <v>511562</v>
      </c>
      <c r="AF551" s="42"/>
      <c r="AG551" s="42">
        <v>28013</v>
      </c>
      <c r="AH551" s="42"/>
      <c r="AI551" s="42">
        <v>0</v>
      </c>
      <c r="AJ551" s="42"/>
      <c r="AK551" s="42">
        <v>388906</v>
      </c>
      <c r="AL551" s="51" t="s">
        <v>463</v>
      </c>
      <c r="AM551" s="51"/>
      <c r="AN551" s="51" t="s">
        <v>57</v>
      </c>
      <c r="AP551" s="42">
        <v>438471</v>
      </c>
      <c r="AQ551" s="42"/>
      <c r="AR551" s="42">
        <v>0</v>
      </c>
      <c r="AS551" s="42"/>
      <c r="AT551" s="42">
        <v>0</v>
      </c>
      <c r="AU551" s="42"/>
      <c r="AV551" s="42">
        <v>0</v>
      </c>
      <c r="AW551" s="42"/>
      <c r="AX551" s="42">
        <v>0</v>
      </c>
      <c r="AY551" s="42"/>
      <c r="AZ551" s="42">
        <v>0</v>
      </c>
      <c r="BA551" s="42"/>
      <c r="BB551" s="5">
        <f t="shared" si="69"/>
        <v>10371416</v>
      </c>
      <c r="BC551" s="42"/>
      <c r="BD551" s="42">
        <v>30553</v>
      </c>
      <c r="BE551" s="42"/>
      <c r="BF551" s="42">
        <v>0</v>
      </c>
      <c r="BG551" s="42"/>
      <c r="BH551" s="42">
        <v>0</v>
      </c>
      <c r="BI551" s="42"/>
      <c r="BJ551" s="42">
        <v>0</v>
      </c>
      <c r="BK551" s="42"/>
      <c r="BL551" s="5">
        <f t="shared" si="70"/>
        <v>10401969</v>
      </c>
      <c r="BM551" s="42"/>
      <c r="BN551" s="5">
        <f>'Gov Fd Rev'!AQ551-'Gov Fd Exp'!BL551</f>
        <v>-843069</v>
      </c>
      <c r="BO551" s="42"/>
      <c r="BP551" s="42">
        <v>1747692</v>
      </c>
      <c r="BQ551" s="42"/>
      <c r="BR551" s="42">
        <v>0</v>
      </c>
      <c r="BS551" s="42"/>
      <c r="BT551" s="42">
        <v>0</v>
      </c>
      <c r="BU551" s="42"/>
      <c r="BV551" s="5">
        <f t="shared" si="71"/>
        <v>904623</v>
      </c>
      <c r="BW551" s="5"/>
      <c r="BX551" s="5">
        <f>BV551-'Gov Fd BS'!AI551</f>
        <v>0</v>
      </c>
    </row>
    <row r="552" spans="1:76">
      <c r="A552" s="9" t="s">
        <v>211</v>
      </c>
      <c r="B552" s="9"/>
      <c r="C552" s="9" t="s">
        <v>13</v>
      </c>
      <c r="D552" s="9"/>
      <c r="E552" s="23">
        <v>45922</v>
      </c>
      <c r="G552" s="42">
        <v>3825057</v>
      </c>
      <c r="I552" s="42">
        <v>1841230</v>
      </c>
      <c r="K552" s="42">
        <v>0</v>
      </c>
      <c r="M552" s="42">
        <v>0</v>
      </c>
      <c r="O552" s="42">
        <v>104037</v>
      </c>
      <c r="Q552" s="42">
        <v>411629</v>
      </c>
      <c r="S552" s="42">
        <v>639623</v>
      </c>
      <c r="U552" s="42">
        <v>86466</v>
      </c>
      <c r="W552" s="42">
        <v>706744</v>
      </c>
      <c r="Y552" s="42">
        <v>247746</v>
      </c>
      <c r="AA552" s="42">
        <v>0</v>
      </c>
      <c r="AC552" s="42">
        <v>964777</v>
      </c>
      <c r="AE552" s="42">
        <v>541331</v>
      </c>
      <c r="AG552" s="42">
        <v>40854</v>
      </c>
      <c r="AI552" s="42">
        <v>0</v>
      </c>
      <c r="AK552" s="42">
        <v>501869</v>
      </c>
      <c r="AL552" s="9" t="s">
        <v>211</v>
      </c>
      <c r="AM552" s="9"/>
      <c r="AN552" s="9" t="s">
        <v>13</v>
      </c>
      <c r="AP552" s="42">
        <v>173900</v>
      </c>
      <c r="AR552" s="42">
        <v>11601</v>
      </c>
      <c r="AT552" s="42">
        <v>0</v>
      </c>
      <c r="AV552" s="42">
        <v>55633</v>
      </c>
      <c r="AX552" s="42">
        <v>20095</v>
      </c>
      <c r="AZ552" s="42">
        <v>0</v>
      </c>
      <c r="BB552" s="5">
        <f t="shared" si="69"/>
        <v>10172592</v>
      </c>
      <c r="BD552" s="42">
        <v>68839</v>
      </c>
      <c r="BF552" s="42">
        <v>0</v>
      </c>
      <c r="BH552" s="42">
        <v>0</v>
      </c>
      <c r="BJ552" s="42">
        <v>0</v>
      </c>
      <c r="BL552" s="5">
        <f t="shared" si="70"/>
        <v>10241431</v>
      </c>
      <c r="BN552" s="5">
        <f>'Gov Fd Rev'!AQ552-'Gov Fd Exp'!BL552</f>
        <v>458528</v>
      </c>
      <c r="BP552" s="42">
        <v>1906160</v>
      </c>
      <c r="BR552" s="42">
        <v>0</v>
      </c>
      <c r="BT552" s="42">
        <v>0</v>
      </c>
      <c r="BV552" s="5">
        <f t="shared" si="71"/>
        <v>2364688</v>
      </c>
      <c r="BW552" s="5"/>
      <c r="BX552" s="5">
        <f>BV552-'Gov Fd BS'!AI552</f>
        <v>0</v>
      </c>
    </row>
    <row r="553" spans="1:76">
      <c r="A553" s="9" t="s">
        <v>443</v>
      </c>
      <c r="B553" s="9"/>
      <c r="C553" s="9" t="s">
        <v>51</v>
      </c>
      <c r="D553" s="9"/>
      <c r="E553" s="23">
        <v>48876</v>
      </c>
      <c r="G553" s="42">
        <v>12363334</v>
      </c>
      <c r="I553" s="42">
        <v>3711361</v>
      </c>
      <c r="K553" s="42">
        <v>270434</v>
      </c>
      <c r="M553" s="42">
        <v>0</v>
      </c>
      <c r="O553" s="42">
        <f>15667+3435</f>
        <v>19102</v>
      </c>
      <c r="Q553" s="42">
        <v>876288</v>
      </c>
      <c r="S553" s="42">
        <v>1038485</v>
      </c>
      <c r="U553" s="42">
        <v>575054</v>
      </c>
      <c r="W553" s="42">
        <v>2218089</v>
      </c>
      <c r="Y553" s="42">
        <v>461793</v>
      </c>
      <c r="AA553" s="42">
        <v>0</v>
      </c>
      <c r="AC553" s="42">
        <v>2560603</v>
      </c>
      <c r="AE553" s="42">
        <v>2017280</v>
      </c>
      <c r="AG553" s="42">
        <v>367124</v>
      </c>
      <c r="AI553" s="42">
        <v>1204755</v>
      </c>
      <c r="AK553" s="42">
        <v>84650</v>
      </c>
      <c r="AL553" s="9" t="s">
        <v>443</v>
      </c>
      <c r="AM553" s="9"/>
      <c r="AN553" s="9" t="s">
        <v>51</v>
      </c>
      <c r="AP553" s="42">
        <v>181305</v>
      </c>
      <c r="AR553" s="42">
        <v>112114</v>
      </c>
      <c r="AT553" s="42">
        <v>0</v>
      </c>
      <c r="AV553" s="42">
        <v>115805</v>
      </c>
      <c r="AX553" s="42">
        <v>1084630</v>
      </c>
      <c r="AZ553" s="42">
        <v>41745</v>
      </c>
      <c r="BB553" s="5">
        <f t="shared" si="69"/>
        <v>29303951</v>
      </c>
      <c r="BD553" s="42">
        <v>0</v>
      </c>
      <c r="BF553" s="42">
        <v>0</v>
      </c>
      <c r="BH553" s="42">
        <v>0</v>
      </c>
      <c r="BJ553" s="42">
        <v>0</v>
      </c>
      <c r="BL553" s="5">
        <f t="shared" si="70"/>
        <v>29303951</v>
      </c>
      <c r="BN553" s="5">
        <f>'Gov Fd Rev'!AQ553-'Gov Fd Exp'!BL553</f>
        <v>-1518845</v>
      </c>
      <c r="BP553" s="42">
        <v>9153658</v>
      </c>
      <c r="BR553" s="42">
        <v>0</v>
      </c>
      <c r="BT553" s="42">
        <v>0</v>
      </c>
      <c r="BV553" s="5">
        <f t="shared" si="71"/>
        <v>7634813</v>
      </c>
      <c r="BW553" s="5"/>
      <c r="BX553" s="5">
        <f>BV553-'Gov Fd BS'!AI553</f>
        <v>0</v>
      </c>
    </row>
    <row r="554" spans="1:76" hidden="1">
      <c r="A554" s="9" t="s">
        <v>685</v>
      </c>
      <c r="B554" s="9"/>
      <c r="C554" s="9" t="s">
        <v>21</v>
      </c>
      <c r="D554" s="9"/>
      <c r="E554" s="23">
        <v>46680</v>
      </c>
      <c r="G554" s="42">
        <v>0</v>
      </c>
      <c r="I554" s="42">
        <v>0</v>
      </c>
      <c r="K554" s="42">
        <v>0</v>
      </c>
      <c r="M554" s="42">
        <v>0</v>
      </c>
      <c r="O554" s="42">
        <v>0</v>
      </c>
      <c r="Q554" s="42">
        <v>0</v>
      </c>
      <c r="S554" s="42">
        <v>0</v>
      </c>
      <c r="U554" s="42">
        <v>0</v>
      </c>
      <c r="W554" s="42">
        <v>0</v>
      </c>
      <c r="Y554" s="42">
        <v>0</v>
      </c>
      <c r="AA554" s="42">
        <v>0</v>
      </c>
      <c r="AC554" s="42">
        <v>0</v>
      </c>
      <c r="AE554" s="42">
        <v>0</v>
      </c>
      <c r="AG554" s="42">
        <v>0</v>
      </c>
      <c r="AI554" s="42">
        <v>0</v>
      </c>
      <c r="AK554" s="42">
        <v>0</v>
      </c>
      <c r="AL554" s="9" t="s">
        <v>685</v>
      </c>
      <c r="AM554" s="9"/>
      <c r="AN554" s="9" t="s">
        <v>21</v>
      </c>
      <c r="AP554" s="42">
        <v>0</v>
      </c>
      <c r="AR554" s="42">
        <v>0</v>
      </c>
      <c r="AT554" s="42">
        <v>0</v>
      </c>
      <c r="AV554" s="42">
        <v>0</v>
      </c>
      <c r="AX554" s="42">
        <v>0</v>
      </c>
      <c r="AZ554" s="42">
        <v>0</v>
      </c>
      <c r="BB554" s="5">
        <f t="shared" si="69"/>
        <v>0</v>
      </c>
      <c r="BD554" s="42">
        <v>0</v>
      </c>
      <c r="BF554" s="42">
        <v>0</v>
      </c>
      <c r="BH554" s="42">
        <v>0</v>
      </c>
      <c r="BJ554" s="42">
        <v>0</v>
      </c>
      <c r="BL554" s="5">
        <f t="shared" si="70"/>
        <v>0</v>
      </c>
      <c r="BN554" s="5">
        <f>'Gov Fd Rev'!AQ554-'Gov Fd Exp'!BL554</f>
        <v>0</v>
      </c>
      <c r="BP554" s="42">
        <v>0</v>
      </c>
      <c r="BR554" s="42">
        <v>0</v>
      </c>
      <c r="BT554" s="42">
        <v>0</v>
      </c>
      <c r="BV554" s="5">
        <f t="shared" si="71"/>
        <v>0</v>
      </c>
      <c r="BW554" s="5"/>
      <c r="BX554" s="5">
        <f>BV554-'Gov Fd BS'!AI554</f>
        <v>0</v>
      </c>
    </row>
    <row r="555" spans="1:76" hidden="1">
      <c r="A555" s="8" t="s">
        <v>829</v>
      </c>
      <c r="B555" s="9"/>
      <c r="C555" s="9" t="s">
        <v>71</v>
      </c>
      <c r="D555" s="9"/>
      <c r="E555" s="23">
        <v>50591</v>
      </c>
      <c r="G555" s="42">
        <v>0</v>
      </c>
      <c r="I555" s="42">
        <v>0</v>
      </c>
      <c r="K555" s="42">
        <v>0</v>
      </c>
      <c r="M555" s="42">
        <v>0</v>
      </c>
      <c r="O555" s="42">
        <v>0</v>
      </c>
      <c r="Q555" s="42">
        <v>0</v>
      </c>
      <c r="S555" s="42">
        <v>0</v>
      </c>
      <c r="U555" s="42">
        <v>0</v>
      </c>
      <c r="W555" s="42">
        <v>0</v>
      </c>
      <c r="Y555" s="42">
        <v>0</v>
      </c>
      <c r="AA555" s="42">
        <v>0</v>
      </c>
      <c r="AC555" s="42">
        <v>0</v>
      </c>
      <c r="AE555" s="42">
        <v>0</v>
      </c>
      <c r="AG555" s="42">
        <v>0</v>
      </c>
      <c r="AI555" s="42">
        <v>0</v>
      </c>
      <c r="AK555" s="42">
        <v>0</v>
      </c>
      <c r="AL555" s="8" t="s">
        <v>829</v>
      </c>
      <c r="AM555" s="9"/>
      <c r="AN555" s="9" t="s">
        <v>71</v>
      </c>
      <c r="AP555" s="42">
        <v>0</v>
      </c>
      <c r="AR555" s="42">
        <v>0</v>
      </c>
      <c r="AT555" s="42">
        <v>0</v>
      </c>
      <c r="AV555" s="42">
        <v>0</v>
      </c>
      <c r="AX555" s="42">
        <v>0</v>
      </c>
      <c r="AZ555" s="42">
        <v>0</v>
      </c>
      <c r="BB555" s="5">
        <f t="shared" si="69"/>
        <v>0</v>
      </c>
      <c r="BD555" s="42">
        <v>0</v>
      </c>
      <c r="BF555" s="42">
        <v>0</v>
      </c>
      <c r="BH555" s="42">
        <v>0</v>
      </c>
      <c r="BJ555" s="42">
        <v>0</v>
      </c>
      <c r="BL555" s="5">
        <f t="shared" si="70"/>
        <v>0</v>
      </c>
      <c r="BN555" s="5">
        <f>'Gov Fd Rev'!AQ555-'Gov Fd Exp'!BL555</f>
        <v>0</v>
      </c>
      <c r="BP555" s="42">
        <v>0</v>
      </c>
      <c r="BR555" s="42">
        <v>0</v>
      </c>
      <c r="BT555" s="42">
        <v>0</v>
      </c>
      <c r="BV555" s="5">
        <f t="shared" si="71"/>
        <v>0</v>
      </c>
      <c r="BW555" s="5"/>
      <c r="BX555" s="5">
        <f>BV555-'Gov Fd BS'!AI555</f>
        <v>0</v>
      </c>
    </row>
    <row r="556" spans="1:76">
      <c r="A556" s="9" t="s">
        <v>433</v>
      </c>
      <c r="B556" s="9"/>
      <c r="C556" s="9" t="s">
        <v>50</v>
      </c>
      <c r="D556" s="9"/>
      <c r="E556" s="23">
        <v>48694</v>
      </c>
      <c r="G556" s="42">
        <v>8823860</v>
      </c>
      <c r="I556" s="42">
        <v>3482103</v>
      </c>
      <c r="K556" s="42">
        <v>0</v>
      </c>
      <c r="M556" s="42">
        <v>0</v>
      </c>
      <c r="O556" s="42">
        <v>364771</v>
      </c>
      <c r="Q556" s="42">
        <v>1777284</v>
      </c>
      <c r="S556" s="42">
        <v>1601176</v>
      </c>
      <c r="U556" s="42">
        <v>54152</v>
      </c>
      <c r="W556" s="42">
        <v>2221205</v>
      </c>
      <c r="Y556" s="42">
        <v>880224</v>
      </c>
      <c r="AA556" s="42">
        <v>414317</v>
      </c>
      <c r="AC556" s="42">
        <v>2429458</v>
      </c>
      <c r="AE556" s="42">
        <v>1559703</v>
      </c>
      <c r="AG556" s="42">
        <v>1028824</v>
      </c>
      <c r="AI556" s="42">
        <v>0</v>
      </c>
      <c r="AK556" s="42">
        <v>6778764</v>
      </c>
      <c r="AL556" s="9" t="s">
        <v>433</v>
      </c>
      <c r="AM556" s="9"/>
      <c r="AN556" s="9" t="s">
        <v>50</v>
      </c>
      <c r="AP556" s="42">
        <v>440073</v>
      </c>
      <c r="AR556" s="42">
        <v>227811</v>
      </c>
      <c r="AT556" s="42">
        <v>0</v>
      </c>
      <c r="AV556" s="42">
        <v>961796</v>
      </c>
      <c r="AX556" s="42">
        <v>1657417</v>
      </c>
      <c r="AZ556" s="42">
        <v>0</v>
      </c>
      <c r="BB556" s="5">
        <f t="shared" si="69"/>
        <v>34702938</v>
      </c>
      <c r="BD556" s="42">
        <v>369116</v>
      </c>
      <c r="BF556" s="42">
        <v>0</v>
      </c>
      <c r="BH556" s="42">
        <v>0</v>
      </c>
      <c r="BJ556" s="42">
        <v>0</v>
      </c>
      <c r="BL556" s="5">
        <f t="shared" si="70"/>
        <v>35072054</v>
      </c>
      <c r="BN556" s="5">
        <f>'Gov Fd Rev'!AQ556-'Gov Fd Exp'!BL556</f>
        <v>3747954</v>
      </c>
      <c r="BP556" s="42">
        <v>18816575</v>
      </c>
      <c r="BR556" s="42">
        <v>0</v>
      </c>
      <c r="BT556" s="42">
        <v>0</v>
      </c>
      <c r="BV556" s="5">
        <f t="shared" si="71"/>
        <v>22564529</v>
      </c>
      <c r="BW556" s="5"/>
      <c r="BX556" s="5">
        <f>BV556-'Gov Fd BS'!AI556</f>
        <v>0</v>
      </c>
    </row>
    <row r="557" spans="1:76" s="24" customFormat="1">
      <c r="A557" s="51" t="s">
        <v>423</v>
      </c>
      <c r="B557" s="51"/>
      <c r="C557" s="51" t="s">
        <v>48</v>
      </c>
      <c r="D557" s="51"/>
      <c r="E557" s="51">
        <v>44925</v>
      </c>
      <c r="G557" s="24">
        <v>23001309</v>
      </c>
      <c r="I557" s="24">
        <v>6001833</v>
      </c>
      <c r="K557" s="24">
        <v>19858</v>
      </c>
      <c r="M557" s="24">
        <v>0</v>
      </c>
      <c r="O557" s="24">
        <f>222839+2186496</f>
        <v>2409335</v>
      </c>
      <c r="Q557" s="24">
        <v>2092200</v>
      </c>
      <c r="S557" s="24">
        <v>1363026</v>
      </c>
      <c r="U557" s="24">
        <v>597316</v>
      </c>
      <c r="W557" s="24">
        <v>3631407</v>
      </c>
      <c r="Y557" s="24">
        <v>559678</v>
      </c>
      <c r="AA557" s="24">
        <v>457631</v>
      </c>
      <c r="AC557" s="24">
        <v>3414502</v>
      </c>
      <c r="AE557" s="24">
        <v>1914464</v>
      </c>
      <c r="AG557" s="24">
        <v>115829</v>
      </c>
      <c r="AI557" s="24">
        <v>0</v>
      </c>
      <c r="AK557" s="24">
        <v>2264315</v>
      </c>
      <c r="AL557" s="51" t="s">
        <v>423</v>
      </c>
      <c r="AM557" s="51"/>
      <c r="AN557" s="51" t="s">
        <v>48</v>
      </c>
      <c r="AP557" s="24">
        <v>466967</v>
      </c>
      <c r="AR557" s="24">
        <v>808349</v>
      </c>
      <c r="AT557" s="24">
        <v>0</v>
      </c>
      <c r="AV557" s="24">
        <v>855964</v>
      </c>
      <c r="AX557" s="24">
        <f>525189+234943</f>
        <v>760132</v>
      </c>
      <c r="AZ557" s="24">
        <v>0</v>
      </c>
      <c r="BB557" s="64">
        <f t="shared" si="69"/>
        <v>50734115</v>
      </c>
      <c r="BD557" s="24">
        <v>250000</v>
      </c>
      <c r="BF557" s="24">
        <v>0</v>
      </c>
      <c r="BH557" s="24">
        <v>0</v>
      </c>
      <c r="BJ557" s="24">
        <v>17402365</v>
      </c>
      <c r="BL557" s="64">
        <f t="shared" si="70"/>
        <v>68386480</v>
      </c>
      <c r="BN557" s="64">
        <f>'Gov Fd Rev'!AQ557-'Gov Fd Exp'!BL557</f>
        <v>-1083018</v>
      </c>
      <c r="BP557" s="24">
        <v>13779716</v>
      </c>
      <c r="BR557" s="24">
        <v>0</v>
      </c>
      <c r="BT557" s="24">
        <v>0</v>
      </c>
      <c r="BV557" s="64">
        <f t="shared" si="71"/>
        <v>12696698</v>
      </c>
      <c r="BW557" s="64"/>
      <c r="BX557" s="64">
        <f>BV557-'Gov Fd BS'!AI557</f>
        <v>0</v>
      </c>
    </row>
    <row r="558" spans="1:76">
      <c r="A558" s="9" t="s">
        <v>534</v>
      </c>
      <c r="B558" s="9"/>
      <c r="C558" s="9" t="s">
        <v>65</v>
      </c>
      <c r="D558" s="9"/>
      <c r="E558" s="23">
        <v>50302</v>
      </c>
      <c r="G558" s="42">
        <v>5750731</v>
      </c>
      <c r="I558" s="42">
        <v>923375</v>
      </c>
      <c r="K558" s="42">
        <v>141744</v>
      </c>
      <c r="M558" s="42">
        <v>0</v>
      </c>
      <c r="O558" s="42">
        <v>1214585</v>
      </c>
      <c r="Q558" s="42">
        <v>345938</v>
      </c>
      <c r="S558" s="42">
        <v>599951</v>
      </c>
      <c r="U558" s="42">
        <v>20874</v>
      </c>
      <c r="W558" s="42">
        <v>1303172</v>
      </c>
      <c r="Y558" s="42">
        <v>392105</v>
      </c>
      <c r="AA558" s="42">
        <v>0</v>
      </c>
      <c r="AC558" s="42">
        <v>979480</v>
      </c>
      <c r="AE558" s="42">
        <v>968446</v>
      </c>
      <c r="AG558" s="42">
        <v>7735</v>
      </c>
      <c r="AI558" s="42">
        <v>508005</v>
      </c>
      <c r="AK558" s="42">
        <v>109021</v>
      </c>
      <c r="AL558" s="9" t="s">
        <v>534</v>
      </c>
      <c r="AM558" s="9"/>
      <c r="AN558" s="9" t="s">
        <v>65</v>
      </c>
      <c r="AP558" s="42">
        <v>413083</v>
      </c>
      <c r="AR558" s="42">
        <v>135423</v>
      </c>
      <c r="AT558" s="42">
        <v>0</v>
      </c>
      <c r="AV558" s="42">
        <v>717933</v>
      </c>
      <c r="AX558" s="42">
        <v>51509</v>
      </c>
      <c r="AZ558" s="42">
        <v>0</v>
      </c>
      <c r="BB558" s="5">
        <f t="shared" si="69"/>
        <v>14583110</v>
      </c>
      <c r="BD558" s="42">
        <v>79887</v>
      </c>
      <c r="BF558" s="42">
        <v>0</v>
      </c>
      <c r="BH558" s="42">
        <v>0</v>
      </c>
      <c r="BJ558" s="42">
        <v>0</v>
      </c>
      <c r="BL558" s="5">
        <f t="shared" si="70"/>
        <v>14662997</v>
      </c>
      <c r="BN558" s="5">
        <f>'Gov Fd Rev'!AQ558-'Gov Fd Exp'!BL558</f>
        <v>-549959</v>
      </c>
      <c r="BP558" s="42">
        <v>2662722</v>
      </c>
      <c r="BR558" s="42">
        <v>-7343</v>
      </c>
      <c r="BT558" s="42">
        <v>0</v>
      </c>
      <c r="BV558" s="5">
        <f t="shared" si="71"/>
        <v>2105420</v>
      </c>
      <c r="BW558" s="5"/>
      <c r="BX558" s="5">
        <f>BV558-'Gov Fd BS'!AI558</f>
        <v>0</v>
      </c>
    </row>
    <row r="559" spans="1:76">
      <c r="A559" s="9" t="s">
        <v>501</v>
      </c>
      <c r="B559" s="9"/>
      <c r="C559" s="9" t="s">
        <v>62</v>
      </c>
      <c r="D559" s="9"/>
      <c r="E559" s="23">
        <v>49957</v>
      </c>
      <c r="G559" s="42">
        <v>5496528</v>
      </c>
      <c r="I559" s="42">
        <v>1814527</v>
      </c>
      <c r="K559" s="42">
        <v>106460</v>
      </c>
      <c r="M559" s="42">
        <v>0</v>
      </c>
      <c r="O559" s="42">
        <v>5000</v>
      </c>
      <c r="Q559" s="42">
        <v>667992</v>
      </c>
      <c r="S559" s="42">
        <v>480818</v>
      </c>
      <c r="U559" s="42">
        <v>16532</v>
      </c>
      <c r="W559" s="42">
        <v>857513</v>
      </c>
      <c r="Y559" s="42">
        <v>353903</v>
      </c>
      <c r="AA559" s="42">
        <v>41958</v>
      </c>
      <c r="AC559" s="42">
        <v>1266362</v>
      </c>
      <c r="AE559" s="42">
        <v>888884</v>
      </c>
      <c r="AG559" s="42">
        <v>49706</v>
      </c>
      <c r="AI559" s="42">
        <v>0</v>
      </c>
      <c r="AK559" s="42">
        <v>457693</v>
      </c>
      <c r="AL559" s="9" t="s">
        <v>501</v>
      </c>
      <c r="AM559" s="9"/>
      <c r="AN559" s="9" t="s">
        <v>62</v>
      </c>
      <c r="AP559" s="42">
        <v>701689</v>
      </c>
      <c r="AR559" s="42">
        <v>77611</v>
      </c>
      <c r="AT559" s="42">
        <v>0</v>
      </c>
      <c r="AV559" s="42">
        <v>261104</v>
      </c>
      <c r="AX559" s="42">
        <f>348440+286807</f>
        <v>635247</v>
      </c>
      <c r="AZ559" s="42">
        <v>0</v>
      </c>
      <c r="BB559" s="5">
        <f t="shared" si="69"/>
        <v>14179527</v>
      </c>
      <c r="BD559" s="42">
        <v>0</v>
      </c>
      <c r="BF559" s="42">
        <v>0</v>
      </c>
      <c r="BH559" s="42">
        <v>0</v>
      </c>
      <c r="BJ559" s="42">
        <v>0</v>
      </c>
      <c r="BL559" s="5">
        <f t="shared" si="70"/>
        <v>14179527</v>
      </c>
      <c r="BN559" s="5">
        <f>'Gov Fd Rev'!AQ559-'Gov Fd Exp'!BL559</f>
        <v>275745</v>
      </c>
      <c r="BP559" s="42">
        <v>3564776</v>
      </c>
      <c r="BR559" s="42">
        <v>0</v>
      </c>
      <c r="BT559" s="42">
        <v>0</v>
      </c>
      <c r="BV559" s="5">
        <f t="shared" si="71"/>
        <v>3840521</v>
      </c>
      <c r="BW559" s="5"/>
      <c r="BX559" s="5">
        <f>BV559-'Gov Fd BS'!AI559</f>
        <v>0</v>
      </c>
    </row>
    <row r="560" spans="1:76" hidden="1">
      <c r="A560" s="9" t="s">
        <v>689</v>
      </c>
      <c r="B560" s="9"/>
      <c r="C560" s="9" t="s">
        <v>57</v>
      </c>
      <c r="D560" s="9"/>
      <c r="E560" s="23">
        <v>49296</v>
      </c>
      <c r="G560" s="42">
        <v>0</v>
      </c>
      <c r="I560" s="42">
        <v>0</v>
      </c>
      <c r="K560" s="42">
        <v>0</v>
      </c>
      <c r="M560" s="42">
        <v>0</v>
      </c>
      <c r="O560" s="42">
        <v>0</v>
      </c>
      <c r="Q560" s="42">
        <v>0</v>
      </c>
      <c r="S560" s="42">
        <v>0</v>
      </c>
      <c r="U560" s="42">
        <v>0</v>
      </c>
      <c r="W560" s="42">
        <v>0</v>
      </c>
      <c r="Y560" s="42">
        <v>0</v>
      </c>
      <c r="AA560" s="42">
        <v>0</v>
      </c>
      <c r="AC560" s="42">
        <v>0</v>
      </c>
      <c r="AE560" s="42">
        <v>0</v>
      </c>
      <c r="AG560" s="42">
        <v>0</v>
      </c>
      <c r="AI560" s="42">
        <v>0</v>
      </c>
      <c r="AK560" s="42">
        <v>0</v>
      </c>
      <c r="AL560" s="9" t="s">
        <v>689</v>
      </c>
      <c r="AM560" s="9"/>
      <c r="AN560" s="9" t="s">
        <v>57</v>
      </c>
      <c r="AP560" s="42">
        <v>0</v>
      </c>
      <c r="AR560" s="42">
        <v>0</v>
      </c>
      <c r="AT560" s="42">
        <v>0</v>
      </c>
      <c r="AV560" s="42">
        <v>0</v>
      </c>
      <c r="AX560" s="42">
        <v>0</v>
      </c>
      <c r="AZ560" s="42">
        <v>0</v>
      </c>
      <c r="BB560" s="5">
        <f t="shared" si="69"/>
        <v>0</v>
      </c>
      <c r="BD560" s="42">
        <v>0</v>
      </c>
      <c r="BF560" s="42">
        <v>0</v>
      </c>
      <c r="BH560" s="42">
        <v>0</v>
      </c>
      <c r="BJ560" s="42">
        <v>0</v>
      </c>
      <c r="BL560" s="5">
        <f t="shared" si="70"/>
        <v>0</v>
      </c>
      <c r="BN560" s="5">
        <f>'Gov Fd Rev'!AQ560-'Gov Fd Exp'!BL560</f>
        <v>0</v>
      </c>
      <c r="BP560" s="42">
        <v>0</v>
      </c>
      <c r="BR560" s="42">
        <v>0</v>
      </c>
      <c r="BT560" s="42">
        <v>0</v>
      </c>
      <c r="BV560" s="5">
        <f t="shared" si="71"/>
        <v>0</v>
      </c>
      <c r="BW560" s="5"/>
      <c r="BX560" s="5">
        <f>BV560-'Gov Fd BS'!AI560</f>
        <v>0</v>
      </c>
    </row>
    <row r="561" spans="1:76">
      <c r="A561" s="9" t="s">
        <v>512</v>
      </c>
      <c r="B561" s="9"/>
      <c r="C561" s="9" t="s">
        <v>63</v>
      </c>
      <c r="D561" s="9"/>
      <c r="E561" s="23">
        <v>50070</v>
      </c>
      <c r="G561" s="42">
        <v>20021764</v>
      </c>
      <c r="I561" s="42">
        <v>3082834</v>
      </c>
      <c r="K561" s="42">
        <v>112695</v>
      </c>
      <c r="M561" s="42">
        <v>0</v>
      </c>
      <c r="O561" s="42">
        <f>133387+294877</f>
        <v>428264</v>
      </c>
      <c r="Q561" s="42">
        <v>2383821</v>
      </c>
      <c r="S561" s="42">
        <v>1621060</v>
      </c>
      <c r="U561" s="42">
        <v>374348</v>
      </c>
      <c r="W561" s="42">
        <v>2947827</v>
      </c>
      <c r="Y561" s="42">
        <v>1199051</v>
      </c>
      <c r="AA561" s="42">
        <v>127481</v>
      </c>
      <c r="AC561" s="42">
        <v>3705695</v>
      </c>
      <c r="AE561" s="42">
        <v>2606306</v>
      </c>
      <c r="AG561" s="42">
        <v>1155137</v>
      </c>
      <c r="AI561" s="42">
        <v>1196116</v>
      </c>
      <c r="AK561" s="42">
        <v>2676</v>
      </c>
      <c r="AL561" s="9" t="s">
        <v>512</v>
      </c>
      <c r="AM561" s="9"/>
      <c r="AN561" s="9" t="s">
        <v>63</v>
      </c>
      <c r="AP561" s="42">
        <v>1162813</v>
      </c>
      <c r="AR561" s="42">
        <v>219633</v>
      </c>
      <c r="AT561" s="42">
        <v>0</v>
      </c>
      <c r="AV561" s="42">
        <v>1827191</v>
      </c>
      <c r="AX561" s="42">
        <v>1004467</v>
      </c>
      <c r="AZ561" s="42">
        <v>0</v>
      </c>
      <c r="BB561" s="5">
        <f t="shared" si="69"/>
        <v>45179179</v>
      </c>
      <c r="BD561" s="42">
        <v>0</v>
      </c>
      <c r="BF561" s="42">
        <v>0</v>
      </c>
      <c r="BH561" s="42">
        <v>0</v>
      </c>
      <c r="BJ561" s="42">
        <v>0</v>
      </c>
      <c r="BL561" s="5">
        <f t="shared" si="70"/>
        <v>45179179</v>
      </c>
      <c r="BN561" s="5">
        <f>'Gov Fd Rev'!AQ561-'Gov Fd Exp'!BL561</f>
        <v>-438487</v>
      </c>
      <c r="BP561" s="42">
        <v>32002416</v>
      </c>
      <c r="BR561" s="42">
        <v>0</v>
      </c>
      <c r="BT561" s="42">
        <v>0</v>
      </c>
      <c r="BV561" s="5">
        <f t="shared" si="71"/>
        <v>31563929</v>
      </c>
      <c r="BW561" s="5"/>
      <c r="BX561" s="5">
        <f>BV561-'Gov Fd BS'!AI561</f>
        <v>0</v>
      </c>
    </row>
    <row r="562" spans="1:76">
      <c r="A562" s="8" t="s">
        <v>907</v>
      </c>
      <c r="B562" s="9"/>
      <c r="C562" s="9" t="s">
        <v>15</v>
      </c>
      <c r="D562" s="9"/>
      <c r="E562" s="23">
        <v>46011</v>
      </c>
      <c r="G562" s="42">
        <v>6413576</v>
      </c>
      <c r="I562" s="42">
        <v>1926018</v>
      </c>
      <c r="K562" s="42">
        <v>481413</v>
      </c>
      <c r="M562" s="42">
        <v>0</v>
      </c>
      <c r="O562" s="42">
        <v>2501</v>
      </c>
      <c r="Q562" s="42">
        <v>540941</v>
      </c>
      <c r="S562" s="42">
        <v>348211</v>
      </c>
      <c r="U562" s="42">
        <v>70751</v>
      </c>
      <c r="W562" s="42">
        <v>1001319</v>
      </c>
      <c r="Y562" s="42">
        <v>317224</v>
      </c>
      <c r="AA562" s="42">
        <v>0</v>
      </c>
      <c r="AC562" s="42">
        <v>1150758</v>
      </c>
      <c r="AE562" s="42">
        <v>762820</v>
      </c>
      <c r="AG562" s="42">
        <v>40338</v>
      </c>
      <c r="AI562" s="42">
        <v>390008</v>
      </c>
      <c r="AK562" s="42">
        <v>2619</v>
      </c>
      <c r="AL562" s="8" t="s">
        <v>907</v>
      </c>
      <c r="AM562" s="9"/>
      <c r="AN562" s="9" t="s">
        <v>15</v>
      </c>
      <c r="AP562" s="42">
        <v>280613</v>
      </c>
      <c r="AR562" s="42">
        <v>167639</v>
      </c>
      <c r="AT562" s="42">
        <v>0</v>
      </c>
      <c r="AV562" s="42">
        <v>308351</v>
      </c>
      <c r="AX562" s="42">
        <v>74663</v>
      </c>
      <c r="AZ562" s="42">
        <v>0</v>
      </c>
      <c r="BB562" s="5">
        <f t="shared" si="69"/>
        <v>14279763</v>
      </c>
      <c r="BD562" s="42">
        <v>6414</v>
      </c>
      <c r="BF562" s="42">
        <v>0</v>
      </c>
      <c r="BH562" s="42">
        <v>0</v>
      </c>
      <c r="BJ562" s="42">
        <v>0</v>
      </c>
      <c r="BL562" s="5">
        <f t="shared" si="70"/>
        <v>14286177</v>
      </c>
      <c r="BN562" s="5">
        <f>'Gov Fd Rev'!AQ562-'Gov Fd Exp'!BL562</f>
        <v>976863</v>
      </c>
      <c r="BP562" s="42">
        <v>-370093</v>
      </c>
      <c r="BR562" s="42">
        <v>0</v>
      </c>
      <c r="BT562" s="42">
        <v>0</v>
      </c>
      <c r="BV562" s="5">
        <f t="shared" si="71"/>
        <v>606770</v>
      </c>
      <c r="BW562" s="5"/>
      <c r="BX562" s="5">
        <f>BV562-'Gov Fd BS'!AI562</f>
        <v>0</v>
      </c>
    </row>
    <row r="563" spans="1:76">
      <c r="A563" s="9" t="s">
        <v>473</v>
      </c>
      <c r="B563" s="9"/>
      <c r="C563" s="9" t="s">
        <v>58</v>
      </c>
      <c r="D563" s="9"/>
      <c r="E563" s="23">
        <v>49536</v>
      </c>
      <c r="G563" s="42">
        <v>10468498</v>
      </c>
      <c r="I563" s="42">
        <v>1759953</v>
      </c>
      <c r="K563" s="42">
        <v>10204</v>
      </c>
      <c r="M563" s="42">
        <v>0</v>
      </c>
      <c r="O563" s="42">
        <v>0</v>
      </c>
      <c r="Q563" s="42">
        <v>782286</v>
      </c>
      <c r="S563" s="42">
        <v>546158</v>
      </c>
      <c r="U563" s="42">
        <v>920529</v>
      </c>
      <c r="W563" s="42">
        <v>1037112</v>
      </c>
      <c r="Y563" s="42">
        <v>455186</v>
      </c>
      <c r="AA563" s="42">
        <v>20556</v>
      </c>
      <c r="AC563" s="42">
        <v>1516298</v>
      </c>
      <c r="AE563" s="42">
        <v>830934</v>
      </c>
      <c r="AG563" s="42">
        <v>0</v>
      </c>
      <c r="AI563" s="42">
        <v>0</v>
      </c>
      <c r="AK563" s="42">
        <v>987575</v>
      </c>
      <c r="AL563" s="9" t="s">
        <v>473</v>
      </c>
      <c r="AM563" s="9"/>
      <c r="AN563" s="9" t="s">
        <v>58</v>
      </c>
      <c r="AP563" s="42">
        <v>222203</v>
      </c>
      <c r="AR563" s="42">
        <v>1316672</v>
      </c>
      <c r="AT563" s="42">
        <v>0</v>
      </c>
      <c r="AV563" s="42">
        <v>388809</v>
      </c>
      <c r="AX563" s="42">
        <v>321695</v>
      </c>
      <c r="AZ563" s="42">
        <v>70363</v>
      </c>
      <c r="BB563" s="5">
        <f t="shared" si="69"/>
        <v>21655031</v>
      </c>
      <c r="BD563" s="42">
        <v>306718</v>
      </c>
      <c r="BF563" s="42">
        <v>0</v>
      </c>
      <c r="BH563" s="42">
        <v>0</v>
      </c>
      <c r="BJ563" s="42">
        <v>0</v>
      </c>
      <c r="BL563" s="5">
        <f t="shared" si="70"/>
        <v>21961749</v>
      </c>
      <c r="BN563" s="5">
        <f>'Gov Fd Rev'!AQ563-'Gov Fd Exp'!BL563</f>
        <v>2128961</v>
      </c>
      <c r="BP563" s="42">
        <v>13000454</v>
      </c>
      <c r="BR563" s="42">
        <v>0</v>
      </c>
      <c r="BT563" s="42">
        <v>0</v>
      </c>
      <c r="BV563" s="5">
        <f t="shared" si="71"/>
        <v>15129415</v>
      </c>
      <c r="BW563" s="5"/>
      <c r="BX563" s="5">
        <f>BV563-'Gov Fd BS'!AI563</f>
        <v>0</v>
      </c>
    </row>
    <row r="564" spans="1:76">
      <c r="A564" s="9" t="s">
        <v>249</v>
      </c>
      <c r="B564" s="9"/>
      <c r="C564" s="9" t="s">
        <v>111</v>
      </c>
      <c r="D564" s="9"/>
      <c r="E564" s="23">
        <v>46458</v>
      </c>
      <c r="G564" s="42">
        <v>5426937</v>
      </c>
      <c r="I564" s="42">
        <v>1666591</v>
      </c>
      <c r="K564" s="42">
        <v>202839</v>
      </c>
      <c r="M564" s="42">
        <v>8251</v>
      </c>
      <c r="O564" s="42">
        <v>5611</v>
      </c>
      <c r="Q564" s="42">
        <v>477294</v>
      </c>
      <c r="S564" s="42">
        <v>495963</v>
      </c>
      <c r="U564" s="42">
        <v>73647</v>
      </c>
      <c r="W564" s="42">
        <v>891979</v>
      </c>
      <c r="Y564" s="42">
        <v>308149</v>
      </c>
      <c r="AA564" s="42">
        <v>252392</v>
      </c>
      <c r="AC564" s="42">
        <v>1004575</v>
      </c>
      <c r="AE564" s="42">
        <v>780061</v>
      </c>
      <c r="AG564" s="42">
        <v>49232</v>
      </c>
      <c r="AI564" s="42">
        <v>626952</v>
      </c>
      <c r="AK564" s="42">
        <v>10604</v>
      </c>
      <c r="AL564" s="9" t="s">
        <v>249</v>
      </c>
      <c r="AM564" s="9"/>
      <c r="AN564" s="9" t="s">
        <v>111</v>
      </c>
      <c r="AP564" s="42">
        <v>528651</v>
      </c>
      <c r="AR564" s="42">
        <v>53338</v>
      </c>
      <c r="AT564" s="42">
        <v>0</v>
      </c>
      <c r="AV564" s="42">
        <v>16766</v>
      </c>
      <c r="AX564" s="42">
        <v>7150</v>
      </c>
      <c r="AZ564" s="42">
        <v>0</v>
      </c>
      <c r="BB564" s="5">
        <f t="shared" si="69"/>
        <v>12886982</v>
      </c>
      <c r="BD564" s="42">
        <v>289355</v>
      </c>
      <c r="BF564" s="42">
        <v>0</v>
      </c>
      <c r="BH564" s="42">
        <v>0</v>
      </c>
      <c r="BJ564" s="42">
        <v>0</v>
      </c>
      <c r="BL564" s="5">
        <f t="shared" si="70"/>
        <v>13176337</v>
      </c>
      <c r="BN564" s="5">
        <f>'Gov Fd Rev'!AQ564-'Gov Fd Exp'!BL564</f>
        <v>168863</v>
      </c>
      <c r="BP564" s="42">
        <v>4937604</v>
      </c>
      <c r="BR564" s="42">
        <v>0</v>
      </c>
      <c r="BT564" s="42">
        <v>0</v>
      </c>
      <c r="BV564" s="5">
        <f t="shared" si="71"/>
        <v>5106467</v>
      </c>
      <c r="BW564" s="5"/>
      <c r="BX564" s="5">
        <f>BV564-'Gov Fd BS'!AI564</f>
        <v>0</v>
      </c>
    </row>
    <row r="565" spans="1:76">
      <c r="A565" s="9" t="s">
        <v>306</v>
      </c>
      <c r="B565" s="9"/>
      <c r="C565" s="9" t="s">
        <v>27</v>
      </c>
      <c r="D565" s="9"/>
      <c r="E565" s="23">
        <v>44933</v>
      </c>
      <c r="G565" s="42">
        <v>42005216</v>
      </c>
      <c r="I565" s="42">
        <v>10599023</v>
      </c>
      <c r="K565" s="42">
        <v>55666</v>
      </c>
      <c r="M565" s="42">
        <v>0</v>
      </c>
      <c r="O565" s="42">
        <v>0</v>
      </c>
      <c r="Q565" s="42">
        <v>5488033</v>
      </c>
      <c r="S565" s="42">
        <v>5127717</v>
      </c>
      <c r="U565" s="42">
        <v>28847</v>
      </c>
      <c r="W565" s="42">
        <v>5197966</v>
      </c>
      <c r="Y565" s="42">
        <v>1891197</v>
      </c>
      <c r="AA565" s="42">
        <v>686489</v>
      </c>
      <c r="AC565" s="42">
        <v>6787556</v>
      </c>
      <c r="AE565" s="42">
        <v>1940106</v>
      </c>
      <c r="AG565" s="42">
        <v>1103339</v>
      </c>
      <c r="AI565" s="42">
        <v>1403372</v>
      </c>
      <c r="AK565" s="42">
        <v>3273337</v>
      </c>
      <c r="AL565" s="9" t="s">
        <v>306</v>
      </c>
      <c r="AM565" s="9"/>
      <c r="AN565" s="9" t="s">
        <v>27</v>
      </c>
      <c r="AP565" s="42">
        <v>2808262</v>
      </c>
      <c r="AR565" s="42">
        <v>4338165</v>
      </c>
      <c r="AT565" s="42">
        <v>0</v>
      </c>
      <c r="AV565" s="42">
        <v>2414309</v>
      </c>
      <c r="AX565" s="42">
        <v>851335</v>
      </c>
      <c r="AZ565" s="42">
        <v>0</v>
      </c>
      <c r="BB565" s="5">
        <f t="shared" si="69"/>
        <v>95999935</v>
      </c>
      <c r="BD565" s="42">
        <v>676250</v>
      </c>
      <c r="BF565" s="42">
        <v>0</v>
      </c>
      <c r="BH565" s="42">
        <v>0</v>
      </c>
      <c r="BJ565" s="42">
        <v>21538867</v>
      </c>
      <c r="BL565" s="5">
        <f t="shared" si="70"/>
        <v>118215052</v>
      </c>
      <c r="BN565" s="5">
        <f>'Gov Fd Rev'!AQ565-'Gov Fd Exp'!BL565</f>
        <v>-1267001</v>
      </c>
      <c r="BP565" s="42">
        <v>60037178</v>
      </c>
      <c r="BR565" s="42">
        <v>0</v>
      </c>
      <c r="BT565" s="42">
        <v>0</v>
      </c>
      <c r="BV565" s="5">
        <f t="shared" si="71"/>
        <v>58770177</v>
      </c>
      <c r="BW565" s="5"/>
      <c r="BX565" s="5">
        <f>BV565-'Gov Fd BS'!AI565</f>
        <v>0</v>
      </c>
    </row>
    <row r="566" spans="1:76" hidden="1">
      <c r="A566" s="9" t="s">
        <v>773</v>
      </c>
      <c r="B566" s="9"/>
      <c r="C566" s="9" t="s">
        <v>553</v>
      </c>
      <c r="D566" s="9"/>
      <c r="E566" s="23">
        <v>45625</v>
      </c>
      <c r="G566" s="42">
        <v>0</v>
      </c>
      <c r="I566" s="42">
        <v>0</v>
      </c>
      <c r="K566" s="42">
        <v>0</v>
      </c>
      <c r="M566" s="42">
        <v>0</v>
      </c>
      <c r="O566" s="42">
        <v>0</v>
      </c>
      <c r="Q566" s="42">
        <v>0</v>
      </c>
      <c r="S566" s="42">
        <v>0</v>
      </c>
      <c r="U566" s="42">
        <v>0</v>
      </c>
      <c r="W566" s="42">
        <v>0</v>
      </c>
      <c r="Y566" s="42">
        <v>0</v>
      </c>
      <c r="AA566" s="42">
        <v>0</v>
      </c>
      <c r="AC566" s="42">
        <v>0</v>
      </c>
      <c r="AE566" s="42">
        <v>0</v>
      </c>
      <c r="AG566" s="42">
        <v>0</v>
      </c>
      <c r="AI566" s="42">
        <v>0</v>
      </c>
      <c r="AK566" s="42">
        <v>0</v>
      </c>
      <c r="AL566" s="9" t="s">
        <v>773</v>
      </c>
      <c r="AM566" s="9"/>
      <c r="AN566" s="9" t="s">
        <v>553</v>
      </c>
      <c r="AP566" s="42">
        <v>0</v>
      </c>
      <c r="AR566" s="42">
        <v>0</v>
      </c>
      <c r="AT566" s="42">
        <v>0</v>
      </c>
      <c r="AV566" s="42">
        <v>0</v>
      </c>
      <c r="AX566" s="42">
        <v>0</v>
      </c>
      <c r="AZ566" s="42">
        <v>0</v>
      </c>
      <c r="BB566" s="5">
        <f t="shared" si="69"/>
        <v>0</v>
      </c>
      <c r="BD566" s="42">
        <v>0</v>
      </c>
      <c r="BF566" s="42">
        <v>0</v>
      </c>
      <c r="BH566" s="42">
        <v>0</v>
      </c>
      <c r="BJ566" s="42">
        <v>0</v>
      </c>
      <c r="BL566" s="5">
        <f t="shared" si="70"/>
        <v>0</v>
      </c>
      <c r="BN566" s="5">
        <f>'Gov Fd Rev'!AQ566-'Gov Fd Exp'!BL566</f>
        <v>0</v>
      </c>
      <c r="BP566" s="42">
        <v>0</v>
      </c>
      <c r="BR566" s="42">
        <v>0</v>
      </c>
      <c r="BT566" s="42">
        <v>0</v>
      </c>
      <c r="BV566" s="5">
        <f t="shared" si="71"/>
        <v>0</v>
      </c>
      <c r="BW566" s="5"/>
      <c r="BX566" s="5">
        <f>BV566-'Gov Fd BS'!AI566</f>
        <v>0</v>
      </c>
    </row>
    <row r="567" spans="1:76" hidden="1">
      <c r="A567" s="9" t="s">
        <v>690</v>
      </c>
      <c r="B567" s="9"/>
      <c r="C567" s="9" t="s">
        <v>337</v>
      </c>
      <c r="D567" s="9"/>
      <c r="E567" s="23">
        <v>47522</v>
      </c>
      <c r="G567" s="42">
        <v>0</v>
      </c>
      <c r="I567" s="42">
        <v>0</v>
      </c>
      <c r="K567" s="42">
        <v>0</v>
      </c>
      <c r="M567" s="42">
        <v>0</v>
      </c>
      <c r="O567" s="42">
        <v>0</v>
      </c>
      <c r="Q567" s="42">
        <v>0</v>
      </c>
      <c r="S567" s="42">
        <v>0</v>
      </c>
      <c r="U567" s="42">
        <v>0</v>
      </c>
      <c r="W567" s="42">
        <v>0</v>
      </c>
      <c r="Y567" s="42">
        <v>0</v>
      </c>
      <c r="AA567" s="42">
        <v>0</v>
      </c>
      <c r="AC567" s="42">
        <v>0</v>
      </c>
      <c r="AE567" s="42">
        <v>0</v>
      </c>
      <c r="AG567" s="42">
        <v>0</v>
      </c>
      <c r="AI567" s="42">
        <v>0</v>
      </c>
      <c r="AK567" s="42">
        <v>0</v>
      </c>
      <c r="AL567" s="9" t="s">
        <v>690</v>
      </c>
      <c r="AM567" s="9"/>
      <c r="AN567" s="9" t="s">
        <v>337</v>
      </c>
      <c r="AP567" s="42">
        <v>0</v>
      </c>
      <c r="AR567" s="42">
        <v>0</v>
      </c>
      <c r="AT567" s="42">
        <v>0</v>
      </c>
      <c r="AV567" s="42">
        <v>0</v>
      </c>
      <c r="AX567" s="42">
        <v>0</v>
      </c>
      <c r="AZ567" s="42">
        <v>0</v>
      </c>
      <c r="BB567" s="5">
        <f t="shared" si="69"/>
        <v>0</v>
      </c>
      <c r="BD567" s="42">
        <v>0</v>
      </c>
      <c r="BF567" s="42">
        <v>0</v>
      </c>
      <c r="BH567" s="42">
        <v>0</v>
      </c>
      <c r="BJ567" s="42">
        <v>0</v>
      </c>
      <c r="BL567" s="5">
        <f t="shared" si="70"/>
        <v>0</v>
      </c>
      <c r="BN567" s="5">
        <f>'Gov Fd Rev'!AQ567-'Gov Fd Exp'!BL567</f>
        <v>0</v>
      </c>
      <c r="BP567" s="42">
        <v>0</v>
      </c>
      <c r="BR567" s="42">
        <v>0</v>
      </c>
      <c r="BT567" s="42">
        <v>0</v>
      </c>
      <c r="BV567" s="5">
        <f t="shared" si="71"/>
        <v>0</v>
      </c>
      <c r="BW567" s="5"/>
      <c r="BX567" s="5">
        <f>BV567-'Gov Fd BS'!AI567</f>
        <v>0</v>
      </c>
    </row>
    <row r="568" spans="1:76" hidden="1">
      <c r="A568" s="9" t="s">
        <v>883</v>
      </c>
      <c r="B568" s="9"/>
      <c r="C568" s="9" t="s">
        <v>227</v>
      </c>
      <c r="D568" s="9"/>
      <c r="E568" s="23">
        <v>44941</v>
      </c>
      <c r="G568" s="42">
        <v>0</v>
      </c>
      <c r="I568" s="42">
        <v>0</v>
      </c>
      <c r="K568" s="42">
        <v>0</v>
      </c>
      <c r="M568" s="42">
        <v>0</v>
      </c>
      <c r="O568" s="42">
        <v>0</v>
      </c>
      <c r="Q568" s="42">
        <v>0</v>
      </c>
      <c r="S568" s="42">
        <v>0</v>
      </c>
      <c r="U568" s="42">
        <v>0</v>
      </c>
      <c r="W568" s="42">
        <v>0</v>
      </c>
      <c r="Y568" s="42">
        <v>0</v>
      </c>
      <c r="AA568" s="42">
        <v>0</v>
      </c>
      <c r="AC568" s="42">
        <v>0</v>
      </c>
      <c r="AE568" s="42">
        <v>0</v>
      </c>
      <c r="AG568" s="42">
        <v>0</v>
      </c>
      <c r="AI568" s="42">
        <v>0</v>
      </c>
      <c r="AK568" s="42">
        <v>0</v>
      </c>
      <c r="AL568" s="9" t="s">
        <v>883</v>
      </c>
      <c r="AM568" s="9"/>
      <c r="AN568" s="9" t="s">
        <v>227</v>
      </c>
      <c r="AP568" s="42">
        <v>0</v>
      </c>
      <c r="AR568" s="42">
        <v>0</v>
      </c>
      <c r="AT568" s="42">
        <v>0</v>
      </c>
      <c r="AV568" s="42">
        <v>0</v>
      </c>
      <c r="AX568" s="42">
        <v>0</v>
      </c>
      <c r="AZ568" s="42">
        <v>0</v>
      </c>
      <c r="BB568" s="5">
        <f t="shared" ref="BB568:BB632" si="72">SUM(G568:AZ568)</f>
        <v>0</v>
      </c>
      <c r="BD568" s="42">
        <v>0</v>
      </c>
      <c r="BF568" s="42">
        <v>0</v>
      </c>
      <c r="BH568" s="42">
        <v>0</v>
      </c>
      <c r="BJ568" s="42">
        <v>0</v>
      </c>
      <c r="BL568" s="5">
        <f t="shared" ref="BL568:BL632" si="73">BB568+BD568+BJ568</f>
        <v>0</v>
      </c>
      <c r="BN568" s="5">
        <f>'Gov Fd Rev'!AQ568-'Gov Fd Exp'!BL568</f>
        <v>0</v>
      </c>
      <c r="BP568" s="42">
        <v>0</v>
      </c>
      <c r="BR568" s="42">
        <v>0</v>
      </c>
      <c r="BT568" s="42">
        <v>0</v>
      </c>
      <c r="BV568" s="5">
        <f t="shared" si="71"/>
        <v>0</v>
      </c>
      <c r="BW568" s="5"/>
      <c r="BX568" s="5">
        <f>BV568-'Gov Fd BS'!AI568</f>
        <v>0</v>
      </c>
    </row>
    <row r="569" spans="1:76" hidden="1">
      <c r="A569" s="9" t="s">
        <v>691</v>
      </c>
      <c r="B569" s="9"/>
      <c r="C569" s="9" t="s">
        <v>59</v>
      </c>
      <c r="D569" s="9"/>
      <c r="E569" s="23">
        <v>49643</v>
      </c>
      <c r="G569" s="42">
        <v>0</v>
      </c>
      <c r="I569" s="42">
        <v>0</v>
      </c>
      <c r="K569" s="42">
        <v>0</v>
      </c>
      <c r="M569" s="42">
        <v>0</v>
      </c>
      <c r="O569" s="42">
        <v>0</v>
      </c>
      <c r="Q569" s="42">
        <v>0</v>
      </c>
      <c r="S569" s="42">
        <v>0</v>
      </c>
      <c r="U569" s="42">
        <v>0</v>
      </c>
      <c r="W569" s="42">
        <v>0</v>
      </c>
      <c r="Y569" s="42">
        <v>0</v>
      </c>
      <c r="AA569" s="42">
        <v>0</v>
      </c>
      <c r="AC569" s="42">
        <v>0</v>
      </c>
      <c r="AE569" s="42">
        <v>0</v>
      </c>
      <c r="AG569" s="42">
        <v>0</v>
      </c>
      <c r="AI569" s="42">
        <v>0</v>
      </c>
      <c r="AK569" s="42">
        <v>0</v>
      </c>
      <c r="AL569" s="9" t="s">
        <v>691</v>
      </c>
      <c r="AM569" s="9"/>
      <c r="AN569" s="9" t="s">
        <v>59</v>
      </c>
      <c r="AP569" s="42">
        <v>0</v>
      </c>
      <c r="AR569" s="42">
        <v>0</v>
      </c>
      <c r="AT569" s="42">
        <v>0</v>
      </c>
      <c r="AV569" s="42">
        <v>0</v>
      </c>
      <c r="AX569" s="42">
        <v>0</v>
      </c>
      <c r="AZ569" s="42">
        <v>0</v>
      </c>
      <c r="BB569" s="5">
        <f t="shared" si="72"/>
        <v>0</v>
      </c>
      <c r="BD569" s="42">
        <v>0</v>
      </c>
      <c r="BF569" s="42">
        <v>0</v>
      </c>
      <c r="BH569" s="42">
        <v>0</v>
      </c>
      <c r="BJ569" s="42">
        <v>0</v>
      </c>
      <c r="BL569" s="5">
        <f t="shared" si="73"/>
        <v>0</v>
      </c>
      <c r="BN569" s="5">
        <f>'Gov Fd Rev'!AQ569-'Gov Fd Exp'!BL569</f>
        <v>0</v>
      </c>
      <c r="BP569" s="42">
        <v>0</v>
      </c>
      <c r="BR569" s="42">
        <v>0</v>
      </c>
      <c r="BT569" s="42">
        <v>0</v>
      </c>
      <c r="BV569" s="5">
        <f t="shared" si="71"/>
        <v>0</v>
      </c>
      <c r="BW569" s="5"/>
      <c r="BX569" s="5">
        <f>BV569-'Gov Fd BS'!AI569</f>
        <v>0</v>
      </c>
    </row>
    <row r="570" spans="1:76">
      <c r="A570" s="9" t="s">
        <v>434</v>
      </c>
      <c r="B570" s="9"/>
      <c r="C570" s="9" t="s">
        <v>50</v>
      </c>
      <c r="D570" s="9"/>
      <c r="E570" s="23">
        <v>48744</v>
      </c>
      <c r="G570" s="42">
        <v>8861786</v>
      </c>
      <c r="I570" s="42">
        <v>1652059</v>
      </c>
      <c r="K570" s="42">
        <v>100595</v>
      </c>
      <c r="M570" s="42">
        <v>0</v>
      </c>
      <c r="O570" s="42">
        <v>642145</v>
      </c>
      <c r="Q570" s="42">
        <v>1292362</v>
      </c>
      <c r="S570" s="42">
        <v>981521</v>
      </c>
      <c r="U570" s="42">
        <v>13184</v>
      </c>
      <c r="W570" s="42">
        <v>1035370</v>
      </c>
      <c r="Y570" s="42">
        <v>372318</v>
      </c>
      <c r="AA570" s="42">
        <v>11025</v>
      </c>
      <c r="AC570" s="42">
        <v>1408047</v>
      </c>
      <c r="AE570" s="42">
        <v>1028204</v>
      </c>
      <c r="AG570" s="42">
        <v>75226</v>
      </c>
      <c r="AI570" s="42">
        <v>650873</v>
      </c>
      <c r="AK570" s="42">
        <v>37001</v>
      </c>
      <c r="AL570" s="9" t="s">
        <v>434</v>
      </c>
      <c r="AM570" s="9"/>
      <c r="AN570" s="9" t="s">
        <v>50</v>
      </c>
      <c r="AP570" s="42">
        <v>506953</v>
      </c>
      <c r="AR570" s="42">
        <v>20763</v>
      </c>
      <c r="AT570" s="42">
        <v>0</v>
      </c>
      <c r="AV570" s="42">
        <v>146314</v>
      </c>
      <c r="AX570" s="42">
        <v>28097</v>
      </c>
      <c r="AZ570" s="42">
        <v>0</v>
      </c>
      <c r="BB570" s="5">
        <f t="shared" si="72"/>
        <v>18863843</v>
      </c>
      <c r="BD570" s="42">
        <v>0</v>
      </c>
      <c r="BF570" s="42">
        <v>0</v>
      </c>
      <c r="BH570" s="42">
        <v>0</v>
      </c>
      <c r="BJ570" s="42">
        <v>0</v>
      </c>
      <c r="BL570" s="5">
        <f t="shared" si="73"/>
        <v>18863843</v>
      </c>
      <c r="BN570" s="5">
        <f>'Gov Fd Rev'!AQ570-'Gov Fd Exp'!BL570</f>
        <v>-527277</v>
      </c>
      <c r="BP570" s="42">
        <v>420570</v>
      </c>
      <c r="BR570" s="42">
        <v>2443</v>
      </c>
      <c r="BT570" s="42">
        <v>0</v>
      </c>
      <c r="BV570" s="5">
        <f t="shared" ref="BV570:BV632" si="74">BN570+BP570+BR570+BT570</f>
        <v>-104264</v>
      </c>
      <c r="BW570" s="5"/>
      <c r="BX570" s="5">
        <f>BV570-'Gov Fd BS'!AI570</f>
        <v>0</v>
      </c>
    </row>
    <row r="571" spans="1:76">
      <c r="A571" s="9" t="s">
        <v>336</v>
      </c>
      <c r="B571" s="9"/>
      <c r="C571" s="9" t="s">
        <v>33</v>
      </c>
      <c r="D571" s="9"/>
      <c r="E571" s="23">
        <v>47464</v>
      </c>
      <c r="G571" s="42">
        <v>5253207</v>
      </c>
      <c r="I571" s="42">
        <v>1092181</v>
      </c>
      <c r="K571" s="42">
        <v>211039</v>
      </c>
      <c r="M571" s="42">
        <v>0</v>
      </c>
      <c r="O571" s="42">
        <v>0</v>
      </c>
      <c r="Q571" s="42">
        <v>550852</v>
      </c>
      <c r="S571" s="42">
        <v>288269</v>
      </c>
      <c r="U571" s="42">
        <v>51133</v>
      </c>
      <c r="W571" s="42">
        <v>761674</v>
      </c>
      <c r="Y571" s="42">
        <v>368859</v>
      </c>
      <c r="AA571" s="42">
        <v>0</v>
      </c>
      <c r="AC571" s="42">
        <v>1283500</v>
      </c>
      <c r="AE571" s="42">
        <v>549403</v>
      </c>
      <c r="AG571" s="42">
        <v>39010</v>
      </c>
      <c r="AI571" s="42">
        <v>0</v>
      </c>
      <c r="AK571" s="42">
        <v>292565</v>
      </c>
      <c r="AL571" s="9" t="s">
        <v>336</v>
      </c>
      <c r="AM571" s="9"/>
      <c r="AN571" s="9" t="s">
        <v>33</v>
      </c>
      <c r="AP571" s="42">
        <v>365349</v>
      </c>
      <c r="AR571" s="42">
        <v>13597</v>
      </c>
      <c r="AT571" s="42">
        <v>0</v>
      </c>
      <c r="AV571" s="42">
        <v>875000</v>
      </c>
      <c r="AX571" s="42">
        <v>193766</v>
      </c>
      <c r="AZ571" s="42">
        <v>0</v>
      </c>
      <c r="BB571" s="5">
        <f t="shared" si="72"/>
        <v>12189404</v>
      </c>
      <c r="BD571" s="42">
        <v>21500</v>
      </c>
      <c r="BF571" s="42">
        <v>0</v>
      </c>
      <c r="BH571" s="42">
        <v>0</v>
      </c>
      <c r="BJ571" s="42">
        <v>0</v>
      </c>
      <c r="BL571" s="5">
        <f t="shared" si="73"/>
        <v>12210904</v>
      </c>
      <c r="BN571" s="5">
        <f>'Gov Fd Rev'!AQ571-'Gov Fd Exp'!BL571</f>
        <v>42121</v>
      </c>
      <c r="BP571" s="42">
        <v>8934640</v>
      </c>
      <c r="BR571" s="42">
        <v>0</v>
      </c>
      <c r="BT571" s="42">
        <v>0</v>
      </c>
      <c r="BV571" s="5">
        <f t="shared" si="74"/>
        <v>8976761</v>
      </c>
      <c r="BW571" s="5"/>
      <c r="BX571" s="5">
        <f>BV571-'Gov Fd BS'!AI571</f>
        <v>0</v>
      </c>
    </row>
    <row r="572" spans="1:76" hidden="1">
      <c r="A572" s="9" t="s">
        <v>824</v>
      </c>
      <c r="B572" s="9"/>
      <c r="C572" s="9" t="s">
        <v>67</v>
      </c>
      <c r="D572" s="9"/>
      <c r="E572" s="23">
        <v>44966</v>
      </c>
      <c r="G572" s="42">
        <v>0</v>
      </c>
      <c r="I572" s="42">
        <v>0</v>
      </c>
      <c r="K572" s="42">
        <v>0</v>
      </c>
      <c r="M572" s="42">
        <v>0</v>
      </c>
      <c r="O572" s="42">
        <v>0</v>
      </c>
      <c r="Q572" s="42">
        <v>0</v>
      </c>
      <c r="S572" s="42">
        <v>0</v>
      </c>
      <c r="U572" s="42">
        <v>0</v>
      </c>
      <c r="W572" s="42">
        <v>0</v>
      </c>
      <c r="Y572" s="42">
        <v>0</v>
      </c>
      <c r="AA572" s="42">
        <v>0</v>
      </c>
      <c r="AC572" s="42">
        <v>0</v>
      </c>
      <c r="AE572" s="42">
        <v>0</v>
      </c>
      <c r="AG572" s="42">
        <v>0</v>
      </c>
      <c r="AI572" s="42">
        <v>0</v>
      </c>
      <c r="AK572" s="42">
        <v>0</v>
      </c>
      <c r="AL572" s="8" t="s">
        <v>824</v>
      </c>
      <c r="AM572" s="9"/>
      <c r="AN572" s="9" t="s">
        <v>67</v>
      </c>
      <c r="AP572" s="42">
        <v>0</v>
      </c>
      <c r="AR572" s="42">
        <v>0</v>
      </c>
      <c r="AT572" s="42">
        <v>0</v>
      </c>
      <c r="AV572" s="42">
        <v>0</v>
      </c>
      <c r="AX572" s="42">
        <v>0</v>
      </c>
      <c r="AZ572" s="42">
        <v>0</v>
      </c>
      <c r="BB572" s="5">
        <f t="shared" si="72"/>
        <v>0</v>
      </c>
      <c r="BD572" s="42">
        <v>0</v>
      </c>
      <c r="BF572" s="42">
        <v>0</v>
      </c>
      <c r="BH572" s="42">
        <v>0</v>
      </c>
      <c r="BJ572" s="42">
        <v>0</v>
      </c>
      <c r="BL572" s="5">
        <f t="shared" si="73"/>
        <v>0</v>
      </c>
      <c r="BN572" s="5">
        <f>'Gov Fd Rev'!AQ572-'Gov Fd Exp'!BL572</f>
        <v>0</v>
      </c>
      <c r="BP572" s="42">
        <v>0</v>
      </c>
      <c r="BR572" s="42">
        <v>0</v>
      </c>
      <c r="BT572" s="42">
        <v>0</v>
      </c>
      <c r="BV572" s="5">
        <f t="shared" si="74"/>
        <v>0</v>
      </c>
      <c r="BW572" s="5"/>
      <c r="BX572" s="5">
        <f>BV572-'Gov Fd BS'!AI572</f>
        <v>0</v>
      </c>
    </row>
    <row r="573" spans="1:76">
      <c r="A573" s="9" t="s">
        <v>435</v>
      </c>
      <c r="B573" s="9"/>
      <c r="C573" s="9" t="s">
        <v>50</v>
      </c>
      <c r="D573" s="9"/>
      <c r="E573" s="23">
        <v>44958</v>
      </c>
      <c r="G573" s="42">
        <v>12977157</v>
      </c>
      <c r="I573" s="42">
        <v>4776627</v>
      </c>
      <c r="K573" s="42">
        <v>211102</v>
      </c>
      <c r="M573" s="42">
        <v>0</v>
      </c>
      <c r="O573" s="42">
        <v>1855777</v>
      </c>
      <c r="Q573" s="42">
        <v>2789604</v>
      </c>
      <c r="S573" s="42">
        <v>2223037</v>
      </c>
      <c r="U573" s="42">
        <v>30735</v>
      </c>
      <c r="W573" s="42">
        <v>1970019</v>
      </c>
      <c r="Y573" s="42">
        <v>1059573</v>
      </c>
      <c r="AA573" s="42">
        <v>155088</v>
      </c>
      <c r="AC573" s="42">
        <v>2216800</v>
      </c>
      <c r="AE573" s="42">
        <v>1093416</v>
      </c>
      <c r="AG573" s="42">
        <v>364777</v>
      </c>
      <c r="AI573" s="42">
        <v>1069506</v>
      </c>
      <c r="AK573" s="42">
        <v>309484</v>
      </c>
      <c r="AL573" s="9" t="s">
        <v>435</v>
      </c>
      <c r="AM573" s="9"/>
      <c r="AN573" s="9" t="s">
        <v>50</v>
      </c>
      <c r="AP573" s="42">
        <v>845119</v>
      </c>
      <c r="AR573" s="42">
        <v>3299668</v>
      </c>
      <c r="AT573" s="42">
        <v>0</v>
      </c>
      <c r="AV573" s="42">
        <v>1336798</v>
      </c>
      <c r="AX573" s="42">
        <v>2493574</v>
      </c>
      <c r="AZ573" s="42">
        <v>0</v>
      </c>
      <c r="BB573" s="5">
        <f t="shared" si="72"/>
        <v>41077861</v>
      </c>
      <c r="BD573" s="42">
        <v>2161733</v>
      </c>
      <c r="BF573" s="42">
        <v>0</v>
      </c>
      <c r="BH573" s="42">
        <v>0</v>
      </c>
      <c r="BJ573" s="42">
        <v>0</v>
      </c>
      <c r="BL573" s="5">
        <f t="shared" si="73"/>
        <v>43239594</v>
      </c>
      <c r="BN573" s="5">
        <f>'Gov Fd Rev'!AQ573-'Gov Fd Exp'!BL573</f>
        <v>-6909364</v>
      </c>
      <c r="BP573" s="42">
        <v>10161534</v>
      </c>
      <c r="BR573" s="42">
        <v>0</v>
      </c>
      <c r="BT573" s="42">
        <v>0</v>
      </c>
      <c r="BV573" s="5">
        <f t="shared" si="74"/>
        <v>3252170</v>
      </c>
      <c r="BW573" s="5"/>
      <c r="BX573" s="5">
        <f>BV573-'Gov Fd BS'!AI573</f>
        <v>0</v>
      </c>
    </row>
    <row r="574" spans="1:76" hidden="1">
      <c r="A574" s="9" t="s">
        <v>692</v>
      </c>
      <c r="B574" s="9"/>
      <c r="C574" s="9" t="s">
        <v>33</v>
      </c>
      <c r="D574" s="9"/>
      <c r="E574" s="23">
        <v>47472</v>
      </c>
      <c r="G574" s="42">
        <v>0</v>
      </c>
      <c r="I574" s="42">
        <v>0</v>
      </c>
      <c r="K574" s="42">
        <v>0</v>
      </c>
      <c r="M574" s="42">
        <v>0</v>
      </c>
      <c r="O574" s="42">
        <v>0</v>
      </c>
      <c r="Q574" s="42">
        <v>0</v>
      </c>
      <c r="S574" s="42">
        <v>0</v>
      </c>
      <c r="U574" s="42">
        <v>0</v>
      </c>
      <c r="W574" s="42">
        <v>0</v>
      </c>
      <c r="Y574" s="42">
        <v>0</v>
      </c>
      <c r="AA574" s="42">
        <v>0</v>
      </c>
      <c r="AC574" s="42">
        <v>0</v>
      </c>
      <c r="AE574" s="42">
        <v>0</v>
      </c>
      <c r="AG574" s="42">
        <v>0</v>
      </c>
      <c r="AI574" s="42">
        <v>0</v>
      </c>
      <c r="AK574" s="42">
        <v>0</v>
      </c>
      <c r="AL574" s="9" t="s">
        <v>692</v>
      </c>
      <c r="AM574" s="9"/>
      <c r="AN574" s="9" t="s">
        <v>33</v>
      </c>
      <c r="AP574" s="42">
        <v>0</v>
      </c>
      <c r="AR574" s="42">
        <v>0</v>
      </c>
      <c r="AT574" s="42">
        <v>0</v>
      </c>
      <c r="AV574" s="42">
        <v>0</v>
      </c>
      <c r="AX574" s="42">
        <v>0</v>
      </c>
      <c r="AZ574" s="42">
        <v>0</v>
      </c>
      <c r="BB574" s="5">
        <f t="shared" si="72"/>
        <v>0</v>
      </c>
      <c r="BD574" s="42">
        <v>0</v>
      </c>
      <c r="BF574" s="42">
        <v>0</v>
      </c>
      <c r="BH574" s="42">
        <v>0</v>
      </c>
      <c r="BJ574" s="42">
        <v>0</v>
      </c>
      <c r="BL574" s="5">
        <f t="shared" si="73"/>
        <v>0</v>
      </c>
      <c r="BN574" s="5">
        <f>'Gov Fd Rev'!AQ574-'Gov Fd Exp'!BL574</f>
        <v>0</v>
      </c>
      <c r="BP574" s="42">
        <v>0</v>
      </c>
      <c r="BR574" s="42">
        <v>0</v>
      </c>
      <c r="BT574" s="42">
        <v>0</v>
      </c>
      <c r="BV574" s="5">
        <f t="shared" si="74"/>
        <v>0</v>
      </c>
      <c r="BW574" s="5"/>
      <c r="BX574" s="5">
        <f>BV574-'Gov Fd BS'!AI574</f>
        <v>0</v>
      </c>
    </row>
    <row r="575" spans="1:76">
      <c r="A575" s="9" t="s">
        <v>289</v>
      </c>
      <c r="B575" s="9"/>
      <c r="C575" s="9" t="s">
        <v>24</v>
      </c>
      <c r="D575" s="9"/>
      <c r="E575" s="23">
        <v>46821</v>
      </c>
      <c r="G575" s="42">
        <v>8081575</v>
      </c>
      <c r="I575" s="42">
        <v>1878262</v>
      </c>
      <c r="K575" s="42">
        <v>116883</v>
      </c>
      <c r="M575" s="42">
        <v>0</v>
      </c>
      <c r="O575" s="42">
        <v>1763792</v>
      </c>
      <c r="Q575" s="42">
        <v>1270065</v>
      </c>
      <c r="S575" s="42">
        <v>2738215</v>
      </c>
      <c r="U575" s="42">
        <v>149616</v>
      </c>
      <c r="W575" s="42">
        <v>1619563</v>
      </c>
      <c r="Y575" s="42">
        <v>598880</v>
      </c>
      <c r="AA575" s="42">
        <v>127162</v>
      </c>
      <c r="AC575" s="42">
        <v>2483969</v>
      </c>
      <c r="AE575" s="42">
        <v>1270074</v>
      </c>
      <c r="AG575" s="42">
        <v>33548</v>
      </c>
      <c r="AI575" s="42">
        <v>707152</v>
      </c>
      <c r="AK575" s="42">
        <v>73392</v>
      </c>
      <c r="AL575" s="9" t="s">
        <v>289</v>
      </c>
      <c r="AM575" s="9"/>
      <c r="AN575" s="9" t="s">
        <v>24</v>
      </c>
      <c r="AP575" s="42">
        <v>707630</v>
      </c>
      <c r="AR575" s="42">
        <v>868743</v>
      </c>
      <c r="AT575" s="42">
        <v>0</v>
      </c>
      <c r="AV575" s="42">
        <v>415937</v>
      </c>
      <c r="AX575" s="42">
        <f>546676+354400</f>
        <v>901076</v>
      </c>
      <c r="AZ575" s="42">
        <v>79972</v>
      </c>
      <c r="BB575" s="5">
        <f t="shared" si="72"/>
        <v>25885506</v>
      </c>
      <c r="BD575" s="42">
        <v>149427</v>
      </c>
      <c r="BF575" s="42">
        <v>0</v>
      </c>
      <c r="BH575" s="42">
        <v>0</v>
      </c>
      <c r="BJ575" s="42">
        <v>0</v>
      </c>
      <c r="BL575" s="5">
        <f t="shared" si="73"/>
        <v>26034933</v>
      </c>
      <c r="BN575" s="5">
        <f>'Gov Fd Rev'!AQ575-'Gov Fd Exp'!BL575</f>
        <v>19441428</v>
      </c>
      <c r="BP575" s="42">
        <v>17289060</v>
      </c>
      <c r="BR575" s="42">
        <v>-6119</v>
      </c>
      <c r="BT575" s="42">
        <v>0</v>
      </c>
      <c r="BV575" s="5">
        <f t="shared" si="74"/>
        <v>36724369</v>
      </c>
      <c r="BW575" s="5"/>
      <c r="BX575" s="5">
        <f>BV575-'Gov Fd BS'!AI575</f>
        <v>0</v>
      </c>
    </row>
    <row r="576" spans="1:76" hidden="1">
      <c r="A576" s="9" t="s">
        <v>693</v>
      </c>
      <c r="B576" s="9"/>
      <c r="C576" s="9" t="s">
        <v>21</v>
      </c>
      <c r="D576" s="9"/>
      <c r="E576" s="23">
        <v>45633</v>
      </c>
      <c r="G576" s="42">
        <v>0</v>
      </c>
      <c r="I576" s="42">
        <v>0</v>
      </c>
      <c r="K576" s="42">
        <v>0</v>
      </c>
      <c r="M576" s="42">
        <v>0</v>
      </c>
      <c r="O576" s="42">
        <v>0</v>
      </c>
      <c r="Q576" s="42">
        <v>0</v>
      </c>
      <c r="S576" s="42">
        <v>0</v>
      </c>
      <c r="U576" s="42">
        <v>0</v>
      </c>
      <c r="W576" s="42">
        <v>0</v>
      </c>
      <c r="Y576" s="42">
        <v>0</v>
      </c>
      <c r="AA576" s="42">
        <v>0</v>
      </c>
      <c r="AC576" s="42">
        <v>0</v>
      </c>
      <c r="AE576" s="42">
        <v>0</v>
      </c>
      <c r="AG576" s="42">
        <v>0</v>
      </c>
      <c r="AI576" s="42">
        <v>0</v>
      </c>
      <c r="AK576" s="42">
        <v>0</v>
      </c>
      <c r="AL576" s="9" t="s">
        <v>693</v>
      </c>
      <c r="AM576" s="9"/>
      <c r="AN576" s="9" t="s">
        <v>21</v>
      </c>
      <c r="AP576" s="42">
        <v>0</v>
      </c>
      <c r="AR576" s="42">
        <v>0</v>
      </c>
      <c r="AT576" s="42">
        <v>0</v>
      </c>
      <c r="AV576" s="42">
        <v>0</v>
      </c>
      <c r="AX576" s="42">
        <v>0</v>
      </c>
      <c r="AZ576" s="42">
        <v>0</v>
      </c>
      <c r="BB576" s="5">
        <f t="shared" ref="BB576" si="75">SUM(G576:AZ576)</f>
        <v>0</v>
      </c>
      <c r="BD576" s="42">
        <v>0</v>
      </c>
      <c r="BF576" s="42">
        <v>0</v>
      </c>
      <c r="BH576" s="42">
        <v>0</v>
      </c>
      <c r="BJ576" s="42">
        <v>0</v>
      </c>
      <c r="BL576" s="5">
        <f t="shared" ref="BL576" si="76">BB576+BD576+BJ576</f>
        <v>0</v>
      </c>
      <c r="BN576" s="5">
        <f>'Gov Fd Rev'!AQ576-'Gov Fd Exp'!BL576</f>
        <v>0</v>
      </c>
      <c r="BP576" s="42">
        <v>0</v>
      </c>
      <c r="BR576" s="42">
        <v>0</v>
      </c>
      <c r="BT576" s="42">
        <v>0</v>
      </c>
      <c r="BV576" s="5">
        <f t="shared" ref="BV576" si="77">BN576+BP576+BR576+BT576</f>
        <v>0</v>
      </c>
      <c r="BW576" s="5"/>
      <c r="BX576" s="5">
        <f>BV576-'Gov Fd BS'!AI576</f>
        <v>0</v>
      </c>
    </row>
    <row r="577" spans="1:76">
      <c r="A577" s="9" t="s">
        <v>538</v>
      </c>
      <c r="B577" s="9"/>
      <c r="C577" s="9" t="s">
        <v>68</v>
      </c>
      <c r="D577" s="9"/>
      <c r="E577" s="23">
        <v>50393</v>
      </c>
      <c r="G577" s="42">
        <v>9984858</v>
      </c>
      <c r="I577" s="42">
        <v>2628556</v>
      </c>
      <c r="K577" s="42">
        <v>269552</v>
      </c>
      <c r="M577" s="42">
        <v>0</v>
      </c>
      <c r="O577" s="42">
        <f>73724+1090159</f>
        <v>1163883</v>
      </c>
      <c r="Q577" s="42">
        <v>1143121</v>
      </c>
      <c r="S577" s="42">
        <v>1493686</v>
      </c>
      <c r="U577" s="42">
        <v>311707</v>
      </c>
      <c r="W577" s="42">
        <v>1985960</v>
      </c>
      <c r="Y577" s="42">
        <v>363977</v>
      </c>
      <c r="AA577" s="42">
        <v>0</v>
      </c>
      <c r="AC577" s="42">
        <v>1974476</v>
      </c>
      <c r="AE577" s="42">
        <v>2148522</v>
      </c>
      <c r="AG577" s="42">
        <v>423400</v>
      </c>
      <c r="AI577" s="42">
        <v>0</v>
      </c>
      <c r="AK577" s="42">
        <v>1153387</v>
      </c>
      <c r="AL577" s="9" t="s">
        <v>538</v>
      </c>
      <c r="AM577" s="9"/>
      <c r="AN577" s="9" t="s">
        <v>68</v>
      </c>
      <c r="AP577" s="42">
        <v>288454</v>
      </c>
      <c r="AR577" s="42">
        <v>576357</v>
      </c>
      <c r="AT577" s="42">
        <v>0</v>
      </c>
      <c r="AV577" s="42">
        <v>420645</v>
      </c>
      <c r="AX577" s="42">
        <f>221685+662027</f>
        <v>883712</v>
      </c>
      <c r="AZ577" s="42">
        <v>0</v>
      </c>
      <c r="BB577" s="5">
        <f t="shared" si="72"/>
        <v>27214253</v>
      </c>
      <c r="BD577" s="42">
        <v>95</v>
      </c>
      <c r="BF577" s="42">
        <v>0</v>
      </c>
      <c r="BH577" s="42">
        <v>0</v>
      </c>
      <c r="BJ577" s="42">
        <v>4645000</v>
      </c>
      <c r="BL577" s="5">
        <f t="shared" si="73"/>
        <v>31859348</v>
      </c>
      <c r="BN577" s="5">
        <f>'Gov Fd Rev'!AQ577-'Gov Fd Exp'!BL577</f>
        <v>445274</v>
      </c>
      <c r="BP577" s="42">
        <v>15622156</v>
      </c>
      <c r="BR577" s="42">
        <v>0</v>
      </c>
      <c r="BT577" s="42">
        <v>0</v>
      </c>
      <c r="BV577" s="5">
        <f t="shared" si="74"/>
        <v>16067430</v>
      </c>
      <c r="BW577" s="5"/>
      <c r="BX577" s="5">
        <f>BV577-'Gov Fd BS'!AI577</f>
        <v>0</v>
      </c>
    </row>
    <row r="578" spans="1:76">
      <c r="A578" s="9" t="s">
        <v>416</v>
      </c>
      <c r="B578" s="9"/>
      <c r="C578" s="9" t="s">
        <v>47</v>
      </c>
      <c r="D578" s="9"/>
      <c r="E578" s="23">
        <v>44974</v>
      </c>
      <c r="G578" s="42">
        <v>17640452</v>
      </c>
      <c r="I578" s="42">
        <v>2838482</v>
      </c>
      <c r="K578" s="42">
        <v>1509413</v>
      </c>
      <c r="M578" s="42">
        <v>10363</v>
      </c>
      <c r="O578" s="42">
        <v>1473220</v>
      </c>
      <c r="Q578" s="42">
        <v>3041245</v>
      </c>
      <c r="S578" s="42">
        <v>1120308</v>
      </c>
      <c r="U578" s="42">
        <v>344995</v>
      </c>
      <c r="W578" s="42">
        <v>3512664</v>
      </c>
      <c r="Y578" s="42">
        <v>875100</v>
      </c>
      <c r="AA578" s="42">
        <v>0</v>
      </c>
      <c r="AC578" s="42">
        <v>3907815</v>
      </c>
      <c r="AE578" s="42">
        <v>1690133</v>
      </c>
      <c r="AG578" s="42">
        <v>946546</v>
      </c>
      <c r="AI578" s="42">
        <v>1326657</v>
      </c>
      <c r="AK578" s="42">
        <v>362492</v>
      </c>
      <c r="AL578" s="9" t="s">
        <v>416</v>
      </c>
      <c r="AM578" s="9"/>
      <c r="AN578" s="9" t="s">
        <v>47</v>
      </c>
      <c r="AP578" s="42">
        <v>984177</v>
      </c>
      <c r="AR578" s="42">
        <v>29377885</v>
      </c>
      <c r="AT578" s="42">
        <v>0</v>
      </c>
      <c r="AV578" s="42">
        <v>3760000</v>
      </c>
      <c r="AX578" s="42">
        <v>4667540</v>
      </c>
      <c r="AZ578" s="42">
        <v>216437</v>
      </c>
      <c r="BB578" s="5">
        <f t="shared" ref="BB578:BB599" si="78">SUM(G578:AZ578)</f>
        <v>79605924</v>
      </c>
      <c r="BD578" s="42">
        <v>1504030</v>
      </c>
      <c r="BF578" s="42">
        <v>0</v>
      </c>
      <c r="BH578" s="42">
        <v>0</v>
      </c>
      <c r="BJ578" s="42">
        <v>0</v>
      </c>
      <c r="BL578" s="5">
        <f t="shared" si="73"/>
        <v>81109954</v>
      </c>
      <c r="BN578" s="5">
        <f>'Gov Fd Rev'!AQ578-'Gov Fd Exp'!BL578</f>
        <v>-26909429</v>
      </c>
      <c r="BP578" s="42">
        <v>47286763</v>
      </c>
      <c r="BR578" s="42">
        <v>0</v>
      </c>
      <c r="BT578" s="42">
        <v>0</v>
      </c>
      <c r="BV578" s="5">
        <f>BN578+BP578+BR578+BT578</f>
        <v>20377334</v>
      </c>
      <c r="BW578" s="5"/>
      <c r="BX578" s="5">
        <f>BV578-'Gov Fd BS'!AI578</f>
        <v>0</v>
      </c>
    </row>
    <row r="579" spans="1:76" hidden="1">
      <c r="A579" s="9" t="s">
        <v>862</v>
      </c>
      <c r="B579" s="9"/>
      <c r="C579" s="9" t="s">
        <v>25</v>
      </c>
      <c r="D579" s="9"/>
      <c r="E579" s="23">
        <v>46904</v>
      </c>
      <c r="G579" s="42">
        <v>0</v>
      </c>
      <c r="I579" s="42">
        <v>0</v>
      </c>
      <c r="K579" s="42">
        <v>0</v>
      </c>
      <c r="M579" s="42">
        <v>0</v>
      </c>
      <c r="O579" s="42">
        <v>0</v>
      </c>
      <c r="Q579" s="42">
        <v>0</v>
      </c>
      <c r="S579" s="42">
        <v>0</v>
      </c>
      <c r="U579" s="42">
        <v>0</v>
      </c>
      <c r="W579" s="42">
        <v>0</v>
      </c>
      <c r="Y579" s="42">
        <v>0</v>
      </c>
      <c r="AA579" s="42">
        <v>0</v>
      </c>
      <c r="AC579" s="42">
        <v>0</v>
      </c>
      <c r="AE579" s="42">
        <v>0</v>
      </c>
      <c r="AG579" s="42">
        <v>0</v>
      </c>
      <c r="AI579" s="42">
        <v>0</v>
      </c>
      <c r="AK579" s="42">
        <v>0</v>
      </c>
      <c r="AL579" s="9" t="s">
        <v>862</v>
      </c>
      <c r="AM579" s="9"/>
      <c r="AN579" s="9" t="s">
        <v>25</v>
      </c>
      <c r="AP579" s="42">
        <v>0</v>
      </c>
      <c r="AR579" s="42">
        <v>0</v>
      </c>
      <c r="AT579" s="42">
        <v>0</v>
      </c>
      <c r="AV579" s="42">
        <v>0</v>
      </c>
      <c r="AX579" s="42">
        <v>0</v>
      </c>
      <c r="AZ579" s="42">
        <v>0</v>
      </c>
      <c r="BB579" s="5">
        <f t="shared" ref="BB579:BB581" si="79">SUM(G579:AZ579)</f>
        <v>0</v>
      </c>
      <c r="BD579" s="42">
        <v>0</v>
      </c>
      <c r="BF579" s="42">
        <v>0</v>
      </c>
      <c r="BH579" s="42">
        <v>0</v>
      </c>
      <c r="BJ579" s="42">
        <v>0</v>
      </c>
      <c r="BL579" s="5">
        <f t="shared" ref="BL579:BL581" si="80">BB579+BD579+BJ579</f>
        <v>0</v>
      </c>
      <c r="BN579" s="5">
        <f>'Gov Fd Rev'!AQ579-'Gov Fd Exp'!BL579</f>
        <v>0</v>
      </c>
      <c r="BP579" s="42">
        <v>0</v>
      </c>
      <c r="BR579" s="42">
        <v>0</v>
      </c>
      <c r="BT579" s="42">
        <v>0</v>
      </c>
      <c r="BV579" s="5">
        <f t="shared" ref="BV579:BV581" si="81">BN579+BP579+BR579+BT579</f>
        <v>0</v>
      </c>
      <c r="BW579" s="5"/>
      <c r="BX579" s="5">
        <f>BV579-'Gov Fd BS'!AI579</f>
        <v>0</v>
      </c>
    </row>
    <row r="580" spans="1:76" hidden="1">
      <c r="A580" s="9" t="s">
        <v>863</v>
      </c>
      <c r="B580" s="9"/>
      <c r="C580" s="9" t="s">
        <v>14</v>
      </c>
      <c r="D580" s="9"/>
      <c r="E580" s="23">
        <v>44982</v>
      </c>
      <c r="G580" s="42">
        <v>0</v>
      </c>
      <c r="I580" s="42">
        <v>0</v>
      </c>
      <c r="K580" s="42">
        <v>0</v>
      </c>
      <c r="M580" s="42">
        <v>0</v>
      </c>
      <c r="O580" s="42">
        <v>0</v>
      </c>
      <c r="Q580" s="42">
        <v>0</v>
      </c>
      <c r="S580" s="42">
        <v>0</v>
      </c>
      <c r="U580" s="42">
        <v>0</v>
      </c>
      <c r="W580" s="42">
        <v>0</v>
      </c>
      <c r="Y580" s="42">
        <v>0</v>
      </c>
      <c r="AA580" s="42">
        <v>0</v>
      </c>
      <c r="AC580" s="42">
        <v>0</v>
      </c>
      <c r="AE580" s="42">
        <v>0</v>
      </c>
      <c r="AG580" s="42">
        <v>0</v>
      </c>
      <c r="AI580" s="42">
        <v>0</v>
      </c>
      <c r="AK580" s="42">
        <v>0</v>
      </c>
      <c r="AL580" s="9" t="s">
        <v>863</v>
      </c>
      <c r="AM580" s="9"/>
      <c r="AN580" s="9" t="s">
        <v>14</v>
      </c>
      <c r="AP580" s="42">
        <v>0</v>
      </c>
      <c r="AR580" s="42">
        <v>0</v>
      </c>
      <c r="AT580" s="42">
        <v>0</v>
      </c>
      <c r="AV580" s="42">
        <v>0</v>
      </c>
      <c r="AX580" s="42">
        <v>0</v>
      </c>
      <c r="AZ580" s="42">
        <v>0</v>
      </c>
      <c r="BB580" s="5">
        <f t="shared" si="79"/>
        <v>0</v>
      </c>
      <c r="BD580" s="42">
        <v>0</v>
      </c>
      <c r="BF580" s="42">
        <v>0</v>
      </c>
      <c r="BH580" s="42">
        <v>0</v>
      </c>
      <c r="BJ580" s="42">
        <v>0</v>
      </c>
      <c r="BL580" s="5">
        <f t="shared" si="80"/>
        <v>0</v>
      </c>
      <c r="BN580" s="5">
        <f>'Gov Fd Rev'!AQ580-'Gov Fd Exp'!BL580</f>
        <v>0</v>
      </c>
      <c r="BP580" s="42">
        <v>0</v>
      </c>
      <c r="BR580" s="42">
        <v>0</v>
      </c>
      <c r="BT580" s="42">
        <v>0</v>
      </c>
      <c r="BV580" s="5">
        <f t="shared" si="81"/>
        <v>0</v>
      </c>
      <c r="BW580" s="5"/>
      <c r="BX580" s="5">
        <f>BV580-'Gov Fd BS'!AI580</f>
        <v>0</v>
      </c>
    </row>
    <row r="581" spans="1:76" hidden="1">
      <c r="A581" s="8" t="s">
        <v>864</v>
      </c>
      <c r="B581" s="8"/>
      <c r="C581" s="8" t="s">
        <v>63</v>
      </c>
      <c r="D581" s="9"/>
      <c r="E581" s="23"/>
      <c r="G581" s="42">
        <v>0</v>
      </c>
      <c r="I581" s="42">
        <v>0</v>
      </c>
      <c r="K581" s="42">
        <v>0</v>
      </c>
      <c r="M581" s="42">
        <v>0</v>
      </c>
      <c r="O581" s="42">
        <v>0</v>
      </c>
      <c r="Q581" s="42">
        <v>0</v>
      </c>
      <c r="S581" s="42">
        <v>0</v>
      </c>
      <c r="U581" s="42">
        <v>0</v>
      </c>
      <c r="W581" s="42">
        <v>0</v>
      </c>
      <c r="Y581" s="42">
        <v>0</v>
      </c>
      <c r="AA581" s="42">
        <v>0</v>
      </c>
      <c r="AC581" s="42">
        <v>0</v>
      </c>
      <c r="AE581" s="42">
        <v>0</v>
      </c>
      <c r="AG581" s="42">
        <v>0</v>
      </c>
      <c r="AI581" s="42">
        <v>0</v>
      </c>
      <c r="AK581" s="42">
        <v>0</v>
      </c>
      <c r="AL581" s="8" t="s">
        <v>864</v>
      </c>
      <c r="AM581" s="8"/>
      <c r="AN581" s="8" t="s">
        <v>63</v>
      </c>
      <c r="AP581" s="42">
        <v>0</v>
      </c>
      <c r="AR581" s="42">
        <v>0</v>
      </c>
      <c r="AT581" s="42">
        <v>0</v>
      </c>
      <c r="AV581" s="42">
        <v>0</v>
      </c>
      <c r="AX581" s="42">
        <v>0</v>
      </c>
      <c r="AZ581" s="42">
        <v>0</v>
      </c>
      <c r="BB581" s="5">
        <f t="shared" si="79"/>
        <v>0</v>
      </c>
      <c r="BD581" s="42">
        <v>0</v>
      </c>
      <c r="BF581" s="42">
        <v>0</v>
      </c>
      <c r="BH581" s="42">
        <v>0</v>
      </c>
      <c r="BJ581" s="42">
        <v>0</v>
      </c>
      <c r="BL581" s="5">
        <f t="shared" si="80"/>
        <v>0</v>
      </c>
      <c r="BN581" s="5">
        <f>'Gov Fd Rev'!AQ581-'Gov Fd Exp'!BL581</f>
        <v>0</v>
      </c>
      <c r="BP581" s="42">
        <v>0</v>
      </c>
      <c r="BR581" s="42">
        <v>0</v>
      </c>
      <c r="BT581" s="42">
        <v>0</v>
      </c>
      <c r="BV581" s="5">
        <f t="shared" si="81"/>
        <v>0</v>
      </c>
      <c r="BW581" s="5"/>
      <c r="BX581" s="5">
        <f>BV581-'Gov Fd BS'!AI581</f>
        <v>0</v>
      </c>
    </row>
    <row r="582" spans="1:76">
      <c r="A582" s="9" t="s">
        <v>527</v>
      </c>
      <c r="B582" s="9"/>
      <c r="C582" s="9" t="s">
        <v>64</v>
      </c>
      <c r="D582" s="9"/>
      <c r="E582" s="23">
        <v>44990</v>
      </c>
      <c r="G582" s="42">
        <v>27931825</v>
      </c>
      <c r="I582" s="42">
        <v>9466431</v>
      </c>
      <c r="K582" s="42">
        <v>128250</v>
      </c>
      <c r="M582" s="42">
        <v>0</v>
      </c>
      <c r="O582" s="42">
        <v>2719977</v>
      </c>
      <c r="Q582" s="42">
        <v>3549746</v>
      </c>
      <c r="S582" s="42">
        <v>5817439</v>
      </c>
      <c r="U582" s="42">
        <v>30264</v>
      </c>
      <c r="W582" s="42">
        <v>5455373</v>
      </c>
      <c r="Y582" s="42">
        <v>1131202</v>
      </c>
      <c r="AA582" s="42">
        <v>672711</v>
      </c>
      <c r="AC582" s="42">
        <v>7131150</v>
      </c>
      <c r="AE582" s="42">
        <v>2813463</v>
      </c>
      <c r="AG582" s="42">
        <v>1255720</v>
      </c>
      <c r="AI582" s="42">
        <v>3402503</v>
      </c>
      <c r="AK582" s="42">
        <v>349045</v>
      </c>
      <c r="AL582" s="9" t="s">
        <v>527</v>
      </c>
      <c r="AM582" s="9"/>
      <c r="AN582" s="9" t="s">
        <v>64</v>
      </c>
      <c r="AP582" s="42">
        <v>1173191</v>
      </c>
      <c r="AR582" s="42">
        <v>2809952</v>
      </c>
      <c r="AT582" s="42">
        <v>0</v>
      </c>
      <c r="AV582" s="42">
        <v>1296505</v>
      </c>
      <c r="AX582" s="42">
        <v>1174920</v>
      </c>
      <c r="AZ582" s="42">
        <v>373722</v>
      </c>
      <c r="BB582" s="5">
        <f t="shared" si="78"/>
        <v>78683389</v>
      </c>
      <c r="BD582" s="42">
        <v>8931081</v>
      </c>
      <c r="BF582" s="42">
        <v>0</v>
      </c>
      <c r="BH582" s="42">
        <v>0</v>
      </c>
      <c r="BJ582" s="42">
        <v>0</v>
      </c>
      <c r="BL582" s="5">
        <f t="shared" si="73"/>
        <v>87614470</v>
      </c>
      <c r="BN582" s="5">
        <f>'Gov Fd Rev'!AQ582-'Gov Fd Exp'!BL582</f>
        <v>-5231599</v>
      </c>
      <c r="BP582" s="42">
        <v>31721182</v>
      </c>
      <c r="BR582" s="42">
        <v>-44503</v>
      </c>
      <c r="BT582" s="42">
        <v>-6003193</v>
      </c>
      <c r="BV582" s="5">
        <f>BN582+BP582+BR582+BT582</f>
        <v>20441887</v>
      </c>
      <c r="BW582" s="5"/>
      <c r="BX582" s="5">
        <f>BV582-'Gov Fd BS'!AI582</f>
        <v>0</v>
      </c>
    </row>
    <row r="583" spans="1:76">
      <c r="A583" s="9" t="s">
        <v>545</v>
      </c>
      <c r="B583" s="9"/>
      <c r="C583" s="9" t="s">
        <v>70</v>
      </c>
      <c r="D583" s="9"/>
      <c r="E583" s="23">
        <v>50500</v>
      </c>
      <c r="G583" s="42">
        <v>10996857</v>
      </c>
      <c r="I583" s="42">
        <v>1963401</v>
      </c>
      <c r="K583" s="42">
        <v>64988</v>
      </c>
      <c r="M583" s="42">
        <v>0</v>
      </c>
      <c r="O583" s="42">
        <v>5994</v>
      </c>
      <c r="Q583" s="42">
        <v>559835</v>
      </c>
      <c r="S583" s="42">
        <v>989042</v>
      </c>
      <c r="U583" s="42">
        <v>51880</v>
      </c>
      <c r="W583" s="42">
        <v>1404949</v>
      </c>
      <c r="Y583" s="42">
        <v>486026</v>
      </c>
      <c r="AA583" s="42">
        <v>6116</v>
      </c>
      <c r="AC583" s="42">
        <v>1890597</v>
      </c>
      <c r="AE583" s="42">
        <v>1338807</v>
      </c>
      <c r="AG583" s="42">
        <v>25897</v>
      </c>
      <c r="AI583" s="42">
        <v>0</v>
      </c>
      <c r="AK583" s="42">
        <v>1146</v>
      </c>
      <c r="AL583" s="9" t="s">
        <v>545</v>
      </c>
      <c r="AM583" s="9"/>
      <c r="AN583" s="9" t="s">
        <v>70</v>
      </c>
      <c r="AP583" s="42">
        <v>425751</v>
      </c>
      <c r="AR583" s="42">
        <v>1223593</v>
      </c>
      <c r="AT583" s="42">
        <v>0</v>
      </c>
      <c r="AV583" s="42">
        <v>0</v>
      </c>
      <c r="AX583" s="42">
        <v>0</v>
      </c>
      <c r="AZ583" s="42">
        <v>0</v>
      </c>
      <c r="BB583" s="5">
        <f t="shared" si="78"/>
        <v>21434879</v>
      </c>
      <c r="BD583" s="42">
        <v>0</v>
      </c>
      <c r="BF583" s="42">
        <v>0</v>
      </c>
      <c r="BH583" s="42">
        <v>0</v>
      </c>
      <c r="BJ583" s="42">
        <v>0</v>
      </c>
      <c r="BL583" s="5">
        <f t="shared" si="73"/>
        <v>21434879</v>
      </c>
      <c r="BN583" s="5">
        <f>'Gov Fd Rev'!AQ583-'Gov Fd Exp'!BL583</f>
        <v>-640076</v>
      </c>
      <c r="BP583" s="42">
        <v>5533937</v>
      </c>
      <c r="BR583" s="42">
        <v>0</v>
      </c>
      <c r="BT583" s="42">
        <v>0</v>
      </c>
      <c r="BV583" s="5">
        <f t="shared" si="74"/>
        <v>4893861</v>
      </c>
      <c r="BW583" s="5"/>
      <c r="BX583" s="5">
        <f>BV583-'Gov Fd BS'!AI583</f>
        <v>0</v>
      </c>
    </row>
    <row r="584" spans="1:76">
      <c r="A584" s="9" t="s">
        <v>278</v>
      </c>
      <c r="B584" s="9"/>
      <c r="C584" s="9" t="s">
        <v>20</v>
      </c>
      <c r="D584" s="9"/>
      <c r="E584" s="23">
        <v>45005</v>
      </c>
      <c r="G584" s="42">
        <v>12848922</v>
      </c>
      <c r="I584" s="42">
        <v>4145794</v>
      </c>
      <c r="K584" s="42">
        <v>392784</v>
      </c>
      <c r="M584" s="42">
        <v>0</v>
      </c>
      <c r="O584" s="42">
        <v>0</v>
      </c>
      <c r="Q584" s="42">
        <v>830986</v>
      </c>
      <c r="S584" s="42">
        <v>2705667</v>
      </c>
      <c r="U584" s="42">
        <v>71938</v>
      </c>
      <c r="W584" s="42">
        <v>2496750</v>
      </c>
      <c r="Y584" s="42">
        <v>1321211</v>
      </c>
      <c r="AA584" s="42">
        <v>1215054</v>
      </c>
      <c r="AC584" s="42">
        <v>3590445</v>
      </c>
      <c r="AE584" s="42">
        <v>1024171</v>
      </c>
      <c r="AG584" s="42">
        <v>295221</v>
      </c>
      <c r="AI584" s="42">
        <v>738259</v>
      </c>
      <c r="AK584" s="42">
        <v>31636</v>
      </c>
      <c r="AL584" s="9" t="s">
        <v>278</v>
      </c>
      <c r="AM584" s="9"/>
      <c r="AN584" s="9" t="s">
        <v>20</v>
      </c>
      <c r="AP584" s="42">
        <v>181304</v>
      </c>
      <c r="AR584" s="42">
        <v>192716</v>
      </c>
      <c r="AT584" s="42">
        <v>0</v>
      </c>
      <c r="AV584" s="42">
        <v>1225000</v>
      </c>
      <c r="AX584" s="42">
        <v>792360</v>
      </c>
      <c r="AZ584" s="42">
        <v>0</v>
      </c>
      <c r="BB584" s="5">
        <f t="shared" si="78"/>
        <v>34100218</v>
      </c>
      <c r="BD584" s="42">
        <v>110400</v>
      </c>
      <c r="BF584" s="42">
        <v>0</v>
      </c>
      <c r="BH584" s="42">
        <v>0</v>
      </c>
      <c r="BJ584" s="42">
        <v>0</v>
      </c>
      <c r="BL584" s="5">
        <f t="shared" si="73"/>
        <v>34210618</v>
      </c>
      <c r="BN584" s="5">
        <f>'Gov Fd Rev'!AQ584-'Gov Fd Exp'!BL584</f>
        <v>5466738</v>
      </c>
      <c r="BP584" s="42">
        <v>14874702</v>
      </c>
      <c r="BR584" s="42">
        <v>0</v>
      </c>
      <c r="BT584" s="42">
        <v>0</v>
      </c>
      <c r="BV584" s="5">
        <f t="shared" si="74"/>
        <v>20341440</v>
      </c>
      <c r="BW584" s="5"/>
      <c r="BX584" s="5">
        <f>BV584-'Gov Fd BS'!AI584</f>
        <v>0</v>
      </c>
    </row>
    <row r="585" spans="1:76">
      <c r="A585" s="9" t="s">
        <v>296</v>
      </c>
      <c r="B585" s="9"/>
      <c r="C585" s="9" t="s">
        <v>26</v>
      </c>
      <c r="D585" s="9"/>
      <c r="E585" s="23">
        <v>45013</v>
      </c>
      <c r="G585" s="42">
        <v>9502495</v>
      </c>
      <c r="I585" s="42">
        <v>3034885</v>
      </c>
      <c r="K585" s="42">
        <v>0</v>
      </c>
      <c r="M585" s="42">
        <v>0</v>
      </c>
      <c r="O585" s="42">
        <v>5675</v>
      </c>
      <c r="Q585" s="42">
        <v>735962</v>
      </c>
      <c r="S585" s="42">
        <v>960502</v>
      </c>
      <c r="U585" s="42">
        <v>19386</v>
      </c>
      <c r="W585" s="42">
        <f>1736181+5839</f>
        <v>1742020</v>
      </c>
      <c r="Y585" s="42">
        <v>592215</v>
      </c>
      <c r="AA585" s="42">
        <v>6278</v>
      </c>
      <c r="AC585" s="42">
        <v>1951307</v>
      </c>
      <c r="AE585" s="42">
        <v>697012</v>
      </c>
      <c r="AG585" s="42">
        <v>144096</v>
      </c>
      <c r="AI585" s="42">
        <v>974100</v>
      </c>
      <c r="AK585" s="42">
        <v>8489</v>
      </c>
      <c r="AL585" s="9" t="s">
        <v>296</v>
      </c>
      <c r="AM585" s="9"/>
      <c r="AN585" s="9" t="s">
        <v>26</v>
      </c>
      <c r="AP585" s="42">
        <v>609696</v>
      </c>
      <c r="AR585" s="42">
        <v>244529</v>
      </c>
      <c r="AT585" s="42">
        <v>0</v>
      </c>
      <c r="AV585" s="42">
        <v>503757</v>
      </c>
      <c r="AX585" s="42">
        <v>840558</v>
      </c>
      <c r="AZ585" s="42">
        <v>0</v>
      </c>
      <c r="BB585" s="5">
        <f t="shared" si="78"/>
        <v>22572962</v>
      </c>
      <c r="BD585" s="42">
        <v>45469</v>
      </c>
      <c r="BF585" s="42">
        <v>0</v>
      </c>
      <c r="BH585" s="42">
        <v>0</v>
      </c>
      <c r="BJ585" s="42">
        <v>0</v>
      </c>
      <c r="BL585" s="5">
        <f t="shared" si="73"/>
        <v>22618431</v>
      </c>
      <c r="BN585" s="5">
        <f>'Gov Fd Rev'!AQ585-'Gov Fd Exp'!BL585</f>
        <v>306466</v>
      </c>
      <c r="BP585" s="42">
        <v>6152588</v>
      </c>
      <c r="BR585" s="42">
        <v>0</v>
      </c>
      <c r="BT585" s="42">
        <v>0</v>
      </c>
      <c r="BV585" s="5">
        <f t="shared" si="74"/>
        <v>6459054</v>
      </c>
      <c r="BW585" s="5"/>
      <c r="BX585" s="5">
        <f>BV585-'Gov Fd BS'!AI585</f>
        <v>0</v>
      </c>
    </row>
    <row r="586" spans="1:76">
      <c r="A586" s="9" t="s">
        <v>393</v>
      </c>
      <c r="B586" s="9"/>
      <c r="C586" s="9" t="s">
        <v>114</v>
      </c>
      <c r="D586" s="9"/>
      <c r="E586" s="23">
        <v>48231</v>
      </c>
      <c r="G586" s="42">
        <v>31252592</v>
      </c>
      <c r="I586" s="42">
        <v>12316007</v>
      </c>
      <c r="K586" s="42">
        <v>2582186</v>
      </c>
      <c r="M586" s="42">
        <v>0</v>
      </c>
      <c r="O586" s="42">
        <v>3304347</v>
      </c>
      <c r="Q586" s="42">
        <v>4066275</v>
      </c>
      <c r="S586" s="42">
        <v>1567206</v>
      </c>
      <c r="U586" s="42">
        <v>145459</v>
      </c>
      <c r="W586" s="42">
        <v>4798952</v>
      </c>
      <c r="Y586" s="42">
        <v>1510107</v>
      </c>
      <c r="AA586" s="42">
        <v>610151</v>
      </c>
      <c r="AC586" s="42">
        <v>8122733</v>
      </c>
      <c r="AE586" s="42">
        <v>3664484</v>
      </c>
      <c r="AG586" s="42">
        <v>1818555</v>
      </c>
      <c r="AI586" s="42">
        <v>2729568</v>
      </c>
      <c r="AK586" s="42">
        <v>1082212</v>
      </c>
      <c r="AL586" s="9" t="s">
        <v>393</v>
      </c>
      <c r="AM586" s="9"/>
      <c r="AN586" s="9" t="s">
        <v>114</v>
      </c>
      <c r="AP586" s="42">
        <v>1616744</v>
      </c>
      <c r="AR586" s="42">
        <v>3438155</v>
      </c>
      <c r="AT586" s="42">
        <v>0</v>
      </c>
      <c r="AV586" s="42">
        <v>0</v>
      </c>
      <c r="AX586" s="42">
        <f>14327+320436</f>
        <v>334763</v>
      </c>
      <c r="AZ586" s="42">
        <v>0</v>
      </c>
      <c r="BB586" s="5">
        <f t="shared" si="78"/>
        <v>84960496</v>
      </c>
      <c r="BD586" s="42">
        <v>642236</v>
      </c>
      <c r="BF586" s="42">
        <v>0</v>
      </c>
      <c r="BH586" s="42">
        <v>0</v>
      </c>
      <c r="BJ586" s="42">
        <v>0</v>
      </c>
      <c r="BL586" s="5">
        <f t="shared" si="73"/>
        <v>85602732</v>
      </c>
      <c r="BN586" s="5">
        <f>'Gov Fd Rev'!AQ586-'Gov Fd Exp'!BL586</f>
        <v>7207991</v>
      </c>
      <c r="BP586" s="42">
        <v>29621694</v>
      </c>
      <c r="BR586" s="42">
        <v>0</v>
      </c>
      <c r="BT586" s="42">
        <v>0</v>
      </c>
      <c r="BV586" s="5">
        <f t="shared" si="74"/>
        <v>36829685</v>
      </c>
      <c r="BW586" s="5"/>
      <c r="BX586" s="5">
        <f>BV586-'Gov Fd BS'!AI586</f>
        <v>0</v>
      </c>
    </row>
    <row r="587" spans="1:76">
      <c r="A587" s="9" t="s">
        <v>482</v>
      </c>
      <c r="B587" s="9"/>
      <c r="C587" s="9" t="s">
        <v>59</v>
      </c>
      <c r="D587" s="9"/>
      <c r="E587" s="23">
        <v>49650</v>
      </c>
      <c r="G587" s="42">
        <v>6352442</v>
      </c>
      <c r="I587" s="42">
        <v>2458854</v>
      </c>
      <c r="K587" s="42">
        <v>102264</v>
      </c>
      <c r="M587" s="42">
        <v>0</v>
      </c>
      <c r="O587" s="42">
        <v>29985</v>
      </c>
      <c r="Q587" s="42">
        <v>829574</v>
      </c>
      <c r="S587" s="42">
        <v>847882</v>
      </c>
      <c r="U587" s="42">
        <v>52108</v>
      </c>
      <c r="W587" s="42">
        <v>1143480</v>
      </c>
      <c r="Y587" s="42">
        <v>345178</v>
      </c>
      <c r="AA587" s="42">
        <v>0</v>
      </c>
      <c r="AC587" s="42">
        <v>1644420</v>
      </c>
      <c r="AE587" s="42">
        <v>846667</v>
      </c>
      <c r="AG587" s="42">
        <v>0</v>
      </c>
      <c r="AI587" s="42">
        <v>712958</v>
      </c>
      <c r="AK587" s="42">
        <v>3291</v>
      </c>
      <c r="AL587" s="9" t="s">
        <v>482</v>
      </c>
      <c r="AM587" s="9"/>
      <c r="AN587" s="9" t="s">
        <v>59</v>
      </c>
      <c r="AP587" s="42">
        <v>408161</v>
      </c>
      <c r="AR587" s="42">
        <v>723988</v>
      </c>
      <c r="AT587" s="42">
        <v>0</v>
      </c>
      <c r="AV587" s="42">
        <v>31552</v>
      </c>
      <c r="AX587" s="42">
        <v>139209</v>
      </c>
      <c r="AZ587" s="42">
        <v>0</v>
      </c>
      <c r="BB587" s="5">
        <f t="shared" si="78"/>
        <v>16672013</v>
      </c>
      <c r="BD587" s="42">
        <v>28904</v>
      </c>
      <c r="BF587" s="42">
        <v>0</v>
      </c>
      <c r="BH587" s="42">
        <v>0</v>
      </c>
      <c r="BJ587" s="42">
        <v>0</v>
      </c>
      <c r="BL587" s="5">
        <f t="shared" si="73"/>
        <v>16700917</v>
      </c>
      <c r="BN587" s="5">
        <f>'Gov Fd Rev'!AQ587-'Gov Fd Exp'!BL587</f>
        <v>-775</v>
      </c>
      <c r="BP587" s="42">
        <v>3605859</v>
      </c>
      <c r="BR587" s="42">
        <v>0</v>
      </c>
      <c r="BT587" s="42">
        <v>0</v>
      </c>
      <c r="BV587" s="5">
        <f t="shared" si="74"/>
        <v>3605084</v>
      </c>
      <c r="BW587" s="5"/>
      <c r="BX587" s="5">
        <f>BV587-'Gov Fd BS'!AI587</f>
        <v>0</v>
      </c>
    </row>
    <row r="588" spans="1:76">
      <c r="A588" s="9" t="s">
        <v>462</v>
      </c>
      <c r="B588" s="9"/>
      <c r="C588" s="9" t="s">
        <v>56</v>
      </c>
      <c r="D588" s="9"/>
      <c r="E588" s="23">
        <v>49247</v>
      </c>
      <c r="G588" s="42">
        <v>4867675</v>
      </c>
      <c r="I588" s="42">
        <v>1588360</v>
      </c>
      <c r="K588" s="42">
        <v>0</v>
      </c>
      <c r="M588" s="42">
        <v>0</v>
      </c>
      <c r="O588" s="42">
        <v>14094</v>
      </c>
      <c r="Q588" s="42">
        <v>394095</v>
      </c>
      <c r="S588" s="42">
        <v>286659</v>
      </c>
      <c r="U588" s="42">
        <v>24588</v>
      </c>
      <c r="W588" s="42">
        <v>824777</v>
      </c>
      <c r="Y588" s="42">
        <v>316286</v>
      </c>
      <c r="AA588" s="42">
        <v>18543</v>
      </c>
      <c r="AC588" s="42">
        <v>847114</v>
      </c>
      <c r="AE588" s="42">
        <v>930857</v>
      </c>
      <c r="AG588" s="42">
        <v>15193</v>
      </c>
      <c r="AI588" s="42">
        <v>399979</v>
      </c>
      <c r="AK588" s="42">
        <v>71182</v>
      </c>
      <c r="AL588" s="9" t="s">
        <v>462</v>
      </c>
      <c r="AM588" s="9"/>
      <c r="AN588" s="9" t="s">
        <v>56</v>
      </c>
      <c r="AP588" s="42">
        <v>296090</v>
      </c>
      <c r="AR588" s="42">
        <v>5150</v>
      </c>
      <c r="AT588" s="42">
        <v>0</v>
      </c>
      <c r="AV588" s="42">
        <v>665000</v>
      </c>
      <c r="AX588" s="42">
        <v>318633</v>
      </c>
      <c r="AZ588" s="42">
        <v>0</v>
      </c>
      <c r="BB588" s="5">
        <f t="shared" si="78"/>
        <v>11884275</v>
      </c>
      <c r="BD588" s="42">
        <v>0</v>
      </c>
      <c r="BF588" s="42">
        <v>0</v>
      </c>
      <c r="BH588" s="42">
        <v>0</v>
      </c>
      <c r="BJ588" s="42">
        <v>0</v>
      </c>
      <c r="BL588" s="5">
        <f t="shared" si="73"/>
        <v>11884275</v>
      </c>
      <c r="BN588" s="5">
        <f>'Gov Fd Rev'!AQ588-'Gov Fd Exp'!BL588</f>
        <v>125467</v>
      </c>
      <c r="BP588" s="42">
        <v>2820774</v>
      </c>
      <c r="BR588" s="42">
        <v>-577</v>
      </c>
      <c r="BT588" s="42">
        <v>0</v>
      </c>
      <c r="BV588" s="5">
        <f t="shared" si="74"/>
        <v>2945664</v>
      </c>
      <c r="BW588" s="5"/>
      <c r="BX588" s="5">
        <f>BV588-'Gov Fd BS'!AI588</f>
        <v>0</v>
      </c>
    </row>
    <row r="589" spans="1:76">
      <c r="A589" s="9" t="s">
        <v>774</v>
      </c>
      <c r="B589" s="9"/>
      <c r="C589" s="9" t="s">
        <v>28</v>
      </c>
      <c r="D589" s="9"/>
      <c r="E589" s="23">
        <v>45641</v>
      </c>
      <c r="G589" s="42">
        <v>7405015</v>
      </c>
      <c r="I589" s="42">
        <v>2511355</v>
      </c>
      <c r="K589" s="42">
        <v>234496</v>
      </c>
      <c r="M589" s="42">
        <v>0</v>
      </c>
      <c r="O589" s="42">
        <v>1047712</v>
      </c>
      <c r="Q589" s="42">
        <v>545641</v>
      </c>
      <c r="S589" s="42">
        <v>493070</v>
      </c>
      <c r="U589" s="42">
        <v>42621</v>
      </c>
      <c r="W589" s="42">
        <v>1253315</v>
      </c>
      <c r="Y589" s="42">
        <v>399086</v>
      </c>
      <c r="AA589" s="42">
        <v>67630</v>
      </c>
      <c r="AC589" s="42">
        <v>1459324</v>
      </c>
      <c r="AE589" s="42">
        <v>723155</v>
      </c>
      <c r="AG589" s="42">
        <v>188373</v>
      </c>
      <c r="AI589" s="42">
        <v>791915</v>
      </c>
      <c r="AK589" s="42">
        <v>3264</v>
      </c>
      <c r="AL589" s="9" t="s">
        <v>774</v>
      </c>
      <c r="AM589" s="9"/>
      <c r="AN589" s="9" t="s">
        <v>28</v>
      </c>
      <c r="AP589" s="42">
        <v>635528</v>
      </c>
      <c r="AR589" s="42">
        <v>106754</v>
      </c>
      <c r="AT589" s="42">
        <v>0</v>
      </c>
      <c r="AV589" s="42">
        <v>645639</v>
      </c>
      <c r="AX589" s="42">
        <v>1376050</v>
      </c>
      <c r="AZ589" s="42">
        <v>0</v>
      </c>
      <c r="BB589" s="5">
        <f t="shared" si="78"/>
        <v>19929943</v>
      </c>
      <c r="BD589" s="42">
        <v>1117642</v>
      </c>
      <c r="BF589" s="42">
        <v>0</v>
      </c>
      <c r="BH589" s="42">
        <v>0</v>
      </c>
      <c r="BJ589" s="42">
        <v>0</v>
      </c>
      <c r="BL589" s="5">
        <f t="shared" si="73"/>
        <v>21047585</v>
      </c>
      <c r="BN589" s="5">
        <f>'Gov Fd Rev'!AQ589-'Gov Fd Exp'!BL589</f>
        <v>-1012400</v>
      </c>
      <c r="BP589" s="42">
        <v>9660338</v>
      </c>
      <c r="BR589" s="42">
        <v>0</v>
      </c>
      <c r="BT589" s="42">
        <v>-2117634</v>
      </c>
      <c r="BV589" s="5">
        <f t="shared" si="74"/>
        <v>6530304</v>
      </c>
      <c r="BW589" s="5"/>
      <c r="BX589" s="5">
        <f>BV589-'Gov Fd BS'!AI589</f>
        <v>0</v>
      </c>
    </row>
    <row r="590" spans="1:76">
      <c r="A590" s="9" t="s">
        <v>454</v>
      </c>
      <c r="B590" s="9"/>
      <c r="C590" s="9" t="s">
        <v>55</v>
      </c>
      <c r="D590" s="9"/>
      <c r="E590" s="23">
        <v>49148</v>
      </c>
      <c r="G590" s="42">
        <v>6926426</v>
      </c>
      <c r="I590" s="42">
        <v>2559295</v>
      </c>
      <c r="K590" s="42">
        <v>193490</v>
      </c>
      <c r="M590" s="42">
        <v>0</v>
      </c>
      <c r="O590" s="42">
        <v>15905</v>
      </c>
      <c r="Q590" s="42">
        <v>651584</v>
      </c>
      <c r="S590" s="42">
        <v>1038949</v>
      </c>
      <c r="U590" s="42">
        <v>49922</v>
      </c>
      <c r="W590" s="42">
        <v>1244266</v>
      </c>
      <c r="Y590" s="42">
        <v>427907</v>
      </c>
      <c r="AA590" s="42">
        <v>0</v>
      </c>
      <c r="AC590" s="42">
        <v>1808449</v>
      </c>
      <c r="AE590" s="42">
        <v>1023111</v>
      </c>
      <c r="AG590" s="42">
        <v>780</v>
      </c>
      <c r="AI590" s="42">
        <v>907717</v>
      </c>
      <c r="AK590" s="42">
        <v>95023</v>
      </c>
      <c r="AL590" s="9" t="s">
        <v>454</v>
      </c>
      <c r="AM590" s="9"/>
      <c r="AN590" s="9" t="s">
        <v>55</v>
      </c>
      <c r="AP590" s="42">
        <v>527377</v>
      </c>
      <c r="AR590" s="42">
        <v>724524</v>
      </c>
      <c r="AT590" s="42">
        <v>0</v>
      </c>
      <c r="AV590" s="42">
        <v>505972</v>
      </c>
      <c r="AX590" s="42">
        <v>265256</v>
      </c>
      <c r="AZ590" s="42">
        <v>0</v>
      </c>
      <c r="BB590" s="5">
        <f t="shared" si="78"/>
        <v>18965953</v>
      </c>
      <c r="BD590" s="42">
        <v>131672</v>
      </c>
      <c r="BF590" s="42">
        <v>0</v>
      </c>
      <c r="BH590" s="42">
        <v>0</v>
      </c>
      <c r="BJ590" s="42">
        <v>0</v>
      </c>
      <c r="BL590" s="5">
        <f t="shared" si="73"/>
        <v>19097625</v>
      </c>
      <c r="BN590" s="5">
        <f>'Gov Fd Rev'!AQ590-'Gov Fd Exp'!BL590</f>
        <v>6322983</v>
      </c>
      <c r="BP590" s="42">
        <v>2884241</v>
      </c>
      <c r="BR590" s="42">
        <v>0</v>
      </c>
      <c r="BT590" s="42">
        <v>0</v>
      </c>
      <c r="BV590" s="5">
        <f t="shared" si="74"/>
        <v>9207224</v>
      </c>
      <c r="BW590" s="5"/>
      <c r="BX590" s="5">
        <f>BV590-'Gov Fd BS'!AI590</f>
        <v>0</v>
      </c>
    </row>
    <row r="591" spans="1:76" hidden="1">
      <c r="A591" s="9" t="s">
        <v>702</v>
      </c>
      <c r="B591" s="9"/>
      <c r="C591" s="9" t="s">
        <v>69</v>
      </c>
      <c r="D591" s="9"/>
      <c r="E591" s="23">
        <v>50468</v>
      </c>
      <c r="G591" s="42">
        <v>0</v>
      </c>
      <c r="I591" s="42">
        <v>0</v>
      </c>
      <c r="K591" s="42">
        <v>0</v>
      </c>
      <c r="M591" s="42">
        <v>0</v>
      </c>
      <c r="O591" s="42">
        <v>0</v>
      </c>
      <c r="Q591" s="42">
        <v>0</v>
      </c>
      <c r="S591" s="42">
        <v>0</v>
      </c>
      <c r="U591" s="42">
        <v>0</v>
      </c>
      <c r="W591" s="42">
        <v>0</v>
      </c>
      <c r="Y591" s="42">
        <v>0</v>
      </c>
      <c r="AA591" s="42">
        <v>0</v>
      </c>
      <c r="AC591" s="42">
        <v>0</v>
      </c>
      <c r="AE591" s="42">
        <v>0</v>
      </c>
      <c r="AG591" s="42">
        <v>0</v>
      </c>
      <c r="AI591" s="42">
        <v>0</v>
      </c>
      <c r="AK591" s="42">
        <v>0</v>
      </c>
      <c r="AL591" s="9" t="s">
        <v>702</v>
      </c>
      <c r="AM591" s="9"/>
      <c r="AN591" s="9" t="s">
        <v>69</v>
      </c>
      <c r="AP591" s="42">
        <v>0</v>
      </c>
      <c r="AR591" s="42">
        <v>0</v>
      </c>
      <c r="AT591" s="42">
        <v>0</v>
      </c>
      <c r="AV591" s="42">
        <v>0</v>
      </c>
      <c r="AX591" s="42">
        <v>0</v>
      </c>
      <c r="AZ591" s="42">
        <v>0</v>
      </c>
      <c r="BB591" s="5">
        <f t="shared" si="78"/>
        <v>0</v>
      </c>
      <c r="BD591" s="42">
        <v>0</v>
      </c>
      <c r="BF591" s="42">
        <v>0</v>
      </c>
      <c r="BH591" s="42">
        <v>0</v>
      </c>
      <c r="BJ591" s="42">
        <v>0</v>
      </c>
      <c r="BL591" s="5">
        <f t="shared" si="73"/>
        <v>0</v>
      </c>
      <c r="BN591" s="5">
        <f>'Gov Fd Rev'!AQ591-'Gov Fd Exp'!BL591</f>
        <v>0</v>
      </c>
      <c r="BP591" s="42">
        <v>0</v>
      </c>
      <c r="BR591" s="42">
        <v>0</v>
      </c>
      <c r="BT591" s="42">
        <v>0</v>
      </c>
      <c r="BV591" s="5">
        <f t="shared" si="74"/>
        <v>0</v>
      </c>
      <c r="BW591" s="5"/>
      <c r="BX591" s="5">
        <f>BV591-'Gov Fd BS'!AI591</f>
        <v>0</v>
      </c>
    </row>
    <row r="592" spans="1:76" hidden="1">
      <c r="A592" s="9" t="s">
        <v>797</v>
      </c>
      <c r="B592" s="9"/>
      <c r="C592" s="9" t="s">
        <v>447</v>
      </c>
      <c r="D592" s="9"/>
      <c r="E592" s="23">
        <v>49031</v>
      </c>
      <c r="G592" s="42">
        <v>0</v>
      </c>
      <c r="I592" s="42">
        <v>0</v>
      </c>
      <c r="K592" s="42">
        <v>0</v>
      </c>
      <c r="M592" s="42">
        <v>0</v>
      </c>
      <c r="O592" s="42">
        <v>0</v>
      </c>
      <c r="Q592" s="42">
        <v>0</v>
      </c>
      <c r="S592" s="42">
        <v>0</v>
      </c>
      <c r="U592" s="42">
        <v>0</v>
      </c>
      <c r="W592" s="42">
        <v>0</v>
      </c>
      <c r="Y592" s="42">
        <v>0</v>
      </c>
      <c r="AA592" s="42">
        <v>0</v>
      </c>
      <c r="AC592" s="42">
        <v>0</v>
      </c>
      <c r="AE592" s="42">
        <v>0</v>
      </c>
      <c r="AG592" s="42">
        <v>0</v>
      </c>
      <c r="AI592" s="42">
        <v>0</v>
      </c>
      <c r="AK592" s="42">
        <v>0</v>
      </c>
      <c r="AL592" s="9" t="s">
        <v>797</v>
      </c>
      <c r="AM592" s="9"/>
      <c r="AN592" s="9" t="s">
        <v>447</v>
      </c>
      <c r="AP592" s="42">
        <v>0</v>
      </c>
      <c r="AR592" s="42">
        <v>0</v>
      </c>
      <c r="AT592" s="42">
        <v>0</v>
      </c>
      <c r="AV592" s="42">
        <v>0</v>
      </c>
      <c r="AX592" s="42">
        <v>0</v>
      </c>
      <c r="AZ592" s="42">
        <v>0</v>
      </c>
      <c r="BB592" s="5">
        <f t="shared" si="78"/>
        <v>0</v>
      </c>
      <c r="BD592" s="42">
        <v>0</v>
      </c>
      <c r="BF592" s="42">
        <v>0</v>
      </c>
      <c r="BH592" s="42">
        <v>0</v>
      </c>
      <c r="BJ592" s="42">
        <v>0</v>
      </c>
      <c r="BL592" s="5">
        <f t="shared" si="73"/>
        <v>0</v>
      </c>
      <c r="BN592" s="5">
        <f>'Gov Fd Rev'!AQ592-'Gov Fd Exp'!BL592</f>
        <v>0</v>
      </c>
      <c r="BP592" s="42">
        <v>0</v>
      </c>
      <c r="BR592" s="42">
        <v>0</v>
      </c>
      <c r="BT592" s="42">
        <v>0</v>
      </c>
      <c r="BV592" s="5">
        <f t="shared" si="74"/>
        <v>0</v>
      </c>
      <c r="BW592" s="5"/>
      <c r="BX592" s="5">
        <f>BV592-'Gov Fd BS'!AI592</f>
        <v>0</v>
      </c>
    </row>
    <row r="593" spans="1:76" hidden="1">
      <c r="A593" s="9" t="s">
        <v>641</v>
      </c>
      <c r="B593" s="9"/>
      <c r="C593" s="9" t="s">
        <v>14</v>
      </c>
      <c r="D593" s="9"/>
      <c r="E593" s="23">
        <v>45971</v>
      </c>
      <c r="G593" s="42">
        <v>0</v>
      </c>
      <c r="I593" s="42">
        <v>0</v>
      </c>
      <c r="K593" s="42">
        <v>0</v>
      </c>
      <c r="M593" s="42">
        <v>0</v>
      </c>
      <c r="O593" s="42">
        <v>0</v>
      </c>
      <c r="Q593" s="42">
        <v>0</v>
      </c>
      <c r="S593" s="42">
        <v>0</v>
      </c>
      <c r="U593" s="42">
        <v>0</v>
      </c>
      <c r="W593" s="42">
        <v>0</v>
      </c>
      <c r="Y593" s="42">
        <v>0</v>
      </c>
      <c r="AA593" s="42">
        <v>0</v>
      </c>
      <c r="AC593" s="42">
        <v>0</v>
      </c>
      <c r="AE593" s="42">
        <v>0</v>
      </c>
      <c r="AG593" s="42">
        <v>0</v>
      </c>
      <c r="AI593" s="42">
        <v>0</v>
      </c>
      <c r="AK593" s="42">
        <v>0</v>
      </c>
      <c r="AL593" s="9" t="s">
        <v>641</v>
      </c>
      <c r="AM593" s="9"/>
      <c r="AN593" s="9" t="s">
        <v>14</v>
      </c>
      <c r="AP593" s="42">
        <v>0</v>
      </c>
      <c r="AR593" s="42">
        <v>0</v>
      </c>
      <c r="AT593" s="42">
        <v>0</v>
      </c>
      <c r="AV593" s="42">
        <v>0</v>
      </c>
      <c r="AX593" s="42">
        <v>0</v>
      </c>
      <c r="AZ593" s="42">
        <v>0</v>
      </c>
      <c r="BB593" s="5">
        <f t="shared" si="78"/>
        <v>0</v>
      </c>
      <c r="BD593" s="42">
        <v>0</v>
      </c>
      <c r="BF593" s="42">
        <v>0</v>
      </c>
      <c r="BH593" s="42">
        <v>0</v>
      </c>
      <c r="BJ593" s="42">
        <v>0</v>
      </c>
      <c r="BL593" s="5">
        <f t="shared" si="73"/>
        <v>0</v>
      </c>
      <c r="BN593" s="5">
        <f>'Gov Fd Rev'!AQ593-'Gov Fd Exp'!BL593</f>
        <v>0</v>
      </c>
      <c r="BP593" s="42">
        <v>0</v>
      </c>
      <c r="BR593" s="42">
        <v>0</v>
      </c>
      <c r="BT593" s="42">
        <v>0</v>
      </c>
      <c r="BV593" s="5">
        <f t="shared" si="74"/>
        <v>0</v>
      </c>
      <c r="BW593" s="5"/>
      <c r="BX593" s="5">
        <f>BV593-'Gov Fd BS'!AI593</f>
        <v>0</v>
      </c>
    </row>
    <row r="594" spans="1:76">
      <c r="A594" s="9" t="s">
        <v>528</v>
      </c>
      <c r="B594" s="9"/>
      <c r="C594" s="9" t="s">
        <v>64</v>
      </c>
      <c r="D594" s="9"/>
      <c r="E594" s="23">
        <v>50252</v>
      </c>
      <c r="G594" s="42">
        <v>3958212</v>
      </c>
      <c r="I594" s="42">
        <v>1066923</v>
      </c>
      <c r="K594" s="42">
        <v>0</v>
      </c>
      <c r="M594" s="42">
        <v>0</v>
      </c>
      <c r="O594" s="42">
        <v>399155</v>
      </c>
      <c r="Q594" s="42">
        <v>426029</v>
      </c>
      <c r="S594" s="42">
        <v>88145</v>
      </c>
      <c r="U594" s="42">
        <v>21368</v>
      </c>
      <c r="W594" s="42">
        <v>816596</v>
      </c>
      <c r="Y594" s="42">
        <v>331857</v>
      </c>
      <c r="AA594" s="42">
        <v>8549</v>
      </c>
      <c r="AC594" s="42">
        <v>1122556</v>
      </c>
      <c r="AE594" s="42">
        <v>270575</v>
      </c>
      <c r="AG594" s="42">
        <v>10940</v>
      </c>
      <c r="AI594" s="42">
        <v>350020</v>
      </c>
      <c r="AK594" s="42">
        <v>0</v>
      </c>
      <c r="AL594" s="9" t="s">
        <v>528</v>
      </c>
      <c r="AM594" s="9"/>
      <c r="AN594" s="9" t="s">
        <v>64</v>
      </c>
      <c r="AP594" s="42">
        <v>341016</v>
      </c>
      <c r="AR594" s="42">
        <v>1146889</v>
      </c>
      <c r="AT594" s="42">
        <v>0</v>
      </c>
      <c r="AV594" s="42">
        <f>413075</f>
        <v>413075</v>
      </c>
      <c r="AX594" s="42">
        <f>202522+217917</f>
        <v>420439</v>
      </c>
      <c r="AZ594" s="42">
        <v>15713</v>
      </c>
      <c r="BB594" s="5">
        <f t="shared" si="78"/>
        <v>11208057</v>
      </c>
      <c r="BD594" s="42">
        <v>153235</v>
      </c>
      <c r="BF594" s="42">
        <v>0</v>
      </c>
      <c r="BH594" s="42">
        <v>0</v>
      </c>
      <c r="BJ594" s="42">
        <v>948654</v>
      </c>
      <c r="BL594" s="5">
        <f t="shared" si="73"/>
        <v>12309946</v>
      </c>
      <c r="BN594" s="5">
        <f>'Gov Fd Rev'!AQ594-'Gov Fd Exp'!BL594</f>
        <v>16190830</v>
      </c>
      <c r="BP594" s="42">
        <v>1467239</v>
      </c>
      <c r="BR594" s="42">
        <v>0</v>
      </c>
      <c r="BT594" s="42">
        <v>0</v>
      </c>
      <c r="BV594" s="5">
        <f t="shared" si="74"/>
        <v>17658069</v>
      </c>
      <c r="BW594" s="5"/>
      <c r="BX594" s="5">
        <f>BV594-'Gov Fd BS'!AI594</f>
        <v>0</v>
      </c>
    </row>
    <row r="595" spans="1:76">
      <c r="A595" s="9" t="s">
        <v>775</v>
      </c>
      <c r="B595" s="9"/>
      <c r="C595" s="9" t="s">
        <v>44</v>
      </c>
      <c r="D595" s="9"/>
      <c r="E595" s="23">
        <v>45658</v>
      </c>
      <c r="G595" s="42">
        <v>6712822</v>
      </c>
      <c r="I595" s="42">
        <v>1529377</v>
      </c>
      <c r="K595" s="42">
        <v>102011</v>
      </c>
      <c r="M595" s="42">
        <v>0</v>
      </c>
      <c r="O595" s="42">
        <v>0</v>
      </c>
      <c r="Q595" s="42">
        <v>715357</v>
      </c>
      <c r="S595" s="42">
        <v>676702</v>
      </c>
      <c r="U595" s="42">
        <v>65644</v>
      </c>
      <c r="W595" s="42">
        <v>1352763</v>
      </c>
      <c r="Y595" s="42">
        <v>376409</v>
      </c>
      <c r="AA595" s="42">
        <v>0</v>
      </c>
      <c r="AC595" s="42">
        <v>1148616</v>
      </c>
      <c r="AE595" s="42">
        <v>515905</v>
      </c>
      <c r="AG595" s="42">
        <v>233779</v>
      </c>
      <c r="AI595" s="42">
        <v>0</v>
      </c>
      <c r="AK595" s="42">
        <v>540372</v>
      </c>
      <c r="AL595" s="9" t="s">
        <v>775</v>
      </c>
      <c r="AM595" s="9"/>
      <c r="AN595" s="9" t="s">
        <v>44</v>
      </c>
      <c r="AP595" s="42">
        <v>393872</v>
      </c>
      <c r="AR595" s="42">
        <v>278285</v>
      </c>
      <c r="AT595" s="42">
        <v>0</v>
      </c>
      <c r="AV595" s="42">
        <v>69177</v>
      </c>
      <c r="AX595" s="42">
        <f>130737+185498</f>
        <v>316235</v>
      </c>
      <c r="AZ595" s="42">
        <v>0</v>
      </c>
      <c r="BB595" s="5">
        <f t="shared" si="78"/>
        <v>15027326</v>
      </c>
      <c r="BD595" s="42">
        <v>242392</v>
      </c>
      <c r="BF595" s="42">
        <v>0</v>
      </c>
      <c r="BH595" s="42">
        <v>0</v>
      </c>
      <c r="BJ595" s="42">
        <v>0</v>
      </c>
      <c r="BL595" s="5">
        <f t="shared" si="73"/>
        <v>15269718</v>
      </c>
      <c r="BN595" s="5">
        <f>'Gov Fd Rev'!AQ595-'Gov Fd Exp'!BL595</f>
        <v>11659991</v>
      </c>
      <c r="BP595" s="42">
        <v>4920784</v>
      </c>
      <c r="BR595" s="42">
        <v>0</v>
      </c>
      <c r="BT595" s="42">
        <v>0</v>
      </c>
      <c r="BV595" s="5">
        <f t="shared" si="74"/>
        <v>16580775</v>
      </c>
      <c r="BW595" s="5"/>
      <c r="BX595" s="5">
        <f>BV595-'Gov Fd BS'!AI595</f>
        <v>0</v>
      </c>
    </row>
    <row r="596" spans="1:76">
      <c r="A596" s="9" t="s">
        <v>359</v>
      </c>
      <c r="B596" s="9"/>
      <c r="C596" s="9" t="s">
        <v>38</v>
      </c>
      <c r="D596" s="9"/>
      <c r="E596" s="23">
        <v>45021</v>
      </c>
      <c r="G596" s="42">
        <v>6841073</v>
      </c>
      <c r="I596" s="42">
        <v>2457377</v>
      </c>
      <c r="K596" s="42">
        <v>64843</v>
      </c>
      <c r="M596" s="42">
        <v>15023</v>
      </c>
      <c r="O596" s="42">
        <v>11116</v>
      </c>
      <c r="Q596" s="42">
        <v>545532</v>
      </c>
      <c r="S596" s="42">
        <v>1077318</v>
      </c>
      <c r="U596" s="42">
        <v>170974</v>
      </c>
      <c r="W596" s="42">
        <v>1266838</v>
      </c>
      <c r="Y596" s="42">
        <v>442096</v>
      </c>
      <c r="AA596" s="42">
        <v>0</v>
      </c>
      <c r="AC596" s="42">
        <v>1969858</v>
      </c>
      <c r="AE596" s="42">
        <v>1048335</v>
      </c>
      <c r="AG596" s="42">
        <v>26395</v>
      </c>
      <c r="AI596" s="42">
        <v>802109</v>
      </c>
      <c r="AK596" s="42">
        <v>127126</v>
      </c>
      <c r="AL596" s="9" t="s">
        <v>359</v>
      </c>
      <c r="AM596" s="9"/>
      <c r="AN596" s="9" t="s">
        <v>38</v>
      </c>
      <c r="AP596" s="42">
        <v>252992</v>
      </c>
      <c r="AR596" s="42">
        <v>52663</v>
      </c>
      <c r="AT596" s="42">
        <v>0</v>
      </c>
      <c r="AV596" s="42">
        <v>337000</v>
      </c>
      <c r="AX596" s="42">
        <v>201016</v>
      </c>
      <c r="AZ596" s="42">
        <v>0</v>
      </c>
      <c r="BB596" s="5">
        <f t="shared" si="78"/>
        <v>17709684</v>
      </c>
      <c r="BD596" s="42">
        <v>0</v>
      </c>
      <c r="BF596" s="42">
        <v>0</v>
      </c>
      <c r="BH596" s="42">
        <v>0</v>
      </c>
      <c r="BJ596" s="42">
        <v>0</v>
      </c>
      <c r="BL596" s="5">
        <f t="shared" si="73"/>
        <v>17709684</v>
      </c>
      <c r="BN596" s="5">
        <f>'Gov Fd Rev'!AQ596-'Gov Fd Exp'!BL596</f>
        <v>-543829</v>
      </c>
      <c r="BP596" s="42">
        <v>10807488</v>
      </c>
      <c r="BR596" s="42">
        <v>0</v>
      </c>
      <c r="BT596" s="42">
        <v>0</v>
      </c>
      <c r="BV596" s="5">
        <f t="shared" si="74"/>
        <v>10263659</v>
      </c>
      <c r="BW596" s="5"/>
      <c r="BX596" s="5">
        <f>BV596-'Gov Fd BS'!AI596</f>
        <v>0</v>
      </c>
    </row>
    <row r="597" spans="1:76">
      <c r="A597" s="9" t="s">
        <v>250</v>
      </c>
      <c r="B597" s="9"/>
      <c r="C597" s="9" t="s">
        <v>111</v>
      </c>
      <c r="D597" s="9"/>
      <c r="E597" s="23">
        <v>45039</v>
      </c>
      <c r="G597" s="42">
        <v>4419602</v>
      </c>
      <c r="I597" s="42">
        <v>1097232</v>
      </c>
      <c r="K597" s="42">
        <v>180020</v>
      </c>
      <c r="M597" s="42">
        <v>0</v>
      </c>
      <c r="O597" s="42">
        <v>50723</v>
      </c>
      <c r="Q597" s="42">
        <v>348158</v>
      </c>
      <c r="S597" s="42">
        <v>418381</v>
      </c>
      <c r="U597" s="42">
        <v>15356</v>
      </c>
      <c r="W597" s="42">
        <v>807946</v>
      </c>
      <c r="Y597" s="42">
        <v>249265</v>
      </c>
      <c r="AA597" s="42">
        <v>0</v>
      </c>
      <c r="AC597" s="42">
        <v>915488</v>
      </c>
      <c r="AE597" s="42">
        <v>251983</v>
      </c>
      <c r="AG597" s="42">
        <v>65852</v>
      </c>
      <c r="AI597" s="42">
        <v>404498</v>
      </c>
      <c r="AK597" s="42">
        <v>4805</v>
      </c>
      <c r="AL597" s="9" t="s">
        <v>250</v>
      </c>
      <c r="AM597" s="9"/>
      <c r="AN597" s="9" t="s">
        <v>111</v>
      </c>
      <c r="AP597" s="42">
        <v>272173</v>
      </c>
      <c r="AR597" s="42">
        <v>6590</v>
      </c>
      <c r="AT597" s="42">
        <v>0</v>
      </c>
      <c r="AV597" s="42">
        <v>110000</v>
      </c>
      <c r="AX597" s="42">
        <v>41884</v>
      </c>
      <c r="AZ597" s="42">
        <v>0</v>
      </c>
      <c r="BB597" s="5">
        <f t="shared" si="78"/>
        <v>9659956</v>
      </c>
      <c r="BD597" s="42">
        <v>60483</v>
      </c>
      <c r="BF597" s="42">
        <v>0</v>
      </c>
      <c r="BH597" s="42">
        <v>0</v>
      </c>
      <c r="BJ597" s="42">
        <v>0</v>
      </c>
      <c r="BL597" s="5">
        <f t="shared" si="73"/>
        <v>9720439</v>
      </c>
      <c r="BN597" s="5">
        <f>'Gov Fd Rev'!AQ597-'Gov Fd Exp'!BL597</f>
        <v>-680210</v>
      </c>
      <c r="BP597" s="42">
        <v>2610225</v>
      </c>
      <c r="BR597" s="42">
        <v>0</v>
      </c>
      <c r="BT597" s="42">
        <v>0</v>
      </c>
      <c r="BV597" s="5">
        <f t="shared" si="74"/>
        <v>1930015</v>
      </c>
      <c r="BW597" s="5"/>
      <c r="BX597" s="5">
        <f>BV597-'Gov Fd BS'!AI597</f>
        <v>0</v>
      </c>
    </row>
    <row r="598" spans="1:76">
      <c r="A598" s="9" t="s">
        <v>405</v>
      </c>
      <c r="B598" s="9"/>
      <c r="C598" s="9" t="s">
        <v>45</v>
      </c>
      <c r="D598" s="9"/>
      <c r="E598" s="23">
        <v>48389</v>
      </c>
      <c r="G598" s="42">
        <v>8837487</v>
      </c>
      <c r="I598" s="42">
        <v>2094981</v>
      </c>
      <c r="K598" s="42">
        <v>387448</v>
      </c>
      <c r="M598" s="42">
        <v>0</v>
      </c>
      <c r="O598" s="42">
        <v>11461</v>
      </c>
      <c r="Q598" s="42">
        <v>1247354</v>
      </c>
      <c r="S598" s="42">
        <v>1323547</v>
      </c>
      <c r="U598" s="42">
        <v>42776</v>
      </c>
      <c r="W598" s="42">
        <v>1651663</v>
      </c>
      <c r="Y598" s="42">
        <v>482369</v>
      </c>
      <c r="AA598" s="42">
        <v>9910</v>
      </c>
      <c r="AC598" s="42">
        <v>1988568</v>
      </c>
      <c r="AE598" s="42">
        <v>1236501</v>
      </c>
      <c r="AG598" s="42">
        <v>235082</v>
      </c>
      <c r="AI598" s="42">
        <v>856133</v>
      </c>
      <c r="AK598" s="42">
        <v>59304</v>
      </c>
      <c r="AL598" s="9" t="s">
        <v>405</v>
      </c>
      <c r="AM598" s="9"/>
      <c r="AN598" s="9" t="s">
        <v>45</v>
      </c>
      <c r="AP598" s="42">
        <v>625479</v>
      </c>
      <c r="AR598" s="42">
        <v>2599</v>
      </c>
      <c r="AT598" s="42">
        <v>0</v>
      </c>
      <c r="AV598" s="42">
        <v>579670</v>
      </c>
      <c r="AX598" s="42">
        <v>267984</v>
      </c>
      <c r="AZ598" s="42">
        <v>0</v>
      </c>
      <c r="BB598" s="5">
        <f t="shared" si="78"/>
        <v>21940316</v>
      </c>
      <c r="BD598" s="42">
        <v>159304</v>
      </c>
      <c r="BF598" s="42">
        <v>0</v>
      </c>
      <c r="BH598" s="42">
        <v>0</v>
      </c>
      <c r="BJ598" s="42">
        <v>0</v>
      </c>
      <c r="BL598" s="5">
        <f t="shared" si="73"/>
        <v>22099620</v>
      </c>
      <c r="BN598" s="5">
        <f>'Gov Fd Rev'!AQ598-'Gov Fd Exp'!BL598</f>
        <v>-201271</v>
      </c>
      <c r="BP598" s="42">
        <v>2968744</v>
      </c>
      <c r="BR598" s="42">
        <v>-3259</v>
      </c>
      <c r="BT598" s="42">
        <v>0</v>
      </c>
      <c r="BV598" s="5">
        <f t="shared" si="74"/>
        <v>2764214</v>
      </c>
      <c r="BW598" s="5"/>
      <c r="BX598" s="5">
        <f>BV598-'Gov Fd BS'!AI598</f>
        <v>0</v>
      </c>
    </row>
    <row r="599" spans="1:76">
      <c r="A599" s="9" t="s">
        <v>701</v>
      </c>
      <c r="B599" s="9"/>
      <c r="C599" s="9" t="s">
        <v>50</v>
      </c>
      <c r="D599" s="9"/>
      <c r="E599" s="23">
        <v>45054</v>
      </c>
      <c r="G599" s="42">
        <v>15350523</v>
      </c>
      <c r="I599" s="42">
        <v>5899622</v>
      </c>
      <c r="K599" s="42">
        <v>195576</v>
      </c>
      <c r="M599" s="42">
        <v>0</v>
      </c>
      <c r="O599" s="42">
        <v>2604631</v>
      </c>
      <c r="Q599" s="42">
        <v>2699563</v>
      </c>
      <c r="S599" s="42">
        <v>2342973</v>
      </c>
      <c r="U599" s="42">
        <v>31439</v>
      </c>
      <c r="W599" s="42">
        <v>2766634</v>
      </c>
      <c r="Y599" s="42">
        <v>696513</v>
      </c>
      <c r="AA599" s="42">
        <v>473923</v>
      </c>
      <c r="AC599" s="42">
        <v>3256734</v>
      </c>
      <c r="AE599" s="42">
        <v>2421866</v>
      </c>
      <c r="AG599" s="42">
        <v>231991</v>
      </c>
      <c r="AI599" s="42">
        <v>1815694</v>
      </c>
      <c r="AK599" s="42">
        <v>79697</v>
      </c>
      <c r="AL599" s="9" t="s">
        <v>701</v>
      </c>
      <c r="AM599" s="9"/>
      <c r="AN599" s="9" t="s">
        <v>50</v>
      </c>
      <c r="AP599" s="42">
        <v>685883</v>
      </c>
      <c r="AR599" s="42">
        <v>1166196</v>
      </c>
      <c r="AT599" s="42">
        <v>0</v>
      </c>
      <c r="AV599" s="42">
        <v>140000</v>
      </c>
      <c r="AX599" s="42">
        <v>91875</v>
      </c>
      <c r="AZ599" s="42">
        <v>0</v>
      </c>
      <c r="BB599" s="5">
        <f t="shared" si="78"/>
        <v>42951333</v>
      </c>
      <c r="BD599" s="42">
        <v>0</v>
      </c>
      <c r="BF599" s="42">
        <v>0</v>
      </c>
      <c r="BH599" s="42">
        <v>0</v>
      </c>
      <c r="BJ599" s="42">
        <v>0</v>
      </c>
      <c r="BL599" s="5">
        <f t="shared" si="73"/>
        <v>42951333</v>
      </c>
      <c r="BN599" s="5">
        <f>'Gov Fd Rev'!AQ599-'Gov Fd Exp'!BL599</f>
        <v>-3183206</v>
      </c>
      <c r="BP599" s="42">
        <v>12281521</v>
      </c>
      <c r="BR599" s="42">
        <v>0</v>
      </c>
      <c r="BT599" s="42">
        <v>0</v>
      </c>
      <c r="BV599" s="5">
        <f t="shared" si="74"/>
        <v>9098315</v>
      </c>
      <c r="BW599" s="5"/>
      <c r="BX599" s="5">
        <f>BV599-'Gov Fd BS'!AI599</f>
        <v>0</v>
      </c>
    </row>
    <row r="600" spans="1:76">
      <c r="A600" s="9" t="s">
        <v>239</v>
      </c>
      <c r="B600" s="9"/>
      <c r="C600" s="9" t="s">
        <v>112</v>
      </c>
      <c r="D600" s="9"/>
      <c r="E600" s="23">
        <v>46359</v>
      </c>
      <c r="G600" s="42">
        <v>31998537</v>
      </c>
      <c r="I600" s="42">
        <v>14783889</v>
      </c>
      <c r="K600" s="42">
        <v>319423</v>
      </c>
      <c r="M600" s="42">
        <v>0</v>
      </c>
      <c r="O600" s="42">
        <v>0</v>
      </c>
      <c r="Q600" s="42">
        <v>4988158</v>
      </c>
      <c r="S600" s="42">
        <v>1973856</v>
      </c>
      <c r="U600" s="42">
        <v>107856</v>
      </c>
      <c r="W600" s="42">
        <v>5174617</v>
      </c>
      <c r="Y600" s="42">
        <v>1754719</v>
      </c>
      <c r="AA600" s="42">
        <v>54422</v>
      </c>
      <c r="AC600" s="42">
        <v>5409703</v>
      </c>
      <c r="AE600" s="42">
        <v>4600715</v>
      </c>
      <c r="AG600" s="42">
        <v>691881</v>
      </c>
      <c r="AI600" s="42">
        <v>0</v>
      </c>
      <c r="AK600" s="42">
        <v>2736931</v>
      </c>
      <c r="AL600" s="9" t="s">
        <v>239</v>
      </c>
      <c r="AM600" s="9"/>
      <c r="AN600" s="9" t="s">
        <v>112</v>
      </c>
      <c r="AP600" s="42">
        <v>1173521</v>
      </c>
      <c r="AR600" s="42">
        <v>471027</v>
      </c>
      <c r="AT600" s="42">
        <v>0</v>
      </c>
      <c r="AV600" s="42">
        <v>6073879</v>
      </c>
      <c r="AX600" s="42">
        <f>1562087+62858</f>
        <v>1624945</v>
      </c>
      <c r="AZ600" s="42">
        <v>0</v>
      </c>
      <c r="BB600" s="5">
        <f t="shared" si="72"/>
        <v>83938079</v>
      </c>
      <c r="BD600" s="42">
        <v>119076</v>
      </c>
      <c r="BF600" s="42">
        <v>0</v>
      </c>
      <c r="BH600" s="42">
        <v>0</v>
      </c>
      <c r="BJ600" s="42">
        <v>0</v>
      </c>
      <c r="BL600" s="5">
        <f t="shared" si="73"/>
        <v>84057155</v>
      </c>
      <c r="BN600" s="5">
        <f>'Gov Fd Rev'!AQ600-'Gov Fd Exp'!BL600</f>
        <v>2864969</v>
      </c>
      <c r="BP600" s="42">
        <v>9789109</v>
      </c>
      <c r="BR600" s="42">
        <v>0</v>
      </c>
      <c r="BT600" s="42">
        <v>0</v>
      </c>
      <c r="BV600" s="5">
        <f t="shared" si="74"/>
        <v>12654078</v>
      </c>
      <c r="BW600" s="5"/>
      <c r="BX600" s="5">
        <f>BV600-'Gov Fd BS'!AI600</f>
        <v>0</v>
      </c>
    </row>
    <row r="601" spans="1:76">
      <c r="A601" s="9" t="s">
        <v>314</v>
      </c>
      <c r="B601" s="9"/>
      <c r="C601" s="9" t="s">
        <v>30</v>
      </c>
      <c r="D601" s="9"/>
      <c r="E601" s="23">
        <v>47225</v>
      </c>
      <c r="G601" s="42">
        <v>10236637</v>
      </c>
      <c r="I601" s="42">
        <v>3789319</v>
      </c>
      <c r="K601" s="42">
        <v>347411</v>
      </c>
      <c r="M601" s="42">
        <v>0</v>
      </c>
      <c r="O601" s="42">
        <f>53619+495618</f>
        <v>549237</v>
      </c>
      <c r="Q601" s="42">
        <v>1771516</v>
      </c>
      <c r="S601" s="42">
        <v>851840</v>
      </c>
      <c r="U601" s="42">
        <v>54147</v>
      </c>
      <c r="W601" s="42">
        <v>1783789</v>
      </c>
      <c r="Y601" s="42">
        <v>617164</v>
      </c>
      <c r="AA601" s="42">
        <v>295461</v>
      </c>
      <c r="AC601" s="42">
        <v>2199894</v>
      </c>
      <c r="AE601" s="42">
        <v>1820031</v>
      </c>
      <c r="AG601" s="42">
        <v>22810</v>
      </c>
      <c r="AI601" s="42">
        <v>373597</v>
      </c>
      <c r="AK601" s="42">
        <v>531028</v>
      </c>
      <c r="AL601" s="9" t="s">
        <v>314</v>
      </c>
      <c r="AM601" s="9"/>
      <c r="AN601" s="9" t="s">
        <v>30</v>
      </c>
      <c r="AP601" s="42">
        <v>773821</v>
      </c>
      <c r="AR601" s="42">
        <v>521019</v>
      </c>
      <c r="AT601" s="42">
        <v>0</v>
      </c>
      <c r="AV601" s="42">
        <v>2025076</v>
      </c>
      <c r="AX601" s="42">
        <v>110593</v>
      </c>
      <c r="AZ601" s="42">
        <v>0</v>
      </c>
      <c r="BB601" s="5">
        <f t="shared" si="72"/>
        <v>28674390</v>
      </c>
      <c r="BD601" s="42">
        <v>45000</v>
      </c>
      <c r="BF601" s="42">
        <v>0</v>
      </c>
      <c r="BH601" s="42">
        <v>0</v>
      </c>
      <c r="BJ601" s="42">
        <v>0</v>
      </c>
      <c r="BL601" s="5">
        <f t="shared" si="73"/>
        <v>28719390</v>
      </c>
      <c r="BN601" s="5">
        <f>'Gov Fd Rev'!AQ601-'Gov Fd Exp'!BL601</f>
        <v>1548913</v>
      </c>
      <c r="BP601" s="42">
        <v>8145822</v>
      </c>
      <c r="BR601" s="42">
        <v>0</v>
      </c>
      <c r="BT601" s="42">
        <v>0</v>
      </c>
      <c r="BV601" s="5">
        <f t="shared" si="74"/>
        <v>9694735</v>
      </c>
      <c r="BW601" s="5"/>
      <c r="BX601" s="5">
        <f>BV601-'Gov Fd BS'!AI601</f>
        <v>0</v>
      </c>
    </row>
    <row r="602" spans="1:76">
      <c r="A602" s="9" t="s">
        <v>352</v>
      </c>
      <c r="B602" s="9"/>
      <c r="C602" s="9" t="s">
        <v>36</v>
      </c>
      <c r="D602" s="9"/>
      <c r="E602" s="23">
        <v>47696</v>
      </c>
      <c r="G602" s="42">
        <v>11000217</v>
      </c>
      <c r="I602" s="42">
        <v>3643593</v>
      </c>
      <c r="K602" s="42">
        <v>290189</v>
      </c>
      <c r="M602" s="42">
        <v>0</v>
      </c>
      <c r="O602" s="42">
        <f>6646+1495</f>
        <v>8141</v>
      </c>
      <c r="Q602" s="42">
        <v>820042</v>
      </c>
      <c r="S602" s="42">
        <v>1261728</v>
      </c>
      <c r="U602" s="42">
        <v>33718</v>
      </c>
      <c r="W602" s="42">
        <v>1951007</v>
      </c>
      <c r="Y602" s="42">
        <v>573897</v>
      </c>
      <c r="AA602" s="42">
        <v>1440</v>
      </c>
      <c r="AC602" s="42">
        <v>2093471</v>
      </c>
      <c r="AE602" s="42">
        <v>1830085</v>
      </c>
      <c r="AG602" s="42">
        <v>66688</v>
      </c>
      <c r="AI602" s="42">
        <v>1028845</v>
      </c>
      <c r="AK602" s="42">
        <v>62730</v>
      </c>
      <c r="AL602" s="9" t="s">
        <v>352</v>
      </c>
      <c r="AM602" s="9"/>
      <c r="AN602" s="9" t="s">
        <v>36</v>
      </c>
      <c r="AP602" s="42">
        <v>551274</v>
      </c>
      <c r="AR602" s="42">
        <v>185303</v>
      </c>
      <c r="AT602" s="42">
        <v>0</v>
      </c>
      <c r="AV602" s="42">
        <v>705000</v>
      </c>
      <c r="AX602" s="42">
        <v>422779</v>
      </c>
      <c r="AZ602" s="42">
        <v>0</v>
      </c>
      <c r="BB602" s="5">
        <f t="shared" si="72"/>
        <v>26530147</v>
      </c>
      <c r="BD602" s="42">
        <v>0</v>
      </c>
      <c r="BF602" s="42">
        <v>0</v>
      </c>
      <c r="BH602" s="42">
        <v>0</v>
      </c>
      <c r="BJ602" s="42">
        <v>0</v>
      </c>
      <c r="BL602" s="5">
        <f t="shared" si="73"/>
        <v>26530147</v>
      </c>
      <c r="BN602" s="5">
        <f>'Gov Fd Rev'!AQ602-'Gov Fd Exp'!BL602</f>
        <v>-1228333</v>
      </c>
      <c r="BP602" s="42">
        <v>10175154</v>
      </c>
      <c r="BR602" s="42">
        <v>0</v>
      </c>
      <c r="BT602" s="42">
        <v>0</v>
      </c>
      <c r="BV602" s="5">
        <f t="shared" si="74"/>
        <v>8946821</v>
      </c>
      <c r="BW602" s="5"/>
      <c r="BX602" s="5">
        <f>BV602-'Gov Fd BS'!AI602</f>
        <v>0</v>
      </c>
    </row>
    <row r="603" spans="1:76" hidden="1">
      <c r="A603" s="8" t="s">
        <v>908</v>
      </c>
      <c r="B603" s="9"/>
      <c r="C603" s="9" t="s">
        <v>227</v>
      </c>
      <c r="D603" s="9"/>
      <c r="E603" s="23">
        <v>46219</v>
      </c>
      <c r="G603" s="42">
        <v>0</v>
      </c>
      <c r="I603" s="42">
        <v>0</v>
      </c>
      <c r="K603" s="42">
        <v>0</v>
      </c>
      <c r="M603" s="42">
        <v>0</v>
      </c>
      <c r="O603" s="42">
        <v>0</v>
      </c>
      <c r="Q603" s="42">
        <v>0</v>
      </c>
      <c r="S603" s="42">
        <v>0</v>
      </c>
      <c r="U603" s="42">
        <v>0</v>
      </c>
      <c r="W603" s="42">
        <v>0</v>
      </c>
      <c r="Y603" s="42">
        <v>0</v>
      </c>
      <c r="AA603" s="42">
        <v>0</v>
      </c>
      <c r="AC603" s="42">
        <v>0</v>
      </c>
      <c r="AE603" s="42">
        <v>0</v>
      </c>
      <c r="AG603" s="42">
        <v>0</v>
      </c>
      <c r="AI603" s="42">
        <v>0</v>
      </c>
      <c r="AK603" s="42">
        <v>0</v>
      </c>
      <c r="AL603" s="8" t="s">
        <v>908</v>
      </c>
      <c r="AM603" s="9"/>
      <c r="AN603" s="9" t="s">
        <v>227</v>
      </c>
      <c r="AP603" s="42">
        <v>0</v>
      </c>
      <c r="AR603" s="42">
        <v>0</v>
      </c>
      <c r="AT603" s="42">
        <v>0</v>
      </c>
      <c r="AV603" s="42">
        <v>0</v>
      </c>
      <c r="AX603" s="42">
        <v>0</v>
      </c>
      <c r="AZ603" s="42">
        <v>0</v>
      </c>
      <c r="BB603" s="5">
        <f t="shared" si="72"/>
        <v>0</v>
      </c>
      <c r="BD603" s="42">
        <v>0</v>
      </c>
      <c r="BF603" s="42">
        <v>0</v>
      </c>
      <c r="BH603" s="42">
        <v>0</v>
      </c>
      <c r="BJ603" s="42">
        <v>0</v>
      </c>
      <c r="BL603" s="5">
        <f t="shared" si="73"/>
        <v>0</v>
      </c>
      <c r="BN603" s="5">
        <f>'Gov Fd Rev'!AQ603-'Gov Fd Exp'!BL603</f>
        <v>0</v>
      </c>
      <c r="BP603" s="42">
        <v>0</v>
      </c>
      <c r="BR603" s="42">
        <v>0</v>
      </c>
      <c r="BT603" s="42">
        <v>0</v>
      </c>
      <c r="BV603" s="5">
        <f t="shared" si="74"/>
        <v>0</v>
      </c>
      <c r="BW603" s="5"/>
      <c r="BX603" s="5">
        <f>BV603-'Gov Fd BS'!AI603</f>
        <v>0</v>
      </c>
    </row>
    <row r="604" spans="1:76">
      <c r="A604" s="9" t="s">
        <v>444</v>
      </c>
      <c r="B604" s="9"/>
      <c r="C604" s="9" t="s">
        <v>51</v>
      </c>
      <c r="D604" s="9"/>
      <c r="E604" s="23">
        <v>48884</v>
      </c>
      <c r="G604" s="42">
        <v>7667281</v>
      </c>
      <c r="I604" s="42">
        <v>2023199</v>
      </c>
      <c r="K604" s="42">
        <v>110210</v>
      </c>
      <c r="M604" s="42">
        <v>0</v>
      </c>
      <c r="O604" s="42">
        <v>90840</v>
      </c>
      <c r="Q604" s="42">
        <v>405409</v>
      </c>
      <c r="S604" s="42">
        <v>808842</v>
      </c>
      <c r="U604" s="42">
        <v>17225</v>
      </c>
      <c r="W604" s="42">
        <v>1240938</v>
      </c>
      <c r="Y604" s="42">
        <v>423107</v>
      </c>
      <c r="AA604" s="42">
        <v>0</v>
      </c>
      <c r="AC604" s="42">
        <v>1492924</v>
      </c>
      <c r="AE604" s="42">
        <v>957560</v>
      </c>
      <c r="AG604" s="42">
        <v>46500</v>
      </c>
      <c r="AI604" s="42">
        <v>716636</v>
      </c>
      <c r="AK604" s="42">
        <v>12821</v>
      </c>
      <c r="AL604" s="9" t="s">
        <v>444</v>
      </c>
      <c r="AM604" s="9"/>
      <c r="AN604" s="9" t="s">
        <v>51</v>
      </c>
      <c r="AP604" s="42">
        <v>193287</v>
      </c>
      <c r="AR604" s="42">
        <v>84601</v>
      </c>
      <c r="AT604" s="42">
        <v>0</v>
      </c>
      <c r="AV604" s="42">
        <v>620852</v>
      </c>
      <c r="AX604" s="42">
        <f>685357+186170</f>
        <v>871527</v>
      </c>
      <c r="AZ604" s="42">
        <v>11018</v>
      </c>
      <c r="BB604" s="5">
        <f t="shared" si="72"/>
        <v>17794777</v>
      </c>
      <c r="BD604" s="42">
        <v>35000</v>
      </c>
      <c r="BF604" s="42">
        <v>0</v>
      </c>
      <c r="BH604" s="42">
        <v>0</v>
      </c>
      <c r="BJ604" s="42">
        <f>45276+11548699</f>
        <v>11593975</v>
      </c>
      <c r="BL604" s="5">
        <f t="shared" si="73"/>
        <v>29423752</v>
      </c>
      <c r="BN604" s="5">
        <f>'Gov Fd Rev'!AQ604-'Gov Fd Exp'!BL604</f>
        <v>431343</v>
      </c>
      <c r="BP604" s="42">
        <v>8076139</v>
      </c>
      <c r="BR604" s="42">
        <v>0</v>
      </c>
      <c r="BT604" s="42">
        <v>0</v>
      </c>
      <c r="BV604" s="5">
        <f t="shared" si="74"/>
        <v>8507482</v>
      </c>
      <c r="BW604" s="5"/>
      <c r="BX604" s="5">
        <f>BV604-'Gov Fd BS'!AI604</f>
        <v>0</v>
      </c>
    </row>
    <row r="605" spans="1:76">
      <c r="A605" s="9" t="s">
        <v>219</v>
      </c>
      <c r="B605" s="9"/>
      <c r="C605" s="9" t="s">
        <v>77</v>
      </c>
      <c r="D605" s="9"/>
      <c r="E605" s="23">
        <v>46060</v>
      </c>
      <c r="G605" s="42">
        <v>13910196</v>
      </c>
      <c r="I605" s="42">
        <v>3080064</v>
      </c>
      <c r="K605" s="42">
        <v>204325</v>
      </c>
      <c r="M605" s="42">
        <v>0</v>
      </c>
      <c r="O605" s="42">
        <v>0</v>
      </c>
      <c r="Q605" s="42">
        <v>1213548</v>
      </c>
      <c r="S605" s="42">
        <v>678132</v>
      </c>
      <c r="U605" s="42">
        <v>20703</v>
      </c>
      <c r="W605" s="42">
        <v>1835740</v>
      </c>
      <c r="Y605" s="42">
        <v>525410</v>
      </c>
      <c r="AA605" s="42">
        <v>0</v>
      </c>
      <c r="AC605" s="42">
        <v>2663905</v>
      </c>
      <c r="AE605" s="42">
        <v>2158512</v>
      </c>
      <c r="AG605" s="42">
        <v>444276</v>
      </c>
      <c r="AI605" s="42">
        <v>0</v>
      </c>
      <c r="AK605" s="42">
        <v>17161</v>
      </c>
      <c r="AL605" s="9" t="s">
        <v>219</v>
      </c>
      <c r="AM605" s="9"/>
      <c r="AN605" s="9" t="s">
        <v>77</v>
      </c>
      <c r="AP605" s="42">
        <v>655780</v>
      </c>
      <c r="AR605" s="42">
        <v>279914</v>
      </c>
      <c r="AT605" s="42">
        <v>0</v>
      </c>
      <c r="AV605" s="42">
        <v>498000</v>
      </c>
      <c r="AX605" s="42">
        <v>149074</v>
      </c>
      <c r="AZ605" s="42">
        <v>0</v>
      </c>
      <c r="BB605" s="5">
        <f t="shared" si="72"/>
        <v>28334740</v>
      </c>
      <c r="BD605" s="42">
        <v>0</v>
      </c>
      <c r="BF605" s="42">
        <v>0</v>
      </c>
      <c r="BH605" s="42">
        <v>0</v>
      </c>
      <c r="BJ605" s="42">
        <v>0</v>
      </c>
      <c r="BL605" s="5">
        <f t="shared" si="73"/>
        <v>28334740</v>
      </c>
      <c r="BN605" s="5">
        <f>'Gov Fd Rev'!AQ605-'Gov Fd Exp'!BL605</f>
        <v>417651</v>
      </c>
      <c r="BP605" s="42">
        <v>4677243</v>
      </c>
      <c r="BR605" s="42">
        <v>0</v>
      </c>
      <c r="BT605" s="42">
        <v>0</v>
      </c>
      <c r="BV605" s="5">
        <f t="shared" si="74"/>
        <v>5094894</v>
      </c>
      <c r="BW605" s="5"/>
      <c r="BX605" s="5">
        <f>BV605-'Gov Fd BS'!AI605</f>
        <v>0</v>
      </c>
    </row>
    <row r="606" spans="1:76">
      <c r="A606" s="9" t="s">
        <v>455</v>
      </c>
      <c r="B606" s="9"/>
      <c r="C606" s="9" t="s">
        <v>55</v>
      </c>
      <c r="D606" s="9"/>
      <c r="E606" s="23">
        <v>49155</v>
      </c>
      <c r="G606" s="42">
        <v>2932045</v>
      </c>
      <c r="I606" s="42">
        <v>1526146</v>
      </c>
      <c r="K606" s="42">
        <v>0</v>
      </c>
      <c r="M606" s="42">
        <v>0</v>
      </c>
      <c r="O606" s="42">
        <v>687992</v>
      </c>
      <c r="Q606" s="42">
        <v>382419</v>
      </c>
      <c r="S606" s="42">
        <v>447222</v>
      </c>
      <c r="U606" s="42">
        <v>18087</v>
      </c>
      <c r="W606" s="42">
        <v>833251</v>
      </c>
      <c r="Y606" s="42">
        <v>245792</v>
      </c>
      <c r="AA606" s="42">
        <v>0</v>
      </c>
      <c r="AC606" s="42">
        <v>924502</v>
      </c>
      <c r="AE606" s="42">
        <v>736621</v>
      </c>
      <c r="AG606" s="42">
        <v>123373</v>
      </c>
      <c r="AI606" s="42">
        <v>0</v>
      </c>
      <c r="AK606" s="42">
        <v>484466</v>
      </c>
      <c r="AL606" s="9" t="s">
        <v>455</v>
      </c>
      <c r="AM606" s="9"/>
      <c r="AN606" s="9" t="s">
        <v>55</v>
      </c>
      <c r="AP606" s="42">
        <v>183907</v>
      </c>
      <c r="AR606" s="42">
        <v>91321</v>
      </c>
      <c r="AT606" s="42">
        <v>0</v>
      </c>
      <c r="AV606" s="42">
        <v>60000</v>
      </c>
      <c r="AX606" s="42">
        <v>36640</v>
      </c>
      <c r="AZ606" s="42">
        <v>52000</v>
      </c>
      <c r="BB606" s="5">
        <f t="shared" si="72"/>
        <v>9765784</v>
      </c>
      <c r="BD606" s="42">
        <v>5486</v>
      </c>
      <c r="BF606" s="42">
        <v>0</v>
      </c>
      <c r="BH606" s="42">
        <v>0</v>
      </c>
      <c r="BJ606" s="42">
        <v>0</v>
      </c>
      <c r="BL606" s="5">
        <f t="shared" si="73"/>
        <v>9771270</v>
      </c>
      <c r="BN606" s="5">
        <f>'Gov Fd Rev'!AQ606-'Gov Fd Exp'!BL606</f>
        <v>-548589</v>
      </c>
      <c r="BP606" s="42">
        <v>3531784</v>
      </c>
      <c r="BR606" s="42">
        <v>0</v>
      </c>
      <c r="BT606" s="42">
        <v>0</v>
      </c>
      <c r="BV606" s="5">
        <f t="shared" si="74"/>
        <v>2983195</v>
      </c>
      <c r="BW606" s="5"/>
      <c r="BX606" s="5">
        <f>BV606-'Gov Fd BS'!AI606</f>
        <v>0</v>
      </c>
    </row>
    <row r="607" spans="1:76" ht="12" customHeight="1">
      <c r="A607" s="9" t="s">
        <v>357</v>
      </c>
      <c r="B607" s="9"/>
      <c r="C607" s="9" t="s">
        <v>37</v>
      </c>
      <c r="D607" s="9"/>
      <c r="E607" s="23">
        <v>47746</v>
      </c>
      <c r="G607" s="42">
        <v>5592371</v>
      </c>
      <c r="I607" s="42">
        <v>1546398</v>
      </c>
      <c r="K607" s="42">
        <v>180886</v>
      </c>
      <c r="M607" s="42">
        <v>0</v>
      </c>
      <c r="O607" s="42">
        <v>222994</v>
      </c>
      <c r="Q607" s="42">
        <v>191376</v>
      </c>
      <c r="S607" s="42">
        <v>742038</v>
      </c>
      <c r="U607" s="42">
        <v>104097</v>
      </c>
      <c r="W607" s="42">
        <v>918177</v>
      </c>
      <c r="Y607" s="42">
        <v>416266</v>
      </c>
      <c r="AA607" s="42">
        <v>26506</v>
      </c>
      <c r="AC607" s="42">
        <v>992557</v>
      </c>
      <c r="AE607" s="42">
        <v>713966</v>
      </c>
      <c r="AG607" s="42">
        <v>16619</v>
      </c>
      <c r="AI607" s="42">
        <v>463736</v>
      </c>
      <c r="AK607" s="42">
        <v>222206</v>
      </c>
      <c r="AL607" s="9" t="s">
        <v>357</v>
      </c>
      <c r="AM607" s="9"/>
      <c r="AN607" s="9" t="s">
        <v>37</v>
      </c>
      <c r="AP607" s="42">
        <v>471009</v>
      </c>
      <c r="AR607" s="42">
        <v>75680</v>
      </c>
      <c r="AT607" s="42">
        <v>0</v>
      </c>
      <c r="AV607" s="42">
        <v>210305</v>
      </c>
      <c r="AX607" s="42">
        <v>69216</v>
      </c>
      <c r="AZ607" s="42">
        <v>0</v>
      </c>
      <c r="BB607" s="5">
        <f t="shared" si="72"/>
        <v>13176403</v>
      </c>
      <c r="BD607" s="42">
        <v>0</v>
      </c>
      <c r="BF607" s="42">
        <v>0</v>
      </c>
      <c r="BH607" s="42">
        <v>0</v>
      </c>
      <c r="BJ607" s="42">
        <v>0</v>
      </c>
      <c r="BL607" s="5">
        <f t="shared" si="73"/>
        <v>13176403</v>
      </c>
      <c r="BN607" s="5">
        <f>'Gov Fd Rev'!AQ607-'Gov Fd Exp'!BL607</f>
        <v>-258933</v>
      </c>
      <c r="BP607" s="42">
        <v>1676916</v>
      </c>
      <c r="BR607" s="42">
        <v>0</v>
      </c>
      <c r="BT607" s="42">
        <v>0</v>
      </c>
      <c r="BV607" s="5">
        <f t="shared" si="74"/>
        <v>1417983</v>
      </c>
      <c r="BW607" s="5"/>
      <c r="BX607" s="5">
        <f>BV607-'Gov Fd BS'!AI607</f>
        <v>0</v>
      </c>
    </row>
    <row r="608" spans="1:76">
      <c r="A608" s="9" t="s">
        <v>357</v>
      </c>
      <c r="B608" s="9"/>
      <c r="C608" s="9" t="s">
        <v>45</v>
      </c>
      <c r="D608" s="9"/>
      <c r="E608" s="23">
        <v>48397</v>
      </c>
      <c r="G608" s="42">
        <v>3035971</v>
      </c>
      <c r="I608" s="42">
        <v>877176</v>
      </c>
      <c r="K608" s="42">
        <v>90856</v>
      </c>
      <c r="M608" s="42">
        <v>11997</v>
      </c>
      <c r="O608" s="42">
        <v>74802</v>
      </c>
      <c r="Q608" s="42">
        <v>353365</v>
      </c>
      <c r="S608" s="42">
        <v>273872</v>
      </c>
      <c r="U608" s="42">
        <v>46282</v>
      </c>
      <c r="W608" s="42">
        <v>476535</v>
      </c>
      <c r="Y608" s="42">
        <v>389513</v>
      </c>
      <c r="AA608" s="42">
        <v>151158</v>
      </c>
      <c r="AC608" s="42">
        <v>627446</v>
      </c>
      <c r="AE608" s="42">
        <v>385041</v>
      </c>
      <c r="AG608" s="42">
        <v>22539</v>
      </c>
      <c r="AI608" s="42">
        <v>232003</v>
      </c>
      <c r="AK608" s="42">
        <v>5636</v>
      </c>
      <c r="AL608" s="9" t="s">
        <v>357</v>
      </c>
      <c r="AM608" s="9"/>
      <c r="AN608" s="9" t="s">
        <v>45</v>
      </c>
      <c r="AP608" s="42">
        <v>373881</v>
      </c>
      <c r="AR608" s="42">
        <v>497230</v>
      </c>
      <c r="AT608" s="42">
        <v>0</v>
      </c>
      <c r="AV608" s="42">
        <v>258741</v>
      </c>
      <c r="AX608" s="42">
        <v>445270</v>
      </c>
      <c r="AZ608" s="42">
        <v>0</v>
      </c>
      <c r="BB608" s="5">
        <f t="shared" si="72"/>
        <v>8629314</v>
      </c>
      <c r="BD608" s="42">
        <v>76849</v>
      </c>
      <c r="BF608" s="42">
        <v>0</v>
      </c>
      <c r="BH608" s="42">
        <v>0</v>
      </c>
      <c r="BJ608" s="42">
        <v>0</v>
      </c>
      <c r="BL608" s="5">
        <f t="shared" si="73"/>
        <v>8706163</v>
      </c>
      <c r="BN608" s="5">
        <f>'Gov Fd Rev'!AQ608-'Gov Fd Exp'!BL608</f>
        <v>-833950</v>
      </c>
      <c r="BP608" s="42">
        <v>3206324</v>
      </c>
      <c r="BR608" s="42">
        <v>0</v>
      </c>
      <c r="BT608" s="42">
        <v>0</v>
      </c>
      <c r="BV608" s="5">
        <f t="shared" si="74"/>
        <v>2372374</v>
      </c>
      <c r="BW608" s="5"/>
      <c r="BX608" s="5">
        <f>BV608-'Gov Fd BS'!AI608</f>
        <v>0</v>
      </c>
    </row>
    <row r="609" spans="1:76">
      <c r="A609" s="9" t="s">
        <v>307</v>
      </c>
      <c r="B609" s="9"/>
      <c r="C609" s="9" t="s">
        <v>27</v>
      </c>
      <c r="D609" s="9"/>
      <c r="E609" s="23">
        <v>45047</v>
      </c>
      <c r="G609" s="42">
        <v>62252644</v>
      </c>
      <c r="I609" s="42">
        <v>18337328</v>
      </c>
      <c r="K609" s="42">
        <v>347695</v>
      </c>
      <c r="M609" s="42">
        <v>0</v>
      </c>
      <c r="O609" s="42">
        <v>727505</v>
      </c>
      <c r="Q609" s="42">
        <v>12198691</v>
      </c>
      <c r="S609" s="42">
        <v>8261218</v>
      </c>
      <c r="U609" s="42">
        <v>472039</v>
      </c>
      <c r="W609" s="42">
        <v>10930851</v>
      </c>
      <c r="Y609" s="42">
        <v>2989204</v>
      </c>
      <c r="AA609" s="42">
        <v>705323</v>
      </c>
      <c r="AC609" s="42">
        <v>11972843</v>
      </c>
      <c r="AE609" s="42">
        <v>7104390</v>
      </c>
      <c r="AG609" s="42">
        <v>2281970</v>
      </c>
      <c r="AI609" s="42">
        <v>4389180</v>
      </c>
      <c r="AK609" s="42">
        <v>1112708</v>
      </c>
      <c r="AL609" s="9" t="s">
        <v>307</v>
      </c>
      <c r="AM609" s="9"/>
      <c r="AN609" s="9" t="s">
        <v>27</v>
      </c>
      <c r="AP609" s="42">
        <v>2803033</v>
      </c>
      <c r="AR609" s="42">
        <v>6266301</v>
      </c>
      <c r="AT609" s="42">
        <v>0</v>
      </c>
      <c r="AV609" s="42">
        <v>7165000</v>
      </c>
      <c r="AX609" s="42">
        <f>3718539+366527</f>
        <v>4085066</v>
      </c>
      <c r="AZ609" s="42">
        <v>0</v>
      </c>
      <c r="BB609" s="5">
        <f t="shared" si="72"/>
        <v>164402989</v>
      </c>
      <c r="BD609" s="42">
        <v>2979300</v>
      </c>
      <c r="BF609" s="42">
        <v>0</v>
      </c>
      <c r="BH609" s="42">
        <v>0</v>
      </c>
      <c r="BJ609" s="42">
        <v>30445736</v>
      </c>
      <c r="BL609" s="5">
        <f t="shared" si="73"/>
        <v>197828025</v>
      </c>
      <c r="BN609" s="5">
        <f>'Gov Fd Rev'!AQ609-'Gov Fd Exp'!BL609</f>
        <v>18840907</v>
      </c>
      <c r="BP609" s="42">
        <v>38544532</v>
      </c>
      <c r="BR609" s="42">
        <v>0</v>
      </c>
      <c r="BT609" s="42">
        <v>0</v>
      </c>
      <c r="BV609" s="5">
        <f t="shared" si="74"/>
        <v>57385439</v>
      </c>
      <c r="BW609" s="5"/>
      <c r="BX609" s="5">
        <f>BV609-'Gov Fd BS'!AI609</f>
        <v>0</v>
      </c>
    </row>
    <row r="610" spans="1:76">
      <c r="A610" s="9" t="s">
        <v>452</v>
      </c>
      <c r="B610" s="9"/>
      <c r="C610" s="9" t="s">
        <v>54</v>
      </c>
      <c r="D610" s="9"/>
      <c r="E610" s="23">
        <v>49106</v>
      </c>
      <c r="G610" s="42">
        <v>7131459</v>
      </c>
      <c r="I610" s="42">
        <v>2193663</v>
      </c>
      <c r="K610" s="42">
        <v>61717</v>
      </c>
      <c r="M610" s="42">
        <v>0</v>
      </c>
      <c r="O610" s="42">
        <v>17921</v>
      </c>
      <c r="Q610" s="42">
        <v>257066</v>
      </c>
      <c r="S610" s="42">
        <v>616243</v>
      </c>
      <c r="U610" s="42">
        <v>165222</v>
      </c>
      <c r="W610" s="42">
        <v>1088762</v>
      </c>
      <c r="Y610" s="42">
        <v>483499</v>
      </c>
      <c r="AA610" s="42">
        <v>68077</v>
      </c>
      <c r="AC610" s="42">
        <v>1262003</v>
      </c>
      <c r="AE610" s="42">
        <v>1156147</v>
      </c>
      <c r="AG610" s="42">
        <v>488737</v>
      </c>
      <c r="AI610" s="42">
        <v>0</v>
      </c>
      <c r="AK610" s="42">
        <v>717900</v>
      </c>
      <c r="AL610" s="9" t="s">
        <v>452</v>
      </c>
      <c r="AM610" s="9"/>
      <c r="AN610" s="9" t="s">
        <v>54</v>
      </c>
      <c r="AP610" s="42">
        <v>419041</v>
      </c>
      <c r="AR610" s="42">
        <v>261369</v>
      </c>
      <c r="AT610" s="42">
        <v>0</v>
      </c>
      <c r="AV610" s="42">
        <v>366001</v>
      </c>
      <c r="AX610" s="42">
        <v>196750</v>
      </c>
      <c r="AZ610" s="42">
        <v>0</v>
      </c>
      <c r="BB610" s="5">
        <f t="shared" si="72"/>
        <v>16951577</v>
      </c>
      <c r="BD610" s="42">
        <v>242789</v>
      </c>
      <c r="BF610" s="42">
        <v>0</v>
      </c>
      <c r="BH610" s="42">
        <v>0</v>
      </c>
      <c r="BJ610" s="42">
        <v>0</v>
      </c>
      <c r="BL610" s="5">
        <f t="shared" si="73"/>
        <v>17194366</v>
      </c>
      <c r="BN610" s="5">
        <f>'Gov Fd Rev'!AQ610-'Gov Fd Exp'!BL610</f>
        <v>2075631</v>
      </c>
      <c r="BP610" s="42">
        <v>7389982</v>
      </c>
      <c r="BR610" s="42">
        <v>0</v>
      </c>
      <c r="BT610" s="42">
        <v>0</v>
      </c>
      <c r="BV610" s="5">
        <f t="shared" si="74"/>
        <v>9465613</v>
      </c>
      <c r="BW610" s="5"/>
      <c r="BX610" s="5">
        <f>BV610-'Gov Fd BS'!AI610</f>
        <v>0</v>
      </c>
    </row>
    <row r="611" spans="1:76">
      <c r="A611" s="9" t="s">
        <v>279</v>
      </c>
      <c r="B611" s="9"/>
      <c r="C611" s="9" t="s">
        <v>20</v>
      </c>
      <c r="D611" s="9"/>
      <c r="E611" s="23">
        <v>45062</v>
      </c>
      <c r="G611" s="42">
        <v>23173399</v>
      </c>
      <c r="I611" s="42">
        <v>7368927</v>
      </c>
      <c r="K611" s="42">
        <v>170464</v>
      </c>
      <c r="M611" s="42">
        <v>89426</v>
      </c>
      <c r="O611" s="42">
        <v>2029622</v>
      </c>
      <c r="Q611" s="42">
        <v>3904547</v>
      </c>
      <c r="S611" s="42">
        <v>1733345</v>
      </c>
      <c r="U611" s="42">
        <v>36145</v>
      </c>
      <c r="W611" s="42">
        <v>2746947</v>
      </c>
      <c r="Y611" s="42">
        <v>1271810</v>
      </c>
      <c r="AA611" s="42">
        <v>443576</v>
      </c>
      <c r="AC611" s="42">
        <v>4173108</v>
      </c>
      <c r="AE611" s="42">
        <v>4402418</v>
      </c>
      <c r="AG611" s="42">
        <v>301020</v>
      </c>
      <c r="AI611" s="42">
        <v>1168207</v>
      </c>
      <c r="AK611" s="42">
        <v>1044019</v>
      </c>
      <c r="AL611" s="9" t="s">
        <v>279</v>
      </c>
      <c r="AM611" s="9"/>
      <c r="AN611" s="9" t="s">
        <v>20</v>
      </c>
      <c r="AP611" s="42">
        <v>1599205</v>
      </c>
      <c r="AR611" s="42">
        <v>43669157</v>
      </c>
      <c r="AT611" s="42">
        <v>0</v>
      </c>
      <c r="AV611" s="42">
        <v>4389907</v>
      </c>
      <c r="AX611" s="42">
        <v>4952402</v>
      </c>
      <c r="AZ611" s="42">
        <v>0</v>
      </c>
      <c r="BB611" s="5">
        <f t="shared" si="72"/>
        <v>108667651</v>
      </c>
      <c r="BD611" s="42">
        <v>10000</v>
      </c>
      <c r="BF611" s="42">
        <v>0</v>
      </c>
      <c r="BH611" s="42">
        <v>0</v>
      </c>
      <c r="BJ611" s="42">
        <v>0</v>
      </c>
      <c r="BL611" s="5">
        <f t="shared" si="73"/>
        <v>108677651</v>
      </c>
      <c r="BN611" s="5">
        <f>'Gov Fd Rev'!AQ611-'Gov Fd Exp'!BL611</f>
        <v>-46447971</v>
      </c>
      <c r="BP611" s="42">
        <v>89387293</v>
      </c>
      <c r="BR611" s="42">
        <v>0</v>
      </c>
      <c r="BT611" s="42">
        <v>0</v>
      </c>
      <c r="BV611" s="5">
        <f t="shared" si="74"/>
        <v>42939322</v>
      </c>
      <c r="BW611" s="5"/>
      <c r="BX611" s="5">
        <f>BV611-'Gov Fd BS'!AI611</f>
        <v>0</v>
      </c>
    </row>
    <row r="612" spans="1:76">
      <c r="A612" s="9" t="s">
        <v>483</v>
      </c>
      <c r="B612" s="9"/>
      <c r="C612" s="9" t="s">
        <v>59</v>
      </c>
      <c r="D612" s="9"/>
      <c r="E612" s="23">
        <v>49668</v>
      </c>
      <c r="G612" s="42">
        <v>7167753</v>
      </c>
      <c r="I612" s="42">
        <v>1237563</v>
      </c>
      <c r="K612" s="42">
        <v>5458</v>
      </c>
      <c r="M612" s="42">
        <v>0</v>
      </c>
      <c r="O612" s="42">
        <v>6902</v>
      </c>
      <c r="Q612" s="42">
        <v>729477</v>
      </c>
      <c r="S612" s="42">
        <v>653744</v>
      </c>
      <c r="U612" s="42">
        <v>68809</v>
      </c>
      <c r="W612" s="42">
        <v>905807</v>
      </c>
      <c r="Y612" s="42">
        <v>429669</v>
      </c>
      <c r="AA612" s="42">
        <v>0</v>
      </c>
      <c r="AC612" s="42">
        <v>1214747</v>
      </c>
      <c r="AE612" s="42">
        <v>451553</v>
      </c>
      <c r="AG612" s="42">
        <v>50542</v>
      </c>
      <c r="AI612" s="42">
        <v>534565</v>
      </c>
      <c r="AK612" s="42">
        <v>173434</v>
      </c>
      <c r="AL612" s="9" t="s">
        <v>483</v>
      </c>
      <c r="AM612" s="9"/>
      <c r="AN612" s="9" t="s">
        <v>59</v>
      </c>
      <c r="AP612" s="42">
        <v>659831</v>
      </c>
      <c r="AR612" s="42">
        <v>566292</v>
      </c>
      <c r="AT612" s="42">
        <v>0</v>
      </c>
      <c r="AV612" s="42">
        <v>567639</v>
      </c>
      <c r="AX612" s="42">
        <v>358618</v>
      </c>
      <c r="AZ612" s="42">
        <v>0</v>
      </c>
      <c r="BB612" s="5">
        <f t="shared" si="72"/>
        <v>15782403</v>
      </c>
      <c r="BD612" s="42">
        <v>131500</v>
      </c>
      <c r="BF612" s="42">
        <v>0</v>
      </c>
      <c r="BH612" s="42">
        <v>0</v>
      </c>
      <c r="BJ612" s="42">
        <v>8043482</v>
      </c>
      <c r="BL612" s="5">
        <f t="shared" si="73"/>
        <v>23957385</v>
      </c>
      <c r="BN612" s="5">
        <f>'Gov Fd Rev'!AQ612-'Gov Fd Exp'!BL612</f>
        <v>770564</v>
      </c>
      <c r="BP612" s="42">
        <v>2149696</v>
      </c>
      <c r="BR612" s="42">
        <v>0</v>
      </c>
      <c r="BT612" s="42">
        <v>0</v>
      </c>
      <c r="BV612" s="5">
        <f t="shared" si="74"/>
        <v>2920260</v>
      </c>
      <c r="BW612" s="5"/>
      <c r="BX612" s="5">
        <f>BV612-'Gov Fd BS'!AI612</f>
        <v>0</v>
      </c>
    </row>
    <row r="613" spans="1:76">
      <c r="A613" s="9" t="s">
        <v>308</v>
      </c>
      <c r="B613" s="9"/>
      <c r="C613" s="9" t="s">
        <v>27</v>
      </c>
      <c r="D613" s="9"/>
      <c r="E613" s="23">
        <v>45070</v>
      </c>
      <c r="G613" s="42">
        <v>16117351</v>
      </c>
      <c r="I613" s="42">
        <v>6453855</v>
      </c>
      <c r="K613" s="42">
        <v>273335</v>
      </c>
      <c r="M613" s="42">
        <v>0</v>
      </c>
      <c r="O613" s="42">
        <v>187594</v>
      </c>
      <c r="Q613" s="42">
        <v>1753360</v>
      </c>
      <c r="S613" s="42">
        <v>1422555</v>
      </c>
      <c r="U613" s="42">
        <v>108207</v>
      </c>
      <c r="W613" s="42">
        <v>2836608</v>
      </c>
      <c r="Y613" s="42">
        <v>0</v>
      </c>
      <c r="AA613" s="42">
        <v>1072863</v>
      </c>
      <c r="AC613" s="42">
        <v>2556249</v>
      </c>
      <c r="AE613" s="42">
        <v>1358515</v>
      </c>
      <c r="AG613" s="42">
        <v>489543</v>
      </c>
      <c r="AI613" s="42">
        <v>1406014</v>
      </c>
      <c r="AK613" s="42">
        <v>73779</v>
      </c>
      <c r="AL613" s="9" t="s">
        <v>308</v>
      </c>
      <c r="AM613" s="9"/>
      <c r="AN613" s="9" t="s">
        <v>27</v>
      </c>
      <c r="AP613" s="42">
        <v>607618</v>
      </c>
      <c r="AR613" s="42">
        <v>19026199</v>
      </c>
      <c r="AT613" s="42">
        <v>0</v>
      </c>
      <c r="AV613" s="42">
        <v>742512</v>
      </c>
      <c r="AX613" s="42">
        <v>1459894</v>
      </c>
      <c r="AZ613" s="42">
        <v>0</v>
      </c>
      <c r="BB613" s="5">
        <f t="shared" si="72"/>
        <v>57946051</v>
      </c>
      <c r="BD613" s="42">
        <v>0</v>
      </c>
      <c r="BF613" s="42">
        <v>0</v>
      </c>
      <c r="BH613" s="42">
        <v>0</v>
      </c>
      <c r="BJ613" s="42">
        <v>0</v>
      </c>
      <c r="BL613" s="5">
        <f t="shared" si="73"/>
        <v>57946051</v>
      </c>
      <c r="BN613" s="5">
        <f>'Gov Fd Rev'!AQ613-'Gov Fd Exp'!BL613</f>
        <v>-19124643</v>
      </c>
      <c r="BP613" s="42">
        <v>48727100</v>
      </c>
      <c r="BR613" s="42">
        <v>0</v>
      </c>
      <c r="BT613" s="42">
        <v>0</v>
      </c>
      <c r="BV613" s="5">
        <f t="shared" si="74"/>
        <v>29602457</v>
      </c>
      <c r="BW613" s="5"/>
      <c r="BX613" s="5">
        <f>BV613-'Gov Fd BS'!AI613</f>
        <v>0</v>
      </c>
    </row>
    <row r="614" spans="1:76" hidden="1">
      <c r="A614" s="9" t="s">
        <v>617</v>
      </c>
      <c r="B614" s="9"/>
      <c r="C614" s="9" t="s">
        <v>41</v>
      </c>
      <c r="D614" s="9"/>
      <c r="E614" s="23">
        <v>45088</v>
      </c>
      <c r="G614" s="42">
        <v>0</v>
      </c>
      <c r="I614" s="42">
        <v>0</v>
      </c>
      <c r="K614" s="42">
        <v>0</v>
      </c>
      <c r="M614" s="42">
        <v>0</v>
      </c>
      <c r="O614" s="42">
        <v>0</v>
      </c>
      <c r="Q614" s="42">
        <v>0</v>
      </c>
      <c r="S614" s="42">
        <v>0</v>
      </c>
      <c r="U614" s="42">
        <v>0</v>
      </c>
      <c r="W614" s="42">
        <v>0</v>
      </c>
      <c r="Y614" s="42">
        <v>0</v>
      </c>
      <c r="AA614" s="42">
        <v>0</v>
      </c>
      <c r="AC614" s="42">
        <v>0</v>
      </c>
      <c r="AE614" s="42">
        <v>0</v>
      </c>
      <c r="AG614" s="42">
        <v>0</v>
      </c>
      <c r="AI614" s="42">
        <v>0</v>
      </c>
      <c r="AK614" s="42">
        <v>0</v>
      </c>
      <c r="AL614" s="9" t="s">
        <v>617</v>
      </c>
      <c r="AM614" s="9"/>
      <c r="AN614" s="9" t="s">
        <v>41</v>
      </c>
      <c r="AP614" s="42">
        <v>0</v>
      </c>
      <c r="AR614" s="42">
        <v>0</v>
      </c>
      <c r="AT614" s="42">
        <v>0</v>
      </c>
      <c r="AV614" s="42">
        <v>0</v>
      </c>
      <c r="AX614" s="42">
        <v>0</v>
      </c>
      <c r="AZ614" s="42">
        <v>0</v>
      </c>
      <c r="BB614" s="5">
        <f t="shared" si="72"/>
        <v>0</v>
      </c>
      <c r="BD614" s="42">
        <v>0</v>
      </c>
      <c r="BF614" s="42">
        <v>0</v>
      </c>
      <c r="BH614" s="42">
        <v>0</v>
      </c>
      <c r="BJ614" s="42">
        <v>0</v>
      </c>
      <c r="BL614" s="5">
        <f t="shared" si="73"/>
        <v>0</v>
      </c>
      <c r="BN614" s="5">
        <f>'Gov Fd Rev'!AQ614-'Gov Fd Exp'!BL614</f>
        <v>0</v>
      </c>
      <c r="BP614" s="42">
        <v>0</v>
      </c>
      <c r="BR614" s="42">
        <v>0</v>
      </c>
      <c r="BT614" s="42">
        <v>0</v>
      </c>
      <c r="BV614" s="5">
        <f t="shared" si="74"/>
        <v>0</v>
      </c>
      <c r="BW614" s="5"/>
      <c r="BX614" s="5">
        <f>BV614-'Gov Fd BS'!AI614</f>
        <v>0</v>
      </c>
    </row>
    <row r="615" spans="1:76">
      <c r="A615" s="9" t="s">
        <v>358</v>
      </c>
      <c r="B615" s="9"/>
      <c r="C615" s="9" t="s">
        <v>37</v>
      </c>
      <c r="D615" s="9"/>
      <c r="E615" s="23">
        <v>45096</v>
      </c>
      <c r="G615" s="42">
        <v>7063692</v>
      </c>
      <c r="I615" s="42">
        <v>1469952</v>
      </c>
      <c r="K615" s="42">
        <v>250743</v>
      </c>
      <c r="M615" s="42">
        <v>0</v>
      </c>
      <c r="O615" s="42">
        <v>2053024</v>
      </c>
      <c r="Q615" s="42">
        <v>688768</v>
      </c>
      <c r="S615" s="42">
        <v>454644</v>
      </c>
      <c r="U615" s="42">
        <v>505828</v>
      </c>
      <c r="W615" s="42">
        <v>1828815</v>
      </c>
      <c r="Y615" s="42">
        <v>389815</v>
      </c>
      <c r="AA615" s="42">
        <v>38080</v>
      </c>
      <c r="AC615" s="42">
        <v>1257472</v>
      </c>
      <c r="AE615" s="42">
        <v>757253</v>
      </c>
      <c r="AG615" s="42">
        <v>4459</v>
      </c>
      <c r="AI615" s="42">
        <v>953182</v>
      </c>
      <c r="AK615" s="42">
        <v>207150</v>
      </c>
      <c r="AL615" s="9" t="s">
        <v>358</v>
      </c>
      <c r="AM615" s="9"/>
      <c r="AN615" s="9" t="s">
        <v>37</v>
      </c>
      <c r="AP615" s="42">
        <v>579397</v>
      </c>
      <c r="AR615" s="42">
        <f>4545141+144987</f>
        <v>4690128</v>
      </c>
      <c r="AT615" s="42">
        <v>0</v>
      </c>
      <c r="AV615" s="42">
        <v>330161</v>
      </c>
      <c r="AX615" s="42">
        <v>1046204</v>
      </c>
      <c r="AZ615" s="42">
        <v>0</v>
      </c>
      <c r="BB615" s="5">
        <f t="shared" si="72"/>
        <v>24568767</v>
      </c>
      <c r="BD615" s="42">
        <v>211228</v>
      </c>
      <c r="BF615" s="42">
        <v>0</v>
      </c>
      <c r="BH615" s="42">
        <v>0</v>
      </c>
      <c r="BJ615" s="42">
        <v>0</v>
      </c>
      <c r="BL615" s="5">
        <f t="shared" si="73"/>
        <v>24779995</v>
      </c>
      <c r="BN615" s="5">
        <f>'Gov Fd Rev'!AQ615-'Gov Fd Exp'!BL615</f>
        <v>9287634</v>
      </c>
      <c r="BP615" s="42">
        <v>22104151</v>
      </c>
      <c r="BR615" s="42">
        <v>0</v>
      </c>
      <c r="BT615" s="42">
        <v>0</v>
      </c>
      <c r="BV615" s="5">
        <f t="shared" si="74"/>
        <v>31391785</v>
      </c>
      <c r="BW615" s="5"/>
      <c r="BX615" s="5">
        <f>BV615-'Gov Fd BS'!AI615</f>
        <v>0</v>
      </c>
    </row>
    <row r="616" spans="1:76" hidden="1">
      <c r="A616" s="9" t="s">
        <v>881</v>
      </c>
      <c r="B616" s="9"/>
      <c r="C616" s="9" t="s">
        <v>112</v>
      </c>
      <c r="D616" s="9"/>
      <c r="E616" s="23">
        <v>46367</v>
      </c>
      <c r="G616" s="42">
        <v>0</v>
      </c>
      <c r="I616" s="42">
        <v>0</v>
      </c>
      <c r="K616" s="42">
        <v>0</v>
      </c>
      <c r="M616" s="42">
        <v>0</v>
      </c>
      <c r="O616" s="42">
        <v>0</v>
      </c>
      <c r="Q616" s="42">
        <v>0</v>
      </c>
      <c r="S616" s="42">
        <v>0</v>
      </c>
      <c r="U616" s="42">
        <v>0</v>
      </c>
      <c r="W616" s="42">
        <v>0</v>
      </c>
      <c r="Y616" s="42">
        <v>0</v>
      </c>
      <c r="AA616" s="42">
        <v>0</v>
      </c>
      <c r="AC616" s="42">
        <v>0</v>
      </c>
      <c r="AE616" s="42">
        <v>0</v>
      </c>
      <c r="AG616" s="42">
        <v>0</v>
      </c>
      <c r="AI616" s="42">
        <v>0</v>
      </c>
      <c r="AK616" s="42">
        <v>0</v>
      </c>
      <c r="AL616" s="9" t="s">
        <v>881</v>
      </c>
      <c r="AM616" s="9"/>
      <c r="AN616" s="9" t="s">
        <v>112</v>
      </c>
      <c r="AP616" s="42">
        <v>0</v>
      </c>
      <c r="AR616" s="42">
        <v>0</v>
      </c>
      <c r="AT616" s="42">
        <v>0</v>
      </c>
      <c r="AV616" s="42">
        <v>0</v>
      </c>
      <c r="AX616" s="42">
        <v>0</v>
      </c>
      <c r="AZ616" s="42">
        <v>0</v>
      </c>
      <c r="BB616" s="5">
        <f t="shared" si="72"/>
        <v>0</v>
      </c>
      <c r="BD616" s="42">
        <v>0</v>
      </c>
      <c r="BF616" s="42">
        <v>0</v>
      </c>
      <c r="BH616" s="42">
        <v>0</v>
      </c>
      <c r="BJ616" s="42">
        <v>0</v>
      </c>
      <c r="BL616" s="5">
        <f t="shared" si="73"/>
        <v>0</v>
      </c>
      <c r="BN616" s="5">
        <f>'Gov Fd Rev'!AQ616-'Gov Fd Exp'!BL616</f>
        <v>0</v>
      </c>
      <c r="BP616" s="42">
        <v>0</v>
      </c>
      <c r="BR616" s="42">
        <v>0</v>
      </c>
      <c r="BT616" s="42">
        <v>0</v>
      </c>
      <c r="BV616" s="5">
        <f t="shared" si="74"/>
        <v>0</v>
      </c>
      <c r="BW616" s="5"/>
      <c r="BX616" s="5">
        <f>BV616-'Gov Fd BS'!AI616</f>
        <v>0</v>
      </c>
    </row>
    <row r="617" spans="1:76">
      <c r="A617" s="9" t="s">
        <v>363</v>
      </c>
      <c r="B617" s="9"/>
      <c r="C617" s="9" t="s">
        <v>41</v>
      </c>
      <c r="D617" s="9"/>
      <c r="E617" s="23">
        <v>45104</v>
      </c>
      <c r="G617" s="42">
        <v>47804816</v>
      </c>
      <c r="I617" s="42">
        <v>4168997</v>
      </c>
      <c r="K617" s="42">
        <v>130739</v>
      </c>
      <c r="M617" s="42">
        <v>529113</v>
      </c>
      <c r="O617" s="42">
        <f>6298+388425</f>
        <v>394723</v>
      </c>
      <c r="Q617" s="42">
        <v>6452020</v>
      </c>
      <c r="S617" s="42">
        <v>3507425</v>
      </c>
      <c r="U617" s="42">
        <v>198363</v>
      </c>
      <c r="W617" s="42">
        <v>7540842</v>
      </c>
      <c r="Y617" s="42">
        <v>1749497</v>
      </c>
      <c r="AA617" s="42">
        <v>633986</v>
      </c>
      <c r="AC617" s="42">
        <v>12352023</v>
      </c>
      <c r="AE617" s="42">
        <v>7827860</v>
      </c>
      <c r="AG617" s="42">
        <v>2620251</v>
      </c>
      <c r="AI617" s="42">
        <v>2087381</v>
      </c>
      <c r="AK617" s="42">
        <v>1153840</v>
      </c>
      <c r="AL617" s="9" t="s">
        <v>363</v>
      </c>
      <c r="AM617" s="9"/>
      <c r="AN617" s="9" t="s">
        <v>41</v>
      </c>
      <c r="AP617" s="42">
        <v>1979778</v>
      </c>
      <c r="AR617" s="42">
        <v>11437119</v>
      </c>
      <c r="AT617" s="42">
        <v>0</v>
      </c>
      <c r="AV617" s="42">
        <v>0</v>
      </c>
      <c r="AX617" s="42">
        <v>1389663</v>
      </c>
      <c r="AZ617" s="42">
        <v>0</v>
      </c>
      <c r="BB617" s="5">
        <f t="shared" si="72"/>
        <v>113958436</v>
      </c>
      <c r="BD617" s="42">
        <v>1979884</v>
      </c>
      <c r="BF617" s="42">
        <v>0</v>
      </c>
      <c r="BH617" s="42">
        <v>0</v>
      </c>
      <c r="BJ617" s="42">
        <v>0</v>
      </c>
      <c r="BL617" s="5">
        <f t="shared" si="73"/>
        <v>115938320</v>
      </c>
      <c r="BN617" s="5">
        <f>'Gov Fd Rev'!AQ617-'Gov Fd Exp'!BL617</f>
        <v>-14925194</v>
      </c>
      <c r="BP617" s="42">
        <v>28958684</v>
      </c>
      <c r="BR617" s="42">
        <v>0</v>
      </c>
      <c r="BT617" s="42">
        <v>0</v>
      </c>
      <c r="BV617" s="5">
        <f t="shared" si="74"/>
        <v>14033490</v>
      </c>
      <c r="BW617" s="5"/>
      <c r="BX617" s="5">
        <f>BV617-'Gov Fd BS'!AI617</f>
        <v>0</v>
      </c>
    </row>
    <row r="618" spans="1:76">
      <c r="A618" s="9" t="s">
        <v>243</v>
      </c>
      <c r="B618" s="9"/>
      <c r="C618" s="9" t="s">
        <v>18</v>
      </c>
      <c r="D618" s="9"/>
      <c r="E618" s="23">
        <v>45112</v>
      </c>
      <c r="G618" s="42">
        <v>11534183</v>
      </c>
      <c r="I618" s="42">
        <v>2963064</v>
      </c>
      <c r="K618" s="42">
        <v>246910</v>
      </c>
      <c r="M618" s="42">
        <v>0</v>
      </c>
      <c r="O618" s="42">
        <v>939543</v>
      </c>
      <c r="Q618" s="42">
        <v>1481941</v>
      </c>
      <c r="S618" s="42">
        <v>1664948</v>
      </c>
      <c r="U618" s="42">
        <v>124423</v>
      </c>
      <c r="W618" s="42">
        <v>1452189</v>
      </c>
      <c r="Y618" s="42">
        <v>648278</v>
      </c>
      <c r="AA618" s="42">
        <v>176736</v>
      </c>
      <c r="AC618" s="42">
        <v>2322851</v>
      </c>
      <c r="AE618" s="42">
        <v>1408378</v>
      </c>
      <c r="AG618" s="42">
        <v>23716</v>
      </c>
      <c r="AI618" s="42">
        <v>0</v>
      </c>
      <c r="AK618" s="42">
        <v>1406510</v>
      </c>
      <c r="AL618" s="9" t="s">
        <v>243</v>
      </c>
      <c r="AM618" s="9"/>
      <c r="AN618" s="9" t="s">
        <v>18</v>
      </c>
      <c r="AP618" s="42">
        <v>563343</v>
      </c>
      <c r="AR618" s="42">
        <v>96526</v>
      </c>
      <c r="AT618" s="42">
        <v>0</v>
      </c>
      <c r="AV618" s="42">
        <v>1357000</v>
      </c>
      <c r="AX618" s="42">
        <v>231658</v>
      </c>
      <c r="AZ618" s="42">
        <v>0</v>
      </c>
      <c r="BB618" s="5">
        <f t="shared" si="72"/>
        <v>28642197</v>
      </c>
      <c r="BD618" s="42">
        <v>43543</v>
      </c>
      <c r="BF618" s="42">
        <v>0</v>
      </c>
      <c r="BH618" s="42">
        <v>0</v>
      </c>
      <c r="BJ618" s="42">
        <v>0</v>
      </c>
      <c r="BL618" s="5">
        <f t="shared" si="73"/>
        <v>28685740</v>
      </c>
      <c r="BN618" s="5">
        <f>'Gov Fd Rev'!AQ618-'Gov Fd Exp'!BL618</f>
        <v>-284306</v>
      </c>
      <c r="BP618" s="42">
        <v>5773120</v>
      </c>
      <c r="BR618" s="42">
        <v>0</v>
      </c>
      <c r="BT618" s="42">
        <v>0</v>
      </c>
      <c r="BV618" s="5">
        <f t="shared" si="74"/>
        <v>5488814</v>
      </c>
      <c r="BW618" s="5"/>
      <c r="BX618" s="5">
        <f>BV618-'Gov Fd BS'!AI618</f>
        <v>0</v>
      </c>
    </row>
    <row r="619" spans="1:76">
      <c r="A619" s="9" t="s">
        <v>776</v>
      </c>
      <c r="B619" s="9"/>
      <c r="C619" s="9" t="s">
        <v>56</v>
      </c>
      <c r="D619" s="9"/>
      <c r="E619" s="23">
        <v>45666</v>
      </c>
      <c r="G619" s="42">
        <v>3025081</v>
      </c>
      <c r="I619" s="42">
        <v>1740166</v>
      </c>
      <c r="K619" s="42">
        <v>92091</v>
      </c>
      <c r="M619" s="42">
        <v>0</v>
      </c>
      <c r="O619" s="42">
        <v>16591</v>
      </c>
      <c r="Q619" s="42">
        <v>468157</v>
      </c>
      <c r="S619" s="42">
        <v>480257</v>
      </c>
      <c r="U619" s="42">
        <v>34097</v>
      </c>
      <c r="W619" s="42">
        <v>652486</v>
      </c>
      <c r="Y619" s="42">
        <v>227872</v>
      </c>
      <c r="AA619" s="42">
        <v>6896</v>
      </c>
      <c r="AC619" s="42">
        <v>709315</v>
      </c>
      <c r="AE619" s="42">
        <v>390736</v>
      </c>
      <c r="AG619" s="42">
        <v>18098</v>
      </c>
      <c r="AI619" s="42">
        <v>308594</v>
      </c>
      <c r="AK619" s="42">
        <v>0</v>
      </c>
      <c r="AL619" s="9" t="s">
        <v>776</v>
      </c>
      <c r="AM619" s="9"/>
      <c r="AN619" s="9" t="s">
        <v>56</v>
      </c>
      <c r="AP619" s="42">
        <v>234161</v>
      </c>
      <c r="AR619" s="42">
        <v>133812</v>
      </c>
      <c r="AT619" s="42">
        <v>0</v>
      </c>
      <c r="AV619" s="42">
        <v>64037</v>
      </c>
      <c r="AX619" s="42">
        <v>28599</v>
      </c>
      <c r="AZ619" s="42">
        <v>0</v>
      </c>
      <c r="BB619" s="5">
        <f t="shared" si="72"/>
        <v>8631046</v>
      </c>
      <c r="BD619" s="42">
        <v>0</v>
      </c>
      <c r="BF619" s="42">
        <v>0</v>
      </c>
      <c r="BH619" s="42">
        <v>0</v>
      </c>
      <c r="BJ619" s="42">
        <v>0</v>
      </c>
      <c r="BL619" s="5">
        <f t="shared" si="73"/>
        <v>8631046</v>
      </c>
      <c r="BN619" s="5">
        <f>'Gov Fd Rev'!AQ619-'Gov Fd Exp'!BL619</f>
        <v>495228</v>
      </c>
      <c r="BP619" s="42">
        <v>2389426</v>
      </c>
      <c r="BR619" s="42">
        <v>365</v>
      </c>
      <c r="BT619" s="42">
        <v>0</v>
      </c>
      <c r="BV619" s="5">
        <f t="shared" si="74"/>
        <v>2885019</v>
      </c>
      <c r="BW619" s="5"/>
      <c r="BX619" s="5">
        <f>BV619-'Gov Fd BS'!AI619</f>
        <v>0</v>
      </c>
    </row>
    <row r="620" spans="1:76">
      <c r="A620" s="9" t="s">
        <v>330</v>
      </c>
      <c r="B620" s="9"/>
      <c r="C620" s="9" t="s">
        <v>32</v>
      </c>
      <c r="D620" s="9"/>
      <c r="E620" s="23">
        <v>44081</v>
      </c>
      <c r="G620" s="42">
        <v>17860375</v>
      </c>
      <c r="I620" s="42">
        <v>8733660</v>
      </c>
      <c r="K620" s="42">
        <v>163970</v>
      </c>
      <c r="M620" s="42">
        <v>0</v>
      </c>
      <c r="O620" s="42">
        <v>0</v>
      </c>
      <c r="Q620" s="42">
        <v>2285039</v>
      </c>
      <c r="S620" s="42">
        <v>1689440</v>
      </c>
      <c r="U620" s="42">
        <v>161940</v>
      </c>
      <c r="W620" s="42">
        <v>3369144</v>
      </c>
      <c r="Y620" s="42">
        <v>1294662</v>
      </c>
      <c r="AA620" s="42">
        <v>204004</v>
      </c>
      <c r="AC620" s="42">
        <v>2946146</v>
      </c>
      <c r="AE620" s="42">
        <v>2540175</v>
      </c>
      <c r="AG620" s="42">
        <v>542252</v>
      </c>
      <c r="AI620" s="42">
        <v>0</v>
      </c>
      <c r="AK620" s="42">
        <v>2219310</v>
      </c>
      <c r="AL620" s="9" t="s">
        <v>330</v>
      </c>
      <c r="AM620" s="9"/>
      <c r="AN620" s="9" t="s">
        <v>32</v>
      </c>
      <c r="AP620" s="42">
        <v>722846</v>
      </c>
      <c r="AR620" s="42">
        <v>145229</v>
      </c>
      <c r="AT620" s="42">
        <v>0</v>
      </c>
      <c r="AV620" s="42">
        <v>337298</v>
      </c>
      <c r="AX620" s="42">
        <v>152695</v>
      </c>
      <c r="AZ620" s="42">
        <v>0</v>
      </c>
      <c r="BB620" s="5">
        <f t="shared" si="72"/>
        <v>45368185</v>
      </c>
      <c r="BD620" s="42">
        <v>0</v>
      </c>
      <c r="BF620" s="42">
        <v>0</v>
      </c>
      <c r="BH620" s="42">
        <v>0</v>
      </c>
      <c r="BJ620" s="42">
        <v>0</v>
      </c>
      <c r="BL620" s="5">
        <f t="shared" si="73"/>
        <v>45368185</v>
      </c>
      <c r="BN620" s="5">
        <f>'Gov Fd Rev'!AQ620-'Gov Fd Exp'!BL620</f>
        <v>3375974</v>
      </c>
      <c r="BP620" s="42">
        <v>13431877</v>
      </c>
      <c r="BR620" s="42">
        <v>0</v>
      </c>
      <c r="BT620" s="42">
        <v>0</v>
      </c>
      <c r="BV620" s="5">
        <f t="shared" si="74"/>
        <v>16807851</v>
      </c>
      <c r="BW620" s="5"/>
      <c r="BX620" s="5">
        <f>BV620-'Gov Fd BS'!AI620</f>
        <v>0</v>
      </c>
    </row>
    <row r="621" spans="1:76">
      <c r="A621" s="9" t="s">
        <v>546</v>
      </c>
      <c r="B621" s="9"/>
      <c r="C621" s="9" t="s">
        <v>70</v>
      </c>
      <c r="D621" s="9"/>
      <c r="E621" s="23">
        <v>50518</v>
      </c>
      <c r="G621" s="42">
        <v>3224083</v>
      </c>
      <c r="I621" s="42">
        <v>633265</v>
      </c>
      <c r="K621" s="42">
        <v>192802</v>
      </c>
      <c r="M621" s="42">
        <v>0</v>
      </c>
      <c r="O621" s="42">
        <v>55842</v>
      </c>
      <c r="Q621" s="42">
        <v>400457</v>
      </c>
      <c r="S621" s="42">
        <v>423180</v>
      </c>
      <c r="U621" s="42">
        <v>16202</v>
      </c>
      <c r="W621" s="42">
        <v>560950</v>
      </c>
      <c r="Y621" s="42">
        <v>360269</v>
      </c>
      <c r="AA621" s="42">
        <v>0</v>
      </c>
      <c r="AC621" s="42">
        <v>627633</v>
      </c>
      <c r="AE621" s="42">
        <v>457630</v>
      </c>
      <c r="AG621" s="42">
        <v>30072</v>
      </c>
      <c r="AI621" s="42">
        <v>0</v>
      </c>
      <c r="AK621" s="42">
        <v>261479</v>
      </c>
      <c r="AL621" s="9" t="s">
        <v>546</v>
      </c>
      <c r="AM621" s="9"/>
      <c r="AN621" s="9" t="s">
        <v>70</v>
      </c>
      <c r="AP621" s="42">
        <v>269673</v>
      </c>
      <c r="AR621" s="42">
        <v>103819</v>
      </c>
      <c r="AT621" s="42">
        <v>0</v>
      </c>
      <c r="AV621" s="42">
        <v>235000</v>
      </c>
      <c r="AX621" s="42">
        <v>159625</v>
      </c>
      <c r="AZ621" s="42">
        <v>200</v>
      </c>
      <c r="BB621" s="5">
        <f t="shared" si="72"/>
        <v>8012181</v>
      </c>
      <c r="BD621" s="42">
        <v>500000</v>
      </c>
      <c r="BF621" s="42">
        <v>0</v>
      </c>
      <c r="BH621" s="42">
        <v>0</v>
      </c>
      <c r="BJ621" s="42">
        <v>0</v>
      </c>
      <c r="BL621" s="5">
        <f t="shared" si="73"/>
        <v>8512181</v>
      </c>
      <c r="BN621" s="5">
        <f>'Gov Fd Rev'!AQ621-'Gov Fd Exp'!BL621</f>
        <v>562074</v>
      </c>
      <c r="BP621" s="42">
        <v>8877670</v>
      </c>
      <c r="BR621" s="42">
        <v>0</v>
      </c>
      <c r="BT621" s="42">
        <v>0</v>
      </c>
      <c r="BV621" s="5">
        <f t="shared" si="74"/>
        <v>9439744</v>
      </c>
      <c r="BW621" s="5"/>
      <c r="BX621" s="5">
        <f>BV621-'Gov Fd BS'!AI621</f>
        <v>0</v>
      </c>
    </row>
    <row r="622" spans="1:76">
      <c r="A622" s="9" t="s">
        <v>475</v>
      </c>
      <c r="B622" s="9"/>
      <c r="C622" s="9" t="s">
        <v>79</v>
      </c>
      <c r="D622" s="9"/>
      <c r="E622" s="23">
        <v>49577</v>
      </c>
      <c r="G622" s="42">
        <v>5226405</v>
      </c>
      <c r="I622" s="42">
        <v>1310732</v>
      </c>
      <c r="K622" s="42">
        <v>6274</v>
      </c>
      <c r="M622" s="42">
        <v>0</v>
      </c>
      <c r="O622" s="42">
        <v>4302</v>
      </c>
      <c r="Q622" s="42">
        <v>713236</v>
      </c>
      <c r="S622" s="42">
        <v>241448</v>
      </c>
      <c r="U622" s="42">
        <v>72934</v>
      </c>
      <c r="W622" s="42">
        <v>1229958</v>
      </c>
      <c r="Y622" s="42">
        <v>352371</v>
      </c>
      <c r="AA622" s="42">
        <v>0</v>
      </c>
      <c r="AC622" s="42">
        <v>1019683</v>
      </c>
      <c r="AE622" s="42">
        <v>616197</v>
      </c>
      <c r="AG622" s="42">
        <v>0</v>
      </c>
      <c r="AI622" s="42">
        <v>342086</v>
      </c>
      <c r="AK622" s="42">
        <v>67368</v>
      </c>
      <c r="AL622" s="9" t="s">
        <v>475</v>
      </c>
      <c r="AM622" s="9"/>
      <c r="AN622" s="9" t="s">
        <v>79</v>
      </c>
      <c r="AP622" s="42">
        <v>431548</v>
      </c>
      <c r="AR622" s="42">
        <v>834741</v>
      </c>
      <c r="AT622" s="42">
        <v>0</v>
      </c>
      <c r="AV622" s="42">
        <v>59346</v>
      </c>
      <c r="AX622" s="42">
        <v>159770</v>
      </c>
      <c r="AZ622" s="42">
        <v>0</v>
      </c>
      <c r="BB622" s="5">
        <f t="shared" si="72"/>
        <v>12688399</v>
      </c>
      <c r="BD622" s="42">
        <v>0</v>
      </c>
      <c r="BF622" s="42">
        <v>0</v>
      </c>
      <c r="BH622" s="42">
        <v>0</v>
      </c>
      <c r="BJ622" s="42">
        <v>0</v>
      </c>
      <c r="BL622" s="5">
        <f t="shared" si="73"/>
        <v>12688399</v>
      </c>
      <c r="BN622" s="5">
        <f>'Gov Fd Rev'!AQ622-'Gov Fd Exp'!BL622</f>
        <v>15263914</v>
      </c>
      <c r="BP622" s="42">
        <v>1624339</v>
      </c>
      <c r="BR622" s="42">
        <v>0</v>
      </c>
      <c r="BT622" s="42">
        <v>0</v>
      </c>
      <c r="BV622" s="5">
        <f t="shared" si="74"/>
        <v>16888253</v>
      </c>
      <c r="BW622" s="5"/>
      <c r="BX622" s="5">
        <f>BV622-'Gov Fd BS'!AI622</f>
        <v>0</v>
      </c>
    </row>
    <row r="623" spans="1:76">
      <c r="A623" s="9" t="s">
        <v>513</v>
      </c>
      <c r="B623" s="9"/>
      <c r="C623" s="9" t="s">
        <v>63</v>
      </c>
      <c r="D623" s="9"/>
      <c r="E623" s="23">
        <v>49973</v>
      </c>
      <c r="G623" s="42">
        <v>10924021</v>
      </c>
      <c r="I623" s="42">
        <v>3582197</v>
      </c>
      <c r="K623" s="42">
        <v>333751</v>
      </c>
      <c r="M623" s="42">
        <v>0</v>
      </c>
      <c r="O623" s="42">
        <v>56108</v>
      </c>
      <c r="Q623" s="42">
        <v>1314721</v>
      </c>
      <c r="S623" s="42">
        <v>367457</v>
      </c>
      <c r="U623" s="42">
        <v>28899</v>
      </c>
      <c r="W623" s="42">
        <v>2004303</v>
      </c>
      <c r="Y623" s="42">
        <v>697250</v>
      </c>
      <c r="AA623" s="42">
        <v>6411</v>
      </c>
      <c r="AC623" s="42">
        <v>1855273</v>
      </c>
      <c r="AE623" s="42">
        <v>1698717</v>
      </c>
      <c r="AG623" s="42">
        <v>251824</v>
      </c>
      <c r="AI623" s="42">
        <v>779334</v>
      </c>
      <c r="AK623" s="42">
        <v>1202</v>
      </c>
      <c r="AL623" s="9" t="s">
        <v>513</v>
      </c>
      <c r="AM623" s="9"/>
      <c r="AN623" s="9" t="s">
        <v>63</v>
      </c>
      <c r="AP623" s="42">
        <v>628785</v>
      </c>
      <c r="AR623" s="42">
        <v>419557</v>
      </c>
      <c r="AT623" s="42">
        <v>0</v>
      </c>
      <c r="AV623" s="42">
        <v>1341078</v>
      </c>
      <c r="AX623" s="42">
        <v>363805</v>
      </c>
      <c r="AZ623" s="42">
        <v>0</v>
      </c>
      <c r="BB623" s="5">
        <f t="shared" si="72"/>
        <v>26654693</v>
      </c>
      <c r="BD623" s="42">
        <v>132600</v>
      </c>
      <c r="BF623" s="42">
        <v>0</v>
      </c>
      <c r="BH623" s="42">
        <v>0</v>
      </c>
      <c r="BJ623" s="42">
        <v>0</v>
      </c>
      <c r="BL623" s="5">
        <f t="shared" si="73"/>
        <v>26787293</v>
      </c>
      <c r="BN623" s="5">
        <f>'Gov Fd Rev'!AQ623-'Gov Fd Exp'!BL623</f>
        <v>-1559145</v>
      </c>
      <c r="BP623" s="42">
        <v>6701152</v>
      </c>
      <c r="BR623" s="42">
        <v>0</v>
      </c>
      <c r="BT623" s="42">
        <v>0</v>
      </c>
      <c r="BV623" s="5">
        <f t="shared" si="74"/>
        <v>5142007</v>
      </c>
      <c r="BW623" s="5"/>
      <c r="BX623" s="5">
        <f>BV623-'Gov Fd BS'!AI623</f>
        <v>0</v>
      </c>
    </row>
    <row r="624" spans="1:76">
      <c r="A624" s="9" t="s">
        <v>618</v>
      </c>
      <c r="B624" s="9"/>
      <c r="C624" s="9" t="s">
        <v>71</v>
      </c>
      <c r="D624" s="9"/>
      <c r="E624" s="23">
        <v>45120</v>
      </c>
      <c r="G624" s="42">
        <v>17366179</v>
      </c>
      <c r="I624" s="42">
        <v>5232925</v>
      </c>
      <c r="K624" s="42">
        <v>479996</v>
      </c>
      <c r="M624" s="42">
        <v>0</v>
      </c>
      <c r="O624" s="42">
        <f>26716+2603668</f>
        <v>2630384</v>
      </c>
      <c r="Q624" s="42">
        <v>2048866</v>
      </c>
      <c r="S624" s="42">
        <v>2156489</v>
      </c>
      <c r="U624" s="42">
        <v>177106</v>
      </c>
      <c r="W624" s="42">
        <v>2834107</v>
      </c>
      <c r="Y624" s="42">
        <v>895432</v>
      </c>
      <c r="AA624" s="42">
        <v>203263</v>
      </c>
      <c r="AC624" s="42">
        <v>3948863</v>
      </c>
      <c r="AE624" s="42">
        <v>1898890</v>
      </c>
      <c r="AG624" s="42">
        <v>678967</v>
      </c>
      <c r="AI624" s="42">
        <v>0</v>
      </c>
      <c r="AK624" s="42">
        <v>751590</v>
      </c>
      <c r="AL624" s="9" t="s">
        <v>618</v>
      </c>
      <c r="AM624" s="9"/>
      <c r="AN624" s="9" t="s">
        <v>71</v>
      </c>
      <c r="AP624" s="42">
        <v>598600</v>
      </c>
      <c r="AR624" s="42">
        <v>389460</v>
      </c>
      <c r="AT624" s="42">
        <v>0</v>
      </c>
      <c r="AV624" s="42">
        <v>965127</v>
      </c>
      <c r="AX624" s="42">
        <v>2275543</v>
      </c>
      <c r="AZ624" s="42">
        <v>0</v>
      </c>
      <c r="BB624" s="5">
        <f t="shared" si="72"/>
        <v>45531787</v>
      </c>
      <c r="BD624" s="42">
        <v>7500</v>
      </c>
      <c r="BF624" s="42">
        <v>0</v>
      </c>
      <c r="BH624" s="42">
        <v>0</v>
      </c>
      <c r="BJ624" s="42">
        <v>0</v>
      </c>
      <c r="BL624" s="5">
        <f t="shared" si="73"/>
        <v>45539287</v>
      </c>
      <c r="BN624" s="5">
        <f>'Gov Fd Rev'!AQ624-'Gov Fd Exp'!BL624</f>
        <v>388133</v>
      </c>
      <c r="BP624" s="42">
        <v>26072058</v>
      </c>
      <c r="BR624" s="42">
        <v>0</v>
      </c>
      <c r="BT624" s="42">
        <v>0</v>
      </c>
      <c r="BV624" s="5">
        <f t="shared" si="74"/>
        <v>26460191</v>
      </c>
      <c r="BW624" s="5"/>
      <c r="BX624" s="5">
        <f>BV624-'Gov Fd BS'!AI624</f>
        <v>0</v>
      </c>
    </row>
    <row r="625" spans="1:76">
      <c r="A625" s="9" t="s">
        <v>309</v>
      </c>
      <c r="B625" s="9"/>
      <c r="C625" s="9" t="s">
        <v>27</v>
      </c>
      <c r="D625" s="9"/>
      <c r="E625" s="23">
        <v>45138</v>
      </c>
      <c r="G625" s="42">
        <v>57219179</v>
      </c>
      <c r="I625" s="42">
        <v>13395796</v>
      </c>
      <c r="K625" s="42">
        <v>1011878</v>
      </c>
      <c r="M625" s="42">
        <v>0</v>
      </c>
      <c r="O625" s="42">
        <v>22844</v>
      </c>
      <c r="Q625" s="42">
        <v>6764267</v>
      </c>
      <c r="S625" s="42">
        <v>10680736</v>
      </c>
      <c r="U625" s="42">
        <v>36964</v>
      </c>
      <c r="W625" s="42">
        <v>8387504</v>
      </c>
      <c r="Y625" s="42">
        <v>0</v>
      </c>
      <c r="AA625" s="42">
        <v>3103321</v>
      </c>
      <c r="AC625" s="42">
        <v>11629485</v>
      </c>
      <c r="AE625" s="42">
        <v>4059179</v>
      </c>
      <c r="AG625" s="42">
        <v>1308782</v>
      </c>
      <c r="AI625" s="42">
        <v>2932602</v>
      </c>
      <c r="AK625" s="42">
        <v>1972296</v>
      </c>
      <c r="AL625" s="9" t="s">
        <v>309</v>
      </c>
      <c r="AM625" s="9"/>
      <c r="AN625" s="9" t="s">
        <v>27</v>
      </c>
      <c r="AP625" s="42">
        <v>2463556</v>
      </c>
      <c r="AR625" s="42">
        <v>3151590</v>
      </c>
      <c r="AT625" s="42">
        <v>0</v>
      </c>
      <c r="AV625" s="42">
        <v>4487000</v>
      </c>
      <c r="AX625" s="42">
        <f>1789597+392332</f>
        <v>2181929</v>
      </c>
      <c r="AZ625" s="42">
        <v>0</v>
      </c>
      <c r="BB625" s="5">
        <f t="shared" si="72"/>
        <v>134808908</v>
      </c>
      <c r="BD625" s="42">
        <v>2267322</v>
      </c>
      <c r="BF625" s="42">
        <v>0</v>
      </c>
      <c r="BH625" s="42">
        <v>0</v>
      </c>
      <c r="BJ625" s="42">
        <v>0</v>
      </c>
      <c r="BL625" s="5">
        <f t="shared" si="73"/>
        <v>137076230</v>
      </c>
      <c r="BN625" s="5">
        <f>'Gov Fd Rev'!AQ625-'Gov Fd Exp'!BL625</f>
        <v>42558137</v>
      </c>
      <c r="BP625" s="42">
        <v>74714433</v>
      </c>
      <c r="BR625" s="42">
        <v>0</v>
      </c>
      <c r="BT625" s="42">
        <v>0</v>
      </c>
      <c r="BV625" s="5">
        <f t="shared" si="74"/>
        <v>117272570</v>
      </c>
      <c r="BW625" s="5"/>
      <c r="BX625" s="5">
        <f>BV625-'Gov Fd BS'!AI625</f>
        <v>0</v>
      </c>
    </row>
    <row r="626" spans="1:76">
      <c r="A626" s="9" t="s">
        <v>258</v>
      </c>
      <c r="B626" s="9"/>
      <c r="C626" s="9" t="s">
        <v>110</v>
      </c>
      <c r="D626" s="9"/>
      <c r="E626" s="23">
        <v>46524</v>
      </c>
      <c r="G626" s="42">
        <v>4369528</v>
      </c>
      <c r="I626" s="42">
        <v>1450786</v>
      </c>
      <c r="K626" s="42">
        <v>40788</v>
      </c>
      <c r="M626" s="42">
        <v>0</v>
      </c>
      <c r="O626" s="42">
        <v>649305</v>
      </c>
      <c r="Q626" s="42">
        <v>898444</v>
      </c>
      <c r="S626" s="42">
        <v>610393</v>
      </c>
      <c r="U626" s="42">
        <v>7320</v>
      </c>
      <c r="W626" s="42">
        <v>898877</v>
      </c>
      <c r="Y626" s="42">
        <v>402553</v>
      </c>
      <c r="AA626" s="42">
        <v>12365</v>
      </c>
      <c r="AC626" s="42">
        <v>702439</v>
      </c>
      <c r="AE626" s="42">
        <v>735741</v>
      </c>
      <c r="AG626" s="42">
        <v>40408</v>
      </c>
      <c r="AI626" s="42">
        <v>534728</v>
      </c>
      <c r="AK626" s="42">
        <v>600</v>
      </c>
      <c r="AL626" s="9" t="s">
        <v>258</v>
      </c>
      <c r="AM626" s="9"/>
      <c r="AN626" s="9" t="s">
        <v>110</v>
      </c>
      <c r="AP626" s="42">
        <v>366270</v>
      </c>
      <c r="AR626" s="42">
        <v>0</v>
      </c>
      <c r="AT626" s="42">
        <v>0</v>
      </c>
      <c r="AV626" s="42">
        <v>307821</v>
      </c>
      <c r="AX626" s="42">
        <v>225433</v>
      </c>
      <c r="AZ626" s="42">
        <v>0</v>
      </c>
      <c r="BB626" s="5">
        <f t="shared" si="72"/>
        <v>12253799</v>
      </c>
      <c r="BD626" s="42">
        <v>55888</v>
      </c>
      <c r="BF626" s="42">
        <v>0</v>
      </c>
      <c r="BH626" s="42">
        <v>0</v>
      </c>
      <c r="BJ626" s="42">
        <v>0</v>
      </c>
      <c r="BL626" s="5">
        <f t="shared" si="73"/>
        <v>12309687</v>
      </c>
      <c r="BN626" s="5">
        <f>'Gov Fd Rev'!AQ626-'Gov Fd Exp'!BL626</f>
        <v>-534249</v>
      </c>
      <c r="BP626" s="42">
        <v>1947583</v>
      </c>
      <c r="BR626" s="42">
        <v>0</v>
      </c>
      <c r="BT626" s="42">
        <v>0</v>
      </c>
      <c r="BV626" s="5">
        <f t="shared" si="74"/>
        <v>1413334</v>
      </c>
      <c r="BW626" s="5"/>
      <c r="BX626" s="5">
        <f>BV626-'Gov Fd BS'!AI626</f>
        <v>0</v>
      </c>
    </row>
    <row r="627" spans="1:76">
      <c r="A627" s="9" t="s">
        <v>331</v>
      </c>
      <c r="B627" s="9"/>
      <c r="C627" s="9" t="s">
        <v>32</v>
      </c>
      <c r="D627" s="9"/>
      <c r="E627" s="23">
        <v>45146</v>
      </c>
      <c r="G627" s="42">
        <v>12022531</v>
      </c>
      <c r="I627" s="42">
        <v>2385677</v>
      </c>
      <c r="K627" s="42">
        <v>58738</v>
      </c>
      <c r="M627" s="42">
        <v>0</v>
      </c>
      <c r="O627" s="42">
        <v>76966</v>
      </c>
      <c r="Q627" s="42">
        <v>1605175</v>
      </c>
      <c r="S627" s="42">
        <v>1128188</v>
      </c>
      <c r="U627" s="42">
        <v>140402</v>
      </c>
      <c r="W627" s="42">
        <v>1912230</v>
      </c>
      <c r="Y627" s="42">
        <v>882728</v>
      </c>
      <c r="AA627" s="42">
        <v>1134</v>
      </c>
      <c r="AC627" s="42">
        <v>1741849</v>
      </c>
      <c r="AE627" s="42">
        <v>432958</v>
      </c>
      <c r="AG627" s="42">
        <v>167711</v>
      </c>
      <c r="AI627" s="42">
        <v>0</v>
      </c>
      <c r="AK627" s="42">
        <v>293493</v>
      </c>
      <c r="AL627" s="9" t="s">
        <v>331</v>
      </c>
      <c r="AM627" s="9"/>
      <c r="AN627" s="9" t="s">
        <v>32</v>
      </c>
      <c r="AP627" s="42">
        <v>812291</v>
      </c>
      <c r="AR627" s="42">
        <v>3025247</v>
      </c>
      <c r="AT627" s="42">
        <v>0</v>
      </c>
      <c r="AV627" s="42">
        <v>26021985</v>
      </c>
      <c r="AX627" s="42">
        <f>2198778+120516</f>
        <v>2319294</v>
      </c>
      <c r="AZ627" s="42">
        <v>0</v>
      </c>
      <c r="BB627" s="5">
        <f t="shared" si="72"/>
        <v>55028597</v>
      </c>
      <c r="BD627" s="42">
        <v>0</v>
      </c>
      <c r="BF627" s="42">
        <v>0</v>
      </c>
      <c r="BH627" s="42">
        <v>0</v>
      </c>
      <c r="BJ627" s="42">
        <v>0</v>
      </c>
      <c r="BL627" s="5">
        <f t="shared" si="73"/>
        <v>55028597</v>
      </c>
      <c r="BN627" s="5">
        <f>'Gov Fd Rev'!AQ627-'Gov Fd Exp'!BL627</f>
        <v>-1088877</v>
      </c>
      <c r="BP627" s="42">
        <v>42812511</v>
      </c>
      <c r="BR627" s="42">
        <v>0</v>
      </c>
      <c r="BT627" s="42">
        <v>0</v>
      </c>
      <c r="BV627" s="5">
        <f t="shared" si="74"/>
        <v>41723634</v>
      </c>
      <c r="BW627" s="5"/>
      <c r="BX627" s="5">
        <f>BV627-'Gov Fd BS'!AI627</f>
        <v>0</v>
      </c>
    </row>
    <row r="628" spans="1:76">
      <c r="A628" s="8" t="s">
        <v>872</v>
      </c>
      <c r="B628" s="8"/>
      <c r="C628" s="8" t="s">
        <v>113</v>
      </c>
      <c r="D628" s="8"/>
      <c r="E628" s="23">
        <v>45153</v>
      </c>
      <c r="G628" s="42">
        <v>19840838</v>
      </c>
      <c r="I628" s="42">
        <v>6691380</v>
      </c>
      <c r="K628" s="42">
        <v>486557</v>
      </c>
      <c r="M628" s="42">
        <v>0</v>
      </c>
      <c r="O628" s="42">
        <v>849442</v>
      </c>
      <c r="Q628" s="42">
        <v>2966495</v>
      </c>
      <c r="S628" s="42">
        <v>3056993</v>
      </c>
      <c r="U628" s="42">
        <v>30464</v>
      </c>
      <c r="W628" s="42">
        <v>3749494</v>
      </c>
      <c r="Y628" s="42">
        <v>523655</v>
      </c>
      <c r="AA628" s="42">
        <v>585707</v>
      </c>
      <c r="AC628" s="42">
        <v>2817492</v>
      </c>
      <c r="AE628" s="42">
        <v>2371111</v>
      </c>
      <c r="AG628" s="42">
        <v>187232</v>
      </c>
      <c r="AI628" s="42">
        <v>1630962</v>
      </c>
      <c r="AK628" s="42">
        <v>432329</v>
      </c>
      <c r="AL628" s="8" t="s">
        <v>872</v>
      </c>
      <c r="AM628" s="8"/>
      <c r="AN628" s="8" t="s">
        <v>113</v>
      </c>
      <c r="AP628" s="42">
        <v>685600</v>
      </c>
      <c r="AR628" s="42">
        <v>25254378</v>
      </c>
      <c r="AT628" s="42">
        <v>0</v>
      </c>
      <c r="AV628" s="42">
        <v>466702</v>
      </c>
      <c r="AX628" s="42">
        <v>2293293</v>
      </c>
      <c r="AZ628" s="42">
        <v>0</v>
      </c>
      <c r="BB628" s="5">
        <f t="shared" ref="BB628" si="82">SUM(G628:AZ628)</f>
        <v>74920124</v>
      </c>
      <c r="BD628" s="42">
        <v>0</v>
      </c>
      <c r="BF628" s="42">
        <v>0</v>
      </c>
      <c r="BH628" s="42">
        <v>0</v>
      </c>
      <c r="BJ628" s="42">
        <v>0</v>
      </c>
      <c r="BL628" s="5">
        <f t="shared" ref="BL628" si="83">BB628+BD628+BJ628</f>
        <v>74920124</v>
      </c>
      <c r="BN628" s="5">
        <f>'Gov Fd Rev'!AQ628-'Gov Fd Exp'!BL628</f>
        <v>-17971152</v>
      </c>
      <c r="BP628" s="42">
        <v>28505083</v>
      </c>
      <c r="BR628" s="42">
        <v>0</v>
      </c>
      <c r="BT628" s="42">
        <v>0</v>
      </c>
      <c r="BV628" s="5">
        <f t="shared" ref="BV628" si="84">BN628+BP628+BR628+BT628</f>
        <v>10533931</v>
      </c>
      <c r="BW628" s="5"/>
      <c r="BX628" s="5">
        <f>BV628-'Gov Fd BS'!AI628</f>
        <v>0</v>
      </c>
    </row>
    <row r="629" spans="1:76">
      <c r="A629" s="9" t="s">
        <v>777</v>
      </c>
      <c r="B629" s="9"/>
      <c r="C629" s="9" t="s">
        <v>113</v>
      </c>
      <c r="D629" s="9"/>
      <c r="E629" s="23">
        <v>45674</v>
      </c>
      <c r="G629" s="42">
        <v>3295764</v>
      </c>
      <c r="I629" s="42">
        <v>1142610</v>
      </c>
      <c r="K629" s="42">
        <v>0</v>
      </c>
      <c r="M629" s="42">
        <v>0</v>
      </c>
      <c r="O629" s="42">
        <v>284229</v>
      </c>
      <c r="Q629" s="42">
        <v>495253</v>
      </c>
      <c r="S629" s="42">
        <v>199140</v>
      </c>
      <c r="U629" s="42">
        <v>37963</v>
      </c>
      <c r="W629" s="42">
        <v>759656</v>
      </c>
      <c r="Y629" s="42">
        <v>325036</v>
      </c>
      <c r="AA629" s="42">
        <v>2299</v>
      </c>
      <c r="AC629" s="42">
        <v>581893</v>
      </c>
      <c r="AE629" s="42">
        <v>200422</v>
      </c>
      <c r="AG629" s="42">
        <v>32252</v>
      </c>
      <c r="AI629" s="42">
        <v>0</v>
      </c>
      <c r="AK629" s="42">
        <v>258863</v>
      </c>
      <c r="AL629" s="9" t="s">
        <v>777</v>
      </c>
      <c r="AM629" s="9"/>
      <c r="AN629" s="9" t="s">
        <v>113</v>
      </c>
      <c r="AP629" s="42">
        <v>230040</v>
      </c>
      <c r="AR629" s="42">
        <v>67766</v>
      </c>
      <c r="AT629" s="42">
        <v>0</v>
      </c>
      <c r="AV629" s="42">
        <v>274436</v>
      </c>
      <c r="AX629" s="42">
        <v>101840</v>
      </c>
      <c r="AZ629" s="42">
        <v>0</v>
      </c>
      <c r="BB629" s="5">
        <f t="shared" si="72"/>
        <v>8289462</v>
      </c>
      <c r="BD629" s="42">
        <v>6881</v>
      </c>
      <c r="BF629" s="42">
        <v>0</v>
      </c>
      <c r="BH629" s="42">
        <v>0</v>
      </c>
      <c r="BJ629" s="42">
        <v>0</v>
      </c>
      <c r="BL629" s="5">
        <f t="shared" si="73"/>
        <v>8296343</v>
      </c>
      <c r="BN629" s="5">
        <f>'Gov Fd Rev'!AQ629-'Gov Fd Exp'!BL629</f>
        <v>618641</v>
      </c>
      <c r="BP629" s="42">
        <v>2176508</v>
      </c>
      <c r="BR629" s="42">
        <v>0</v>
      </c>
      <c r="BT629" s="42">
        <v>0</v>
      </c>
      <c r="BV629" s="5">
        <f t="shared" si="74"/>
        <v>2795149</v>
      </c>
      <c r="BW629" s="5"/>
      <c r="BX629" s="5">
        <f>BV629-'Gov Fd BS'!AI629</f>
        <v>0</v>
      </c>
    </row>
    <row r="630" spans="1:76">
      <c r="A630" s="9" t="s">
        <v>406</v>
      </c>
      <c r="B630" s="9"/>
      <c r="C630" s="9" t="s">
        <v>45</v>
      </c>
      <c r="D630" s="9"/>
      <c r="E630" s="23">
        <v>45161</v>
      </c>
      <c r="G630" s="42">
        <v>59702758</v>
      </c>
      <c r="I630" s="42">
        <v>13654707</v>
      </c>
      <c r="K630" s="42">
        <v>2604949</v>
      </c>
      <c r="M630" s="42">
        <v>902926</v>
      </c>
      <c r="O630" s="42">
        <v>470610</v>
      </c>
      <c r="Q630" s="42">
        <v>5863210</v>
      </c>
      <c r="S630" s="42">
        <v>9174946</v>
      </c>
      <c r="U630" s="42">
        <v>251710</v>
      </c>
      <c r="W630" s="42">
        <v>6090592</v>
      </c>
      <c r="Y630" s="42">
        <v>1202121</v>
      </c>
      <c r="AA630" s="42">
        <v>783828</v>
      </c>
      <c r="AC630" s="42">
        <v>10136197</v>
      </c>
      <c r="AE630" s="42">
        <v>6094106</v>
      </c>
      <c r="AG630" s="42">
        <v>1050871</v>
      </c>
      <c r="AI630" s="42">
        <v>3520129</v>
      </c>
      <c r="AK630" s="42">
        <v>2473312</v>
      </c>
      <c r="AL630" s="9" t="s">
        <v>406</v>
      </c>
      <c r="AM630" s="9"/>
      <c r="AN630" s="9" t="s">
        <v>45</v>
      </c>
      <c r="AP630" s="42">
        <v>410510</v>
      </c>
      <c r="AR630" s="42">
        <v>1570621</v>
      </c>
      <c r="AT630" s="42">
        <v>0</v>
      </c>
      <c r="AV630" s="42">
        <v>1250000</v>
      </c>
      <c r="AX630" s="42">
        <f>1033713+396456</f>
        <v>1430169</v>
      </c>
      <c r="AZ630" s="42">
        <v>0</v>
      </c>
      <c r="BB630" s="5">
        <f t="shared" si="72"/>
        <v>128638272</v>
      </c>
      <c r="BD630" s="42">
        <v>159826</v>
      </c>
      <c r="BF630" s="42">
        <v>0</v>
      </c>
      <c r="BH630" s="42">
        <v>0</v>
      </c>
      <c r="BJ630" s="42">
        <v>25563769</v>
      </c>
      <c r="BL630" s="5">
        <f t="shared" si="73"/>
        <v>154361867</v>
      </c>
      <c r="BN630" s="5">
        <f>'Gov Fd Rev'!AQ630-'Gov Fd Exp'!BL630</f>
        <v>-511536</v>
      </c>
      <c r="BP630" s="42">
        <v>15364742</v>
      </c>
      <c r="BR630" s="42">
        <v>0</v>
      </c>
      <c r="BT630" s="42">
        <v>0</v>
      </c>
      <c r="BV630" s="5">
        <f t="shared" si="74"/>
        <v>14853206</v>
      </c>
      <c r="BW630" s="5"/>
      <c r="BX630" s="5">
        <f>BV630-'Gov Fd BS'!AI630</f>
        <v>0</v>
      </c>
    </row>
    <row r="631" spans="1:76">
      <c r="A631" s="9" t="s">
        <v>474</v>
      </c>
      <c r="B631" s="9"/>
      <c r="C631" s="9" t="s">
        <v>58</v>
      </c>
      <c r="D631" s="9"/>
      <c r="E631" s="23">
        <v>49544</v>
      </c>
      <c r="G631" s="42">
        <v>6565395</v>
      </c>
      <c r="I631" s="42">
        <v>1359241</v>
      </c>
      <c r="K631" s="42">
        <v>8437</v>
      </c>
      <c r="M631" s="42">
        <v>13152</v>
      </c>
      <c r="O631" s="42">
        <f>69679+62754</f>
        <v>132433</v>
      </c>
      <c r="Q631" s="42">
        <v>711775</v>
      </c>
      <c r="S631" s="42">
        <v>486624</v>
      </c>
      <c r="U631" s="42">
        <v>236239</v>
      </c>
      <c r="W631" s="42">
        <v>786786</v>
      </c>
      <c r="Y631" s="42">
        <v>371916</v>
      </c>
      <c r="AA631" s="42">
        <v>0</v>
      </c>
      <c r="AC631" s="42">
        <v>1196193</v>
      </c>
      <c r="AE631" s="42">
        <v>816286</v>
      </c>
      <c r="AG631" s="42">
        <v>194872</v>
      </c>
      <c r="AI631" s="42">
        <v>0</v>
      </c>
      <c r="AK631" s="42">
        <v>524208</v>
      </c>
      <c r="AL631" s="9" t="s">
        <v>474</v>
      </c>
      <c r="AM631" s="9"/>
      <c r="AN631" s="9" t="s">
        <v>58</v>
      </c>
      <c r="AP631" s="42">
        <v>403542</v>
      </c>
      <c r="AR631" s="42">
        <v>0</v>
      </c>
      <c r="AT631" s="42">
        <v>0</v>
      </c>
      <c r="AV631" s="42">
        <v>457589</v>
      </c>
      <c r="AX631" s="42">
        <v>195443</v>
      </c>
      <c r="AZ631" s="42">
        <v>0</v>
      </c>
      <c r="BB631" s="5">
        <f t="shared" si="72"/>
        <v>14460131</v>
      </c>
      <c r="BD631" s="42">
        <v>326498</v>
      </c>
      <c r="BF631" s="42">
        <v>0</v>
      </c>
      <c r="BH631" s="42">
        <v>0</v>
      </c>
      <c r="BJ631" s="42">
        <v>0</v>
      </c>
      <c r="BL631" s="5">
        <f t="shared" si="73"/>
        <v>14786629</v>
      </c>
      <c r="BN631" s="5">
        <f>'Gov Fd Rev'!AQ631-'Gov Fd Exp'!BL631</f>
        <v>-1197362</v>
      </c>
      <c r="BP631" s="42">
        <v>4158609</v>
      </c>
      <c r="BR631" s="42">
        <v>0</v>
      </c>
      <c r="BT631" s="42">
        <v>0</v>
      </c>
      <c r="BV631" s="5">
        <f t="shared" si="74"/>
        <v>2961247</v>
      </c>
      <c r="BW631" s="5"/>
      <c r="BX631" s="5">
        <f>BV631-'Gov Fd BS'!AI631</f>
        <v>0</v>
      </c>
    </row>
    <row r="632" spans="1:76">
      <c r="A632" s="9" t="s">
        <v>445</v>
      </c>
      <c r="B632" s="9"/>
      <c r="C632" s="9" t="s">
        <v>51</v>
      </c>
      <c r="D632" s="9"/>
      <c r="E632" s="23">
        <v>45179</v>
      </c>
      <c r="G632" s="42">
        <v>17321898</v>
      </c>
      <c r="I632" s="42">
        <v>7875520</v>
      </c>
      <c r="K632" s="42">
        <v>447745</v>
      </c>
      <c r="M632" s="42">
        <v>0</v>
      </c>
      <c r="O632" s="42">
        <v>137132</v>
      </c>
      <c r="Q632" s="42">
        <v>2442433</v>
      </c>
      <c r="S632" s="42">
        <v>3348083</v>
      </c>
      <c r="U632" s="42">
        <v>76929</v>
      </c>
      <c r="W632" s="42">
        <v>2181200</v>
      </c>
      <c r="Y632" s="42">
        <v>637505</v>
      </c>
      <c r="AA632" s="42">
        <v>0</v>
      </c>
      <c r="AC632" s="42">
        <v>3735044</v>
      </c>
      <c r="AE632" s="42">
        <v>1510020</v>
      </c>
      <c r="AG632" s="42">
        <v>331921</v>
      </c>
      <c r="AI632" s="42">
        <v>2035733</v>
      </c>
      <c r="AK632" s="42">
        <f>41748+821847</f>
        <v>863595</v>
      </c>
      <c r="AL632" s="9" t="s">
        <v>445</v>
      </c>
      <c r="AM632" s="9"/>
      <c r="AN632" s="9" t="s">
        <v>51</v>
      </c>
      <c r="AP632" s="42">
        <v>567066</v>
      </c>
      <c r="AR632" s="42">
        <v>198194</v>
      </c>
      <c r="AT632" s="42">
        <v>0</v>
      </c>
      <c r="AV632" s="42">
        <v>1124058</v>
      </c>
      <c r="AX632" s="42">
        <v>959670</v>
      </c>
      <c r="AZ632" s="42">
        <v>0</v>
      </c>
      <c r="BB632" s="5">
        <f t="shared" si="72"/>
        <v>45793746</v>
      </c>
      <c r="BD632" s="42">
        <v>750000</v>
      </c>
      <c r="BF632" s="42">
        <v>0</v>
      </c>
      <c r="BH632" s="42">
        <v>0</v>
      </c>
      <c r="BJ632" s="42">
        <v>0</v>
      </c>
      <c r="BL632" s="5">
        <f t="shared" si="73"/>
        <v>46543746</v>
      </c>
      <c r="BN632" s="5">
        <f>'Gov Fd Rev'!AQ632-'Gov Fd Exp'!BL632</f>
        <v>-2006313</v>
      </c>
      <c r="BP632" s="42">
        <v>12512273</v>
      </c>
      <c r="BR632" s="42">
        <v>0</v>
      </c>
      <c r="BT632" s="42">
        <v>0</v>
      </c>
      <c r="BV632" s="5">
        <f t="shared" si="74"/>
        <v>10505960</v>
      </c>
      <c r="BW632" s="5"/>
      <c r="BX632" s="5">
        <f>BV632-'Gov Fd BS'!AI632</f>
        <v>0</v>
      </c>
    </row>
    <row r="633" spans="1:76">
      <c r="A633" s="9"/>
      <c r="B633" s="9"/>
      <c r="C633" s="9"/>
      <c r="D633" s="9"/>
      <c r="AK633" s="5"/>
    </row>
    <row r="634" spans="1:76">
      <c r="A634" s="9"/>
      <c r="B634" s="9"/>
      <c r="C634" s="9"/>
      <c r="D634" s="9"/>
    </row>
    <row r="635" spans="1:76">
      <c r="A635" s="9"/>
      <c r="B635" s="9"/>
      <c r="C635" s="9"/>
      <c r="D635" s="9"/>
    </row>
  </sheetData>
  <mergeCells count="1">
    <mergeCell ref="AV8:AX8"/>
  </mergeCells>
  <pageMargins left="0.75" right="0.5" top="0.5" bottom="0.5" header="0.25" footer="0.25"/>
  <pageSetup scale="76" firstPageNumber="180" pageOrder="overThenDown" orientation="portrait" useFirstPageNumber="1" r:id="rId1"/>
  <headerFooter scaleWithDoc="0" alignWithMargins="0"/>
  <rowBreaks count="6" manualBreakCount="6">
    <brk id="100" max="73" man="1"/>
    <brk id="192" max="73" man="1"/>
    <brk id="282" max="73" man="1"/>
    <brk id="370" max="73" man="1"/>
    <brk id="472" max="73" man="1"/>
    <brk id="556" max="7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St of Net Pos - GA</vt:lpstr>
      <vt:lpstr>St of Act - GA Rev</vt:lpstr>
      <vt:lpstr>St of Activities - GA Exp</vt:lpstr>
      <vt:lpstr>Gen Fd BS</vt:lpstr>
      <vt:lpstr>Gen Fd Rev</vt:lpstr>
      <vt:lpstr>Gen Fd Exp</vt:lpstr>
      <vt:lpstr>Gov Fd BS</vt:lpstr>
      <vt:lpstr>Gov Fd Rev</vt:lpstr>
      <vt:lpstr>Gov Fd Exp</vt:lpstr>
      <vt:lpstr>Long Term Liab - GA</vt:lpstr>
      <vt:lpstr>'Gen Fd BS'!Print_Area</vt:lpstr>
      <vt:lpstr>'Gen Fd Exp'!Print_Area</vt:lpstr>
      <vt:lpstr>'Gen Fd Rev'!Print_Area</vt:lpstr>
      <vt:lpstr>'Gov Fd BS'!Print_Area</vt:lpstr>
      <vt:lpstr>'Gov Fd Exp'!Print_Area</vt:lpstr>
      <vt:lpstr>'Gov Fd Rev'!Print_Area</vt:lpstr>
      <vt:lpstr>'Long Term Liab - GA'!Print_Area</vt:lpstr>
      <vt:lpstr>'St of Act - GA Rev'!Print_Area</vt:lpstr>
      <vt:lpstr>'St of Activities - GA Exp'!Print_Area</vt:lpstr>
      <vt:lpstr>'Gen Fd BS'!Print_Titles</vt:lpstr>
      <vt:lpstr>'Gen Fd Exp'!Print_Titles</vt:lpstr>
      <vt:lpstr>'Gen Fd Rev'!Print_Titles</vt:lpstr>
      <vt:lpstr>'Gov Fd BS'!Print_Titles</vt:lpstr>
      <vt:lpstr>'Gov Fd Exp'!Print_Titles</vt:lpstr>
      <vt:lpstr>'Gov Fd Rev'!Print_Titles</vt:lpstr>
      <vt:lpstr>'Long Term Liab - GA'!Print_Titles</vt:lpstr>
      <vt:lpstr>'St of Act - GA Rev'!Print_Titles</vt:lpstr>
      <vt:lpstr>'St of Activities - GA Exp'!Print_Titles</vt:lpstr>
      <vt:lpstr>'St of Net Pos - GA'!Print_Titles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S. McKee</dc:creator>
  <cp:lastModifiedBy>Sarah E. Ramsey McKee</cp:lastModifiedBy>
  <cp:lastPrinted>2015-01-16T21:01:35Z</cp:lastPrinted>
  <dcterms:created xsi:type="dcterms:W3CDTF">2002-06-04T12:17:39Z</dcterms:created>
  <dcterms:modified xsi:type="dcterms:W3CDTF">2015-01-22T15:39:39Z</dcterms:modified>
</cp:coreProperties>
</file>